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connections.xml" ContentType="application/vnd.openxmlformats-officedocument.spreadsheetml.connections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60" yWindow="45" windowWidth="15480" windowHeight="9720" activeTab="1"/>
  </bookViews>
  <sheets>
    <sheet name="ISP" sheetId="4" r:id="rId1"/>
    <sheet name="CED" sheetId="20" r:id="rId2"/>
  </sheets>
  <externalReferences>
    <externalReference r:id="rId3"/>
    <externalReference r:id="rId4"/>
  </externalReferences>
  <definedNames>
    <definedName name="_xlnm.Print_Area" localSheetId="0">ISP!$A$1:$AG$495</definedName>
    <definedName name="BASE">#REF!</definedName>
    <definedName name="DATI">#REF!</definedName>
    <definedName name="EMITTENTE">#REF!</definedName>
    <definedName name="f">'[1]IBAN CONTI'!$A$138:$A$236</definedName>
    <definedName name="mesi_">CED!$AR$31:$AR$43</definedName>
    <definedName name="NAZIONE">#REF!</definedName>
    <definedName name="RATING">#REF!</definedName>
    <definedName name="SCAD">#REF!</definedName>
    <definedName name="SETTORE">#REF!</definedName>
    <definedName name="SUBORD">#REF!</definedName>
    <definedName name="TASSA">#REF!</definedName>
    <definedName name="TIPO">#REF!</definedName>
    <definedName name="TIPO2">#REF!</definedName>
    <definedName name="TIPO3">#REF!</definedName>
    <definedName name="VALUTA">#REF!</definedName>
  </definedNames>
  <calcPr calcId="124519" iterate="1"/>
</workbook>
</file>

<file path=xl/calcChain.xml><?xml version="1.0" encoding="utf-8"?>
<calcChain xmlns="http://schemas.openxmlformats.org/spreadsheetml/2006/main">
  <c r="AN499" i="4"/>
  <c r="AM499"/>
  <c r="AL499"/>
  <c r="AK499"/>
  <c r="AJ499"/>
  <c r="AI499"/>
  <c r="AH499"/>
  <c r="AG499"/>
  <c r="AF499"/>
  <c r="AD499"/>
  <c r="S499"/>
  <c r="P499"/>
  <c r="K499"/>
  <c r="I499"/>
  <c r="G499"/>
  <c r="F499"/>
  <c r="AB493"/>
  <c r="AD479"/>
  <c r="HU478"/>
  <c r="AP478"/>
  <c r="K479" s="1"/>
  <c r="AD478"/>
  <c r="AB478"/>
  <c r="BX478" s="1"/>
  <c r="AD470"/>
  <c r="HU469"/>
  <c r="BX469"/>
  <c r="AP469"/>
  <c r="AF469" s="1"/>
  <c r="AD469"/>
  <c r="AB469"/>
  <c r="AD458"/>
  <c r="HU457"/>
  <c r="AP457"/>
  <c r="K458" s="1"/>
  <c r="AD457"/>
  <c r="AB457"/>
  <c r="BX457" s="1"/>
  <c r="AD446"/>
  <c r="K446"/>
  <c r="BX445"/>
  <c r="AP445"/>
  <c r="AD445"/>
  <c r="AB445"/>
  <c r="HU445" s="1"/>
  <c r="AD434"/>
  <c r="HU433"/>
  <c r="BX433"/>
  <c r="AP433"/>
  <c r="AD433"/>
  <c r="AB433"/>
  <c r="AD420"/>
  <c r="HU419"/>
  <c r="BX419"/>
  <c r="AP419"/>
  <c r="AD419"/>
  <c r="AB419"/>
  <c r="AD411"/>
  <c r="HU410"/>
  <c r="AP410"/>
  <c r="AD410"/>
  <c r="AB410"/>
  <c r="BX410" s="1"/>
  <c r="AD402"/>
  <c r="AP401"/>
  <c r="K402" s="1"/>
  <c r="AD401"/>
  <c r="AB401"/>
  <c r="AD393"/>
  <c r="K393"/>
  <c r="HV392"/>
  <c r="BY392"/>
  <c r="AP392"/>
  <c r="AD392"/>
  <c r="AD383"/>
  <c r="AP382"/>
  <c r="K383" s="1"/>
  <c r="AD382"/>
  <c r="AB382"/>
  <c r="AL374"/>
  <c r="II373" s="1"/>
  <c r="AD374"/>
  <c r="IP373"/>
  <c r="IN373"/>
  <c r="IL373"/>
  <c r="IK373"/>
  <c r="IJ373"/>
  <c r="IH373"/>
  <c r="IG373"/>
  <c r="IF373"/>
  <c r="ID373"/>
  <c r="IB373"/>
  <c r="HZ373"/>
  <c r="HY373"/>
  <c r="HX373"/>
  <c r="HV373"/>
  <c r="HU373"/>
  <c r="AP373"/>
  <c r="AD373"/>
  <c r="AB373"/>
  <c r="AD364"/>
  <c r="HV363"/>
  <c r="AP363"/>
  <c r="K364" s="1"/>
  <c r="AD363"/>
  <c r="AB363"/>
  <c r="AD355"/>
  <c r="AP354"/>
  <c r="K355" s="1"/>
  <c r="AD354"/>
  <c r="AB354"/>
  <c r="K343"/>
  <c r="BY342"/>
  <c r="AP342"/>
  <c r="AD340"/>
  <c r="K340"/>
  <c r="BY339"/>
  <c r="AP339"/>
  <c r="AF339"/>
  <c r="AD339"/>
  <c r="AB339"/>
  <c r="AD337"/>
  <c r="AP336"/>
  <c r="AF336" s="1"/>
  <c r="AD336"/>
  <c r="AB336"/>
  <c r="BY336" s="1"/>
  <c r="BX327"/>
  <c r="AP327"/>
  <c r="K328" s="1"/>
  <c r="K319"/>
  <c r="BX318"/>
  <c r="AP318"/>
  <c r="AD310"/>
  <c r="HV309"/>
  <c r="BY309"/>
  <c r="AP309"/>
  <c r="AD309"/>
  <c r="AB309"/>
  <c r="AL299"/>
  <c r="HY298" s="1"/>
  <c r="AD299"/>
  <c r="K299"/>
  <c r="IO298"/>
  <c r="IM298"/>
  <c r="IK298"/>
  <c r="II298"/>
  <c r="IG298"/>
  <c r="IE298"/>
  <c r="IC298"/>
  <c r="IA298"/>
  <c r="HW298"/>
  <c r="AP298"/>
  <c r="AF298"/>
  <c r="AD298"/>
  <c r="AB298"/>
  <c r="AL288"/>
  <c r="AD288"/>
  <c r="HU287"/>
  <c r="AP287"/>
  <c r="K288" s="1"/>
  <c r="AF287"/>
  <c r="AD287"/>
  <c r="AB287"/>
  <c r="AL285"/>
  <c r="AD285"/>
  <c r="AP284"/>
  <c r="K285" s="1"/>
  <c r="AF284"/>
  <c r="AD284"/>
  <c r="AB284"/>
  <c r="HU284" s="1"/>
  <c r="AL272"/>
  <c r="IO271" s="1"/>
  <c r="AD272"/>
  <c r="IP271"/>
  <c r="IN271"/>
  <c r="IL271"/>
  <c r="IJ271"/>
  <c r="IH271"/>
  <c r="IG271"/>
  <c r="IF271"/>
  <c r="ID271"/>
  <c r="IB271"/>
  <c r="HZ271"/>
  <c r="HX271"/>
  <c r="HV271"/>
  <c r="HU271"/>
  <c r="AP271"/>
  <c r="AD271"/>
  <c r="AB271"/>
  <c r="AL261"/>
  <c r="AD261"/>
  <c r="K261"/>
  <c r="AP260"/>
  <c r="AF260"/>
  <c r="AD260"/>
  <c r="AB260"/>
  <c r="AL250"/>
  <c r="IO249" s="1"/>
  <c r="AD250"/>
  <c r="IP249"/>
  <c r="IN249"/>
  <c r="IM249"/>
  <c r="IL249"/>
  <c r="IK249"/>
  <c r="IJ249"/>
  <c r="II249"/>
  <c r="IH249"/>
  <c r="IG249"/>
  <c r="IF249"/>
  <c r="IE249"/>
  <c r="ID249"/>
  <c r="IB249"/>
  <c r="IA249"/>
  <c r="HZ249"/>
  <c r="HY249"/>
  <c r="HX249"/>
  <c r="HW249"/>
  <c r="HV249"/>
  <c r="HU249"/>
  <c r="AP249"/>
  <c r="AD249"/>
  <c r="AB249"/>
  <c r="AL240"/>
  <c r="HW239" s="1"/>
  <c r="AD240"/>
  <c r="K240"/>
  <c r="IC239"/>
  <c r="IA239"/>
  <c r="HY239"/>
  <c r="AP239"/>
  <c r="AF239"/>
  <c r="AD239"/>
  <c r="AB239"/>
  <c r="K231"/>
  <c r="BY230"/>
  <c r="AP230"/>
  <c r="AD222"/>
  <c r="K222"/>
  <c r="I222"/>
  <c r="BY221"/>
  <c r="AP221"/>
  <c r="AD221"/>
  <c r="AB221"/>
  <c r="HV221" s="1"/>
  <c r="BY220"/>
  <c r="BY213"/>
  <c r="BY212"/>
  <c r="BY211"/>
  <c r="BY210"/>
  <c r="AD210"/>
  <c r="K210"/>
  <c r="I210"/>
  <c r="BY209"/>
  <c r="AP209"/>
  <c r="AF209"/>
  <c r="AD209"/>
  <c r="AB209"/>
  <c r="BY207"/>
  <c r="BY206"/>
  <c r="AD206"/>
  <c r="K206"/>
  <c r="I206"/>
  <c r="BY205"/>
  <c r="AP205"/>
  <c r="AF205"/>
  <c r="AD205"/>
  <c r="AB205"/>
  <c r="BY203"/>
  <c r="K203"/>
  <c r="I203"/>
  <c r="BY202"/>
  <c r="AP202"/>
  <c r="AD194"/>
  <c r="K194"/>
  <c r="BX193"/>
  <c r="AP193"/>
  <c r="AF193"/>
  <c r="AD193"/>
  <c r="AB193"/>
  <c r="AD190"/>
  <c r="AP189"/>
  <c r="AD189"/>
  <c r="AB189"/>
  <c r="BX189" s="1"/>
  <c r="AD187"/>
  <c r="BX186"/>
  <c r="AP186"/>
  <c r="K187" s="1"/>
  <c r="AF186"/>
  <c r="AD186"/>
  <c r="AB186"/>
  <c r="AD177"/>
  <c r="K177"/>
  <c r="AP176"/>
  <c r="AF176"/>
  <c r="AD176"/>
  <c r="AB176"/>
  <c r="I174"/>
  <c r="IP169"/>
  <c r="HT169"/>
  <c r="HS169"/>
  <c r="HR169"/>
  <c r="HQ169"/>
  <c r="HP169"/>
  <c r="HO169"/>
  <c r="HN169"/>
  <c r="HM169"/>
  <c r="HL169"/>
  <c r="AP169"/>
  <c r="AR162"/>
  <c r="AO162"/>
  <c r="AM162"/>
  <c r="AK162"/>
  <c r="K162"/>
  <c r="G162"/>
  <c r="F162"/>
  <c r="E162"/>
  <c r="B162"/>
  <c r="AL161"/>
  <c r="AJ161"/>
  <c r="AH161"/>
  <c r="F161"/>
  <c r="AR160"/>
  <c r="AM160"/>
  <c r="AO160" s="1"/>
  <c r="AO161" s="1"/>
  <c r="AL160"/>
  <c r="AG159"/>
  <c r="HB157" s="1"/>
  <c r="AF159"/>
  <c r="B159"/>
  <c r="D158"/>
  <c r="AN159" s="1"/>
  <c r="KB157"/>
  <c r="JT157"/>
  <c r="JO157"/>
  <c r="JN157"/>
  <c r="JM157"/>
  <c r="JL157"/>
  <c r="JK157"/>
  <c r="JJ157"/>
  <c r="JI157"/>
  <c r="JH157"/>
  <c r="JG157"/>
  <c r="JF157"/>
  <c r="JE157"/>
  <c r="JD157"/>
  <c r="JC157"/>
  <c r="JB157"/>
  <c r="JA157"/>
  <c r="IZ157"/>
  <c r="IY157"/>
  <c r="IX157"/>
  <c r="IW157"/>
  <c r="IV157"/>
  <c r="IU157"/>
  <c r="IT157"/>
  <c r="IS157"/>
  <c r="IR157"/>
  <c r="IQ157"/>
  <c r="IH157"/>
  <c r="HV157"/>
  <c r="HC157"/>
  <c r="HA157"/>
  <c r="GZ157"/>
  <c r="GY157"/>
  <c r="GX157"/>
  <c r="GW157"/>
  <c r="GV157"/>
  <c r="GU157"/>
  <c r="GS157"/>
  <c r="GQ157"/>
  <c r="GO157"/>
  <c r="GN157"/>
  <c r="GM157"/>
  <c r="GL157"/>
  <c r="GK157"/>
  <c r="GJ157"/>
  <c r="GI157"/>
  <c r="GG157"/>
  <c r="GE157"/>
  <c r="GC157"/>
  <c r="GB157"/>
  <c r="GA157"/>
  <c r="FZ157"/>
  <c r="FY157"/>
  <c r="FX157"/>
  <c r="FW157"/>
  <c r="FU157"/>
  <c r="FS157"/>
  <c r="FQ157"/>
  <c r="FP157"/>
  <c r="FO157"/>
  <c r="FN157"/>
  <c r="FM157"/>
  <c r="FL157"/>
  <c r="FK157"/>
  <c r="FI157"/>
  <c r="FG157"/>
  <c r="FE157"/>
  <c r="FD157"/>
  <c r="FC157"/>
  <c r="FB157"/>
  <c r="FA157"/>
  <c r="EZ157"/>
  <c r="EY157"/>
  <c r="EX157"/>
  <c r="EW157"/>
  <c r="EV157"/>
  <c r="EU157"/>
  <c r="ES157"/>
  <c r="ER157"/>
  <c r="EQ157"/>
  <c r="EP157"/>
  <c r="EO157"/>
  <c r="EN157"/>
  <c r="EM157"/>
  <c r="EL157"/>
  <c r="EK157"/>
  <c r="EJ157"/>
  <c r="EI157"/>
  <c r="EG157"/>
  <c r="EF157"/>
  <c r="EE157"/>
  <c r="ED157"/>
  <c r="EC157"/>
  <c r="EB157"/>
  <c r="EA157"/>
  <c r="DZ157"/>
  <c r="DY157"/>
  <c r="DX157"/>
  <c r="DW157"/>
  <c r="DU157"/>
  <c r="DT157"/>
  <c r="DS157"/>
  <c r="DR157"/>
  <c r="DQ157"/>
  <c r="DP157"/>
  <c r="DO157"/>
  <c r="DK157"/>
  <c r="DI157"/>
  <c r="DG157"/>
  <c r="DE157"/>
  <c r="DC157"/>
  <c r="DA157"/>
  <c r="CY157"/>
  <c r="CW157"/>
  <c r="CI157"/>
  <c r="CG157"/>
  <c r="CE157"/>
  <c r="CC157"/>
  <c r="CA157"/>
  <c r="BY157"/>
  <c r="BW157"/>
  <c r="BV157"/>
  <c r="BU157"/>
  <c r="BT157"/>
  <c r="BS157"/>
  <c r="BR157"/>
  <c r="BQ157"/>
  <c r="BP157"/>
  <c r="BO157"/>
  <c r="BM157"/>
  <c r="BN157" s="1"/>
  <c r="BK157"/>
  <c r="BI157"/>
  <c r="AY157"/>
  <c r="AX157"/>
  <c r="AW157"/>
  <c r="AV157"/>
  <c r="AU157"/>
  <c r="AT157"/>
  <c r="P157"/>
  <c r="N157"/>
  <c r="M157" s="1"/>
  <c r="L157"/>
  <c r="I157"/>
  <c r="H157"/>
  <c r="D155"/>
  <c r="AR153"/>
  <c r="AL153"/>
  <c r="AR150" s="1"/>
  <c r="AK153"/>
  <c r="K153"/>
  <c r="DH148" s="1"/>
  <c r="G153"/>
  <c r="E153"/>
  <c r="F153" s="1"/>
  <c r="I148" s="1"/>
  <c r="J148" s="1"/>
  <c r="B153"/>
  <c r="AL152"/>
  <c r="AJ152"/>
  <c r="AH152"/>
  <c r="AM150" s="1"/>
  <c r="AM151"/>
  <c r="AL151"/>
  <c r="AR151" s="1"/>
  <c r="AG150"/>
  <c r="GQ148" s="1"/>
  <c r="AF150"/>
  <c r="KG148" s="1"/>
  <c r="B150"/>
  <c r="AN149"/>
  <c r="D149"/>
  <c r="KL148"/>
  <c r="KK148"/>
  <c r="KJ148"/>
  <c r="KH148"/>
  <c r="KF148"/>
  <c r="KD148"/>
  <c r="KB148"/>
  <c r="JZ148"/>
  <c r="JY148"/>
  <c r="JX148"/>
  <c r="JV148"/>
  <c r="JT148"/>
  <c r="JQ148"/>
  <c r="JN148"/>
  <c r="JD148"/>
  <c r="JB148"/>
  <c r="IZ148"/>
  <c r="IV148"/>
  <c r="IT148"/>
  <c r="IO148"/>
  <c r="IM148"/>
  <c r="IL148"/>
  <c r="IK148"/>
  <c r="II148"/>
  <c r="IG148"/>
  <c r="IE148"/>
  <c r="IC148"/>
  <c r="IA148"/>
  <c r="HZ148"/>
  <c r="HY148"/>
  <c r="HW148"/>
  <c r="GS148"/>
  <c r="GO148"/>
  <c r="GK148"/>
  <c r="GI148"/>
  <c r="GG148"/>
  <c r="GE148"/>
  <c r="GC148"/>
  <c r="GA148"/>
  <c r="FY148"/>
  <c r="FW148"/>
  <c r="FU148"/>
  <c r="FQ148"/>
  <c r="FM148"/>
  <c r="FK148"/>
  <c r="FI148"/>
  <c r="FG148"/>
  <c r="FE148"/>
  <c r="FC148"/>
  <c r="FA148"/>
  <c r="EY148"/>
  <c r="EW148"/>
  <c r="ES148"/>
  <c r="EO148"/>
  <c r="EM148"/>
  <c r="EK148"/>
  <c r="EI148"/>
  <c r="EG148"/>
  <c r="EE148"/>
  <c r="EC148"/>
  <c r="EA148"/>
  <c r="DY148"/>
  <c r="DU148"/>
  <c r="DQ148"/>
  <c r="DO148"/>
  <c r="DL148"/>
  <c r="DK148"/>
  <c r="DJ148"/>
  <c r="DI148"/>
  <c r="DG148"/>
  <c r="DF148"/>
  <c r="DE148"/>
  <c r="DD148"/>
  <c r="DC148"/>
  <c r="DB148"/>
  <c r="DA148"/>
  <c r="CZ148"/>
  <c r="CY148"/>
  <c r="CX148"/>
  <c r="CW148"/>
  <c r="CU148"/>
  <c r="CT148"/>
  <c r="CS148"/>
  <c r="CQ148"/>
  <c r="CO148"/>
  <c r="CM148"/>
  <c r="CK148"/>
  <c r="CI148"/>
  <c r="CH148"/>
  <c r="CG148"/>
  <c r="CE148"/>
  <c r="CC148"/>
  <c r="CA148"/>
  <c r="BY148"/>
  <c r="BW148"/>
  <c r="BU148"/>
  <c r="BS148"/>
  <c r="BQ148"/>
  <c r="BO148"/>
  <c r="BM148"/>
  <c r="BN148" s="1"/>
  <c r="BK148"/>
  <c r="BL148" s="1"/>
  <c r="BJ148"/>
  <c r="BI148"/>
  <c r="BH148"/>
  <c r="BG148"/>
  <c r="BF148"/>
  <c r="BE148"/>
  <c r="BD148"/>
  <c r="BC148"/>
  <c r="BB148"/>
  <c r="BA148"/>
  <c r="AY148"/>
  <c r="AW148"/>
  <c r="AN148"/>
  <c r="AE148"/>
  <c r="AD148"/>
  <c r="P148"/>
  <c r="AD149" s="1"/>
  <c r="O148"/>
  <c r="N148"/>
  <c r="M148"/>
  <c r="L148"/>
  <c r="H148"/>
  <c r="AR144"/>
  <c r="AK144"/>
  <c r="BH139" s="1"/>
  <c r="K144"/>
  <c r="DH139" s="1"/>
  <c r="G144"/>
  <c r="E144"/>
  <c r="F144" s="1"/>
  <c r="B144"/>
  <c r="AR143"/>
  <c r="AL143"/>
  <c r="AJ143"/>
  <c r="BW139" s="1"/>
  <c r="AH143"/>
  <c r="D144" s="1"/>
  <c r="A143"/>
  <c r="AR142"/>
  <c r="AM142"/>
  <c r="AL142"/>
  <c r="D142"/>
  <c r="AM141"/>
  <c r="AG141"/>
  <c r="AF141"/>
  <c r="KE139" s="1"/>
  <c r="B141"/>
  <c r="A141"/>
  <c r="AD140"/>
  <c r="D140"/>
  <c r="D143" s="1"/>
  <c r="KM139"/>
  <c r="KK139"/>
  <c r="KC139"/>
  <c r="KA139"/>
  <c r="JY139"/>
  <c r="JW139"/>
  <c r="JU139"/>
  <c r="JS139"/>
  <c r="JQ139"/>
  <c r="JN139"/>
  <c r="JL139"/>
  <c r="JB139"/>
  <c r="IZ139"/>
  <c r="IX139"/>
  <c r="IV139"/>
  <c r="IT139"/>
  <c r="IO139"/>
  <c r="IM139"/>
  <c r="IE139"/>
  <c r="IC139"/>
  <c r="IA139"/>
  <c r="HY139"/>
  <c r="HW139"/>
  <c r="GT139"/>
  <c r="GS139"/>
  <c r="GR139"/>
  <c r="GQ139"/>
  <c r="GP139"/>
  <c r="GO139"/>
  <c r="GN139"/>
  <c r="GM139"/>
  <c r="GL139"/>
  <c r="GK139"/>
  <c r="GJ139"/>
  <c r="GI139"/>
  <c r="GH139"/>
  <c r="GG139"/>
  <c r="GF139"/>
  <c r="GE139"/>
  <c r="GD139"/>
  <c r="GC139"/>
  <c r="GB139"/>
  <c r="GA139"/>
  <c r="FZ139"/>
  <c r="FY139"/>
  <c r="FX139"/>
  <c r="FW139"/>
  <c r="FV139"/>
  <c r="FU139"/>
  <c r="FT139"/>
  <c r="FS139"/>
  <c r="FR139"/>
  <c r="FQ139"/>
  <c r="FP139"/>
  <c r="FO139"/>
  <c r="FN139"/>
  <c r="FM139"/>
  <c r="FL139"/>
  <c r="FK139"/>
  <c r="FJ139"/>
  <c r="FI139"/>
  <c r="FH139"/>
  <c r="FG139"/>
  <c r="FF139"/>
  <c r="FE139"/>
  <c r="FD139"/>
  <c r="FC139"/>
  <c r="FB139"/>
  <c r="FA139"/>
  <c r="EZ139"/>
  <c r="EY139"/>
  <c r="EX139"/>
  <c r="EW139"/>
  <c r="EV139"/>
  <c r="EU139"/>
  <c r="ET139"/>
  <c r="ES139"/>
  <c r="ER139"/>
  <c r="EQ139"/>
  <c r="EP139"/>
  <c r="EO139"/>
  <c r="EN139"/>
  <c r="EM139"/>
  <c r="EL139"/>
  <c r="EK139"/>
  <c r="EJ139"/>
  <c r="EI139"/>
  <c r="EH139"/>
  <c r="EG139"/>
  <c r="EF139"/>
  <c r="EE139"/>
  <c r="ED139"/>
  <c r="EC139"/>
  <c r="EB139"/>
  <c r="EA139"/>
  <c r="DZ139"/>
  <c r="DY139"/>
  <c r="DX139"/>
  <c r="DW139"/>
  <c r="DV139"/>
  <c r="DU139"/>
  <c r="DT139"/>
  <c r="DS139"/>
  <c r="DR139"/>
  <c r="DQ139"/>
  <c r="DP139"/>
  <c r="DO139"/>
  <c r="DL139"/>
  <c r="DK139"/>
  <c r="DJ139"/>
  <c r="DI139"/>
  <c r="DG139"/>
  <c r="DF139"/>
  <c r="DE139"/>
  <c r="DD139"/>
  <c r="DC139"/>
  <c r="DB139"/>
  <c r="DA139"/>
  <c r="CZ139"/>
  <c r="CY139"/>
  <c r="CX139"/>
  <c r="CW139"/>
  <c r="CU139"/>
  <c r="CT139"/>
  <c r="CS139"/>
  <c r="CQ139"/>
  <c r="CO139"/>
  <c r="CM139"/>
  <c r="CK139"/>
  <c r="CI139"/>
  <c r="CG139"/>
  <c r="CE139"/>
  <c r="CC139"/>
  <c r="CA139"/>
  <c r="BY139"/>
  <c r="BU139"/>
  <c r="BS139"/>
  <c r="BQ139"/>
  <c r="BO139"/>
  <c r="BM139"/>
  <c r="BN139" s="1"/>
  <c r="BK139"/>
  <c r="BJ139"/>
  <c r="BI139"/>
  <c r="BG139"/>
  <c r="BE139"/>
  <c r="AU139"/>
  <c r="AD139"/>
  <c r="AE139" s="1"/>
  <c r="P139"/>
  <c r="N139"/>
  <c r="M139"/>
  <c r="L139"/>
  <c r="H139"/>
  <c r="AR136"/>
  <c r="AK136"/>
  <c r="BH131" s="1"/>
  <c r="K136"/>
  <c r="DD131" s="1"/>
  <c r="G136"/>
  <c r="E136"/>
  <c r="B136"/>
  <c r="AM135"/>
  <c r="AL135"/>
  <c r="AJ135"/>
  <c r="AH135"/>
  <c r="D136" s="1"/>
  <c r="A135"/>
  <c r="AR134"/>
  <c r="AM134"/>
  <c r="AL134"/>
  <c r="D134"/>
  <c r="AM133"/>
  <c r="AG133"/>
  <c r="GZ131" s="1"/>
  <c r="AF133"/>
  <c r="B133"/>
  <c r="A133"/>
  <c r="AN132"/>
  <c r="D132"/>
  <c r="D135" s="1"/>
  <c r="KL131"/>
  <c r="KJ131"/>
  <c r="KH131"/>
  <c r="KF131"/>
  <c r="KD131"/>
  <c r="KB131"/>
  <c r="JX131"/>
  <c r="JV131"/>
  <c r="JT131"/>
  <c r="JR131"/>
  <c r="JO131"/>
  <c r="JM131"/>
  <c r="JK131"/>
  <c r="JI131"/>
  <c r="JG131"/>
  <c r="IW131"/>
  <c r="IQ131"/>
  <c r="IN131"/>
  <c r="IL131"/>
  <c r="IJ131"/>
  <c r="IH131"/>
  <c r="IF131"/>
  <c r="ID131"/>
  <c r="HZ131"/>
  <c r="HX131"/>
  <c r="HV131"/>
  <c r="HI131"/>
  <c r="HG131"/>
  <c r="HF131"/>
  <c r="HE131"/>
  <c r="HD131"/>
  <c r="HC131"/>
  <c r="HA131"/>
  <c r="GY131"/>
  <c r="GW131"/>
  <c r="GU131"/>
  <c r="GT131"/>
  <c r="GS131"/>
  <c r="GR131"/>
  <c r="GQ131"/>
  <c r="GO131"/>
  <c r="GM131"/>
  <c r="GK131"/>
  <c r="GI131"/>
  <c r="GH131"/>
  <c r="GG131"/>
  <c r="GF131"/>
  <c r="GE131"/>
  <c r="GC131"/>
  <c r="GA131"/>
  <c r="FY131"/>
  <c r="FW131"/>
  <c r="FV131"/>
  <c r="FU131"/>
  <c r="FT131"/>
  <c r="FS131"/>
  <c r="FQ131"/>
  <c r="FO131"/>
  <c r="FM131"/>
  <c r="FK131"/>
  <c r="FJ131"/>
  <c r="FI131"/>
  <c r="FH131"/>
  <c r="FG131"/>
  <c r="FE131"/>
  <c r="FC131"/>
  <c r="FA131"/>
  <c r="EY131"/>
  <c r="EX131"/>
  <c r="EW131"/>
  <c r="EV131"/>
  <c r="EU131"/>
  <c r="ES131"/>
  <c r="EQ131"/>
  <c r="EO131"/>
  <c r="EM131"/>
  <c r="EL131"/>
  <c r="EK131"/>
  <c r="EJ131"/>
  <c r="EI131"/>
  <c r="EG131"/>
  <c r="EE131"/>
  <c r="EC131"/>
  <c r="EA131"/>
  <c r="DZ131"/>
  <c r="DY131"/>
  <c r="DX131"/>
  <c r="DW131"/>
  <c r="DU131"/>
  <c r="DS131"/>
  <c r="DQ131"/>
  <c r="DO131"/>
  <c r="DN131"/>
  <c r="DM131"/>
  <c r="DM169" s="1"/>
  <c r="DL131"/>
  <c r="DK131"/>
  <c r="DJ131"/>
  <c r="DI131"/>
  <c r="DH131"/>
  <c r="DG131"/>
  <c r="DE131"/>
  <c r="DC131"/>
  <c r="DB131"/>
  <c r="DA131"/>
  <c r="CZ131"/>
  <c r="CY131"/>
  <c r="CX131"/>
  <c r="CW131"/>
  <c r="CV131"/>
  <c r="CU131"/>
  <c r="CS131"/>
  <c r="CQ131"/>
  <c r="CO131"/>
  <c r="CM131"/>
  <c r="CK131"/>
  <c r="CI131"/>
  <c r="CG131"/>
  <c r="CE131"/>
  <c r="CA131"/>
  <c r="BY131"/>
  <c r="BW131"/>
  <c r="BU131"/>
  <c r="BS131"/>
  <c r="BQ131"/>
  <c r="BO131"/>
  <c r="BM131"/>
  <c r="BN131" s="1"/>
  <c r="BK131"/>
  <c r="BI131"/>
  <c r="BG131"/>
  <c r="BE131"/>
  <c r="BC131"/>
  <c r="BA131"/>
  <c r="AY131"/>
  <c r="AW131"/>
  <c r="P131"/>
  <c r="N131"/>
  <c r="M131" s="1"/>
  <c r="L131"/>
  <c r="H131"/>
  <c r="AR127"/>
  <c r="AK127"/>
  <c r="K127"/>
  <c r="G127"/>
  <c r="JJ122" s="1"/>
  <c r="F127"/>
  <c r="I122" s="1"/>
  <c r="J122" s="1"/>
  <c r="E127"/>
  <c r="B127"/>
  <c r="AR126"/>
  <c r="AM126"/>
  <c r="AL126"/>
  <c r="AJ126"/>
  <c r="BV122" s="1"/>
  <c r="AH126"/>
  <c r="AM124" s="1"/>
  <c r="F126"/>
  <c r="AN125"/>
  <c r="AM125"/>
  <c r="AL125"/>
  <c r="AN124"/>
  <c r="AG124"/>
  <c r="GT122" s="1"/>
  <c r="AF124"/>
  <c r="KG122" s="1"/>
  <c r="B124"/>
  <c r="AN123"/>
  <c r="AD123"/>
  <c r="D123"/>
  <c r="KM122"/>
  <c r="KL122"/>
  <c r="KK122"/>
  <c r="KJ122"/>
  <c r="KH122"/>
  <c r="KF122"/>
  <c r="KE122"/>
  <c r="KD122"/>
  <c r="KC122"/>
  <c r="KB122"/>
  <c r="KA122"/>
  <c r="JZ122"/>
  <c r="JY122"/>
  <c r="JX122"/>
  <c r="JV122"/>
  <c r="JT122"/>
  <c r="JO122"/>
  <c r="JN122"/>
  <c r="JM122"/>
  <c r="JK122"/>
  <c r="JI122"/>
  <c r="JG122"/>
  <c r="JE122"/>
  <c r="JD122"/>
  <c r="JC122"/>
  <c r="JB122"/>
  <c r="JA122"/>
  <c r="IY122"/>
  <c r="IW122"/>
  <c r="IU122"/>
  <c r="IS122"/>
  <c r="IR122"/>
  <c r="IQ122"/>
  <c r="IO122"/>
  <c r="IN122"/>
  <c r="IM122"/>
  <c r="IL122"/>
  <c r="IK122"/>
  <c r="IJ122"/>
  <c r="IH122"/>
  <c r="IF122"/>
  <c r="IE122"/>
  <c r="ID122"/>
  <c r="IC122"/>
  <c r="IB122"/>
  <c r="IA122"/>
  <c r="HZ122"/>
  <c r="HY122"/>
  <c r="HX122"/>
  <c r="HV122"/>
  <c r="HI122"/>
  <c r="HG122"/>
  <c r="GR122"/>
  <c r="GP122"/>
  <c r="GN122"/>
  <c r="FX122"/>
  <c r="FV122"/>
  <c r="FR122"/>
  <c r="FN122"/>
  <c r="FF122"/>
  <c r="EV122"/>
  <c r="EU122"/>
  <c r="EI122"/>
  <c r="EF122"/>
  <c r="ED122"/>
  <c r="DL122"/>
  <c r="DJ122"/>
  <c r="DI122"/>
  <c r="DH122"/>
  <c r="DF122"/>
  <c r="DD122"/>
  <c r="DB122"/>
  <c r="CZ122"/>
  <c r="CX122"/>
  <c r="CW122"/>
  <c r="CV122"/>
  <c r="CT122"/>
  <c r="CR122"/>
  <c r="CP122"/>
  <c r="CN122"/>
  <c r="CM122"/>
  <c r="CL122"/>
  <c r="CK122"/>
  <c r="CJ122"/>
  <c r="CI122"/>
  <c r="CH122"/>
  <c r="CG122"/>
  <c r="CF122"/>
  <c r="CD122"/>
  <c r="CB122"/>
  <c r="CA122"/>
  <c r="BZ122"/>
  <c r="BY122"/>
  <c r="BX122"/>
  <c r="BT122"/>
  <c r="BJ122"/>
  <c r="BH122"/>
  <c r="BF122"/>
  <c r="BE122"/>
  <c r="BD122"/>
  <c r="BC122"/>
  <c r="BB122"/>
  <c r="BA122"/>
  <c r="AT122"/>
  <c r="P122"/>
  <c r="AD122" s="1"/>
  <c r="AE122" s="1"/>
  <c r="O122"/>
  <c r="N122"/>
  <c r="M122"/>
  <c r="L122"/>
  <c r="H122"/>
  <c r="AR119"/>
  <c r="AK119"/>
  <c r="K119"/>
  <c r="G119"/>
  <c r="JB114" s="1"/>
  <c r="E119"/>
  <c r="B119"/>
  <c r="AR118"/>
  <c r="AL118"/>
  <c r="AJ118"/>
  <c r="AH118"/>
  <c r="D117" s="1"/>
  <c r="AR117"/>
  <c r="AM117"/>
  <c r="AO117" s="1"/>
  <c r="AL117"/>
  <c r="AG116"/>
  <c r="GA114" s="1"/>
  <c r="AF116"/>
  <c r="KM114" s="1"/>
  <c r="B116"/>
  <c r="BA114" s="1"/>
  <c r="AN115"/>
  <c r="AD115"/>
  <c r="D115"/>
  <c r="AN116" s="1"/>
  <c r="AN117" s="1"/>
  <c r="AN118" s="1"/>
  <c r="KE114"/>
  <c r="KC114"/>
  <c r="KA114"/>
  <c r="JZ114"/>
  <c r="JY114"/>
  <c r="JW114"/>
  <c r="JU114"/>
  <c r="JQ114"/>
  <c r="JH114"/>
  <c r="IZ114"/>
  <c r="IY114"/>
  <c r="IX114"/>
  <c r="IV114"/>
  <c r="IL114"/>
  <c r="IK114"/>
  <c r="II114"/>
  <c r="IG114"/>
  <c r="IE114"/>
  <c r="GS114"/>
  <c r="GQ114"/>
  <c r="GO114"/>
  <c r="GN114"/>
  <c r="GM114"/>
  <c r="GK114"/>
  <c r="GI114"/>
  <c r="GG114"/>
  <c r="GE114"/>
  <c r="GC114"/>
  <c r="FY114"/>
  <c r="FW114"/>
  <c r="FU114"/>
  <c r="FS114"/>
  <c r="FQ114"/>
  <c r="FP114"/>
  <c r="FO114"/>
  <c r="FM114"/>
  <c r="FK114"/>
  <c r="FI114"/>
  <c r="FD114"/>
  <c r="FC114"/>
  <c r="FA114"/>
  <c r="EY114"/>
  <c r="EW114"/>
  <c r="EU114"/>
  <c r="ES114"/>
  <c r="ER114"/>
  <c r="EQ114"/>
  <c r="EO114"/>
  <c r="EI114"/>
  <c r="EG114"/>
  <c r="EF114"/>
  <c r="EE114"/>
  <c r="EC114"/>
  <c r="EA114"/>
  <c r="DY114"/>
  <c r="DW114"/>
  <c r="DU114"/>
  <c r="DT114"/>
  <c r="DO114"/>
  <c r="DL114"/>
  <c r="DK114"/>
  <c r="DJ114"/>
  <c r="DI114"/>
  <c r="DH114"/>
  <c r="DG114"/>
  <c r="DF114"/>
  <c r="DE114"/>
  <c r="DD114"/>
  <c r="DC114"/>
  <c r="DB114"/>
  <c r="DA114"/>
  <c r="CZ114"/>
  <c r="CY114"/>
  <c r="CX114"/>
  <c r="CW114"/>
  <c r="CV114"/>
  <c r="CU114"/>
  <c r="CT114"/>
  <c r="CS114"/>
  <c r="CI114"/>
  <c r="CH114"/>
  <c r="CG114"/>
  <c r="CE114"/>
  <c r="CC114"/>
  <c r="CA114"/>
  <c r="BY114"/>
  <c r="BW114"/>
  <c r="BV114"/>
  <c r="BU114"/>
  <c r="BT114"/>
  <c r="BS114"/>
  <c r="BR114"/>
  <c r="BQ114"/>
  <c r="BP114"/>
  <c r="BO114"/>
  <c r="BM114"/>
  <c r="BN114" s="1"/>
  <c r="BK114"/>
  <c r="BL114" s="1"/>
  <c r="BJ114"/>
  <c r="BI114"/>
  <c r="BH114"/>
  <c r="BG114"/>
  <c r="AZ114"/>
  <c r="AY114"/>
  <c r="AX114"/>
  <c r="AW114"/>
  <c r="AU114"/>
  <c r="P114"/>
  <c r="AD114" s="1"/>
  <c r="AE114" s="1"/>
  <c r="N114"/>
  <c r="M114" s="1"/>
  <c r="L114"/>
  <c r="H114"/>
  <c r="AR110"/>
  <c r="AN110"/>
  <c r="AK110"/>
  <c r="K110"/>
  <c r="DK105" s="1"/>
  <c r="G110"/>
  <c r="JK105" s="1"/>
  <c r="E110"/>
  <c r="F110" s="1"/>
  <c r="I105" s="1"/>
  <c r="J105" s="1"/>
  <c r="B110"/>
  <c r="AM109"/>
  <c r="AL109"/>
  <c r="AJ109"/>
  <c r="AH109"/>
  <c r="D110" s="1"/>
  <c r="A109"/>
  <c r="AR108"/>
  <c r="AM108"/>
  <c r="AL108"/>
  <c r="AM107"/>
  <c r="AG107"/>
  <c r="GK105" s="1"/>
  <c r="AF107"/>
  <c r="KD105" s="1"/>
  <c r="B107"/>
  <c r="A107"/>
  <c r="AN106"/>
  <c r="D106"/>
  <c r="D109" s="1"/>
  <c r="KJ105"/>
  <c r="KH105"/>
  <c r="KF105"/>
  <c r="KB105"/>
  <c r="JZ105"/>
  <c r="JR105"/>
  <c r="JO105"/>
  <c r="JI105"/>
  <c r="JG105"/>
  <c r="JE105"/>
  <c r="IW105"/>
  <c r="IU105"/>
  <c r="IS105"/>
  <c r="IQ105"/>
  <c r="IN105"/>
  <c r="IM105"/>
  <c r="HX105"/>
  <c r="HV105"/>
  <c r="GT105"/>
  <c r="GR105"/>
  <c r="GQ105"/>
  <c r="GP105"/>
  <c r="GO105"/>
  <c r="GN105"/>
  <c r="GL105"/>
  <c r="GJ105"/>
  <c r="GH105"/>
  <c r="GF105"/>
  <c r="GE105"/>
  <c r="GD105"/>
  <c r="GC105"/>
  <c r="GB105"/>
  <c r="FZ105"/>
  <c r="FX105"/>
  <c r="FV105"/>
  <c r="FT105"/>
  <c r="FS105"/>
  <c r="FR105"/>
  <c r="FQ105"/>
  <c r="FP105"/>
  <c r="FN105"/>
  <c r="FL105"/>
  <c r="FJ105"/>
  <c r="FH105"/>
  <c r="FG105"/>
  <c r="FF105"/>
  <c r="FE105"/>
  <c r="FD105"/>
  <c r="FB105"/>
  <c r="EZ105"/>
  <c r="EX105"/>
  <c r="EV105"/>
  <c r="EU105"/>
  <c r="ET105"/>
  <c r="ES105"/>
  <c r="ER105"/>
  <c r="EP105"/>
  <c r="EN105"/>
  <c r="EL105"/>
  <c r="EJ105"/>
  <c r="EI105"/>
  <c r="EH105"/>
  <c r="EG105"/>
  <c r="EF105"/>
  <c r="ED105"/>
  <c r="EB105"/>
  <c r="DZ105"/>
  <c r="DX105"/>
  <c r="DW105"/>
  <c r="DV105"/>
  <c r="DU105"/>
  <c r="DT105"/>
  <c r="DR105"/>
  <c r="DP105"/>
  <c r="DL105"/>
  <c r="DJ105"/>
  <c r="DI105"/>
  <c r="DH105"/>
  <c r="DG105"/>
  <c r="DF105"/>
  <c r="DE105"/>
  <c r="DD105"/>
  <c r="DC105"/>
  <c r="DB105"/>
  <c r="CZ105"/>
  <c r="CX105"/>
  <c r="CW105"/>
  <c r="CV105"/>
  <c r="CU105"/>
  <c r="CT105"/>
  <c r="CS105"/>
  <c r="CR105"/>
  <c r="CP105"/>
  <c r="CN105"/>
  <c r="CH105"/>
  <c r="CF105"/>
  <c r="BY105"/>
  <c r="BX105"/>
  <c r="BW105"/>
  <c r="BM105"/>
  <c r="BN105" s="1"/>
  <c r="BK105"/>
  <c r="BJ105"/>
  <c r="BH105"/>
  <c r="AY105"/>
  <c r="AX105"/>
  <c r="AV105"/>
  <c r="AT105"/>
  <c r="AN105"/>
  <c r="P105"/>
  <c r="N105"/>
  <c r="M105"/>
  <c r="L105"/>
  <c r="H105"/>
  <c r="AG102"/>
  <c r="AD102"/>
  <c r="AR101"/>
  <c r="AK101"/>
  <c r="K101"/>
  <c r="G101"/>
  <c r="E101"/>
  <c r="B101"/>
  <c r="AR100"/>
  <c r="AL100"/>
  <c r="AJ100"/>
  <c r="AH100"/>
  <c r="AR99"/>
  <c r="AM99"/>
  <c r="AL99"/>
  <c r="AN98"/>
  <c r="AN99" s="1"/>
  <c r="AN100" s="1"/>
  <c r="AG98"/>
  <c r="FY96" s="1"/>
  <c r="AF98"/>
  <c r="B98"/>
  <c r="AN97"/>
  <c r="AD97"/>
  <c r="D97"/>
  <c r="D99" s="1"/>
  <c r="KM96"/>
  <c r="KL96"/>
  <c r="KK96"/>
  <c r="KI96"/>
  <c r="KG96"/>
  <c r="JW96"/>
  <c r="JU96"/>
  <c r="JQ96"/>
  <c r="JN96"/>
  <c r="JM96"/>
  <c r="JL96"/>
  <c r="JK96"/>
  <c r="JJ96"/>
  <c r="JB96"/>
  <c r="JA96"/>
  <c r="IZ96"/>
  <c r="IY96"/>
  <c r="IX96"/>
  <c r="IV96"/>
  <c r="IT96"/>
  <c r="IR96"/>
  <c r="IK96"/>
  <c r="II96"/>
  <c r="IG96"/>
  <c r="IE96"/>
  <c r="IC96"/>
  <c r="IB96"/>
  <c r="GS96"/>
  <c r="GR96"/>
  <c r="GQ96"/>
  <c r="GP96"/>
  <c r="GO96"/>
  <c r="GM96"/>
  <c r="GK96"/>
  <c r="GI96"/>
  <c r="GC96"/>
  <c r="GA96"/>
  <c r="FW96"/>
  <c r="FU96"/>
  <c r="FT96"/>
  <c r="FS96"/>
  <c r="FR96"/>
  <c r="FI96"/>
  <c r="FH96"/>
  <c r="FG96"/>
  <c r="FF96"/>
  <c r="FE96"/>
  <c r="FC96"/>
  <c r="EY96"/>
  <c r="ES96"/>
  <c r="EQ96"/>
  <c r="EO96"/>
  <c r="EM96"/>
  <c r="EK96"/>
  <c r="EJ96"/>
  <c r="EI96"/>
  <c r="EH96"/>
  <c r="DY96"/>
  <c r="DX96"/>
  <c r="DV96"/>
  <c r="DU96"/>
  <c r="DS96"/>
  <c r="DQ96"/>
  <c r="DO96"/>
  <c r="DL96"/>
  <c r="DK96"/>
  <c r="DJ96"/>
  <c r="DI96"/>
  <c r="DH96"/>
  <c r="DG96"/>
  <c r="DF96"/>
  <c r="DE96"/>
  <c r="DD96"/>
  <c r="DC96"/>
  <c r="DB96"/>
  <c r="DA96"/>
  <c r="CZ96"/>
  <c r="CY96"/>
  <c r="CX96"/>
  <c r="CW96"/>
  <c r="CV96"/>
  <c r="CU96"/>
  <c r="CT96"/>
  <c r="CS96"/>
  <c r="CQ96"/>
  <c r="CO96"/>
  <c r="CM96"/>
  <c r="CL96"/>
  <c r="CE96"/>
  <c r="CC96"/>
  <c r="CA96"/>
  <c r="BZ96"/>
  <c r="BY96"/>
  <c r="BX96"/>
  <c r="BW96"/>
  <c r="BV96"/>
  <c r="BU96"/>
  <c r="BT96"/>
  <c r="BS96"/>
  <c r="BR96"/>
  <c r="BQ96"/>
  <c r="BP96"/>
  <c r="BO96"/>
  <c r="BM96"/>
  <c r="BN96" s="1"/>
  <c r="BL96"/>
  <c r="BK96"/>
  <c r="BJ96"/>
  <c r="BI96"/>
  <c r="BH96"/>
  <c r="BG96"/>
  <c r="BC96"/>
  <c r="BB96"/>
  <c r="BA96"/>
  <c r="AZ96"/>
  <c r="AY96"/>
  <c r="AW96"/>
  <c r="AU96"/>
  <c r="AD96"/>
  <c r="AE96" s="1"/>
  <c r="P96"/>
  <c r="N96"/>
  <c r="M96" s="1"/>
  <c r="L96"/>
  <c r="H96"/>
  <c r="AR92"/>
  <c r="AN92"/>
  <c r="AM92"/>
  <c r="AK92"/>
  <c r="BG87" s="1"/>
  <c r="K92"/>
  <c r="DE87" s="1"/>
  <c r="G92"/>
  <c r="F92"/>
  <c r="E92"/>
  <c r="B92"/>
  <c r="AL91"/>
  <c r="AJ91"/>
  <c r="AH91"/>
  <c r="D92" s="1"/>
  <c r="F91"/>
  <c r="AR90"/>
  <c r="AM90"/>
  <c r="AL90"/>
  <c r="AL92" s="1"/>
  <c r="D90"/>
  <c r="AR89"/>
  <c r="AG89"/>
  <c r="GS87" s="1"/>
  <c r="AF89"/>
  <c r="KF87" s="1"/>
  <c r="B89"/>
  <c r="KE87"/>
  <c r="KC87"/>
  <c r="KA87"/>
  <c r="JY87"/>
  <c r="JX87"/>
  <c r="JS87"/>
  <c r="JQ87"/>
  <c r="JO87"/>
  <c r="JN87"/>
  <c r="JM87"/>
  <c r="JL87"/>
  <c r="JK87"/>
  <c r="JJ87"/>
  <c r="JI87"/>
  <c r="JH87"/>
  <c r="JG87"/>
  <c r="JF87"/>
  <c r="JE87"/>
  <c r="JD87"/>
  <c r="JC87"/>
  <c r="JB87"/>
  <c r="JA87"/>
  <c r="IZ87"/>
  <c r="IY87"/>
  <c r="IX87"/>
  <c r="IW87"/>
  <c r="IV87"/>
  <c r="IU87"/>
  <c r="IT87"/>
  <c r="IS87"/>
  <c r="IR87"/>
  <c r="IQ87"/>
  <c r="IM87"/>
  <c r="IL87"/>
  <c r="IK87"/>
  <c r="IE87"/>
  <c r="IB87"/>
  <c r="IA87"/>
  <c r="HZ87"/>
  <c r="HY87"/>
  <c r="GQ87"/>
  <c r="GP87"/>
  <c r="GO87"/>
  <c r="GN87"/>
  <c r="GM87"/>
  <c r="GL87"/>
  <c r="GK87"/>
  <c r="GJ87"/>
  <c r="GI87"/>
  <c r="GG87"/>
  <c r="GC87"/>
  <c r="GB87"/>
  <c r="GA87"/>
  <c r="FZ87"/>
  <c r="FY87"/>
  <c r="FX87"/>
  <c r="FW87"/>
  <c r="FU87"/>
  <c r="FS87"/>
  <c r="FR87"/>
  <c r="FO87"/>
  <c r="FN87"/>
  <c r="FM87"/>
  <c r="FL87"/>
  <c r="FK87"/>
  <c r="FI87"/>
  <c r="FG87"/>
  <c r="FF87"/>
  <c r="FE87"/>
  <c r="FD87"/>
  <c r="FA87"/>
  <c r="EZ87"/>
  <c r="EY87"/>
  <c r="EW87"/>
  <c r="EU87"/>
  <c r="ET87"/>
  <c r="ES87"/>
  <c r="ER87"/>
  <c r="EQ87"/>
  <c r="EP87"/>
  <c r="EM87"/>
  <c r="EK87"/>
  <c r="EI87"/>
  <c r="EH87"/>
  <c r="EG87"/>
  <c r="EF87"/>
  <c r="EE87"/>
  <c r="ED87"/>
  <c r="EC87"/>
  <c r="EB87"/>
  <c r="DW87"/>
  <c r="DV87"/>
  <c r="DU87"/>
  <c r="DT87"/>
  <c r="DS87"/>
  <c r="DR87"/>
  <c r="DQ87"/>
  <c r="DP87"/>
  <c r="DO87"/>
  <c r="DD87"/>
  <c r="DC87"/>
  <c r="DB87"/>
  <c r="DA87"/>
  <c r="CY87"/>
  <c r="CW87"/>
  <c r="CR87"/>
  <c r="CQ87"/>
  <c r="CP87"/>
  <c r="CJ87"/>
  <c r="CI87"/>
  <c r="CD87"/>
  <c r="CC87"/>
  <c r="CA87"/>
  <c r="BY87"/>
  <c r="BX87"/>
  <c r="BW87"/>
  <c r="BV87"/>
  <c r="BU87"/>
  <c r="BT87"/>
  <c r="BS87"/>
  <c r="BR87"/>
  <c r="BQ87"/>
  <c r="BP87"/>
  <c r="BO87"/>
  <c r="BM87"/>
  <c r="BN87" s="1"/>
  <c r="BK87"/>
  <c r="BL87" s="1"/>
  <c r="BJ87"/>
  <c r="BI87"/>
  <c r="AY87"/>
  <c r="AX87"/>
  <c r="AW87"/>
  <c r="AV87"/>
  <c r="AU87"/>
  <c r="AT87"/>
  <c r="AD87"/>
  <c r="AE87" s="1"/>
  <c r="P87"/>
  <c r="AD88" s="1"/>
  <c r="N87"/>
  <c r="M87"/>
  <c r="L87"/>
  <c r="I87"/>
  <c r="O87" s="1"/>
  <c r="H87"/>
  <c r="AR84"/>
  <c r="AK84"/>
  <c r="K84"/>
  <c r="CZ79" s="1"/>
  <c r="G84"/>
  <c r="JB79" s="1"/>
  <c r="F84"/>
  <c r="I79" s="1"/>
  <c r="E84"/>
  <c r="F83" s="1"/>
  <c r="B84"/>
  <c r="AN84" s="1"/>
  <c r="AR83"/>
  <c r="AL83"/>
  <c r="AJ83"/>
  <c r="BS79" s="1"/>
  <c r="AH83"/>
  <c r="AM82"/>
  <c r="AL82"/>
  <c r="AO82" s="1"/>
  <c r="AN81"/>
  <c r="AN82" s="1"/>
  <c r="AM81"/>
  <c r="AG81"/>
  <c r="AF81"/>
  <c r="KG79" s="1"/>
  <c r="B81"/>
  <c r="BF79" s="1"/>
  <c r="AR80"/>
  <c r="D80"/>
  <c r="KM79"/>
  <c r="KK79"/>
  <c r="KJ79"/>
  <c r="KI79"/>
  <c r="KH79"/>
  <c r="KF79"/>
  <c r="KE79"/>
  <c r="JX79"/>
  <c r="JW79"/>
  <c r="JV79"/>
  <c r="JU79"/>
  <c r="JT79"/>
  <c r="IZ79"/>
  <c r="IO79"/>
  <c r="IM79"/>
  <c r="IJ79"/>
  <c r="II79"/>
  <c r="ID79"/>
  <c r="IC79"/>
  <c r="IA79"/>
  <c r="HY79"/>
  <c r="HX79"/>
  <c r="HW79"/>
  <c r="HV79"/>
  <c r="GO79"/>
  <c r="GM79"/>
  <c r="GL79"/>
  <c r="GK79"/>
  <c r="GJ79"/>
  <c r="GI79"/>
  <c r="GH79"/>
  <c r="GG79"/>
  <c r="FZ79"/>
  <c r="FY79"/>
  <c r="FX79"/>
  <c r="FW79"/>
  <c r="FV79"/>
  <c r="FU79"/>
  <c r="FT79"/>
  <c r="FS79"/>
  <c r="FL79"/>
  <c r="FK79"/>
  <c r="FJ79"/>
  <c r="FI79"/>
  <c r="FH79"/>
  <c r="FG79"/>
  <c r="FE79"/>
  <c r="FC79"/>
  <c r="EX79"/>
  <c r="EW79"/>
  <c r="EV79"/>
  <c r="EU79"/>
  <c r="ES79"/>
  <c r="EQ79"/>
  <c r="EP79"/>
  <c r="EO79"/>
  <c r="EJ79"/>
  <c r="EI79"/>
  <c r="EG79"/>
  <c r="EE79"/>
  <c r="ED79"/>
  <c r="EC79"/>
  <c r="EB79"/>
  <c r="EA79"/>
  <c r="DU79"/>
  <c r="DS79"/>
  <c r="DR79"/>
  <c r="DQ79"/>
  <c r="DP79"/>
  <c r="DO79"/>
  <c r="DL79"/>
  <c r="DK79"/>
  <c r="DD79"/>
  <c r="CY79"/>
  <c r="CX79"/>
  <c r="CW79"/>
  <c r="CQ79"/>
  <c r="CP79"/>
  <c r="CO79"/>
  <c r="CN79"/>
  <c r="CM79"/>
  <c r="CK79"/>
  <c r="CI79"/>
  <c r="CD79"/>
  <c r="CC79"/>
  <c r="CB79"/>
  <c r="CA79"/>
  <c r="BZ79"/>
  <c r="BY79"/>
  <c r="BW79"/>
  <c r="BV79"/>
  <c r="BU79"/>
  <c r="BR79"/>
  <c r="BQ79"/>
  <c r="BP79"/>
  <c r="BO79"/>
  <c r="BM79"/>
  <c r="BN79" s="1"/>
  <c r="BK79"/>
  <c r="BL79" s="1"/>
  <c r="BJ79"/>
  <c r="BI79"/>
  <c r="BH79"/>
  <c r="BG79"/>
  <c r="BB79"/>
  <c r="BA79"/>
  <c r="AZ79"/>
  <c r="AY79"/>
  <c r="AX79"/>
  <c r="P79"/>
  <c r="N79"/>
  <c r="M79" s="1"/>
  <c r="L79"/>
  <c r="H79"/>
  <c r="AO76"/>
  <c r="AR75"/>
  <c r="AM75"/>
  <c r="AK75"/>
  <c r="BJ70" s="1"/>
  <c r="K75"/>
  <c r="DF70" s="1"/>
  <c r="G75"/>
  <c r="E75"/>
  <c r="F75" s="1"/>
  <c r="B75"/>
  <c r="AL74"/>
  <c r="AJ74"/>
  <c r="BP70" s="1"/>
  <c r="AH74"/>
  <c r="D75" s="1"/>
  <c r="F74"/>
  <c r="AR73"/>
  <c r="AM73"/>
  <c r="AL73"/>
  <c r="AM72"/>
  <c r="AG72"/>
  <c r="AF72"/>
  <c r="KH70" s="1"/>
  <c r="B72"/>
  <c r="AN71"/>
  <c r="AD71"/>
  <c r="D71"/>
  <c r="D74" s="1"/>
  <c r="KM70"/>
  <c r="KL70"/>
  <c r="KK70"/>
  <c r="KG70"/>
  <c r="KF70"/>
  <c r="KE70"/>
  <c r="KD70"/>
  <c r="KC70"/>
  <c r="KB70"/>
  <c r="KA70"/>
  <c r="JZ70"/>
  <c r="JY70"/>
  <c r="JU70"/>
  <c r="JT70"/>
  <c r="JO70"/>
  <c r="JN70"/>
  <c r="JM70"/>
  <c r="JL70"/>
  <c r="JK70"/>
  <c r="JF70"/>
  <c r="JE70"/>
  <c r="JD70"/>
  <c r="JC70"/>
  <c r="JB70"/>
  <c r="JA70"/>
  <c r="IZ70"/>
  <c r="IY70"/>
  <c r="IT70"/>
  <c r="IS70"/>
  <c r="IR70"/>
  <c r="IQ70"/>
  <c r="IO70"/>
  <c r="IN70"/>
  <c r="IM70"/>
  <c r="IL70"/>
  <c r="IK70"/>
  <c r="IG70"/>
  <c r="IF70"/>
  <c r="IE70"/>
  <c r="ID70"/>
  <c r="IC70"/>
  <c r="IB70"/>
  <c r="IA70"/>
  <c r="HZ70"/>
  <c r="HY70"/>
  <c r="HI70"/>
  <c r="HH70"/>
  <c r="HE70"/>
  <c r="HD70"/>
  <c r="HC70"/>
  <c r="GX70"/>
  <c r="GW70"/>
  <c r="GV70"/>
  <c r="GU70"/>
  <c r="GT70"/>
  <c r="GS70"/>
  <c r="GR70"/>
  <c r="GK70"/>
  <c r="GJ70"/>
  <c r="GI70"/>
  <c r="GH70"/>
  <c r="GG70"/>
  <c r="GF70"/>
  <c r="GE70"/>
  <c r="FZ70"/>
  <c r="FY70"/>
  <c r="FX70"/>
  <c r="FU70"/>
  <c r="FT70"/>
  <c r="FS70"/>
  <c r="FN70"/>
  <c r="FM70"/>
  <c r="FL70"/>
  <c r="FK70"/>
  <c r="FJ70"/>
  <c r="FI70"/>
  <c r="FH70"/>
  <c r="FA70"/>
  <c r="EZ70"/>
  <c r="EY70"/>
  <c r="EX70"/>
  <c r="EW70"/>
  <c r="EV70"/>
  <c r="EU70"/>
  <c r="EP70"/>
  <c r="EO70"/>
  <c r="EN70"/>
  <c r="EK70"/>
  <c r="EJ70"/>
  <c r="EI70"/>
  <c r="ED70"/>
  <c r="EC70"/>
  <c r="EB70"/>
  <c r="EA70"/>
  <c r="DZ70"/>
  <c r="DY70"/>
  <c r="DX70"/>
  <c r="DQ70"/>
  <c r="DP70"/>
  <c r="DO70"/>
  <c r="DL70"/>
  <c r="DK70"/>
  <c r="DJ70"/>
  <c r="DI70"/>
  <c r="DH70"/>
  <c r="DE70"/>
  <c r="DD70"/>
  <c r="DC70"/>
  <c r="DB70"/>
  <c r="DA70"/>
  <c r="CZ70"/>
  <c r="CY70"/>
  <c r="CX70"/>
  <c r="CW70"/>
  <c r="CV70"/>
  <c r="CS70"/>
  <c r="CR70"/>
  <c r="CQ70"/>
  <c r="CP70"/>
  <c r="CO70"/>
  <c r="CN70"/>
  <c r="CM70"/>
  <c r="CL70"/>
  <c r="CK70"/>
  <c r="CJ70"/>
  <c r="CF70"/>
  <c r="CE70"/>
  <c r="CD70"/>
  <c r="CC70"/>
  <c r="CB70"/>
  <c r="CA70"/>
  <c r="BZ70"/>
  <c r="BY70"/>
  <c r="BX70"/>
  <c r="BS70"/>
  <c r="BR70"/>
  <c r="BQ70"/>
  <c r="BO70"/>
  <c r="BN70"/>
  <c r="BM70"/>
  <c r="BI70"/>
  <c r="BH70"/>
  <c r="BG70"/>
  <c r="BF70"/>
  <c r="BE70"/>
  <c r="BD70"/>
  <c r="BC70"/>
  <c r="BB70"/>
  <c r="BA70"/>
  <c r="AV70"/>
  <c r="AU70"/>
  <c r="AT70"/>
  <c r="AD70"/>
  <c r="AE70" s="1"/>
  <c r="P70"/>
  <c r="N70"/>
  <c r="M70"/>
  <c r="L70"/>
  <c r="H70"/>
  <c r="AR67"/>
  <c r="AK67"/>
  <c r="K67"/>
  <c r="G67"/>
  <c r="JM62" s="1"/>
  <c r="E67"/>
  <c r="F67" s="1"/>
  <c r="B67"/>
  <c r="AL66"/>
  <c r="AJ66"/>
  <c r="BO62" s="1"/>
  <c r="AH66"/>
  <c r="D65" s="1"/>
  <c r="F66"/>
  <c r="AR65"/>
  <c r="AM65"/>
  <c r="AL65"/>
  <c r="AG64"/>
  <c r="GR62" s="1"/>
  <c r="AF64"/>
  <c r="B64"/>
  <c r="AD63"/>
  <c r="KM62"/>
  <c r="KL62"/>
  <c r="KK62"/>
  <c r="KJ62"/>
  <c r="KI62"/>
  <c r="KC62"/>
  <c r="KB62"/>
  <c r="KA62"/>
  <c r="JZ62"/>
  <c r="JY62"/>
  <c r="JX62"/>
  <c r="JW62"/>
  <c r="JV62"/>
  <c r="JO62"/>
  <c r="JN62"/>
  <c r="JL62"/>
  <c r="JK62"/>
  <c r="JJ62"/>
  <c r="JI62"/>
  <c r="JH62"/>
  <c r="JG62"/>
  <c r="JC62"/>
  <c r="JB62"/>
  <c r="JA62"/>
  <c r="IZ62"/>
  <c r="IY62"/>
  <c r="IW62"/>
  <c r="IV62"/>
  <c r="IU62"/>
  <c r="IQ62"/>
  <c r="IO62"/>
  <c r="IN62"/>
  <c r="IM62"/>
  <c r="IL62"/>
  <c r="IK62"/>
  <c r="IJ62"/>
  <c r="II62"/>
  <c r="IC62"/>
  <c r="IB62"/>
  <c r="IA62"/>
  <c r="HZ62"/>
  <c r="HY62"/>
  <c r="HX62"/>
  <c r="HW62"/>
  <c r="HV62"/>
  <c r="GT62"/>
  <c r="GS62"/>
  <c r="GQ62"/>
  <c r="GP62"/>
  <c r="GO62"/>
  <c r="GN62"/>
  <c r="GM62"/>
  <c r="GL62"/>
  <c r="GH62"/>
  <c r="GG62"/>
  <c r="GF62"/>
  <c r="GE62"/>
  <c r="GD62"/>
  <c r="GB62"/>
  <c r="GA62"/>
  <c r="FZ62"/>
  <c r="FV62"/>
  <c r="FU62"/>
  <c r="FT62"/>
  <c r="FS62"/>
  <c r="FR62"/>
  <c r="FQ62"/>
  <c r="FP62"/>
  <c r="FO62"/>
  <c r="FJ62"/>
  <c r="FI62"/>
  <c r="FH62"/>
  <c r="FG62"/>
  <c r="FF62"/>
  <c r="FE62"/>
  <c r="FD62"/>
  <c r="FC62"/>
  <c r="FB62"/>
  <c r="EX62"/>
  <c r="EW62"/>
  <c r="EU62"/>
  <c r="ET62"/>
  <c r="ES62"/>
  <c r="ER62"/>
  <c r="EQ62"/>
  <c r="EP62"/>
  <c r="EL62"/>
  <c r="EK62"/>
  <c r="EJ62"/>
  <c r="EI62"/>
  <c r="EH62"/>
  <c r="EF62"/>
  <c r="EE62"/>
  <c r="ED62"/>
  <c r="DZ62"/>
  <c r="DY62"/>
  <c r="DX62"/>
  <c r="DW62"/>
  <c r="DV62"/>
  <c r="DU62"/>
  <c r="DT62"/>
  <c r="DS62"/>
  <c r="DL62"/>
  <c r="DK62"/>
  <c r="DJ62"/>
  <c r="DI62"/>
  <c r="DH62"/>
  <c r="DG62"/>
  <c r="DF62"/>
  <c r="DE62"/>
  <c r="DD62"/>
  <c r="CZ62"/>
  <c r="CY62"/>
  <c r="CX62"/>
  <c r="CW62"/>
  <c r="CV62"/>
  <c r="CU62"/>
  <c r="CT62"/>
  <c r="CS62"/>
  <c r="CR62"/>
  <c r="CN62"/>
  <c r="CM62"/>
  <c r="CL62"/>
  <c r="CK62"/>
  <c r="CJ62"/>
  <c r="CG62"/>
  <c r="CF62"/>
  <c r="CB62"/>
  <c r="CA62"/>
  <c r="BZ62"/>
  <c r="BY62"/>
  <c r="BX62"/>
  <c r="BW62"/>
  <c r="BV62"/>
  <c r="BM62"/>
  <c r="BN62" s="1"/>
  <c r="BK62"/>
  <c r="BL62" s="1"/>
  <c r="BJ62"/>
  <c r="BI62"/>
  <c r="BH62"/>
  <c r="BG62"/>
  <c r="BF62"/>
  <c r="BE62"/>
  <c r="BD62"/>
  <c r="BC62"/>
  <c r="BB62"/>
  <c r="BA62"/>
  <c r="AZ62"/>
  <c r="AY62"/>
  <c r="AX62"/>
  <c r="AW62"/>
  <c r="AV62"/>
  <c r="P62"/>
  <c r="AD62" s="1"/>
  <c r="AE62" s="1"/>
  <c r="N62"/>
  <c r="M62"/>
  <c r="L62"/>
  <c r="H62"/>
  <c r="AR59"/>
  <c r="AN59"/>
  <c r="AK59"/>
  <c r="K59"/>
  <c r="G59"/>
  <c r="E59"/>
  <c r="F59" s="1"/>
  <c r="I54" s="1"/>
  <c r="D59"/>
  <c r="B59"/>
  <c r="AN56" s="1"/>
  <c r="AL58"/>
  <c r="AJ58"/>
  <c r="AH58"/>
  <c r="F58"/>
  <c r="D58"/>
  <c r="AR57"/>
  <c r="AM57"/>
  <c r="AL57"/>
  <c r="AM56"/>
  <c r="AG56"/>
  <c r="GM54" s="1"/>
  <c r="AF56"/>
  <c r="KJ54" s="1"/>
  <c r="B56"/>
  <c r="D55"/>
  <c r="D57" s="1"/>
  <c r="KI54"/>
  <c r="KH54"/>
  <c r="KG54"/>
  <c r="KA54"/>
  <c r="JQ54"/>
  <c r="JO54"/>
  <c r="JN54"/>
  <c r="JM54"/>
  <c r="JL54"/>
  <c r="JK54"/>
  <c r="JJ54"/>
  <c r="JI54"/>
  <c r="JH54"/>
  <c r="JG54"/>
  <c r="JF54"/>
  <c r="JE54"/>
  <c r="JD54"/>
  <c r="JC54"/>
  <c r="JB54"/>
  <c r="JA54"/>
  <c r="IZ54"/>
  <c r="IY54"/>
  <c r="IX54"/>
  <c r="IW54"/>
  <c r="IV54"/>
  <c r="IU54"/>
  <c r="IT54"/>
  <c r="IS54"/>
  <c r="IR54"/>
  <c r="IQ54"/>
  <c r="IO54"/>
  <c r="IL54"/>
  <c r="IK54"/>
  <c r="IB54"/>
  <c r="IA54"/>
  <c r="HZ54"/>
  <c r="HW54"/>
  <c r="HV54"/>
  <c r="GL54"/>
  <c r="FT54"/>
  <c r="FE54"/>
  <c r="EP54"/>
  <c r="DX54"/>
  <c r="DL54"/>
  <c r="DK54"/>
  <c r="DJ54"/>
  <c r="DI54"/>
  <c r="DH54"/>
  <c r="DG54"/>
  <c r="DF54"/>
  <c r="DE54"/>
  <c r="DD54"/>
  <c r="DC54"/>
  <c r="DB54"/>
  <c r="DA54"/>
  <c r="CZ54"/>
  <c r="CY54"/>
  <c r="CX54"/>
  <c r="CW54"/>
  <c r="CV54"/>
  <c r="CU54"/>
  <c r="CT54"/>
  <c r="CS54"/>
  <c r="CR54"/>
  <c r="CI54"/>
  <c r="CH54"/>
  <c r="CG54"/>
  <c r="CF54"/>
  <c r="CE54"/>
  <c r="CD54"/>
  <c r="BZ54"/>
  <c r="BW54"/>
  <c r="BV54"/>
  <c r="BU54"/>
  <c r="BT54"/>
  <c r="BS54"/>
  <c r="BR54"/>
  <c r="BQ54"/>
  <c r="BP54"/>
  <c r="BO54"/>
  <c r="BN54"/>
  <c r="BM54"/>
  <c r="BK54"/>
  <c r="BL54" s="1"/>
  <c r="BJ54"/>
  <c r="BI54"/>
  <c r="BH54"/>
  <c r="BG54"/>
  <c r="BF54"/>
  <c r="BB54"/>
  <c r="BA54"/>
  <c r="AZ54"/>
  <c r="AY54"/>
  <c r="AN54"/>
  <c r="P54"/>
  <c r="AD54" s="1"/>
  <c r="AE54" s="1"/>
  <c r="O54"/>
  <c r="N54"/>
  <c r="M54" s="1"/>
  <c r="L54"/>
  <c r="J54"/>
  <c r="H54"/>
  <c r="AR51"/>
  <c r="AM51"/>
  <c r="AK51"/>
  <c r="BH46" s="1"/>
  <c r="K51"/>
  <c r="DB46" s="1"/>
  <c r="G51"/>
  <c r="JK46" s="1"/>
  <c r="E51"/>
  <c r="F51" s="1"/>
  <c r="I46" s="1"/>
  <c r="D51"/>
  <c r="B51"/>
  <c r="AN51" s="1"/>
  <c r="AL50"/>
  <c r="AJ50"/>
  <c r="BM46" s="1"/>
  <c r="BN46" s="1"/>
  <c r="AH50"/>
  <c r="F50"/>
  <c r="A50"/>
  <c r="AM49"/>
  <c r="AL49"/>
  <c r="AR49" s="1"/>
  <c r="AM48"/>
  <c r="AG48"/>
  <c r="GN46" s="1"/>
  <c r="AF48"/>
  <c r="KB46" s="1"/>
  <c r="B48"/>
  <c r="A48"/>
  <c r="D47"/>
  <c r="D50" s="1"/>
  <c r="KM46"/>
  <c r="KL46"/>
  <c r="KK46"/>
  <c r="KJ46"/>
  <c r="KI46"/>
  <c r="KH46"/>
  <c r="KA46"/>
  <c r="JZ46"/>
  <c r="JY46"/>
  <c r="JX46"/>
  <c r="JW46"/>
  <c r="JV46"/>
  <c r="JU46"/>
  <c r="JQ46"/>
  <c r="JJ46"/>
  <c r="JI46"/>
  <c r="JH46"/>
  <c r="JD46"/>
  <c r="JC46"/>
  <c r="JB46"/>
  <c r="JA46"/>
  <c r="IR46"/>
  <c r="IQ46"/>
  <c r="IO46"/>
  <c r="IN46"/>
  <c r="IM46"/>
  <c r="IL46"/>
  <c r="IK46"/>
  <c r="IJ46"/>
  <c r="IC46"/>
  <c r="IB46"/>
  <c r="IA46"/>
  <c r="HZ46"/>
  <c r="HY46"/>
  <c r="HX46"/>
  <c r="HW46"/>
  <c r="HA46"/>
  <c r="GU46"/>
  <c r="GT46"/>
  <c r="GS46"/>
  <c r="GO46"/>
  <c r="GM46"/>
  <c r="GL46"/>
  <c r="GC46"/>
  <c r="GB46"/>
  <c r="GA46"/>
  <c r="FZ46"/>
  <c r="FX46"/>
  <c r="FW46"/>
  <c r="FN46"/>
  <c r="FM46"/>
  <c r="FL46"/>
  <c r="FK46"/>
  <c r="FI46"/>
  <c r="FE46"/>
  <c r="EY46"/>
  <c r="EX46"/>
  <c r="EW46"/>
  <c r="ES46"/>
  <c r="EQ46"/>
  <c r="EP46"/>
  <c r="EG46"/>
  <c r="EF46"/>
  <c r="EE46"/>
  <c r="ED46"/>
  <c r="EB46"/>
  <c r="EA46"/>
  <c r="DR46"/>
  <c r="DQ46"/>
  <c r="DP46"/>
  <c r="DO46"/>
  <c r="DL46"/>
  <c r="DK46"/>
  <c r="DG46"/>
  <c r="DA46"/>
  <c r="CZ46"/>
  <c r="CY46"/>
  <c r="CU46"/>
  <c r="CT46"/>
  <c r="CS46"/>
  <c r="CR46"/>
  <c r="CQ46"/>
  <c r="CM46"/>
  <c r="CJ46"/>
  <c r="CI46"/>
  <c r="CH46"/>
  <c r="CG46"/>
  <c r="CF46"/>
  <c r="CE46"/>
  <c r="CD46"/>
  <c r="CC46"/>
  <c r="BV46"/>
  <c r="BU46"/>
  <c r="BT46"/>
  <c r="BS46"/>
  <c r="BR46"/>
  <c r="BQ46"/>
  <c r="BP46"/>
  <c r="BG46"/>
  <c r="BF46"/>
  <c r="BE46"/>
  <c r="BD46"/>
  <c r="BC46"/>
  <c r="AZ46"/>
  <c r="AY46"/>
  <c r="AU46"/>
  <c r="AT46"/>
  <c r="AN46"/>
  <c r="P46"/>
  <c r="AD46" s="1"/>
  <c r="AE46" s="1"/>
  <c r="N46"/>
  <c r="M46" s="1"/>
  <c r="L46"/>
  <c r="H46"/>
  <c r="AR42"/>
  <c r="AN42"/>
  <c r="AM42"/>
  <c r="AL42"/>
  <c r="AK42"/>
  <c r="BI37" s="1"/>
  <c r="K42"/>
  <c r="DF37" s="1"/>
  <c r="G42"/>
  <c r="JC37" s="1"/>
  <c r="F42"/>
  <c r="I37" s="1"/>
  <c r="E42"/>
  <c r="B42"/>
  <c r="AO40" s="1"/>
  <c r="AM41"/>
  <c r="AL41"/>
  <c r="AJ41"/>
  <c r="BM37" s="1"/>
  <c r="BN37" s="1"/>
  <c r="AH41"/>
  <c r="AM39" s="1"/>
  <c r="F41"/>
  <c r="AM40"/>
  <c r="AL40"/>
  <c r="AR40" s="1"/>
  <c r="D40"/>
  <c r="AR39"/>
  <c r="AN39"/>
  <c r="AN40" s="1"/>
  <c r="AN41" s="1"/>
  <c r="AG39"/>
  <c r="AF39"/>
  <c r="KD37" s="1"/>
  <c r="B39"/>
  <c r="BA37" s="1"/>
  <c r="D38"/>
  <c r="D41" s="1"/>
  <c r="KL37"/>
  <c r="KI37"/>
  <c r="KH37"/>
  <c r="KG37"/>
  <c r="KC37"/>
  <c r="KB37"/>
  <c r="KA37"/>
  <c r="JZ37"/>
  <c r="JW37"/>
  <c r="JV37"/>
  <c r="JU37"/>
  <c r="JT37"/>
  <c r="JS37"/>
  <c r="JM37"/>
  <c r="JJ37"/>
  <c r="JI37"/>
  <c r="JH37"/>
  <c r="JF37"/>
  <c r="JE37"/>
  <c r="IW37"/>
  <c r="IV37"/>
  <c r="IU37"/>
  <c r="IT37"/>
  <c r="IR37"/>
  <c r="IQ37"/>
  <c r="IO37"/>
  <c r="II37"/>
  <c r="IH37"/>
  <c r="IG37"/>
  <c r="IF37"/>
  <c r="IE37"/>
  <c r="ID37"/>
  <c r="IC37"/>
  <c r="IB37"/>
  <c r="HY37"/>
  <c r="HB37"/>
  <c r="HA37"/>
  <c r="GT37"/>
  <c r="GS37"/>
  <c r="GR37"/>
  <c r="GQ37"/>
  <c r="GP37"/>
  <c r="GO37"/>
  <c r="GN37"/>
  <c r="GM37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FK37"/>
  <c r="FJ37"/>
  <c r="FI37"/>
  <c r="FH37"/>
  <c r="FG37"/>
  <c r="FF37"/>
  <c r="FE37"/>
  <c r="FD37"/>
  <c r="FC37"/>
  <c r="FB37"/>
  <c r="FA37"/>
  <c r="EZ37"/>
  <c r="EY37"/>
  <c r="EX37"/>
  <c r="EW37"/>
  <c r="EV37"/>
  <c r="EU37"/>
  <c r="ET37"/>
  <c r="ES37"/>
  <c r="ER37"/>
  <c r="EQ37"/>
  <c r="EP37"/>
  <c r="EO37"/>
  <c r="EN37"/>
  <c r="EM37"/>
  <c r="EL37"/>
  <c r="EK37"/>
  <c r="EJ37"/>
  <c r="EI37"/>
  <c r="EH37"/>
  <c r="EG37"/>
  <c r="EF37"/>
  <c r="EE37"/>
  <c r="ED37"/>
  <c r="EC37"/>
  <c r="EB37"/>
  <c r="EA37"/>
  <c r="DZ37"/>
  <c r="DY37"/>
  <c r="DX37"/>
  <c r="DW37"/>
  <c r="DV37"/>
  <c r="DU37"/>
  <c r="DT37"/>
  <c r="DS37"/>
  <c r="DR37"/>
  <c r="DQ37"/>
  <c r="DP37"/>
  <c r="DO37"/>
  <c r="DG37"/>
  <c r="CY37"/>
  <c r="CS37"/>
  <c r="CR37"/>
  <c r="CQ37"/>
  <c r="CN37"/>
  <c r="CM37"/>
  <c r="CL37"/>
  <c r="CI37"/>
  <c r="CH37"/>
  <c r="CG37"/>
  <c r="CF37"/>
  <c r="CE37"/>
  <c r="CD37"/>
  <c r="CC37"/>
  <c r="BZ37"/>
  <c r="BV37"/>
  <c r="BU37"/>
  <c r="BT37"/>
  <c r="BS37"/>
  <c r="BR37"/>
  <c r="BQ37"/>
  <c r="BP37"/>
  <c r="BH37"/>
  <c r="BG37"/>
  <c r="BF37"/>
  <c r="BE37"/>
  <c r="BD37"/>
  <c r="BC37"/>
  <c r="BB37"/>
  <c r="AY37"/>
  <c r="AW37"/>
  <c r="AV37"/>
  <c r="AU37"/>
  <c r="AT37"/>
  <c r="P37"/>
  <c r="AD37" s="1"/>
  <c r="AE37" s="1"/>
  <c r="N37"/>
  <c r="M37" s="1"/>
  <c r="L37"/>
  <c r="H37"/>
  <c r="AO35"/>
  <c r="AR34"/>
  <c r="AN34"/>
  <c r="AM34"/>
  <c r="AK34"/>
  <c r="BJ29" s="1"/>
  <c r="K34"/>
  <c r="DC29" s="1"/>
  <c r="G34"/>
  <c r="JD29" s="1"/>
  <c r="E34"/>
  <c r="F34" s="1"/>
  <c r="B34"/>
  <c r="AR33"/>
  <c r="AL33"/>
  <c r="AJ33"/>
  <c r="BM29" s="1"/>
  <c r="BN29" s="1"/>
  <c r="AH33"/>
  <c r="AM31" s="1"/>
  <c r="AM32"/>
  <c r="AL32"/>
  <c r="AR32" s="1"/>
  <c r="AG31"/>
  <c r="AF31"/>
  <c r="KI29" s="1"/>
  <c r="B31"/>
  <c r="BA29" s="1"/>
  <c r="D30"/>
  <c r="AN31" s="1"/>
  <c r="AN32" s="1"/>
  <c r="KK29"/>
  <c r="KJ29"/>
  <c r="KH29"/>
  <c r="KG29"/>
  <c r="KF29"/>
  <c r="KE29"/>
  <c r="KD29"/>
  <c r="KC29"/>
  <c r="KB29"/>
  <c r="JY29"/>
  <c r="JX29"/>
  <c r="JW29"/>
  <c r="JV29"/>
  <c r="JT29"/>
  <c r="JS29"/>
  <c r="JR29"/>
  <c r="JQ29"/>
  <c r="JO29"/>
  <c r="JL29"/>
  <c r="JK29"/>
  <c r="JJ29"/>
  <c r="JI29"/>
  <c r="JH29"/>
  <c r="JG29"/>
  <c r="JC29"/>
  <c r="IZ29"/>
  <c r="IY29"/>
  <c r="IX29"/>
  <c r="IW29"/>
  <c r="IV29"/>
  <c r="IU29"/>
  <c r="IT29"/>
  <c r="IS29"/>
  <c r="IM29"/>
  <c r="IL29"/>
  <c r="IK29"/>
  <c r="IJ29"/>
  <c r="II29"/>
  <c r="IH29"/>
  <c r="IG29"/>
  <c r="IF29"/>
  <c r="IE29"/>
  <c r="ID29"/>
  <c r="HZ29"/>
  <c r="HY29"/>
  <c r="HX29"/>
  <c r="HW29"/>
  <c r="HV29"/>
  <c r="GT29"/>
  <c r="GS29"/>
  <c r="GR29"/>
  <c r="GO29"/>
  <c r="GN29"/>
  <c r="GM29"/>
  <c r="GL29"/>
  <c r="GK29"/>
  <c r="GJ29"/>
  <c r="GI29"/>
  <c r="GH29"/>
  <c r="GG29"/>
  <c r="GF29"/>
  <c r="GC29"/>
  <c r="GB29"/>
  <c r="GA29"/>
  <c r="FZ29"/>
  <c r="FY29"/>
  <c r="FX29"/>
  <c r="FW29"/>
  <c r="FV29"/>
  <c r="FU29"/>
  <c r="FT29"/>
  <c r="FQ29"/>
  <c r="FP29"/>
  <c r="FO29"/>
  <c r="FN29"/>
  <c r="FM29"/>
  <c r="FL29"/>
  <c r="FK29"/>
  <c r="FJ29"/>
  <c r="FI29"/>
  <c r="FH29"/>
  <c r="FE29"/>
  <c r="FD29"/>
  <c r="FC29"/>
  <c r="FB29"/>
  <c r="FA29"/>
  <c r="EZ29"/>
  <c r="EY29"/>
  <c r="EX29"/>
  <c r="EW29"/>
  <c r="EV29"/>
  <c r="ES29"/>
  <c r="ER29"/>
  <c r="EQ29"/>
  <c r="EP29"/>
  <c r="EO29"/>
  <c r="EN29"/>
  <c r="EM29"/>
  <c r="EL29"/>
  <c r="EK29"/>
  <c r="EJ29"/>
  <c r="EG29"/>
  <c r="EF29"/>
  <c r="EE29"/>
  <c r="ED29"/>
  <c r="EC29"/>
  <c r="EB29"/>
  <c r="EA29"/>
  <c r="DZ29"/>
  <c r="DY29"/>
  <c r="DX29"/>
  <c r="DU29"/>
  <c r="DT29"/>
  <c r="DS29"/>
  <c r="DR29"/>
  <c r="DQ29"/>
  <c r="DP29"/>
  <c r="DO29"/>
  <c r="DL29"/>
  <c r="DK29"/>
  <c r="DJ29"/>
  <c r="DG29"/>
  <c r="DF29"/>
  <c r="DE29"/>
  <c r="CY29"/>
  <c r="CX29"/>
  <c r="CU29"/>
  <c r="CT29"/>
  <c r="CS29"/>
  <c r="CR29"/>
  <c r="CQ29"/>
  <c r="CP29"/>
  <c r="CN29"/>
  <c r="CM29"/>
  <c r="CL29"/>
  <c r="CI29"/>
  <c r="CH29"/>
  <c r="CG29"/>
  <c r="CF29"/>
  <c r="CE29"/>
  <c r="CD29"/>
  <c r="CC29"/>
  <c r="CB29"/>
  <c r="BZ29"/>
  <c r="BU29"/>
  <c r="BT29"/>
  <c r="BS29"/>
  <c r="BR29"/>
  <c r="BQ29"/>
  <c r="BP29"/>
  <c r="BO29"/>
  <c r="BG29"/>
  <c r="BF29"/>
  <c r="BE29"/>
  <c r="BD29"/>
  <c r="BC29"/>
  <c r="BB29"/>
  <c r="AZ29"/>
  <c r="AY29"/>
  <c r="AX29"/>
  <c r="AW29"/>
  <c r="AV29"/>
  <c r="AU29"/>
  <c r="AT29"/>
  <c r="P29"/>
  <c r="AD29" s="1"/>
  <c r="AE29" s="1"/>
  <c r="N29"/>
  <c r="M29" s="1"/>
  <c r="L29"/>
  <c r="H29"/>
  <c r="AR26"/>
  <c r="AM26"/>
  <c r="AL26"/>
  <c r="AR23" s="1"/>
  <c r="AK26"/>
  <c r="BI21" s="1"/>
  <c r="K26"/>
  <c r="DE21" s="1"/>
  <c r="G26"/>
  <c r="JE21" s="1"/>
  <c r="F26"/>
  <c r="E26"/>
  <c r="B26"/>
  <c r="AM25"/>
  <c r="AL25"/>
  <c r="AJ25"/>
  <c r="BU21" s="1"/>
  <c r="AH25"/>
  <c r="D26" s="1"/>
  <c r="F25"/>
  <c r="AM24"/>
  <c r="AL24"/>
  <c r="AR24" s="1"/>
  <c r="D24"/>
  <c r="AM23"/>
  <c r="AG23"/>
  <c r="AF23"/>
  <c r="KI21" s="1"/>
  <c r="B23"/>
  <c r="AD22"/>
  <c r="D22"/>
  <c r="AN23" s="1"/>
  <c r="AN24" s="1"/>
  <c r="AN25" s="1"/>
  <c r="KM21"/>
  <c r="KJ21"/>
  <c r="KH21"/>
  <c r="KG21"/>
  <c r="KF21"/>
  <c r="KE21"/>
  <c r="KD21"/>
  <c r="KC21"/>
  <c r="KB21"/>
  <c r="KA21"/>
  <c r="JX21"/>
  <c r="JW21"/>
  <c r="JV21"/>
  <c r="JT21"/>
  <c r="JR21"/>
  <c r="JO21"/>
  <c r="JN21"/>
  <c r="JM21"/>
  <c r="JJ21"/>
  <c r="JI21"/>
  <c r="JH21"/>
  <c r="JG21"/>
  <c r="JA21"/>
  <c r="IX21"/>
  <c r="IW21"/>
  <c r="IV21"/>
  <c r="IU21"/>
  <c r="IT21"/>
  <c r="IS21"/>
  <c r="IO21"/>
  <c r="IN21"/>
  <c r="IK21"/>
  <c r="IJ21"/>
  <c r="II21"/>
  <c r="IH21"/>
  <c r="IG21"/>
  <c r="IF21"/>
  <c r="IE21"/>
  <c r="ID21"/>
  <c r="IC21"/>
  <c r="HY21"/>
  <c r="HX21"/>
  <c r="HW21"/>
  <c r="HV21"/>
  <c r="GT21"/>
  <c r="GS21"/>
  <c r="GR21"/>
  <c r="GQ21"/>
  <c r="GP21"/>
  <c r="GO21"/>
  <c r="GN21"/>
  <c r="GM2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FK21"/>
  <c r="FJ21"/>
  <c r="FI21"/>
  <c r="FH21"/>
  <c r="FG21"/>
  <c r="FF21"/>
  <c r="FE21"/>
  <c r="FD21"/>
  <c r="FC21"/>
  <c r="FB21"/>
  <c r="FA21"/>
  <c r="EZ21"/>
  <c r="EY21"/>
  <c r="EX21"/>
  <c r="EW21"/>
  <c r="EV21"/>
  <c r="EU21"/>
  <c r="ET21"/>
  <c r="ES21"/>
  <c r="ER21"/>
  <c r="EQ21"/>
  <c r="EP21"/>
  <c r="EO21"/>
  <c r="EN21"/>
  <c r="EM21"/>
  <c r="EL21"/>
  <c r="EK21"/>
  <c r="EJ21"/>
  <c r="EI21"/>
  <c r="EH21"/>
  <c r="EG21"/>
  <c r="EF21"/>
  <c r="EE21"/>
  <c r="ED21"/>
  <c r="EC21"/>
  <c r="EB21"/>
  <c r="EA21"/>
  <c r="DZ21"/>
  <c r="DY21"/>
  <c r="DX21"/>
  <c r="DW21"/>
  <c r="DV21"/>
  <c r="DU21"/>
  <c r="DT21"/>
  <c r="DS21"/>
  <c r="DR21"/>
  <c r="DQ21"/>
  <c r="DP21"/>
  <c r="DO21"/>
  <c r="DL21"/>
  <c r="DK21"/>
  <c r="DJ21"/>
  <c r="DI21"/>
  <c r="DB21"/>
  <c r="DA21"/>
  <c r="CZ21"/>
  <c r="CY21"/>
  <c r="CX21"/>
  <c r="CW21"/>
  <c r="CR21"/>
  <c r="CQ21"/>
  <c r="CP21"/>
  <c r="CO21"/>
  <c r="CN21"/>
  <c r="CM21"/>
  <c r="CL21"/>
  <c r="CK21"/>
  <c r="CJ21"/>
  <c r="CI21"/>
  <c r="CG21"/>
  <c r="CF21"/>
  <c r="CE21"/>
  <c r="CD21"/>
  <c r="CC21"/>
  <c r="CB21"/>
  <c r="CA21"/>
  <c r="BZ21"/>
  <c r="BY21"/>
  <c r="BX21"/>
  <c r="BR21"/>
  <c r="BQ21"/>
  <c r="BP21"/>
  <c r="BO21"/>
  <c r="BM21"/>
  <c r="BN21" s="1"/>
  <c r="BF21"/>
  <c r="BE21"/>
  <c r="BD21"/>
  <c r="BC21"/>
  <c r="BB21"/>
  <c r="BA21"/>
  <c r="AZ21"/>
  <c r="AY21"/>
  <c r="AV21"/>
  <c r="AU21"/>
  <c r="AT21"/>
  <c r="AN21"/>
  <c r="AD21"/>
  <c r="AE21" s="1"/>
  <c r="P21"/>
  <c r="N21"/>
  <c r="M21"/>
  <c r="L21"/>
  <c r="I21"/>
  <c r="O21" s="1"/>
  <c r="H21"/>
  <c r="AR18"/>
  <c r="AK18"/>
  <c r="BH13" s="1"/>
  <c r="K18"/>
  <c r="DC13" s="1"/>
  <c r="G18"/>
  <c r="JH13" s="1"/>
  <c r="F18"/>
  <c r="E18"/>
  <c r="B18"/>
  <c r="AM17" s="1"/>
  <c r="AL17"/>
  <c r="AJ17"/>
  <c r="BS13" s="1"/>
  <c r="AH17"/>
  <c r="F17"/>
  <c r="AR16"/>
  <c r="AM16"/>
  <c r="AL16"/>
  <c r="AL18" s="1"/>
  <c r="AR15" s="1"/>
  <c r="AG15"/>
  <c r="GV13" s="1"/>
  <c r="AF15"/>
  <c r="KG13" s="1"/>
  <c r="B15"/>
  <c r="AD14"/>
  <c r="D14"/>
  <c r="D17" s="1"/>
  <c r="KM13"/>
  <c r="KL13"/>
  <c r="KK13"/>
  <c r="KE13"/>
  <c r="KD13"/>
  <c r="KC13"/>
  <c r="KB13"/>
  <c r="KA13"/>
  <c r="JZ13"/>
  <c r="JY13"/>
  <c r="JX13"/>
  <c r="JS13"/>
  <c r="JR13"/>
  <c r="JQ13"/>
  <c r="JE13"/>
  <c r="JD13"/>
  <c r="IS13"/>
  <c r="IR13"/>
  <c r="IO13"/>
  <c r="IN13"/>
  <c r="IM13"/>
  <c r="IL13"/>
  <c r="IG13"/>
  <c r="IF13"/>
  <c r="IE13"/>
  <c r="ID13"/>
  <c r="IC13"/>
  <c r="IB13"/>
  <c r="IA13"/>
  <c r="HZ13"/>
  <c r="HK13"/>
  <c r="HK169" s="1"/>
  <c r="HJ13"/>
  <c r="HJ169" s="1"/>
  <c r="HI13"/>
  <c r="HI169" s="1"/>
  <c r="HH13"/>
  <c r="HG13"/>
  <c r="GS13"/>
  <c r="GR13"/>
  <c r="GQ13"/>
  <c r="GP13"/>
  <c r="GO13"/>
  <c r="GM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FK13"/>
  <c r="FJ13"/>
  <c r="FI13"/>
  <c r="FH13"/>
  <c r="FG13"/>
  <c r="FF13"/>
  <c r="FE13"/>
  <c r="FD13"/>
  <c r="FC13"/>
  <c r="FB13"/>
  <c r="FA13"/>
  <c r="EZ13"/>
  <c r="EY13"/>
  <c r="EX13"/>
  <c r="EW13"/>
  <c r="EV13"/>
  <c r="EU13"/>
  <c r="ET13"/>
  <c r="ES13"/>
  <c r="ER13"/>
  <c r="EQ13"/>
  <c r="EP13"/>
  <c r="EO13"/>
  <c r="EN13"/>
  <c r="EM13"/>
  <c r="EL13"/>
  <c r="EK13"/>
  <c r="EJ13"/>
  <c r="EI13"/>
  <c r="EH13"/>
  <c r="EG13"/>
  <c r="EF13"/>
  <c r="EE13"/>
  <c r="ED13"/>
  <c r="EC13"/>
  <c r="EB13"/>
  <c r="EA13"/>
  <c r="DZ13"/>
  <c r="DY13"/>
  <c r="DX13"/>
  <c r="DW13"/>
  <c r="DV13"/>
  <c r="DU13"/>
  <c r="DT13"/>
  <c r="DS13"/>
  <c r="DR13"/>
  <c r="DQ13"/>
  <c r="DP13"/>
  <c r="DO13"/>
  <c r="DN13"/>
  <c r="DN169" s="1"/>
  <c r="DL13"/>
  <c r="DK13"/>
  <c r="DJ13"/>
  <c r="DI13"/>
  <c r="DH13"/>
  <c r="DG13"/>
  <c r="DF13"/>
  <c r="DA13"/>
  <c r="CZ13"/>
  <c r="CY13"/>
  <c r="CX13"/>
  <c r="CW13"/>
  <c r="CV13"/>
  <c r="CU13"/>
  <c r="CT13"/>
  <c r="CO13"/>
  <c r="CN13"/>
  <c r="CM13"/>
  <c r="CL13"/>
  <c r="CK13"/>
  <c r="CJ13"/>
  <c r="CI13"/>
  <c r="CH13"/>
  <c r="CC13"/>
  <c r="CB13"/>
  <c r="CA13"/>
  <c r="BZ13"/>
  <c r="BY13"/>
  <c r="BX13"/>
  <c r="BW13"/>
  <c r="BV13"/>
  <c r="BQ13"/>
  <c r="BP13"/>
  <c r="BO13"/>
  <c r="BN13"/>
  <c r="BM13"/>
  <c r="BK13"/>
  <c r="BL13" s="1"/>
  <c r="BJ13"/>
  <c r="BI13"/>
  <c r="BG13"/>
  <c r="BF13"/>
  <c r="BE13"/>
  <c r="BD13"/>
  <c r="BC13"/>
  <c r="BB13"/>
  <c r="BA13"/>
  <c r="P13"/>
  <c r="AD13" s="1"/>
  <c r="AE13" s="1"/>
  <c r="N13"/>
  <c r="M13" s="1"/>
  <c r="L13"/>
  <c r="H13"/>
  <c r="AZ6"/>
  <c r="BF3"/>
  <c r="BF2"/>
  <c r="AB2"/>
  <c r="E107" s="1"/>
  <c r="K2"/>
  <c r="J87" l="1"/>
  <c r="AG13"/>
  <c r="Z13" s="1"/>
  <c r="AB3"/>
  <c r="AD2"/>
  <c r="AF2" s="1"/>
  <c r="X13"/>
  <c r="AH13" s="1"/>
  <c r="X29"/>
  <c r="X21"/>
  <c r="AH21" s="1"/>
  <c r="X37"/>
  <c r="J46"/>
  <c r="O46"/>
  <c r="AO84"/>
  <c r="AO83"/>
  <c r="AO118"/>
  <c r="AO116"/>
  <c r="AN57"/>
  <c r="AO57"/>
  <c r="J37"/>
  <c r="O37"/>
  <c r="I62"/>
  <c r="AL67"/>
  <c r="AR64" s="1"/>
  <c r="J79"/>
  <c r="O79"/>
  <c r="AO42"/>
  <c r="AO39"/>
  <c r="AP39"/>
  <c r="AP38" s="1"/>
  <c r="AO41"/>
  <c r="AL75"/>
  <c r="AR72" s="1"/>
  <c r="I70"/>
  <c r="I29"/>
  <c r="AR30"/>
  <c r="AN26"/>
  <c r="AR25"/>
  <c r="AR22" s="1"/>
  <c r="KE62"/>
  <c r="IE62"/>
  <c r="CO62"/>
  <c r="CC62"/>
  <c r="KF62"/>
  <c r="JT62"/>
  <c r="IF62"/>
  <c r="CP62"/>
  <c r="CD62"/>
  <c r="KG62"/>
  <c r="JU62"/>
  <c r="IG62"/>
  <c r="CQ62"/>
  <c r="CE62"/>
  <c r="GY70"/>
  <c r="GM70"/>
  <c r="GA70"/>
  <c r="FO70"/>
  <c r="FC70"/>
  <c r="EQ70"/>
  <c r="EE70"/>
  <c r="DS70"/>
  <c r="GZ70"/>
  <c r="GN70"/>
  <c r="GB70"/>
  <c r="FP70"/>
  <c r="FD70"/>
  <c r="ER70"/>
  <c r="EF70"/>
  <c r="DT70"/>
  <c r="HA70"/>
  <c r="GO70"/>
  <c r="GC70"/>
  <c r="FQ70"/>
  <c r="FE70"/>
  <c r="ES70"/>
  <c r="EG70"/>
  <c r="DU70"/>
  <c r="HB70"/>
  <c r="GP70"/>
  <c r="GD70"/>
  <c r="FR70"/>
  <c r="FF70"/>
  <c r="ET70"/>
  <c r="EH70"/>
  <c r="DV70"/>
  <c r="D84"/>
  <c r="AM83"/>
  <c r="D82"/>
  <c r="KH96"/>
  <c r="JV96"/>
  <c r="IH96"/>
  <c r="HV96"/>
  <c r="CR96"/>
  <c r="CF96"/>
  <c r="KJ96"/>
  <c r="JX96"/>
  <c r="IJ96"/>
  <c r="HX96"/>
  <c r="CH96"/>
  <c r="KD96"/>
  <c r="ID96"/>
  <c r="CN96"/>
  <c r="CB96"/>
  <c r="KF96"/>
  <c r="JT96"/>
  <c r="IF96"/>
  <c r="CP96"/>
  <c r="CD96"/>
  <c r="JZ96"/>
  <c r="IL96"/>
  <c r="CG96"/>
  <c r="AN96"/>
  <c r="KA96"/>
  <c r="IM96"/>
  <c r="CI96"/>
  <c r="KB96"/>
  <c r="IN96"/>
  <c r="HW96"/>
  <c r="CJ96"/>
  <c r="KC96"/>
  <c r="IO96"/>
  <c r="HY96"/>
  <c r="CK96"/>
  <c r="AD105"/>
  <c r="AE105" s="1"/>
  <c r="AD106"/>
  <c r="BF139"/>
  <c r="BB139"/>
  <c r="BD139"/>
  <c r="BA139"/>
  <c r="BC139"/>
  <c r="K374"/>
  <c r="AF373"/>
  <c r="IQ13"/>
  <c r="I13"/>
  <c r="AT13"/>
  <c r="BR13"/>
  <c r="CD13"/>
  <c r="CP13"/>
  <c r="DB13"/>
  <c r="GU13"/>
  <c r="HV13"/>
  <c r="IH13"/>
  <c r="IU13"/>
  <c r="JG13"/>
  <c r="JT13"/>
  <c r="KF13"/>
  <c r="D16"/>
  <c r="BH21"/>
  <c r="BT21"/>
  <c r="DD21"/>
  <c r="JC21"/>
  <c r="E23"/>
  <c r="BI29"/>
  <c r="BW29"/>
  <c r="DA29"/>
  <c r="E31"/>
  <c r="D34"/>
  <c r="BJ37"/>
  <c r="DB37"/>
  <c r="HV37"/>
  <c r="IJ37"/>
  <c r="JA37"/>
  <c r="JP37"/>
  <c r="AV46"/>
  <c r="BJ46"/>
  <c r="BX46"/>
  <c r="CN46"/>
  <c r="DC46"/>
  <c r="DT46"/>
  <c r="EL46"/>
  <c r="FA46"/>
  <c r="FP46"/>
  <c r="GH46"/>
  <c r="GW46"/>
  <c r="GW169" s="1"/>
  <c r="ID46"/>
  <c r="IW46"/>
  <c r="JL46"/>
  <c r="AU54"/>
  <c r="CK54"/>
  <c r="ED54"/>
  <c r="ES54"/>
  <c r="FH54"/>
  <c r="FZ54"/>
  <c r="GO54"/>
  <c r="ID54"/>
  <c r="JV54"/>
  <c r="KK54"/>
  <c r="AO56"/>
  <c r="AN62"/>
  <c r="BC79"/>
  <c r="DA79"/>
  <c r="JD79"/>
  <c r="E81"/>
  <c r="X79" s="1"/>
  <c r="AZ87"/>
  <c r="CK87"/>
  <c r="IN87"/>
  <c r="KG87"/>
  <c r="BZ105"/>
  <c r="IA105"/>
  <c r="KL105"/>
  <c r="HZ114"/>
  <c r="DX122"/>
  <c r="EZ122"/>
  <c r="GH122"/>
  <c r="JH105"/>
  <c r="IV105"/>
  <c r="JJ105"/>
  <c r="IX105"/>
  <c r="JN105"/>
  <c r="JB105"/>
  <c r="JD105"/>
  <c r="IR105"/>
  <c r="JF105"/>
  <c r="IT105"/>
  <c r="IY105"/>
  <c r="IZ105"/>
  <c r="JA105"/>
  <c r="JC105"/>
  <c r="JG114"/>
  <c r="IU114"/>
  <c r="JI114"/>
  <c r="IW114"/>
  <c r="JM114"/>
  <c r="JA114"/>
  <c r="JO114"/>
  <c r="JC114"/>
  <c r="IQ114"/>
  <c r="JE114"/>
  <c r="IS114"/>
  <c r="JJ114"/>
  <c r="JK114"/>
  <c r="JL114"/>
  <c r="IR114"/>
  <c r="JN114"/>
  <c r="IT114"/>
  <c r="D151"/>
  <c r="D152"/>
  <c r="KK157"/>
  <c r="JY157"/>
  <c r="IK157"/>
  <c r="HY157"/>
  <c r="CP157"/>
  <c r="CD157"/>
  <c r="KM157"/>
  <c r="KA157"/>
  <c r="IM157"/>
  <c r="IA157"/>
  <c r="CR157"/>
  <c r="CF157"/>
  <c r="AP159"/>
  <c r="AP158" s="1"/>
  <c r="KC157"/>
  <c r="IO157"/>
  <c r="IC157"/>
  <c r="CH157"/>
  <c r="KE157"/>
  <c r="IE157"/>
  <c r="CJ157"/>
  <c r="BX157"/>
  <c r="KG157"/>
  <c r="JU157"/>
  <c r="IG157"/>
  <c r="CL157"/>
  <c r="BZ157"/>
  <c r="KI157"/>
  <c r="JW157"/>
  <c r="II157"/>
  <c r="HW157"/>
  <c r="CN157"/>
  <c r="CB157"/>
  <c r="KJ157"/>
  <c r="IJ157"/>
  <c r="CO157"/>
  <c r="KL157"/>
  <c r="IL157"/>
  <c r="CQ157"/>
  <c r="IN157"/>
  <c r="JC13"/>
  <c r="F166"/>
  <c r="GT13"/>
  <c r="IT13"/>
  <c r="JF13"/>
  <c r="BG21"/>
  <c r="BS21"/>
  <c r="DC21"/>
  <c r="JB21"/>
  <c r="JQ21"/>
  <c r="BH29"/>
  <c r="BV29"/>
  <c r="CZ29"/>
  <c r="AO32"/>
  <c r="BW37"/>
  <c r="DA37"/>
  <c r="IX37"/>
  <c r="JN37"/>
  <c r="BI46"/>
  <c r="BW46"/>
  <c r="DS46"/>
  <c r="EK46"/>
  <c r="EZ46"/>
  <c r="FO46"/>
  <c r="GG46"/>
  <c r="GV46"/>
  <c r="IV46"/>
  <c r="AT54"/>
  <c r="CJ54"/>
  <c r="EC54"/>
  <c r="ER54"/>
  <c r="FG54"/>
  <c r="FY54"/>
  <c r="GN54"/>
  <c r="IC54"/>
  <c r="JU54"/>
  <c r="BT70"/>
  <c r="AG79"/>
  <c r="AF79" s="1"/>
  <c r="Y79" s="1"/>
  <c r="JC79"/>
  <c r="D100"/>
  <c r="AP99" s="1"/>
  <c r="AO96" s="1"/>
  <c r="AO97" s="1"/>
  <c r="O105"/>
  <c r="HZ105"/>
  <c r="KK105"/>
  <c r="DP122"/>
  <c r="EX122"/>
  <c r="FZ122"/>
  <c r="AG139"/>
  <c r="AF139" s="1"/>
  <c r="Y139" s="1"/>
  <c r="F143"/>
  <c r="AM66"/>
  <c r="AT62"/>
  <c r="AU62"/>
  <c r="AM67"/>
  <c r="E64"/>
  <c r="AW70"/>
  <c r="AX70"/>
  <c r="E72"/>
  <c r="AY70"/>
  <c r="AZ70"/>
  <c r="DF79"/>
  <c r="DH79"/>
  <c r="CV79"/>
  <c r="DE79"/>
  <c r="DG79"/>
  <c r="CS79"/>
  <c r="DI79"/>
  <c r="CT79"/>
  <c r="DJ79"/>
  <c r="CU79"/>
  <c r="F119"/>
  <c r="F118"/>
  <c r="AO115" s="1"/>
  <c r="AR125"/>
  <c r="AL127"/>
  <c r="AR124" s="1"/>
  <c r="BF157"/>
  <c r="BB157"/>
  <c r="BD157"/>
  <c r="BA157"/>
  <c r="BC157"/>
  <c r="BE157"/>
  <c r="AG157"/>
  <c r="AF157" s="1"/>
  <c r="Y157" s="1"/>
  <c r="D162"/>
  <c r="K250"/>
  <c r="AF249"/>
  <c r="IH260"/>
  <c r="HV260"/>
  <c r="IJ260"/>
  <c r="HX260"/>
  <c r="IL260"/>
  <c r="HZ260"/>
  <c r="IN260"/>
  <c r="IB260"/>
  <c r="IP260"/>
  <c r="ID260"/>
  <c r="IF260"/>
  <c r="HY260"/>
  <c r="IA260"/>
  <c r="IC260"/>
  <c r="IE260"/>
  <c r="AF410"/>
  <c r="K411"/>
  <c r="J21"/>
  <c r="CZ37"/>
  <c r="AD47"/>
  <c r="AL51"/>
  <c r="AR48" s="1"/>
  <c r="EB54"/>
  <c r="EQ54"/>
  <c r="FF54"/>
  <c r="FX54"/>
  <c r="AG62"/>
  <c r="AF62" s="1"/>
  <c r="Y62" s="1"/>
  <c r="AG148"/>
  <c r="AF148" s="1"/>
  <c r="Y148" s="1"/>
  <c r="GS54"/>
  <c r="GG54"/>
  <c r="FU54"/>
  <c r="FI54"/>
  <c r="EW54"/>
  <c r="EK54"/>
  <c r="DY54"/>
  <c r="GT54"/>
  <c r="GH54"/>
  <c r="FV54"/>
  <c r="FJ54"/>
  <c r="EX54"/>
  <c r="EL54"/>
  <c r="DZ54"/>
  <c r="GI54"/>
  <c r="FW54"/>
  <c r="FK54"/>
  <c r="EY54"/>
  <c r="EM54"/>
  <c r="EA54"/>
  <c r="DO54"/>
  <c r="JK79"/>
  <c r="IY79"/>
  <c r="JM79"/>
  <c r="JA79"/>
  <c r="JH79"/>
  <c r="IT79"/>
  <c r="JI79"/>
  <c r="IU79"/>
  <c r="JJ79"/>
  <c r="IV79"/>
  <c r="JL79"/>
  <c r="IW79"/>
  <c r="BH157"/>
  <c r="BJ157"/>
  <c r="BG157"/>
  <c r="AM50"/>
  <c r="AM118"/>
  <c r="IF157"/>
  <c r="KD54"/>
  <c r="IE54"/>
  <c r="CM54"/>
  <c r="CA54"/>
  <c r="KE54"/>
  <c r="JR54"/>
  <c r="IF54"/>
  <c r="CN54"/>
  <c r="CB54"/>
  <c r="KF54"/>
  <c r="JT54"/>
  <c r="IG54"/>
  <c r="CO54"/>
  <c r="CC54"/>
  <c r="KB87"/>
  <c r="ID87"/>
  <c r="CL87"/>
  <c r="BZ87"/>
  <c r="KD87"/>
  <c r="JR87"/>
  <c r="IF87"/>
  <c r="CN87"/>
  <c r="CB87"/>
  <c r="KH87"/>
  <c r="JT87"/>
  <c r="IG87"/>
  <c r="CE87"/>
  <c r="KI87"/>
  <c r="JU87"/>
  <c r="IH87"/>
  <c r="CF87"/>
  <c r="KJ87"/>
  <c r="JV87"/>
  <c r="II87"/>
  <c r="CG87"/>
  <c r="KK87"/>
  <c r="JW87"/>
  <c r="IJ87"/>
  <c r="HV87"/>
  <c r="CH87"/>
  <c r="AN127"/>
  <c r="AO125"/>
  <c r="AW122"/>
  <c r="AY122"/>
  <c r="AN126"/>
  <c r="AU122"/>
  <c r="AV122"/>
  <c r="AX122"/>
  <c r="AZ122"/>
  <c r="AM127"/>
  <c r="E124"/>
  <c r="X122" s="1"/>
  <c r="AD132"/>
  <c r="AD131"/>
  <c r="AE131" s="1"/>
  <c r="JH131"/>
  <c r="IV131"/>
  <c r="JJ131"/>
  <c r="IX131"/>
  <c r="JL131"/>
  <c r="IZ131"/>
  <c r="JN131"/>
  <c r="JB131"/>
  <c r="JD131"/>
  <c r="IR131"/>
  <c r="JF131"/>
  <c r="IT131"/>
  <c r="IY131"/>
  <c r="JA131"/>
  <c r="JC131"/>
  <c r="JE131"/>
  <c r="JG148"/>
  <c r="IU148"/>
  <c r="JI148"/>
  <c r="IW148"/>
  <c r="JK148"/>
  <c r="IY148"/>
  <c r="JM148"/>
  <c r="JA148"/>
  <c r="JO148"/>
  <c r="JC148"/>
  <c r="IQ148"/>
  <c r="JE148"/>
  <c r="IS148"/>
  <c r="JF148"/>
  <c r="JH148"/>
  <c r="JJ148"/>
  <c r="JL148"/>
  <c r="DB157"/>
  <c r="DD157"/>
  <c r="DF157"/>
  <c r="CT157"/>
  <c r="JQ157"/>
  <c r="DH157"/>
  <c r="CV157"/>
  <c r="DJ157"/>
  <c r="CX157"/>
  <c r="DL157"/>
  <c r="CZ157"/>
  <c r="CS157"/>
  <c r="CU157"/>
  <c r="CX37"/>
  <c r="DL37"/>
  <c r="DL169" s="1"/>
  <c r="AD38"/>
  <c r="D49"/>
  <c r="DW54"/>
  <c r="EO54"/>
  <c r="FD54"/>
  <c r="FS54"/>
  <c r="GK54"/>
  <c r="AR66"/>
  <c r="AR63" s="1"/>
  <c r="AR74"/>
  <c r="AR71" s="1"/>
  <c r="IX79"/>
  <c r="AO99"/>
  <c r="AP98" s="1"/>
  <c r="AP97" s="1"/>
  <c r="ET122"/>
  <c r="FT122"/>
  <c r="HF122"/>
  <c r="ID157"/>
  <c r="D161"/>
  <c r="DH46"/>
  <c r="CV46"/>
  <c r="DI46"/>
  <c r="CW46"/>
  <c r="DJ46"/>
  <c r="CX46"/>
  <c r="CX169" s="1"/>
  <c r="DJ87"/>
  <c r="CX87"/>
  <c r="DL87"/>
  <c r="CZ87"/>
  <c r="CZ169" s="1"/>
  <c r="DG87"/>
  <c r="CS87"/>
  <c r="DH87"/>
  <c r="CT87"/>
  <c r="DI87"/>
  <c r="CU87"/>
  <c r="DK87"/>
  <c r="CV87"/>
  <c r="KH114"/>
  <c r="JV114"/>
  <c r="IH114"/>
  <c r="HV114"/>
  <c r="CP114"/>
  <c r="CD114"/>
  <c r="KJ114"/>
  <c r="JX114"/>
  <c r="IJ114"/>
  <c r="HX114"/>
  <c r="CR114"/>
  <c r="CF114"/>
  <c r="KB114"/>
  <c r="IN114"/>
  <c r="IB114"/>
  <c r="CJ114"/>
  <c r="BX114"/>
  <c r="AP116"/>
  <c r="AP115" s="1"/>
  <c r="KD114"/>
  <c r="ID114"/>
  <c r="CL114"/>
  <c r="BZ114"/>
  <c r="KF114"/>
  <c r="JT114"/>
  <c r="IF114"/>
  <c r="CN114"/>
  <c r="CB114"/>
  <c r="KG114"/>
  <c r="IM114"/>
  <c r="CK114"/>
  <c r="AN119"/>
  <c r="AP114" s="1"/>
  <c r="KI114"/>
  <c r="IO114"/>
  <c r="CM114"/>
  <c r="KK114"/>
  <c r="HW114"/>
  <c r="CO114"/>
  <c r="KL114"/>
  <c r="HY114"/>
  <c r="CQ114"/>
  <c r="AN114"/>
  <c r="F136"/>
  <c r="F135"/>
  <c r="JG139"/>
  <c r="IU139"/>
  <c r="JI139"/>
  <c r="IW139"/>
  <c r="JK139"/>
  <c r="IY139"/>
  <c r="JM139"/>
  <c r="JA139"/>
  <c r="JO139"/>
  <c r="JC139"/>
  <c r="IQ139"/>
  <c r="JE139"/>
  <c r="IS139"/>
  <c r="JD139"/>
  <c r="JF139"/>
  <c r="JH139"/>
  <c r="JJ139"/>
  <c r="AD158"/>
  <c r="AD157"/>
  <c r="AE157" s="1"/>
  <c r="IF239"/>
  <c r="IH239"/>
  <c r="HV239"/>
  <c r="IJ239"/>
  <c r="HX239"/>
  <c r="IL239"/>
  <c r="HZ239"/>
  <c r="IN239"/>
  <c r="IB239"/>
  <c r="IP239"/>
  <c r="ID239"/>
  <c r="IM239"/>
  <c r="IO239"/>
  <c r="HU239"/>
  <c r="D32"/>
  <c r="AN33"/>
  <c r="AL34"/>
  <c r="AR31" s="1"/>
  <c r="AR29" s="1"/>
  <c r="CU37"/>
  <c r="DK37"/>
  <c r="DV54"/>
  <c r="EN54"/>
  <c r="FC54"/>
  <c r="FR54"/>
  <c r="GJ54"/>
  <c r="HY54"/>
  <c r="IN54"/>
  <c r="KC54"/>
  <c r="E56"/>
  <c r="D73"/>
  <c r="IS79"/>
  <c r="IC87"/>
  <c r="JZ87"/>
  <c r="E89"/>
  <c r="X87" s="1"/>
  <c r="EJ122"/>
  <c r="FS122"/>
  <c r="AR123"/>
  <c r="IB157"/>
  <c r="KH157"/>
  <c r="IO260"/>
  <c r="JE46"/>
  <c r="IS46"/>
  <c r="JF46"/>
  <c r="IT46"/>
  <c r="JG46"/>
  <c r="IU46"/>
  <c r="BC54"/>
  <c r="BD54"/>
  <c r="BE54"/>
  <c r="AO81"/>
  <c r="AT79"/>
  <c r="AU79"/>
  <c r="AV79"/>
  <c r="AM84"/>
  <c r="AN83"/>
  <c r="AW79"/>
  <c r="BB87"/>
  <c r="BD87"/>
  <c r="BC87"/>
  <c r="BE87"/>
  <c r="BF87"/>
  <c r="KG105"/>
  <c r="JU105"/>
  <c r="II105"/>
  <c r="HW105"/>
  <c r="CQ105"/>
  <c r="CE105"/>
  <c r="KI105"/>
  <c r="JW105"/>
  <c r="IK105"/>
  <c r="HY105"/>
  <c r="CG105"/>
  <c r="KM105"/>
  <c r="KA105"/>
  <c r="IO105"/>
  <c r="IC105"/>
  <c r="KC105"/>
  <c r="IE105"/>
  <c r="CM105"/>
  <c r="CA105"/>
  <c r="KE105"/>
  <c r="JS105"/>
  <c r="IG105"/>
  <c r="CO105"/>
  <c r="CC105"/>
  <c r="JT105"/>
  <c r="IB105"/>
  <c r="CI105"/>
  <c r="JV105"/>
  <c r="ID105"/>
  <c r="CJ105"/>
  <c r="JX105"/>
  <c r="IF105"/>
  <c r="CK105"/>
  <c r="JY105"/>
  <c r="IH105"/>
  <c r="CL105"/>
  <c r="BS105"/>
  <c r="BU105"/>
  <c r="JQ105"/>
  <c r="BO105"/>
  <c r="BQ105"/>
  <c r="BP105"/>
  <c r="BR105"/>
  <c r="BT105"/>
  <c r="BV105"/>
  <c r="BF114"/>
  <c r="BB114"/>
  <c r="BD114"/>
  <c r="BC114"/>
  <c r="BE114"/>
  <c r="HB122"/>
  <c r="GM122"/>
  <c r="GA122"/>
  <c r="FO122"/>
  <c r="FC122"/>
  <c r="EQ122"/>
  <c r="EE122"/>
  <c r="DS122"/>
  <c r="HD122"/>
  <c r="GO122"/>
  <c r="GC122"/>
  <c r="FQ122"/>
  <c r="FE122"/>
  <c r="ES122"/>
  <c r="EG122"/>
  <c r="DU122"/>
  <c r="HH122"/>
  <c r="GS122"/>
  <c r="GG122"/>
  <c r="FU122"/>
  <c r="FI122"/>
  <c r="EW122"/>
  <c r="EK122"/>
  <c r="DY122"/>
  <c r="GX122"/>
  <c r="GI122"/>
  <c r="FW122"/>
  <c r="FK122"/>
  <c r="EY122"/>
  <c r="EM122"/>
  <c r="EA122"/>
  <c r="DO122"/>
  <c r="GZ122"/>
  <c r="GK122"/>
  <c r="FY122"/>
  <c r="FM122"/>
  <c r="FA122"/>
  <c r="EO122"/>
  <c r="EC122"/>
  <c r="DQ122"/>
  <c r="GY122"/>
  <c r="GB122"/>
  <c r="FG122"/>
  <c r="EL122"/>
  <c r="DR122"/>
  <c r="HA122"/>
  <c r="HA169" s="1"/>
  <c r="GD122"/>
  <c r="FH122"/>
  <c r="EN122"/>
  <c r="DT122"/>
  <c r="HC122"/>
  <c r="GE122"/>
  <c r="FJ122"/>
  <c r="EP122"/>
  <c r="DV122"/>
  <c r="HE122"/>
  <c r="GF122"/>
  <c r="FL122"/>
  <c r="ER122"/>
  <c r="DW122"/>
  <c r="AZ131"/>
  <c r="AN131"/>
  <c r="X131"/>
  <c r="E133"/>
  <c r="AM136"/>
  <c r="AP134"/>
  <c r="AO131" s="1"/>
  <c r="AO132" s="1"/>
  <c r="AT131"/>
  <c r="AN133"/>
  <c r="AN134" s="1"/>
  <c r="AN135" s="1"/>
  <c r="AV131"/>
  <c r="AX131"/>
  <c r="AN136"/>
  <c r="I139"/>
  <c r="AL144"/>
  <c r="AR141" s="1"/>
  <c r="AT148"/>
  <c r="AN152"/>
  <c r="AV148"/>
  <c r="AM153"/>
  <c r="AO151"/>
  <c r="AX148"/>
  <c r="AZ148"/>
  <c r="AN153"/>
  <c r="AM152"/>
  <c r="AN150"/>
  <c r="AN151" s="1"/>
  <c r="AP151" s="1"/>
  <c r="AF189"/>
  <c r="K190"/>
  <c r="BY382"/>
  <c r="HV382"/>
  <c r="AN15"/>
  <c r="AN16" s="1"/>
  <c r="AP16" s="1"/>
  <c r="AO13" s="1"/>
  <c r="AO14" s="1"/>
  <c r="AD30"/>
  <c r="AM33"/>
  <c r="CT37"/>
  <c r="DJ37"/>
  <c r="IS37"/>
  <c r="JG37"/>
  <c r="EC46"/>
  <c r="ER46"/>
  <c r="FJ46"/>
  <c r="FY46"/>
  <c r="AN48"/>
  <c r="AN49" s="1"/>
  <c r="AN50" s="1"/>
  <c r="AG54"/>
  <c r="AF54" s="1"/>
  <c r="Y54" s="1"/>
  <c r="DU54"/>
  <c r="EJ54"/>
  <c r="FB54"/>
  <c r="FQ54"/>
  <c r="GF54"/>
  <c r="HX54"/>
  <c r="IM54"/>
  <c r="KB54"/>
  <c r="KB169" s="1"/>
  <c r="AP57"/>
  <c r="AO54" s="1"/>
  <c r="AR58"/>
  <c r="AR55" s="1"/>
  <c r="AN75"/>
  <c r="IR79"/>
  <c r="JQ79"/>
  <c r="HZ157"/>
  <c r="KF157"/>
  <c r="IM260"/>
  <c r="JQ62"/>
  <c r="BQ62"/>
  <c r="BR62"/>
  <c r="BS62"/>
  <c r="BU70"/>
  <c r="BV70"/>
  <c r="BW70"/>
  <c r="BK70"/>
  <c r="BL70" s="1"/>
  <c r="AR82"/>
  <c r="AL84"/>
  <c r="AR81" s="1"/>
  <c r="AR79" s="1"/>
  <c r="AT139"/>
  <c r="AV139"/>
  <c r="E141"/>
  <c r="AX139"/>
  <c r="AM144"/>
  <c r="AZ139"/>
  <c r="AN141"/>
  <c r="AW139"/>
  <c r="AN144"/>
  <c r="AY139"/>
  <c r="X139"/>
  <c r="AM143"/>
  <c r="JN13"/>
  <c r="DT54"/>
  <c r="EI54"/>
  <c r="FA54"/>
  <c r="FP54"/>
  <c r="GE54"/>
  <c r="X62"/>
  <c r="X70"/>
  <c r="IQ79"/>
  <c r="JO79"/>
  <c r="AG87"/>
  <c r="AF87" s="1"/>
  <c r="Y87" s="1"/>
  <c r="EH122"/>
  <c r="FP122"/>
  <c r="GQ122"/>
  <c r="AR135"/>
  <c r="AR132" s="1"/>
  <c r="IX148"/>
  <c r="AR152"/>
  <c r="AR149" s="1"/>
  <c r="HX157"/>
  <c r="KD157"/>
  <c r="IK260"/>
  <c r="X157"/>
  <c r="AG131"/>
  <c r="AF131" s="1"/>
  <c r="Y131" s="1"/>
  <c r="AG105"/>
  <c r="AF105" s="1"/>
  <c r="Y105" s="1"/>
  <c r="HB46"/>
  <c r="GP46"/>
  <c r="GD46"/>
  <c r="FR46"/>
  <c r="FF46"/>
  <c r="ET46"/>
  <c r="EH46"/>
  <c r="DV46"/>
  <c r="GQ46"/>
  <c r="GE46"/>
  <c r="FS46"/>
  <c r="FG46"/>
  <c r="EU46"/>
  <c r="EI46"/>
  <c r="DW46"/>
  <c r="GR46"/>
  <c r="GF46"/>
  <c r="FT46"/>
  <c r="FH46"/>
  <c r="EV46"/>
  <c r="EJ46"/>
  <c r="EJ169" s="1"/>
  <c r="DX46"/>
  <c r="E73"/>
  <c r="AM74"/>
  <c r="AG70"/>
  <c r="AF70" s="1"/>
  <c r="Y70" s="1"/>
  <c r="AD80"/>
  <c r="AD79"/>
  <c r="AE79" s="1"/>
  <c r="AD169" s="1"/>
  <c r="AD491" s="1"/>
  <c r="BC105"/>
  <c r="BE105"/>
  <c r="BA105"/>
  <c r="BB105"/>
  <c r="AM116"/>
  <c r="AG114"/>
  <c r="AF114" s="1"/>
  <c r="Y114" s="1"/>
  <c r="J157"/>
  <c r="O157"/>
  <c r="HV176"/>
  <c r="BY176"/>
  <c r="BX401"/>
  <c r="AB390"/>
  <c r="HU401"/>
  <c r="JB13"/>
  <c r="AH29"/>
  <c r="HE13"/>
  <c r="KJ13"/>
  <c r="AN18"/>
  <c r="DS54"/>
  <c r="EH54"/>
  <c r="EZ54"/>
  <c r="FO54"/>
  <c r="GD54"/>
  <c r="JZ54"/>
  <c r="AD55"/>
  <c r="AM59"/>
  <c r="AN67"/>
  <c r="JN79"/>
  <c r="F109"/>
  <c r="AR140"/>
  <c r="E150"/>
  <c r="X148" s="1"/>
  <c r="D160"/>
  <c r="IK239"/>
  <c r="II260"/>
  <c r="JM29"/>
  <c r="JA29"/>
  <c r="JN29"/>
  <c r="JB29"/>
  <c r="KJ37"/>
  <c r="JX37"/>
  <c r="JX169" s="1"/>
  <c r="IL37"/>
  <c r="HZ37"/>
  <c r="CJ37"/>
  <c r="BX37"/>
  <c r="KK37"/>
  <c r="JY37"/>
  <c r="IM37"/>
  <c r="IA37"/>
  <c r="CK37"/>
  <c r="BY37"/>
  <c r="KD46"/>
  <c r="KD169" s="1"/>
  <c r="JR46"/>
  <c r="IF46"/>
  <c r="IF169" s="1"/>
  <c r="IF493" s="1"/>
  <c r="KE46"/>
  <c r="JS46"/>
  <c r="JS169" s="1"/>
  <c r="IG46"/>
  <c r="IG169" s="1"/>
  <c r="IG493" s="1"/>
  <c r="CK46"/>
  <c r="BY46"/>
  <c r="KF46"/>
  <c r="JT46"/>
  <c r="IH46"/>
  <c r="HV46"/>
  <c r="CL46"/>
  <c r="BZ46"/>
  <c r="AO46"/>
  <c r="X46"/>
  <c r="AM91"/>
  <c r="AN89"/>
  <c r="BU122"/>
  <c r="BW122"/>
  <c r="BK122"/>
  <c r="BL122" s="1"/>
  <c r="JQ122"/>
  <c r="BO122"/>
  <c r="BQ122"/>
  <c r="BS122"/>
  <c r="BM122"/>
  <c r="BN122" s="1"/>
  <c r="BN169" s="1"/>
  <c r="BP122"/>
  <c r="BR122"/>
  <c r="K420"/>
  <c r="AF419"/>
  <c r="AZ13"/>
  <c r="JA13"/>
  <c r="JM13"/>
  <c r="AM15"/>
  <c r="AR17"/>
  <c r="AR14" s="1"/>
  <c r="HD13"/>
  <c r="HY13"/>
  <c r="JJ13"/>
  <c r="JW13"/>
  <c r="E15"/>
  <c r="CU21"/>
  <c r="DG21"/>
  <c r="IR21"/>
  <c r="JF21"/>
  <c r="D25"/>
  <c r="AP24" s="1"/>
  <c r="AO21" s="1"/>
  <c r="AO22" s="1"/>
  <c r="BO37"/>
  <c r="JD37"/>
  <c r="BO46"/>
  <c r="DF46"/>
  <c r="DZ46"/>
  <c r="EO46"/>
  <c r="FD46"/>
  <c r="FV46"/>
  <c r="GK46"/>
  <c r="GZ46"/>
  <c r="GZ169" s="1"/>
  <c r="IZ46"/>
  <c r="JO46"/>
  <c r="AX54"/>
  <c r="AN58"/>
  <c r="AL59"/>
  <c r="AR56" s="1"/>
  <c r="BU62"/>
  <c r="JG79"/>
  <c r="X105"/>
  <c r="AL110"/>
  <c r="AR107" s="1"/>
  <c r="AR105" s="1"/>
  <c r="D118"/>
  <c r="AP117" s="1"/>
  <c r="JZ157"/>
  <c r="AB174"/>
  <c r="AD174" s="1"/>
  <c r="P174" s="1"/>
  <c r="II239"/>
  <c r="IG260"/>
  <c r="DH37"/>
  <c r="CV37"/>
  <c r="DI37"/>
  <c r="CW37"/>
  <c r="GP29"/>
  <c r="GD29"/>
  <c r="FR29"/>
  <c r="FF29"/>
  <c r="ET29"/>
  <c r="EH29"/>
  <c r="DV29"/>
  <c r="GQ29"/>
  <c r="GE29"/>
  <c r="FS29"/>
  <c r="FG29"/>
  <c r="EU29"/>
  <c r="EI29"/>
  <c r="EI169" s="1"/>
  <c r="DW29"/>
  <c r="DA62"/>
  <c r="DB62"/>
  <c r="DC62"/>
  <c r="JG70"/>
  <c r="IU70"/>
  <c r="JH70"/>
  <c r="IV70"/>
  <c r="JI70"/>
  <c r="IW70"/>
  <c r="JJ70"/>
  <c r="IX70"/>
  <c r="GN79"/>
  <c r="GB79"/>
  <c r="FP79"/>
  <c r="FD79"/>
  <c r="ER79"/>
  <c r="EF79"/>
  <c r="DT79"/>
  <c r="GP79"/>
  <c r="GD79"/>
  <c r="FR79"/>
  <c r="FF79"/>
  <c r="ET79"/>
  <c r="EH79"/>
  <c r="DV79"/>
  <c r="GQ79"/>
  <c r="GA79"/>
  <c r="FM79"/>
  <c r="EY79"/>
  <c r="EK79"/>
  <c r="DW79"/>
  <c r="GR79"/>
  <c r="GC79"/>
  <c r="FN79"/>
  <c r="EZ79"/>
  <c r="EL79"/>
  <c r="DX79"/>
  <c r="GS79"/>
  <c r="GE79"/>
  <c r="FO79"/>
  <c r="FA79"/>
  <c r="EM79"/>
  <c r="DY79"/>
  <c r="GT79"/>
  <c r="GF79"/>
  <c r="FQ79"/>
  <c r="FB79"/>
  <c r="EN79"/>
  <c r="DZ79"/>
  <c r="BG105"/>
  <c r="BI105"/>
  <c r="AY13"/>
  <c r="IY13"/>
  <c r="JK13"/>
  <c r="AW13"/>
  <c r="IX13"/>
  <c r="KI13"/>
  <c r="AM18"/>
  <c r="DD29"/>
  <c r="DE37"/>
  <c r="BY54"/>
  <c r="CQ54"/>
  <c r="DR54"/>
  <c r="EG54"/>
  <c r="EV54"/>
  <c r="FN54"/>
  <c r="GC54"/>
  <c r="GR54"/>
  <c r="IJ54"/>
  <c r="JY54"/>
  <c r="AN64"/>
  <c r="AV13"/>
  <c r="BT13"/>
  <c r="CF13"/>
  <c r="CR13"/>
  <c r="DD13"/>
  <c r="HC13"/>
  <c r="HX13"/>
  <c r="IJ13"/>
  <c r="IW13"/>
  <c r="JI13"/>
  <c r="JV13"/>
  <c r="KH13"/>
  <c r="AN17"/>
  <c r="AG21"/>
  <c r="AF21" s="1"/>
  <c r="Y21" s="1"/>
  <c r="AX21"/>
  <c r="BJ21"/>
  <c r="BJ169" s="1"/>
  <c r="BV21"/>
  <c r="CH21"/>
  <c r="CT21"/>
  <c r="DF21"/>
  <c r="IB21"/>
  <c r="IB169" s="1"/>
  <c r="IB493" s="1"/>
  <c r="IQ21"/>
  <c r="JU21"/>
  <c r="BK29"/>
  <c r="BL29" s="1"/>
  <c r="CA29"/>
  <c r="CA169" s="1"/>
  <c r="CA493" s="1"/>
  <c r="CO29"/>
  <c r="CO169" s="1"/>
  <c r="CO493" s="1"/>
  <c r="IA29"/>
  <c r="IR29"/>
  <c r="JF29"/>
  <c r="JU29"/>
  <c r="F33"/>
  <c r="AX37"/>
  <c r="CB37"/>
  <c r="CP37"/>
  <c r="DD37"/>
  <c r="HX37"/>
  <c r="IN37"/>
  <c r="JR37"/>
  <c r="KF37"/>
  <c r="E39"/>
  <c r="AX46"/>
  <c r="CB46"/>
  <c r="CP46"/>
  <c r="DE46"/>
  <c r="DY46"/>
  <c r="EN46"/>
  <c r="FC46"/>
  <c r="FU46"/>
  <c r="GJ46"/>
  <c r="GY46"/>
  <c r="GY169" s="1"/>
  <c r="II46"/>
  <c r="IY46"/>
  <c r="JN46"/>
  <c r="KG46"/>
  <c r="KG169" s="1"/>
  <c r="E48"/>
  <c r="AW54"/>
  <c r="BX54"/>
  <c r="CP54"/>
  <c r="DQ54"/>
  <c r="DQ169" s="1"/>
  <c r="EF54"/>
  <c r="EU54"/>
  <c r="FM54"/>
  <c r="GB54"/>
  <c r="GQ54"/>
  <c r="II54"/>
  <c r="JX54"/>
  <c r="KM54"/>
  <c r="AM58"/>
  <c r="BT62"/>
  <c r="CI62"/>
  <c r="DR62"/>
  <c r="EG62"/>
  <c r="EG169" s="1"/>
  <c r="EV62"/>
  <c r="FN62"/>
  <c r="GC62"/>
  <c r="IH62"/>
  <c r="IX62"/>
  <c r="KH62"/>
  <c r="AM64"/>
  <c r="D66"/>
  <c r="DW70"/>
  <c r="EM70"/>
  <c r="FG70"/>
  <c r="FW70"/>
  <c r="GQ70"/>
  <c r="HG70"/>
  <c r="HG169" s="1"/>
  <c r="AN72"/>
  <c r="BE79"/>
  <c r="CL79"/>
  <c r="DC79"/>
  <c r="IK79"/>
  <c r="JF79"/>
  <c r="BH87"/>
  <c r="CO87"/>
  <c r="HX87"/>
  <c r="KM87"/>
  <c r="DW96"/>
  <c r="FA96"/>
  <c r="IA96"/>
  <c r="KE96"/>
  <c r="AM98"/>
  <c r="BF105"/>
  <c r="CD105"/>
  <c r="IL105"/>
  <c r="IL169" s="1"/>
  <c r="IL493" s="1"/>
  <c r="JM105"/>
  <c r="X114"/>
  <c r="IC114"/>
  <c r="JF114"/>
  <c r="AN122"/>
  <c r="EB122"/>
  <c r="FD122"/>
  <c r="GL122"/>
  <c r="AU131"/>
  <c r="IU131"/>
  <c r="IR139"/>
  <c r="AU148"/>
  <c r="IR148"/>
  <c r="CM157"/>
  <c r="JX157"/>
  <c r="AO159"/>
  <c r="IG239"/>
  <c r="HW260"/>
  <c r="JK21"/>
  <c r="IY21"/>
  <c r="JL21"/>
  <c r="IZ21"/>
  <c r="DH29"/>
  <c r="CV29"/>
  <c r="DI29"/>
  <c r="CW29"/>
  <c r="CW169" s="1"/>
  <c r="JK37"/>
  <c r="IY37"/>
  <c r="JL37"/>
  <c r="IZ37"/>
  <c r="KK21"/>
  <c r="JY21"/>
  <c r="JY169" s="1"/>
  <c r="IL21"/>
  <c r="HZ21"/>
  <c r="KL21"/>
  <c r="KL169" s="1"/>
  <c r="JZ21"/>
  <c r="JZ169" s="1"/>
  <c r="IM21"/>
  <c r="IM169" s="1"/>
  <c r="IM493" s="1"/>
  <c r="IA21"/>
  <c r="IA169" s="1"/>
  <c r="IA493" s="1"/>
  <c r="KL29"/>
  <c r="JZ29"/>
  <c r="IN29"/>
  <c r="IN169" s="1"/>
  <c r="IN493" s="1"/>
  <c r="IB29"/>
  <c r="CJ29"/>
  <c r="BX29"/>
  <c r="AN29"/>
  <c r="KM29"/>
  <c r="KM169" s="1"/>
  <c r="KA29"/>
  <c r="KA169" s="1"/>
  <c r="IO29"/>
  <c r="IO169" s="1"/>
  <c r="IO493" s="1"/>
  <c r="IC29"/>
  <c r="IC169" s="1"/>
  <c r="IC493" s="1"/>
  <c r="CK29"/>
  <c r="BY29"/>
  <c r="BY169" s="1"/>
  <c r="BY493" s="1"/>
  <c r="AR41"/>
  <c r="AP40"/>
  <c r="AZ37"/>
  <c r="AN37"/>
  <c r="AP42"/>
  <c r="AS39" s="1"/>
  <c r="AS40" s="1"/>
  <c r="AO37"/>
  <c r="AO38" s="1"/>
  <c r="BA46"/>
  <c r="BA169" s="1"/>
  <c r="BB46"/>
  <c r="GU62"/>
  <c r="GI62"/>
  <c r="FW62"/>
  <c r="FK62"/>
  <c r="EY62"/>
  <c r="EM62"/>
  <c r="EA62"/>
  <c r="DO62"/>
  <c r="GV62"/>
  <c r="GJ62"/>
  <c r="FX62"/>
  <c r="FL62"/>
  <c r="EZ62"/>
  <c r="EN62"/>
  <c r="EB62"/>
  <c r="DP62"/>
  <c r="GK62"/>
  <c r="FY62"/>
  <c r="FM62"/>
  <c r="FA62"/>
  <c r="EO62"/>
  <c r="EC62"/>
  <c r="DQ62"/>
  <c r="JD62"/>
  <c r="IR62"/>
  <c r="JE62"/>
  <c r="IS62"/>
  <c r="JF62"/>
  <c r="IT62"/>
  <c r="KL79"/>
  <c r="JZ79"/>
  <c r="IL79"/>
  <c r="HZ79"/>
  <c r="KB79"/>
  <c r="IN79"/>
  <c r="IB79"/>
  <c r="CJ79"/>
  <c r="BX79"/>
  <c r="AP81"/>
  <c r="AP80" s="1"/>
  <c r="AP84" s="1"/>
  <c r="AS81" s="1"/>
  <c r="AS82" s="1"/>
  <c r="JY79"/>
  <c r="IE79"/>
  <c r="CR79"/>
  <c r="CE79"/>
  <c r="KA79"/>
  <c r="IF79"/>
  <c r="CF79"/>
  <c r="KC79"/>
  <c r="IG79"/>
  <c r="CG79"/>
  <c r="KD79"/>
  <c r="IH79"/>
  <c r="CH79"/>
  <c r="GL96"/>
  <c r="FZ96"/>
  <c r="FN96"/>
  <c r="FB96"/>
  <c r="EP96"/>
  <c r="ED96"/>
  <c r="DR96"/>
  <c r="GN96"/>
  <c r="GB96"/>
  <c r="FP96"/>
  <c r="FD96"/>
  <c r="ER96"/>
  <c r="EF96"/>
  <c r="DT96"/>
  <c r="GT96"/>
  <c r="GH96"/>
  <c r="FV96"/>
  <c r="FJ96"/>
  <c r="EX96"/>
  <c r="EL96"/>
  <c r="DZ96"/>
  <c r="GV96"/>
  <c r="GJ96"/>
  <c r="FX96"/>
  <c r="FL96"/>
  <c r="EZ96"/>
  <c r="EN96"/>
  <c r="EB96"/>
  <c r="DP96"/>
  <c r="GU96"/>
  <c r="GD96"/>
  <c r="FK96"/>
  <c r="ET96"/>
  <c r="EA96"/>
  <c r="GE96"/>
  <c r="FM96"/>
  <c r="EU96"/>
  <c r="EC96"/>
  <c r="GF96"/>
  <c r="FO96"/>
  <c r="EV96"/>
  <c r="EE96"/>
  <c r="GG96"/>
  <c r="FQ96"/>
  <c r="EW96"/>
  <c r="EG96"/>
  <c r="D126"/>
  <c r="AP125" s="1"/>
  <c r="AO122" s="1"/>
  <c r="AO123" s="1"/>
  <c r="D125"/>
  <c r="AF309"/>
  <c r="K310"/>
  <c r="DJ169"/>
  <c r="JO13"/>
  <c r="GN13"/>
  <c r="HF13"/>
  <c r="IZ13"/>
  <c r="JL13"/>
  <c r="AX13"/>
  <c r="HZ169"/>
  <c r="HZ493" s="1"/>
  <c r="CV21"/>
  <c r="DH21"/>
  <c r="AG29"/>
  <c r="AF29" s="1"/>
  <c r="Y29" s="1"/>
  <c r="AG37"/>
  <c r="AF37" s="1"/>
  <c r="Y37" s="1"/>
  <c r="AG46"/>
  <c r="AF46" s="1"/>
  <c r="Y46" s="1"/>
  <c r="BU13"/>
  <c r="CG13"/>
  <c r="CS13"/>
  <c r="DE13"/>
  <c r="IK13"/>
  <c r="BK21"/>
  <c r="BL21" s="1"/>
  <c r="BW21"/>
  <c r="AU13"/>
  <c r="CE13"/>
  <c r="CQ13"/>
  <c r="HW13"/>
  <c r="II13"/>
  <c r="IV13"/>
  <c r="JU13"/>
  <c r="AW21"/>
  <c r="CS21"/>
  <c r="JD21"/>
  <c r="AO24"/>
  <c r="DB29"/>
  <c r="IQ29"/>
  <c r="JE29"/>
  <c r="D33"/>
  <c r="AP32" s="1"/>
  <c r="AO29" s="1"/>
  <c r="AO30" s="1"/>
  <c r="BK37"/>
  <c r="BL37" s="1"/>
  <c r="CA37"/>
  <c r="CO37"/>
  <c r="DC37"/>
  <c r="HW37"/>
  <c r="IK37"/>
  <c r="JB37"/>
  <c r="JQ37"/>
  <c r="KE37"/>
  <c r="KE169" s="1"/>
  <c r="AW46"/>
  <c r="BK46"/>
  <c r="CA46"/>
  <c r="CO46"/>
  <c r="DD46"/>
  <c r="DU46"/>
  <c r="DU169" s="1"/>
  <c r="EM46"/>
  <c r="FB46"/>
  <c r="FQ46"/>
  <c r="GI46"/>
  <c r="GX46"/>
  <c r="IE46"/>
  <c r="IE169" s="1"/>
  <c r="IE493" s="1"/>
  <c r="IX46"/>
  <c r="JM46"/>
  <c r="KC46"/>
  <c r="KC169" s="1"/>
  <c r="AP49"/>
  <c r="AR50"/>
  <c r="AR47" s="1"/>
  <c r="X54"/>
  <c r="AV54"/>
  <c r="CL54"/>
  <c r="DP54"/>
  <c r="EE54"/>
  <c r="EE169" s="1"/>
  <c r="ET54"/>
  <c r="FL54"/>
  <c r="GA54"/>
  <c r="GP54"/>
  <c r="IH54"/>
  <c r="JW54"/>
  <c r="KL54"/>
  <c r="AP56"/>
  <c r="AP55" s="1"/>
  <c r="AP59" s="1"/>
  <c r="AS56" s="1"/>
  <c r="AS57" s="1"/>
  <c r="BP62"/>
  <c r="CH62"/>
  <c r="ID62"/>
  <c r="ID169" s="1"/>
  <c r="ID493" s="1"/>
  <c r="KD62"/>
  <c r="DR70"/>
  <c r="EL70"/>
  <c r="FB70"/>
  <c r="FV70"/>
  <c r="GL70"/>
  <c r="HF70"/>
  <c r="JQ70"/>
  <c r="AN79"/>
  <c r="BD79"/>
  <c r="DB79"/>
  <c r="JE79"/>
  <c r="BA87"/>
  <c r="CM87"/>
  <c r="CM169" s="1"/>
  <c r="CM493" s="1"/>
  <c r="DF87"/>
  <c r="HW87"/>
  <c r="IO87"/>
  <c r="KL87"/>
  <c r="AR91"/>
  <c r="AR88" s="1"/>
  <c r="HZ96"/>
  <c r="JY96"/>
  <c r="AN101"/>
  <c r="BD105"/>
  <c r="CB105"/>
  <c r="IJ105"/>
  <c r="JL105"/>
  <c r="IA114"/>
  <c r="JD114"/>
  <c r="AG122"/>
  <c r="DZ122"/>
  <c r="FB122"/>
  <c r="GJ122"/>
  <c r="IS131"/>
  <c r="F152"/>
  <c r="AO149" s="1"/>
  <c r="CK157"/>
  <c r="JV157"/>
  <c r="AM159"/>
  <c r="IE239"/>
  <c r="HU260"/>
  <c r="K337"/>
  <c r="BD96"/>
  <c r="BF96"/>
  <c r="JG96"/>
  <c r="IU96"/>
  <c r="JI96"/>
  <c r="IW96"/>
  <c r="JO96"/>
  <c r="JC96"/>
  <c r="IQ96"/>
  <c r="JE96"/>
  <c r="IS96"/>
  <c r="AU105"/>
  <c r="AW105"/>
  <c r="AM110"/>
  <c r="AN107"/>
  <c r="BP131"/>
  <c r="BR131"/>
  <c r="JQ131"/>
  <c r="BT131"/>
  <c r="BV131"/>
  <c r="AF433"/>
  <c r="K434"/>
  <c r="IK139"/>
  <c r="KI139"/>
  <c r="F101"/>
  <c r="F100"/>
  <c r="BI122"/>
  <c r="BG122"/>
  <c r="KG131"/>
  <c r="JU131"/>
  <c r="II131"/>
  <c r="HW131"/>
  <c r="CJ131"/>
  <c r="BX131"/>
  <c r="KI131"/>
  <c r="JW131"/>
  <c r="IK131"/>
  <c r="HY131"/>
  <c r="CL131"/>
  <c r="BZ131"/>
  <c r="KK131"/>
  <c r="KK169" s="1"/>
  <c r="JY131"/>
  <c r="IM131"/>
  <c r="IA131"/>
  <c r="CN131"/>
  <c r="CB131"/>
  <c r="KM131"/>
  <c r="KA131"/>
  <c r="IO131"/>
  <c r="IC131"/>
  <c r="CP131"/>
  <c r="CD131"/>
  <c r="KC131"/>
  <c r="IE131"/>
  <c r="CR131"/>
  <c r="CF131"/>
  <c r="KE131"/>
  <c r="JS131"/>
  <c r="IG131"/>
  <c r="CH131"/>
  <c r="CH169" s="1"/>
  <c r="CH493" s="1"/>
  <c r="K272"/>
  <c r="AF271"/>
  <c r="CI70"/>
  <c r="CU70"/>
  <c r="DG70"/>
  <c r="HX70"/>
  <c r="IJ70"/>
  <c r="JX70"/>
  <c r="KJ70"/>
  <c r="BT79"/>
  <c r="EA87"/>
  <c r="EO87"/>
  <c r="FC87"/>
  <c r="FQ87"/>
  <c r="GE87"/>
  <c r="JH96"/>
  <c r="AR109"/>
  <c r="AR106" s="1"/>
  <c r="DS114"/>
  <c r="EM114"/>
  <c r="FG114"/>
  <c r="GB114"/>
  <c r="II139"/>
  <c r="KG139"/>
  <c r="DW148"/>
  <c r="EU148"/>
  <c r="FS148"/>
  <c r="AN160"/>
  <c r="AN161" s="1"/>
  <c r="AM100"/>
  <c r="AV96"/>
  <c r="AM101"/>
  <c r="E98"/>
  <c r="X96" s="1"/>
  <c r="AX96"/>
  <c r="AT96"/>
  <c r="DE122"/>
  <c r="CS122"/>
  <c r="DG122"/>
  <c r="CU122"/>
  <c r="DK122"/>
  <c r="DK169" s="1"/>
  <c r="CY122"/>
  <c r="DA122"/>
  <c r="DC122"/>
  <c r="BB131"/>
  <c r="BD131"/>
  <c r="BF131"/>
  <c r="BR139"/>
  <c r="BT139"/>
  <c r="BV139"/>
  <c r="BP139"/>
  <c r="GJ148"/>
  <c r="FX148"/>
  <c r="FL148"/>
  <c r="EZ148"/>
  <c r="EN148"/>
  <c r="EB148"/>
  <c r="DP148"/>
  <c r="GL148"/>
  <c r="FZ148"/>
  <c r="FN148"/>
  <c r="FB148"/>
  <c r="EP148"/>
  <c r="ED148"/>
  <c r="DR148"/>
  <c r="GN148"/>
  <c r="GB148"/>
  <c r="FP148"/>
  <c r="FD148"/>
  <c r="ER148"/>
  <c r="EF148"/>
  <c r="DT148"/>
  <c r="GP148"/>
  <c r="GD148"/>
  <c r="FR148"/>
  <c r="FF148"/>
  <c r="ET148"/>
  <c r="EH148"/>
  <c r="DV148"/>
  <c r="GR148"/>
  <c r="GF148"/>
  <c r="FT148"/>
  <c r="FH148"/>
  <c r="EV148"/>
  <c r="EJ148"/>
  <c r="DX148"/>
  <c r="GT148"/>
  <c r="GH148"/>
  <c r="FV148"/>
  <c r="FJ148"/>
  <c r="EX148"/>
  <c r="EL148"/>
  <c r="DZ148"/>
  <c r="IF298"/>
  <c r="IH298"/>
  <c r="HV298"/>
  <c r="IJ298"/>
  <c r="HX298"/>
  <c r="IL298"/>
  <c r="HZ298"/>
  <c r="IN298"/>
  <c r="IB298"/>
  <c r="IP298"/>
  <c r="ID298"/>
  <c r="CH70"/>
  <c r="CT70"/>
  <c r="CT169" s="1"/>
  <c r="HW70"/>
  <c r="II70"/>
  <c r="JW70"/>
  <c r="KI70"/>
  <c r="DY87"/>
  <c r="EN87"/>
  <c r="FB87"/>
  <c r="FP87"/>
  <c r="GD87"/>
  <c r="AM89"/>
  <c r="D91"/>
  <c r="JF96"/>
  <c r="AZ105"/>
  <c r="DQ114"/>
  <c r="EK114"/>
  <c r="FE114"/>
  <c r="CC131"/>
  <c r="IB131"/>
  <c r="JZ131"/>
  <c r="IG139"/>
  <c r="GR87"/>
  <c r="GF87"/>
  <c r="FT87"/>
  <c r="FH87"/>
  <c r="EV87"/>
  <c r="EJ87"/>
  <c r="DX87"/>
  <c r="GT87"/>
  <c r="GH87"/>
  <c r="FV87"/>
  <c r="FJ87"/>
  <c r="EX87"/>
  <c r="EL87"/>
  <c r="DZ87"/>
  <c r="GJ114"/>
  <c r="FX114"/>
  <c r="FL114"/>
  <c r="EZ114"/>
  <c r="EN114"/>
  <c r="EB114"/>
  <c r="DP114"/>
  <c r="GL114"/>
  <c r="FZ114"/>
  <c r="FZ169" s="1"/>
  <c r="FN114"/>
  <c r="FB114"/>
  <c r="EP114"/>
  <c r="ED114"/>
  <c r="DR114"/>
  <c r="GP114"/>
  <c r="GD114"/>
  <c r="FR114"/>
  <c r="FF114"/>
  <c r="ET114"/>
  <c r="EH114"/>
  <c r="DV114"/>
  <c r="GR114"/>
  <c r="GF114"/>
  <c r="FT114"/>
  <c r="FH114"/>
  <c r="EV114"/>
  <c r="EJ114"/>
  <c r="DX114"/>
  <c r="GT114"/>
  <c r="GH114"/>
  <c r="FV114"/>
  <c r="FJ114"/>
  <c r="EX114"/>
  <c r="EL114"/>
  <c r="DZ114"/>
  <c r="KF139"/>
  <c r="JT139"/>
  <c r="IH139"/>
  <c r="HV139"/>
  <c r="CP139"/>
  <c r="CD139"/>
  <c r="KH139"/>
  <c r="JV139"/>
  <c r="IJ139"/>
  <c r="HX139"/>
  <c r="CR139"/>
  <c r="CF139"/>
  <c r="KJ139"/>
  <c r="JX139"/>
  <c r="IL139"/>
  <c r="HZ139"/>
  <c r="CH139"/>
  <c r="KL139"/>
  <c r="JZ139"/>
  <c r="IN139"/>
  <c r="IB139"/>
  <c r="CJ139"/>
  <c r="BX139"/>
  <c r="KB139"/>
  <c r="ID139"/>
  <c r="CL139"/>
  <c r="BZ139"/>
  <c r="KD139"/>
  <c r="JR139"/>
  <c r="IF139"/>
  <c r="CN139"/>
  <c r="CB139"/>
  <c r="BR148"/>
  <c r="BT148"/>
  <c r="BV148"/>
  <c r="BP148"/>
  <c r="CG70"/>
  <c r="HV70"/>
  <c r="IH70"/>
  <c r="JV70"/>
  <c r="D83"/>
  <c r="AP82" s="1"/>
  <c r="AO79" s="1"/>
  <c r="AO80" s="1"/>
  <c r="BE96"/>
  <c r="JD96"/>
  <c r="D108"/>
  <c r="DS148"/>
  <c r="EQ148"/>
  <c r="FO148"/>
  <c r="GM148"/>
  <c r="AL162"/>
  <c r="AR159" s="1"/>
  <c r="AN162"/>
  <c r="HU298"/>
  <c r="DA105"/>
  <c r="DO105"/>
  <c r="EA105"/>
  <c r="EM105"/>
  <c r="EY105"/>
  <c r="FK105"/>
  <c r="FW105"/>
  <c r="GI105"/>
  <c r="CE122"/>
  <c r="CQ122"/>
  <c r="HW122"/>
  <c r="II122"/>
  <c r="IV122"/>
  <c r="JH122"/>
  <c r="JW122"/>
  <c r="KI122"/>
  <c r="BJ131"/>
  <c r="CT131"/>
  <c r="DF131"/>
  <c r="DR131"/>
  <c r="ED131"/>
  <c r="EP131"/>
  <c r="FB131"/>
  <c r="FN131"/>
  <c r="FZ131"/>
  <c r="GL131"/>
  <c r="GX131"/>
  <c r="CB148"/>
  <c r="CN148"/>
  <c r="IF148"/>
  <c r="JR148"/>
  <c r="KE148"/>
  <c r="FJ157"/>
  <c r="FV157"/>
  <c r="GH157"/>
  <c r="GT157"/>
  <c r="E159"/>
  <c r="IA271"/>
  <c r="IM271"/>
  <c r="IE373"/>
  <c r="CY105"/>
  <c r="DY105"/>
  <c r="EK105"/>
  <c r="EW105"/>
  <c r="FI105"/>
  <c r="FU105"/>
  <c r="GG105"/>
  <c r="GS105"/>
  <c r="CC122"/>
  <c r="CO122"/>
  <c r="IG122"/>
  <c r="IT122"/>
  <c r="JF122"/>
  <c r="JU122"/>
  <c r="DP131"/>
  <c r="EB131"/>
  <c r="EN131"/>
  <c r="EZ131"/>
  <c r="FL131"/>
  <c r="FX131"/>
  <c r="GJ131"/>
  <c r="GV131"/>
  <c r="HH131"/>
  <c r="HH169" s="1"/>
  <c r="BZ148"/>
  <c r="CL148"/>
  <c r="ID148"/>
  <c r="KC148"/>
  <c r="D153"/>
  <c r="FH157"/>
  <c r="FT157"/>
  <c r="GF157"/>
  <c r="GR157"/>
  <c r="AM161"/>
  <c r="HY271"/>
  <c r="IK271"/>
  <c r="IC373"/>
  <c r="IO373"/>
  <c r="CV139"/>
  <c r="BX148"/>
  <c r="CJ148"/>
  <c r="CV148"/>
  <c r="IB148"/>
  <c r="IN148"/>
  <c r="KA148"/>
  <c r="KM148"/>
  <c r="AN157"/>
  <c r="AZ157"/>
  <c r="DV157"/>
  <c r="EH157"/>
  <c r="ET157"/>
  <c r="FF157"/>
  <c r="FR157"/>
  <c r="GD157"/>
  <c r="GP157"/>
  <c r="HW271"/>
  <c r="II271"/>
  <c r="IA373"/>
  <c r="IM373"/>
  <c r="DS105"/>
  <c r="EE105"/>
  <c r="EQ105"/>
  <c r="FC105"/>
  <c r="FO105"/>
  <c r="GA105"/>
  <c r="GM105"/>
  <c r="AV114"/>
  <c r="E116"/>
  <c r="AM119"/>
  <c r="IZ122"/>
  <c r="JL122"/>
  <c r="DV131"/>
  <c r="EH131"/>
  <c r="ET131"/>
  <c r="FF131"/>
  <c r="FR131"/>
  <c r="GD131"/>
  <c r="GP131"/>
  <c r="HB131"/>
  <c r="CF148"/>
  <c r="CR148"/>
  <c r="HX148"/>
  <c r="IJ148"/>
  <c r="JW148"/>
  <c r="KI148"/>
  <c r="IC249"/>
  <c r="IE271"/>
  <c r="HW373"/>
  <c r="DQ105"/>
  <c r="EC105"/>
  <c r="EO105"/>
  <c r="FA105"/>
  <c r="FM105"/>
  <c r="FY105"/>
  <c r="AT114"/>
  <c r="IX122"/>
  <c r="DT131"/>
  <c r="EF131"/>
  <c r="ER131"/>
  <c r="FD131"/>
  <c r="FP131"/>
  <c r="GB131"/>
  <c r="GN131"/>
  <c r="CD148"/>
  <c r="CP148"/>
  <c r="HV148"/>
  <c r="IH148"/>
  <c r="JU148"/>
  <c r="AR161"/>
  <c r="AR158" s="1"/>
  <c r="IC271"/>
  <c r="AP162" l="1"/>
  <c r="AS159" s="1"/>
  <c r="AS160" s="1"/>
  <c r="JR169"/>
  <c r="JR491" s="1"/>
  <c r="AR139"/>
  <c r="JO169"/>
  <c r="GB169"/>
  <c r="FR169"/>
  <c r="FF169"/>
  <c r="BZ169"/>
  <c r="BZ493" s="1"/>
  <c r="FE169"/>
  <c r="BW169"/>
  <c r="BP169"/>
  <c r="CY169"/>
  <c r="EB169"/>
  <c r="HD169"/>
  <c r="ES169"/>
  <c r="BM169"/>
  <c r="HB169"/>
  <c r="AY169"/>
  <c r="HC169"/>
  <c r="CK169"/>
  <c r="CK493" s="1"/>
  <c r="GL169"/>
  <c r="DZ169"/>
  <c r="DV169"/>
  <c r="EP169"/>
  <c r="ED169"/>
  <c r="GM169"/>
  <c r="BB169"/>
  <c r="JQ169"/>
  <c r="CB169"/>
  <c r="CB493" s="1"/>
  <c r="BQ169"/>
  <c r="GA169"/>
  <c r="CI169"/>
  <c r="CI493" s="1"/>
  <c r="FU169"/>
  <c r="FI169"/>
  <c r="GG169"/>
  <c r="CC169"/>
  <c r="CC493" s="1"/>
  <c r="BG169"/>
  <c r="EF169"/>
  <c r="FD169"/>
  <c r="DT169"/>
  <c r="JH169"/>
  <c r="BF169"/>
  <c r="FL169"/>
  <c r="DR169"/>
  <c r="EU169"/>
  <c r="GJ169"/>
  <c r="EW169"/>
  <c r="BC169"/>
  <c r="DY169"/>
  <c r="FT169"/>
  <c r="GF169"/>
  <c r="FH169"/>
  <c r="FC169"/>
  <c r="FJ169"/>
  <c r="EX169"/>
  <c r="GD169"/>
  <c r="EO169"/>
  <c r="BD169"/>
  <c r="BE169"/>
  <c r="CL169"/>
  <c r="CL493" s="1"/>
  <c r="FP169"/>
  <c r="DF169"/>
  <c r="DX169"/>
  <c r="GS169"/>
  <c r="GC169"/>
  <c r="AP79"/>
  <c r="JA169"/>
  <c r="FB169"/>
  <c r="EQ169"/>
  <c r="FG169"/>
  <c r="EL169"/>
  <c r="GO169"/>
  <c r="CU169"/>
  <c r="DW169"/>
  <c r="DG169"/>
  <c r="EY169"/>
  <c r="EM169"/>
  <c r="FN169"/>
  <c r="EA169"/>
  <c r="FM169"/>
  <c r="FX169"/>
  <c r="GI169"/>
  <c r="JD169"/>
  <c r="EC169"/>
  <c r="DO169"/>
  <c r="DA169"/>
  <c r="EN169"/>
  <c r="EV169"/>
  <c r="FY169"/>
  <c r="DP169"/>
  <c r="JE169"/>
  <c r="GV169"/>
  <c r="FW169"/>
  <c r="BU169"/>
  <c r="GK169"/>
  <c r="FK169"/>
  <c r="BS169"/>
  <c r="GR169"/>
  <c r="CN169"/>
  <c r="CN493" s="1"/>
  <c r="DS169"/>
  <c r="FQ169"/>
  <c r="EZ169"/>
  <c r="GE169"/>
  <c r="EK169"/>
  <c r="FO169"/>
  <c r="GP169"/>
  <c r="FA169"/>
  <c r="GH169"/>
  <c r="BX169"/>
  <c r="BX493" s="1"/>
  <c r="FV169"/>
  <c r="ET169"/>
  <c r="EH169"/>
  <c r="IS169"/>
  <c r="BI169"/>
  <c r="GQ169"/>
  <c r="BO169"/>
  <c r="FS169"/>
  <c r="ER169"/>
  <c r="DC169"/>
  <c r="DE169"/>
  <c r="AX169"/>
  <c r="DI169"/>
  <c r="CJ169"/>
  <c r="CJ493" s="1"/>
  <c r="IR169"/>
  <c r="CV169"/>
  <c r="BH169"/>
  <c r="BG172" s="1"/>
  <c r="IY169"/>
  <c r="DH169"/>
  <c r="JK169"/>
  <c r="BV169"/>
  <c r="X26"/>
  <c r="S21" s="1"/>
  <c r="BA172"/>
  <c r="AF13"/>
  <c r="Y13" s="1"/>
  <c r="AS13"/>
  <c r="X34"/>
  <c r="S29" s="1"/>
  <c r="T29" s="1"/>
  <c r="X42"/>
  <c r="S37" s="1"/>
  <c r="T37" s="1"/>
  <c r="AH37"/>
  <c r="X18"/>
  <c r="S13" s="1"/>
  <c r="AB13" s="1"/>
  <c r="AH148"/>
  <c r="X153"/>
  <c r="S148" s="1"/>
  <c r="AH96"/>
  <c r="X101"/>
  <c r="AQ79"/>
  <c r="AN142"/>
  <c r="AO142"/>
  <c r="J29"/>
  <c r="O29"/>
  <c r="IV169"/>
  <c r="AU169"/>
  <c r="CF169"/>
  <c r="CF493" s="1"/>
  <c r="AW169"/>
  <c r="HY169"/>
  <c r="HY493" s="1"/>
  <c r="HE169"/>
  <c r="KF169"/>
  <c r="CP169"/>
  <c r="CP493" s="1"/>
  <c r="X59"/>
  <c r="S54" s="1"/>
  <c r="AH54"/>
  <c r="AS29"/>
  <c r="Z29"/>
  <c r="AR38"/>
  <c r="AR37" s="1"/>
  <c r="AS41" s="1"/>
  <c r="X67"/>
  <c r="S62" s="1"/>
  <c r="AH62"/>
  <c r="AO153"/>
  <c r="AP152" s="1"/>
  <c r="AO152"/>
  <c r="AP150"/>
  <c r="AP149" s="1"/>
  <c r="AP153" s="1"/>
  <c r="AS150" s="1"/>
  <c r="AS151" s="1"/>
  <c r="J62"/>
  <c r="O62"/>
  <c r="JU169"/>
  <c r="CE169"/>
  <c r="CE493" s="1"/>
  <c r="GN169"/>
  <c r="CR169"/>
  <c r="CR493" s="1"/>
  <c r="JJ169"/>
  <c r="JM169"/>
  <c r="KJ169"/>
  <c r="AS83"/>
  <c r="AS80" s="1"/>
  <c r="JC169"/>
  <c r="DB169"/>
  <c r="AP41"/>
  <c r="AS37"/>
  <c r="Z37"/>
  <c r="AN73"/>
  <c r="AO73"/>
  <c r="AN90"/>
  <c r="AO90"/>
  <c r="X75"/>
  <c r="S70" s="1"/>
  <c r="AH70"/>
  <c r="AL136"/>
  <c r="AR133" s="1"/>
  <c r="AR131" s="1"/>
  <c r="I131"/>
  <c r="HW169"/>
  <c r="HW493" s="1"/>
  <c r="AP160"/>
  <c r="CQ169"/>
  <c r="CQ493" s="1"/>
  <c r="HF169"/>
  <c r="DD169"/>
  <c r="AR54"/>
  <c r="AS58" s="1"/>
  <c r="JW169"/>
  <c r="AO16"/>
  <c r="AP119"/>
  <c r="AS116" s="1"/>
  <c r="AS117" s="1"/>
  <c r="AR46"/>
  <c r="AR122"/>
  <c r="AR62"/>
  <c r="AR13"/>
  <c r="AS122"/>
  <c r="Z122"/>
  <c r="AS46"/>
  <c r="Z46"/>
  <c r="JN169"/>
  <c r="GT169"/>
  <c r="AR157"/>
  <c r="AS161" s="1"/>
  <c r="IZ169"/>
  <c r="AP37"/>
  <c r="HX169"/>
  <c r="HX493" s="1"/>
  <c r="IX169"/>
  <c r="IT169"/>
  <c r="AP96"/>
  <c r="AP101"/>
  <c r="AS98" s="1"/>
  <c r="AS99" s="1"/>
  <c r="X162"/>
  <c r="S157" s="1"/>
  <c r="AH157"/>
  <c r="X136"/>
  <c r="S131" s="1"/>
  <c r="AH131"/>
  <c r="AO127"/>
  <c r="AP126" s="1"/>
  <c r="AO126"/>
  <c r="AP124"/>
  <c r="AP123" s="1"/>
  <c r="AP127" s="1"/>
  <c r="AS124" s="1"/>
  <c r="AS125" s="1"/>
  <c r="AO34"/>
  <c r="AP33" s="1"/>
  <c r="AP31"/>
  <c r="AP30" s="1"/>
  <c r="AP34" s="1"/>
  <c r="AS31" s="1"/>
  <c r="AS32" s="1"/>
  <c r="AO31"/>
  <c r="AO33"/>
  <c r="CG169"/>
  <c r="CG493" s="1"/>
  <c r="JL169"/>
  <c r="IJ169"/>
  <c r="IJ493" s="1"/>
  <c r="KI169"/>
  <c r="AO150"/>
  <c r="JF169"/>
  <c r="AO134"/>
  <c r="AN65"/>
  <c r="AO65"/>
  <c r="AQ114"/>
  <c r="AO26"/>
  <c r="AP25" s="1"/>
  <c r="AO23"/>
  <c r="AP23"/>
  <c r="AP22" s="1"/>
  <c r="AP21" s="1"/>
  <c r="AO25"/>
  <c r="Z114"/>
  <c r="AS114"/>
  <c r="Z131"/>
  <c r="AS131"/>
  <c r="AS87"/>
  <c r="Z87"/>
  <c r="J139"/>
  <c r="O139"/>
  <c r="AO100"/>
  <c r="AO101"/>
  <c r="AP100" s="1"/>
  <c r="AO98"/>
  <c r="J13"/>
  <c r="O13"/>
  <c r="AO58"/>
  <c r="AO59"/>
  <c r="AP58" s="1"/>
  <c r="GX169"/>
  <c r="CS169"/>
  <c r="IW169"/>
  <c r="AR148"/>
  <c r="GU169"/>
  <c r="BK169"/>
  <c r="AR21"/>
  <c r="I96"/>
  <c r="AL101"/>
  <c r="AR98" s="1"/>
  <c r="AR96" s="1"/>
  <c r="AN108"/>
  <c r="AO108"/>
  <c r="X110"/>
  <c r="S105" s="1"/>
  <c r="AH105"/>
  <c r="AS62"/>
  <c r="Z62"/>
  <c r="JI169"/>
  <c r="AO47"/>
  <c r="JB169"/>
  <c r="AR97"/>
  <c r="AF122"/>
  <c r="Y122" s="1"/>
  <c r="HV169"/>
  <c r="HV493" s="1"/>
  <c r="AR70"/>
  <c r="AH139"/>
  <c r="X144"/>
  <c r="S139" s="1"/>
  <c r="AH122"/>
  <c r="X127"/>
  <c r="S122" s="1"/>
  <c r="X92"/>
  <c r="S87" s="1"/>
  <c r="AH87"/>
  <c r="Z139"/>
  <c r="AS139"/>
  <c r="O70"/>
  <c r="J70"/>
  <c r="AS33"/>
  <c r="IP493"/>
  <c r="IH169"/>
  <c r="IH493" s="1"/>
  <c r="AT169"/>
  <c r="AG96"/>
  <c r="AS105"/>
  <c r="Z105"/>
  <c r="Z157"/>
  <c r="AS157"/>
  <c r="AS79"/>
  <c r="Z79"/>
  <c r="IK169"/>
  <c r="IK493" s="1"/>
  <c r="KH169"/>
  <c r="AZ169"/>
  <c r="AR87"/>
  <c r="IU169"/>
  <c r="S96"/>
  <c r="AH114"/>
  <c r="X119"/>
  <c r="S114" s="1"/>
  <c r="AH46"/>
  <c r="X51"/>
  <c r="S46" s="1"/>
  <c r="AS70"/>
  <c r="Z70"/>
  <c r="Z54"/>
  <c r="AS54"/>
  <c r="AV169"/>
  <c r="AO124"/>
  <c r="AO55"/>
  <c r="AP54" s="1"/>
  <c r="AO49"/>
  <c r="JG169"/>
  <c r="BR169"/>
  <c r="AP83"/>
  <c r="Z21"/>
  <c r="AS21"/>
  <c r="X84"/>
  <c r="S79" s="1"/>
  <c r="AH79"/>
  <c r="Z148"/>
  <c r="AS148"/>
  <c r="I114"/>
  <c r="AL119"/>
  <c r="AR116" s="1"/>
  <c r="AR115"/>
  <c r="JV169"/>
  <c r="II169"/>
  <c r="II493" s="1"/>
  <c r="BT169"/>
  <c r="JT169"/>
  <c r="JS491" s="1"/>
  <c r="CD169"/>
  <c r="CD493" s="1"/>
  <c r="IQ169"/>
  <c r="AO119"/>
  <c r="AP118" s="1"/>
  <c r="BP493" l="1"/>
  <c r="AR114"/>
  <c r="AS118" s="1"/>
  <c r="AS115" s="1"/>
  <c r="AS100"/>
  <c r="DO172"/>
  <c r="BX497"/>
  <c r="CS172"/>
  <c r="AP26"/>
  <c r="AS23" s="1"/>
  <c r="AS24" s="1"/>
  <c r="AS25" s="1"/>
  <c r="AS22" s="1"/>
  <c r="T21"/>
  <c r="AB21"/>
  <c r="AC21" s="1"/>
  <c r="BO493"/>
  <c r="DO491"/>
  <c r="AB29"/>
  <c r="AC29" s="1"/>
  <c r="AB37"/>
  <c r="HU37" s="1"/>
  <c r="T13"/>
  <c r="AQ21"/>
  <c r="AO136"/>
  <c r="AP135" s="1"/>
  <c r="AO135"/>
  <c r="AO133"/>
  <c r="AP133"/>
  <c r="AP132" s="1"/>
  <c r="AP65"/>
  <c r="AO62" s="1"/>
  <c r="AN66"/>
  <c r="AP73"/>
  <c r="AO70" s="1"/>
  <c r="AN74"/>
  <c r="T148"/>
  <c r="AB148"/>
  <c r="T62"/>
  <c r="AB62"/>
  <c r="AP122"/>
  <c r="AO74"/>
  <c r="AP72"/>
  <c r="AP71" s="1"/>
  <c r="AP75" s="1"/>
  <c r="AS72" s="1"/>
  <c r="AS73" s="1"/>
  <c r="AS74" s="1"/>
  <c r="AO75"/>
  <c r="AP74" s="1"/>
  <c r="AO72"/>
  <c r="T139"/>
  <c r="AB139"/>
  <c r="AN91"/>
  <c r="AP90"/>
  <c r="AO87" s="1"/>
  <c r="AT172"/>
  <c r="AS152"/>
  <c r="AP29"/>
  <c r="AO66"/>
  <c r="AO67"/>
  <c r="AP66" s="1"/>
  <c r="AP64"/>
  <c r="AP63" s="1"/>
  <c r="AP67" s="1"/>
  <c r="AS64" s="1"/>
  <c r="AS65" s="1"/>
  <c r="AS66" s="1"/>
  <c r="AO64"/>
  <c r="Z96"/>
  <c r="Z169" s="1"/>
  <c r="AS96"/>
  <c r="AF96"/>
  <c r="Y96" s="1"/>
  <c r="Y169" s="1"/>
  <c r="B169" s="1"/>
  <c r="AO17"/>
  <c r="AO15"/>
  <c r="AP15"/>
  <c r="AP14" s="1"/>
  <c r="AO18"/>
  <c r="AP17" s="1"/>
  <c r="AO92"/>
  <c r="AP91" s="1"/>
  <c r="AO91"/>
  <c r="AO89"/>
  <c r="AP89"/>
  <c r="AP88" s="1"/>
  <c r="AP92" s="1"/>
  <c r="AS89" s="1"/>
  <c r="AS90" s="1"/>
  <c r="AS91" s="1"/>
  <c r="AC13"/>
  <c r="HU13"/>
  <c r="T79"/>
  <c r="AB79"/>
  <c r="J114"/>
  <c r="O114"/>
  <c r="AO51"/>
  <c r="AP50" s="1"/>
  <c r="AO48"/>
  <c r="AO50"/>
  <c r="AP48"/>
  <c r="AP47" s="1"/>
  <c r="T96"/>
  <c r="AB96"/>
  <c r="T122"/>
  <c r="AB122"/>
  <c r="BK493"/>
  <c r="AS97"/>
  <c r="AQ96"/>
  <c r="T70"/>
  <c r="AB70"/>
  <c r="T87"/>
  <c r="AB87"/>
  <c r="AP148"/>
  <c r="T114"/>
  <c r="AB114"/>
  <c r="O96"/>
  <c r="J96"/>
  <c r="I166" s="1"/>
  <c r="F169" s="1"/>
  <c r="T157"/>
  <c r="AB157"/>
  <c r="AS126"/>
  <c r="J131"/>
  <c r="O131"/>
  <c r="T54"/>
  <c r="AB54"/>
  <c r="AP142"/>
  <c r="AO139" s="1"/>
  <c r="AN143"/>
  <c r="T46"/>
  <c r="AB46"/>
  <c r="AP108"/>
  <c r="AO105" s="1"/>
  <c r="AN109"/>
  <c r="T131"/>
  <c r="AB131"/>
  <c r="AO144"/>
  <c r="AO143"/>
  <c r="AO141"/>
  <c r="AP141"/>
  <c r="AP140" s="1"/>
  <c r="AP144" s="1"/>
  <c r="AS141" s="1"/>
  <c r="AS142" s="1"/>
  <c r="AS143" s="1"/>
  <c r="AQ54"/>
  <c r="AS55"/>
  <c r="AO110"/>
  <c r="AP109" s="1"/>
  <c r="AO109"/>
  <c r="AO107"/>
  <c r="AP107"/>
  <c r="AP106" s="1"/>
  <c r="AP110" s="1"/>
  <c r="AS107" s="1"/>
  <c r="AS108" s="1"/>
  <c r="AS109" s="1"/>
  <c r="AQ37"/>
  <c r="AS38"/>
  <c r="AP161"/>
  <c r="AO157"/>
  <c r="T105"/>
  <c r="AB105"/>
  <c r="AC37" l="1"/>
  <c r="HU21"/>
  <c r="S169"/>
  <c r="HU29"/>
  <c r="AO158"/>
  <c r="AP157" s="1"/>
  <c r="AC54"/>
  <c r="HU54"/>
  <c r="AC114"/>
  <c r="HU114"/>
  <c r="AC148"/>
  <c r="HU148"/>
  <c r="AO140"/>
  <c r="AP139" s="1"/>
  <c r="AC79"/>
  <c r="HU79"/>
  <c r="AC62"/>
  <c r="HU62"/>
  <c r="AQ29"/>
  <c r="AS30"/>
  <c r="AQ122"/>
  <c r="AS123"/>
  <c r="AC157"/>
  <c r="BL157"/>
  <c r="HU157"/>
  <c r="AP18"/>
  <c r="AS15" s="1"/>
  <c r="AS16" s="1"/>
  <c r="AS17" s="1"/>
  <c r="AP13"/>
  <c r="AC105"/>
  <c r="HU105"/>
  <c r="BL105"/>
  <c r="AC46"/>
  <c r="HU46"/>
  <c r="BL46"/>
  <c r="HU70"/>
  <c r="AC70"/>
  <c r="AO106"/>
  <c r="AP105" s="1"/>
  <c r="AP136"/>
  <c r="AS133" s="1"/>
  <c r="AS134" s="1"/>
  <c r="AS135" s="1"/>
  <c r="AP131"/>
  <c r="AP51"/>
  <c r="AS48" s="1"/>
  <c r="AS49" s="1"/>
  <c r="AS50" s="1"/>
  <c r="AP46"/>
  <c r="AO63"/>
  <c r="AP62" s="1"/>
  <c r="AC87"/>
  <c r="HU87"/>
  <c r="AC131"/>
  <c r="BL131"/>
  <c r="HU131"/>
  <c r="AC96"/>
  <c r="HU96"/>
  <c r="HU139"/>
  <c r="AC139"/>
  <c r="BL139"/>
  <c r="AO71"/>
  <c r="AP70" s="1"/>
  <c r="AS149"/>
  <c r="AQ148"/>
  <c r="AP143"/>
  <c r="AC122"/>
  <c r="HU122"/>
  <c r="AO88"/>
  <c r="AP87" s="1"/>
  <c r="AB169" l="1"/>
  <c r="AB491" s="1"/>
  <c r="AB495" s="1"/>
  <c r="HU169"/>
  <c r="HU493" s="1"/>
  <c r="HU497" s="1"/>
  <c r="AS158"/>
  <c r="AQ157"/>
  <c r="AQ87"/>
  <c r="AS88"/>
  <c r="AQ105"/>
  <c r="AS106"/>
  <c r="AQ139"/>
  <c r="AS140"/>
  <c r="AS71"/>
  <c r="AQ70"/>
  <c r="AS63"/>
  <c r="AQ62"/>
  <c r="AQ46"/>
  <c r="AS47"/>
  <c r="BL169"/>
  <c r="BK172" s="1"/>
  <c r="AS132"/>
  <c r="AQ131"/>
  <c r="AS14"/>
  <c r="AQ13"/>
  <c r="C7" i="20" l="1"/>
  <c r="M55" l="1" a="1"/>
  <c r="M55" s="1"/>
  <c r="Z53" a="1"/>
  <c r="Z53" s="1"/>
  <c r="AC54" a="1"/>
  <c r="AC54" s="1"/>
  <c r="T55" a="1"/>
  <c r="T55" s="1"/>
  <c r="A54" a="1"/>
  <c r="A54" s="1"/>
  <c r="AH54" s="1"/>
  <c r="P55" a="1"/>
  <c r="P55" s="1"/>
  <c r="AC53" a="1"/>
  <c r="AC53" s="1"/>
  <c r="N54" a="1"/>
  <c r="N54" s="1"/>
  <c r="J55" a="1"/>
  <c r="J55" s="1"/>
  <c r="F54" a="1"/>
  <c r="F54" s="1"/>
  <c r="Y55" a="1"/>
  <c r="Y55" s="1"/>
  <c r="J54" a="1"/>
  <c r="J54" s="1"/>
  <c r="AB55" a="1"/>
  <c r="AB55" s="1"/>
  <c r="F53" a="1"/>
  <c r="F53" s="1"/>
  <c r="G53" a="1"/>
  <c r="G53" s="1"/>
  <c r="Z54" a="1"/>
  <c r="Z54" s="1"/>
  <c r="K53" a="1"/>
  <c r="K53" s="1"/>
  <c r="V55" a="1"/>
  <c r="V55" s="1"/>
  <c r="S54" a="1"/>
  <c r="S54" s="1"/>
  <c r="C53" a="1"/>
  <c r="C53" s="1"/>
  <c r="V54" a="1"/>
  <c r="V54" s="1"/>
  <c r="AG54" a="1"/>
  <c r="AG54" s="1"/>
  <c r="S53" a="1"/>
  <c r="S53" s="1"/>
  <c r="T53" a="1"/>
  <c r="T53" s="1"/>
  <c r="F55" a="1"/>
  <c r="F55" s="1"/>
  <c r="W53" a="1"/>
  <c r="W53" s="1"/>
  <c r="AE55" a="1"/>
  <c r="AE55" s="1"/>
  <c r="M53" a="1"/>
  <c r="M53" s="1"/>
  <c r="AE54" a="1"/>
  <c r="AE54" s="1"/>
  <c r="I55" a="1"/>
  <c r="I55" s="1"/>
  <c r="P53" a="1"/>
  <c r="P53" s="1"/>
  <c r="B55" a="1"/>
  <c r="B55" s="1"/>
  <c r="AE53" a="1"/>
  <c r="AE53" s="1"/>
  <c r="AF53" a="1"/>
  <c r="AF53" s="1"/>
  <c r="S55" a="1"/>
  <c r="S55" s="1"/>
  <c r="C54" a="1"/>
  <c r="C54" s="1"/>
  <c r="I52" a="1"/>
  <c r="I52" s="1"/>
  <c r="Y53" a="1"/>
  <c r="Y53" s="1"/>
  <c r="L55" a="1"/>
  <c r="L55" s="1"/>
  <c r="AB53" a="1"/>
  <c r="AB53" s="1"/>
  <c r="O55" a="1"/>
  <c r="O55" s="1"/>
  <c r="L54" a="1"/>
  <c r="L54" s="1"/>
  <c r="M54" a="1"/>
  <c r="M54" s="1"/>
  <c r="P54" a="1"/>
  <c r="P54" s="1"/>
  <c r="E54" a="1"/>
  <c r="E54" s="1"/>
  <c r="X55" a="1"/>
  <c r="X55" s="1"/>
  <c r="H54" a="1"/>
  <c r="H54" s="1"/>
  <c r="AA55" a="1"/>
  <c r="AA55" s="1"/>
  <c r="X54" a="1"/>
  <c r="X54" s="1"/>
  <c r="Y54" a="1"/>
  <c r="Y54" s="1"/>
  <c r="J53" a="1"/>
  <c r="J53" s="1"/>
  <c r="AB54" a="1"/>
  <c r="AB54" s="1"/>
  <c r="R54" a="1"/>
  <c r="R54" s="1"/>
  <c r="B53" a="1"/>
  <c r="B53" s="1"/>
  <c r="U54" a="1"/>
  <c r="U54" s="1"/>
  <c r="AG53" a="1"/>
  <c r="AG53" s="1"/>
  <c r="E53" a="1"/>
  <c r="E53" s="1"/>
  <c r="D55" a="1"/>
  <c r="D55" s="1"/>
  <c r="E55" a="1"/>
  <c r="E55" s="1"/>
  <c r="V53" a="1"/>
  <c r="V53" s="1"/>
  <c r="H55" a="1"/>
  <c r="H55" s="1"/>
  <c r="AD54" a="1"/>
  <c r="AD54" s="1"/>
  <c r="I54" a="1"/>
  <c r="I54" s="1"/>
  <c r="O53" a="1"/>
  <c r="O53" s="1"/>
  <c r="A55" a="1"/>
  <c r="A55" s="1"/>
  <c r="AH55" s="1"/>
  <c r="R53" a="1"/>
  <c r="R53" s="1"/>
  <c r="Q55" a="1"/>
  <c r="Q55" s="1"/>
  <c r="R55" a="1"/>
  <c r="R55" s="1"/>
  <c r="B54" a="1"/>
  <c r="B54" s="1"/>
  <c r="U55" a="1"/>
  <c r="U55" s="1"/>
  <c r="L53" a="1"/>
  <c r="L53" s="1"/>
  <c r="K55" a="1"/>
  <c r="K55" s="1"/>
  <c r="AA53" a="1"/>
  <c r="AA53" s="1"/>
  <c r="N55" a="1"/>
  <c r="N55" s="1"/>
  <c r="AD53" a="1"/>
  <c r="AD53" s="1"/>
  <c r="AC55" a="1"/>
  <c r="AC55" s="1"/>
  <c r="AD55" a="1"/>
  <c r="AD55" s="1"/>
  <c r="O54" a="1"/>
  <c r="O54" s="1"/>
  <c r="X53" a="1"/>
  <c r="X53" s="1"/>
  <c r="W55" a="1"/>
  <c r="W55" s="1"/>
  <c r="G54" a="1"/>
  <c r="G54" s="1"/>
  <c r="Z55" a="1"/>
  <c r="Z55" s="1"/>
  <c r="K54" a="1"/>
  <c r="K54" s="1"/>
  <c r="AG55" a="1"/>
  <c r="AG55" s="1"/>
  <c r="H53" a="1"/>
  <c r="H53" s="1"/>
  <c r="AA54" a="1"/>
  <c r="AA54" s="1"/>
  <c r="I51" a="1"/>
  <c r="I51" s="1"/>
  <c r="D54" a="1"/>
  <c r="D54" s="1"/>
  <c r="AF55" a="1"/>
  <c r="AF55" s="1"/>
  <c r="A53" a="1"/>
  <c r="A53" s="1"/>
  <c r="AH53" s="1"/>
  <c r="T54" a="1"/>
  <c r="T54" s="1"/>
  <c r="AG52" a="1"/>
  <c r="AG52" s="1"/>
  <c r="D53" a="1"/>
  <c r="D53" s="1"/>
  <c r="W54" a="1"/>
  <c r="W54" s="1"/>
  <c r="U53" a="1"/>
  <c r="U53" s="1"/>
  <c r="G55" a="1"/>
  <c r="G55" s="1"/>
  <c r="Q54" a="1"/>
  <c r="Q54" s="1"/>
  <c r="I53" a="1"/>
  <c r="I53" s="1"/>
  <c r="N53" a="1"/>
  <c r="N53" s="1"/>
  <c r="AF54" a="1"/>
  <c r="AF54" s="1"/>
  <c r="Q53" a="1"/>
  <c r="Q53" s="1"/>
  <c r="C55" a="1"/>
  <c r="C55" s="1"/>
  <c r="X49" a="1"/>
  <c r="X49" s="1"/>
  <c r="X43" a="1"/>
  <c r="X43" s="1"/>
  <c r="X35" a="1"/>
  <c r="X35" s="1"/>
  <c r="X41" a="1"/>
  <c r="X41" s="1"/>
  <c r="X42" a="1"/>
  <c r="X42" s="1"/>
  <c r="AG33" a="1"/>
  <c r="AG33" s="1"/>
  <c r="J38" a="1"/>
  <c r="J38" s="1"/>
  <c r="J44" a="1"/>
  <c r="J44" s="1"/>
  <c r="J50" a="1"/>
  <c r="J50" s="1"/>
  <c r="I34" a="1"/>
  <c r="I34" s="1"/>
  <c r="I40" a="1"/>
  <c r="I40" s="1"/>
  <c r="I46" a="1"/>
  <c r="I46" s="1"/>
  <c r="H36" a="1"/>
  <c r="H36" s="1"/>
  <c r="H42" a="1"/>
  <c r="H42" s="1"/>
  <c r="H48" a="1"/>
  <c r="H48" s="1"/>
  <c r="O33" a="1"/>
  <c r="O33" s="1"/>
  <c r="U37" a="1"/>
  <c r="U37" s="1"/>
  <c r="U43" a="1"/>
  <c r="U43" s="1"/>
  <c r="U49" a="1"/>
  <c r="U49" s="1"/>
  <c r="H56" a="1"/>
  <c r="H56" s="1"/>
  <c r="F39" a="1"/>
  <c r="F39" s="1"/>
  <c r="F45" a="1"/>
  <c r="F45" s="1"/>
  <c r="F51" a="1"/>
  <c r="F51" s="1"/>
  <c r="Q34" a="1"/>
  <c r="Q34" s="1"/>
  <c r="Q40" a="1"/>
  <c r="Q40" s="1"/>
  <c r="Q46" a="1"/>
  <c r="Q46" s="1"/>
  <c r="H52" a="1"/>
  <c r="H52" s="1"/>
  <c r="P36" a="1"/>
  <c r="P36" s="1"/>
  <c r="P42" a="1"/>
  <c r="P42" s="1"/>
  <c r="P48" a="1"/>
  <c r="P48" s="1"/>
  <c r="AD33" a="1"/>
  <c r="AD33" s="1"/>
  <c r="O38" a="1"/>
  <c r="O38" s="1"/>
  <c r="O44" a="1"/>
  <c r="O44" s="1"/>
  <c r="O50" a="1"/>
  <c r="O50" s="1"/>
  <c r="N34" a="1"/>
  <c r="N34" s="1"/>
  <c r="N40" a="1"/>
  <c r="N40" s="1"/>
  <c r="N46" a="1"/>
  <c r="N46" s="1"/>
  <c r="E52" a="1"/>
  <c r="E52" s="1"/>
  <c r="M36" a="1"/>
  <c r="M36" s="1"/>
  <c r="M42" a="1"/>
  <c r="M42" s="1"/>
  <c r="M48" a="1"/>
  <c r="M48" s="1"/>
  <c r="V33" a="1"/>
  <c r="V33" s="1"/>
  <c r="L39" a="1"/>
  <c r="L39" s="1"/>
  <c r="L45" a="1"/>
  <c r="L45" s="1"/>
  <c r="L51" a="1"/>
  <c r="L51" s="1"/>
  <c r="K35" a="1"/>
  <c r="K35" s="1"/>
  <c r="AA37" a="1"/>
  <c r="AA37" s="1"/>
  <c r="AA43" a="1"/>
  <c r="AA43" s="1"/>
  <c r="AA49" a="1"/>
  <c r="AA49" s="1"/>
  <c r="E56" a="1"/>
  <c r="E56" s="1"/>
  <c r="W39" a="1"/>
  <c r="W39" s="1"/>
  <c r="W45" a="1"/>
  <c r="W45" s="1"/>
  <c r="U51" a="1"/>
  <c r="U51" s="1"/>
  <c r="V35" a="1"/>
  <c r="V35" s="1"/>
  <c r="V41" a="1"/>
  <c r="V41" s="1"/>
  <c r="V47" a="1"/>
  <c r="V47" s="1"/>
  <c r="C33" a="1"/>
  <c r="C33" s="1"/>
  <c r="G37" a="1"/>
  <c r="G37" s="1"/>
  <c r="G43" a="1"/>
  <c r="G43" s="1"/>
  <c r="G49" a="1"/>
  <c r="G49" s="1"/>
  <c r="U56" a="1"/>
  <c r="U56" s="1"/>
  <c r="R38" a="1"/>
  <c r="R38" s="1"/>
  <c r="R44" a="1"/>
  <c r="R44" s="1"/>
  <c r="R50" a="1"/>
  <c r="R50" s="1"/>
  <c r="E34" a="1"/>
  <c r="E34" s="1"/>
  <c r="E40" a="1"/>
  <c r="E40" s="1"/>
  <c r="E46" a="1"/>
  <c r="E46" s="1"/>
  <c r="D36" a="1"/>
  <c r="D36" s="1"/>
  <c r="D42" a="1"/>
  <c r="D42" s="1"/>
  <c r="D48" a="1"/>
  <c r="D48" s="1"/>
  <c r="K33" a="1"/>
  <c r="K33" s="1"/>
  <c r="C38" a="1"/>
  <c r="C38" s="1"/>
  <c r="C44" a="1"/>
  <c r="C44" s="1"/>
  <c r="C50" a="1"/>
  <c r="C50" s="1"/>
  <c r="B34" a="1"/>
  <c r="B34" s="1"/>
  <c r="B40" a="1"/>
  <c r="B40" s="1"/>
  <c r="B46" a="1"/>
  <c r="B46" s="1"/>
  <c r="Z51" a="1"/>
  <c r="Z51" s="1"/>
  <c r="A36" a="1"/>
  <c r="A36" s="1"/>
  <c r="AH36" s="1"/>
  <c r="A42" a="1"/>
  <c r="A42" s="1"/>
  <c r="AH42" s="1"/>
  <c r="A48" a="1"/>
  <c r="A48" s="1"/>
  <c r="AH48" s="1"/>
  <c r="H33" a="1"/>
  <c r="H33" s="1"/>
  <c r="AE38" a="1"/>
  <c r="AE38" s="1"/>
  <c r="AE44" a="1"/>
  <c r="AE44" s="1"/>
  <c r="AE50" a="1"/>
  <c r="AE50" s="1"/>
  <c r="AD34" a="1"/>
  <c r="AD34" s="1"/>
  <c r="AD40" a="1"/>
  <c r="AD40" s="1"/>
  <c r="AD46" a="1"/>
  <c r="AD46" s="1"/>
  <c r="N52" a="1"/>
  <c r="N52" s="1"/>
  <c r="AG49" a="1"/>
  <c r="AG49" s="1"/>
  <c r="AF49" a="1"/>
  <c r="AF49" s="1"/>
  <c r="AG36" a="1"/>
  <c r="AG36" s="1"/>
  <c r="Z43" a="1"/>
  <c r="Z43" s="1"/>
  <c r="Y43" a="1"/>
  <c r="Y43" s="1"/>
  <c r="K43" a="1"/>
  <c r="K43" s="1"/>
  <c r="Y40" a="1"/>
  <c r="Y40" s="1"/>
  <c r="Y34" a="1"/>
  <c r="Y34" s="1"/>
  <c r="AG38" a="1"/>
  <c r="AG38" s="1"/>
  <c r="AG41" a="1"/>
  <c r="AG41" s="1"/>
  <c r="J37" a="1"/>
  <c r="J37" s="1"/>
  <c r="J43" a="1"/>
  <c r="J43" s="1"/>
  <c r="J49" a="1"/>
  <c r="J49" s="1"/>
  <c r="R56" a="1"/>
  <c r="R56" s="1"/>
  <c r="I39" a="1"/>
  <c r="I39" s="1"/>
  <c r="I45" a="1"/>
  <c r="I45" s="1"/>
  <c r="H35" a="1"/>
  <c r="H35" s="1"/>
  <c r="H41" a="1"/>
  <c r="H41" s="1"/>
  <c r="H47" a="1"/>
  <c r="H47" s="1"/>
  <c r="W52" a="1"/>
  <c r="W52" s="1"/>
  <c r="U36" a="1"/>
  <c r="U36" s="1"/>
  <c r="U42" a="1"/>
  <c r="U42" s="1"/>
  <c r="U48" a="1"/>
  <c r="U48" s="1"/>
  <c r="AG56" a="1"/>
  <c r="AG56" s="1"/>
  <c r="F38" a="1"/>
  <c r="F38" s="1"/>
  <c r="F44" a="1"/>
  <c r="F44" s="1"/>
  <c r="F50" a="1"/>
  <c r="F50" s="1"/>
  <c r="A56" a="1"/>
  <c r="A56" s="1"/>
  <c r="Q39" a="1"/>
  <c r="Q39" s="1"/>
  <c r="Q45" a="1"/>
  <c r="Q45" s="1"/>
  <c r="Q51" a="1"/>
  <c r="Q51" s="1"/>
  <c r="P35" a="1"/>
  <c r="P35" s="1"/>
  <c r="P41" a="1"/>
  <c r="P41" s="1"/>
  <c r="P47" a="1"/>
  <c r="P47" s="1"/>
  <c r="AE52" a="1"/>
  <c r="AE52" s="1"/>
  <c r="O37" a="1"/>
  <c r="O37" s="1"/>
  <c r="O43" a="1"/>
  <c r="O43" s="1"/>
  <c r="O49" a="1"/>
  <c r="O49" s="1"/>
  <c r="M56" a="1"/>
  <c r="M56" s="1"/>
  <c r="N39" a="1"/>
  <c r="N39" s="1"/>
  <c r="N45" a="1"/>
  <c r="N45" s="1"/>
  <c r="N51" a="1"/>
  <c r="N51" s="1"/>
  <c r="M35" a="1"/>
  <c r="M35" s="1"/>
  <c r="M41" a="1"/>
  <c r="M41" s="1"/>
  <c r="M47" a="1"/>
  <c r="M47" s="1"/>
  <c r="AB52" a="1"/>
  <c r="AB52" s="1"/>
  <c r="L38" a="1"/>
  <c r="L38" s="1"/>
  <c r="L44" a="1"/>
  <c r="L44" s="1"/>
  <c r="L50" a="1"/>
  <c r="L50" s="1"/>
  <c r="K34" a="1"/>
  <c r="K34" s="1"/>
  <c r="K40" a="1"/>
  <c r="K40" s="1"/>
  <c r="K46" a="1"/>
  <c r="K46" s="1"/>
  <c r="B52" a="1"/>
  <c r="B52" s="1"/>
  <c r="AG34" a="1"/>
  <c r="AG34" s="1"/>
  <c r="Z35" a="1"/>
  <c r="Z35" s="1"/>
  <c r="AG44" a="1"/>
  <c r="AG44" s="1"/>
  <c r="AF44" a="1"/>
  <c r="AF44" s="1"/>
  <c r="AF41" a="1"/>
  <c r="AF41" s="1"/>
  <c r="AA52" a="1"/>
  <c r="AA52" s="1"/>
  <c r="AF39" a="1"/>
  <c r="AF39" s="1"/>
  <c r="Z48" a="1"/>
  <c r="Z48" s="1"/>
  <c r="AF45" a="1"/>
  <c r="AF45" s="1"/>
  <c r="Y41" a="1"/>
  <c r="Y41" s="1"/>
  <c r="AA36" a="1"/>
  <c r="AA36" s="1"/>
  <c r="AA42" a="1"/>
  <c r="AA42" s="1"/>
  <c r="AA48" a="1"/>
  <c r="AA48" s="1"/>
  <c r="AD56" a="1"/>
  <c r="AD56" s="1"/>
  <c r="W38" a="1"/>
  <c r="W38" s="1"/>
  <c r="W44" a="1"/>
  <c r="W44" s="1"/>
  <c r="W50" a="1"/>
  <c r="W50" s="1"/>
  <c r="V34" a="1"/>
  <c r="V34" s="1"/>
  <c r="V40" a="1"/>
  <c r="V40" s="1"/>
  <c r="V46" a="1"/>
  <c r="V46" s="1"/>
  <c r="G36" a="1"/>
  <c r="G36" s="1"/>
  <c r="G42" a="1"/>
  <c r="G42" s="1"/>
  <c r="G48" a="1"/>
  <c r="G48" s="1"/>
  <c r="N33" a="1"/>
  <c r="N33" s="1"/>
  <c r="R37" a="1"/>
  <c r="R37" s="1"/>
  <c r="R43" a="1"/>
  <c r="R43" s="1"/>
  <c r="R49" a="1"/>
  <c r="R49" s="1"/>
  <c r="J56" a="1"/>
  <c r="J56" s="1"/>
  <c r="E39" a="1"/>
  <c r="E39" s="1"/>
  <c r="E45" a="1"/>
  <c r="E45" s="1"/>
  <c r="E51" a="1"/>
  <c r="E51" s="1"/>
  <c r="D35" a="1"/>
  <c r="D35" s="1"/>
  <c r="D41" a="1"/>
  <c r="D41" s="1"/>
  <c r="D47" a="1"/>
  <c r="D47" s="1"/>
  <c r="S52" a="1"/>
  <c r="S52" s="1"/>
  <c r="C37" a="1"/>
  <c r="C37" s="1"/>
  <c r="C43" a="1"/>
  <c r="C43" s="1"/>
  <c r="C49" a="1"/>
  <c r="C49" s="1"/>
  <c r="Y56" a="1"/>
  <c r="Y56" s="1"/>
  <c r="B39" a="1"/>
  <c r="B39" s="1"/>
  <c r="B45" a="1"/>
  <c r="B45" s="1"/>
  <c r="B51" a="1"/>
  <c r="B51" s="1"/>
  <c r="A35" a="1"/>
  <c r="A35" s="1"/>
  <c r="AH35" s="1"/>
  <c r="A41" a="1"/>
  <c r="A41" s="1"/>
  <c r="AH41" s="1"/>
  <c r="A47" a="1"/>
  <c r="A47" s="1"/>
  <c r="AH47" s="1"/>
  <c r="P52" a="1"/>
  <c r="P52" s="1"/>
  <c r="AE37" a="1"/>
  <c r="AE37" s="1"/>
  <c r="AE43" a="1"/>
  <c r="AE43" s="1"/>
  <c r="AE49" a="1"/>
  <c r="AE49" s="1"/>
  <c r="C56" a="1"/>
  <c r="C56" s="1"/>
  <c r="AD39" a="1"/>
  <c r="AD39" s="1"/>
  <c r="AD45" a="1"/>
  <c r="AD45" s="1"/>
  <c r="W51" a="1"/>
  <c r="W51" s="1"/>
  <c r="AG46" a="1"/>
  <c r="AG46" s="1"/>
  <c r="Z38" a="1"/>
  <c r="Z38" s="1"/>
  <c r="AF38" a="1"/>
  <c r="AF38" s="1"/>
  <c r="AF48" a="1"/>
  <c r="AF48" s="1"/>
  <c r="AF40" a="1"/>
  <c r="AF40" s="1"/>
  <c r="L41" a="1"/>
  <c r="L41" s="1"/>
  <c r="AF34" a="1"/>
  <c r="AF34" s="1"/>
  <c r="AF37" a="1"/>
  <c r="AF37" s="1"/>
  <c r="AD47" a="1"/>
  <c r="AD47" s="1"/>
  <c r="AG35" a="1"/>
  <c r="AG35" s="1"/>
  <c r="J36" a="1"/>
  <c r="J36" s="1"/>
  <c r="J42" a="1"/>
  <c r="J42" s="1"/>
  <c r="J48" a="1"/>
  <c r="J48" s="1"/>
  <c r="Q33" a="1"/>
  <c r="Q33" s="1"/>
  <c r="I38" a="1"/>
  <c r="I38" s="1"/>
  <c r="I44" a="1"/>
  <c r="I44" s="1"/>
  <c r="I50" a="1"/>
  <c r="I50" s="1"/>
  <c r="H34" a="1"/>
  <c r="H34" s="1"/>
  <c r="H40" a="1"/>
  <c r="H40" s="1"/>
  <c r="H46" a="1"/>
  <c r="H46" s="1"/>
  <c r="AF51" a="1"/>
  <c r="AF51" s="1"/>
  <c r="U35" a="1"/>
  <c r="U35" s="1"/>
  <c r="U41" a="1"/>
  <c r="U41" s="1"/>
  <c r="U47" a="1"/>
  <c r="U47" s="1"/>
  <c r="B33" a="1"/>
  <c r="B33" s="1"/>
  <c r="F37" a="1"/>
  <c r="F37" s="1"/>
  <c r="F43" a="1"/>
  <c r="F43" s="1"/>
  <c r="F49" a="1"/>
  <c r="F49" s="1"/>
  <c r="V56" a="1"/>
  <c r="V56" s="1"/>
  <c r="Q38" a="1"/>
  <c r="Q38" s="1"/>
  <c r="Q44" a="1"/>
  <c r="Q44" s="1"/>
  <c r="Q50" a="1"/>
  <c r="Q50" s="1"/>
  <c r="P34" a="1"/>
  <c r="P34" s="1"/>
  <c r="P40" a="1"/>
  <c r="P40" s="1"/>
  <c r="P46" a="1"/>
  <c r="P46" s="1"/>
  <c r="G52" a="1"/>
  <c r="G52" s="1"/>
  <c r="O36" a="1"/>
  <c r="O36" s="1"/>
  <c r="O42" a="1"/>
  <c r="O42" s="1"/>
  <c r="O48" a="1"/>
  <c r="O48" s="1"/>
  <c r="AA33" a="1"/>
  <c r="AA33" s="1"/>
  <c r="N38" a="1"/>
  <c r="N38" s="1"/>
  <c r="N44" a="1"/>
  <c r="N44" s="1"/>
  <c r="N50" a="1"/>
  <c r="N50" s="1"/>
  <c r="M34" a="1"/>
  <c r="M34" s="1"/>
  <c r="M40" a="1"/>
  <c r="M40" s="1"/>
  <c r="M46" a="1"/>
  <c r="M46" s="1"/>
  <c r="D52" a="1"/>
  <c r="D52" s="1"/>
  <c r="L37" a="1"/>
  <c r="L37" s="1"/>
  <c r="L43" a="1"/>
  <c r="L43" s="1"/>
  <c r="L49" a="1"/>
  <c r="L49" s="1"/>
  <c r="P56" a="1"/>
  <c r="P56" s="1"/>
  <c r="K39" a="1"/>
  <c r="K39" s="1"/>
  <c r="K45" a="1"/>
  <c r="K45" s="1"/>
  <c r="K51" a="1"/>
  <c r="K51" s="1"/>
  <c r="AG45" a="1"/>
  <c r="AG45" s="1"/>
  <c r="Z50" a="1"/>
  <c r="Z50" s="1"/>
  <c r="AG43" a="1"/>
  <c r="AG43" s="1"/>
  <c r="Y46" a="1"/>
  <c r="Y46" s="1"/>
  <c r="AF43" a="1"/>
  <c r="AF43" s="1"/>
  <c r="L47" a="1"/>
  <c r="L47" s="1"/>
  <c r="AF50" a="1"/>
  <c r="AF50" s="1"/>
  <c r="R33" a="1"/>
  <c r="R33" s="1"/>
  <c r="F33" a="1"/>
  <c r="F33" s="1"/>
  <c r="Z52" a="1"/>
  <c r="Z52" s="1"/>
  <c r="AA35" a="1"/>
  <c r="AA35" s="1"/>
  <c r="AA41" a="1"/>
  <c r="AA41" s="1"/>
  <c r="AA47" a="1"/>
  <c r="AA47" s="1"/>
  <c r="E33" a="1"/>
  <c r="E33" s="1"/>
  <c r="W37" a="1"/>
  <c r="W37" s="1"/>
  <c r="W43" a="1"/>
  <c r="W43" s="1"/>
  <c r="W49" a="1"/>
  <c r="W49" s="1"/>
  <c r="F56" a="1"/>
  <c r="F56" s="1"/>
  <c r="V39" a="1"/>
  <c r="V39" s="1"/>
  <c r="V45" a="1"/>
  <c r="V45" s="1"/>
  <c r="G35" a="1"/>
  <c r="G35" s="1"/>
  <c r="G41" a="1"/>
  <c r="G41" s="1"/>
  <c r="G47" a="1"/>
  <c r="G47" s="1"/>
  <c r="V52" a="1"/>
  <c r="V52" s="1"/>
  <c r="R36" a="1"/>
  <c r="R36" s="1"/>
  <c r="R42" a="1"/>
  <c r="R42" s="1"/>
  <c r="R48" a="1"/>
  <c r="R48" s="1"/>
  <c r="A33" a="1"/>
  <c r="A33" s="1"/>
  <c r="AH33" s="1"/>
  <c r="E38" a="1"/>
  <c r="E38" s="1"/>
  <c r="E44" a="1"/>
  <c r="E44" s="1"/>
  <c r="E50" a="1"/>
  <c r="E50" s="1"/>
  <c r="D34" a="1"/>
  <c r="D34" s="1"/>
  <c r="D40" a="1"/>
  <c r="D40" s="1"/>
  <c r="D46" a="1"/>
  <c r="D46" s="1"/>
  <c r="C36" a="1"/>
  <c r="C36" s="1"/>
  <c r="C42" a="1"/>
  <c r="C42" s="1"/>
  <c r="C48" a="1"/>
  <c r="C48" s="1"/>
  <c r="J33" a="1"/>
  <c r="J33" s="1"/>
  <c r="B38" a="1"/>
  <c r="B38" s="1"/>
  <c r="B44" a="1"/>
  <c r="B44" s="1"/>
  <c r="B50" a="1"/>
  <c r="B50" s="1"/>
  <c r="A34" a="1"/>
  <c r="A34" s="1"/>
  <c r="AH34" s="1"/>
  <c r="A40" a="1"/>
  <c r="A40" s="1"/>
  <c r="AH40" s="1"/>
  <c r="A46" a="1"/>
  <c r="A46" s="1"/>
  <c r="AH46" s="1"/>
  <c r="Y51" a="1"/>
  <c r="Y51" s="1"/>
  <c r="AE36" a="1"/>
  <c r="AE36" s="1"/>
  <c r="AE42" a="1"/>
  <c r="AE42" s="1"/>
  <c r="AE48" a="1"/>
  <c r="AE48" s="1"/>
  <c r="AB56" a="1"/>
  <c r="AB56" s="1"/>
  <c r="AD38" a="1"/>
  <c r="AD38" s="1"/>
  <c r="AD44" a="1"/>
  <c r="AD44" s="1"/>
  <c r="AD50" a="1"/>
  <c r="AD50" s="1"/>
  <c r="AG50" a="1"/>
  <c r="AG50" s="1"/>
  <c r="AF35" a="1"/>
  <c r="AF35" s="1"/>
  <c r="AG48" a="1"/>
  <c r="AG48" s="1"/>
  <c r="Z42" a="1"/>
  <c r="Z42" s="1"/>
  <c r="Z47" a="1"/>
  <c r="Z47" s="1"/>
  <c r="K37" a="1"/>
  <c r="K37" s="1"/>
  <c r="K36" a="1"/>
  <c r="K36" s="1"/>
  <c r="AD35" a="1"/>
  <c r="AD35" s="1"/>
  <c r="AF46" a="1"/>
  <c r="AF46" s="1"/>
  <c r="J35" a="1"/>
  <c r="J35" s="1"/>
  <c r="J41" a="1"/>
  <c r="J41" s="1"/>
  <c r="J47" a="1"/>
  <c r="J47" s="1"/>
  <c r="Y52" a="1"/>
  <c r="Y52" s="1"/>
  <c r="I37" a="1"/>
  <c r="I37" s="1"/>
  <c r="I43" a="1"/>
  <c r="I43" s="1"/>
  <c r="I49" a="1"/>
  <c r="I49" s="1"/>
  <c r="S56" a="1"/>
  <c r="S56" s="1"/>
  <c r="H39" a="1"/>
  <c r="H39" s="1"/>
  <c r="H45" a="1"/>
  <c r="H45" s="1"/>
  <c r="H51" a="1"/>
  <c r="H51" s="1"/>
  <c r="U34" a="1"/>
  <c r="U34" s="1"/>
  <c r="U40" a="1"/>
  <c r="U40" s="1"/>
  <c r="U46" a="1"/>
  <c r="U46" s="1"/>
  <c r="J52" a="1"/>
  <c r="J52" s="1"/>
  <c r="F36" a="1"/>
  <c r="F36" s="1"/>
  <c r="F42" a="1"/>
  <c r="F42" s="1"/>
  <c r="F48" a="1"/>
  <c r="F48" s="1"/>
  <c r="M33" a="1"/>
  <c r="M33" s="1"/>
  <c r="Q37" a="1"/>
  <c r="Q37" s="1"/>
  <c r="Q43" a="1"/>
  <c r="Q43" s="1"/>
  <c r="Q49" a="1"/>
  <c r="Q49" s="1"/>
  <c r="K56" a="1"/>
  <c r="K56" s="1"/>
  <c r="P39" a="1"/>
  <c r="P39" s="1"/>
  <c r="P45" a="1"/>
  <c r="P45" s="1"/>
  <c r="P51" a="1"/>
  <c r="P51" s="1"/>
  <c r="O35" a="1"/>
  <c r="O35" s="1"/>
  <c r="O41" a="1"/>
  <c r="O41" s="1"/>
  <c r="O47" a="1"/>
  <c r="O47" s="1"/>
  <c r="AD52" a="1"/>
  <c r="AD52" s="1"/>
  <c r="N37" a="1"/>
  <c r="N37" s="1"/>
  <c r="N43" a="1"/>
  <c r="N43" s="1"/>
  <c r="N49" a="1"/>
  <c r="N49" s="1"/>
  <c r="N56" a="1"/>
  <c r="N56" s="1"/>
  <c r="M39" a="1"/>
  <c r="M39" s="1"/>
  <c r="M45" a="1"/>
  <c r="M45" s="1"/>
  <c r="M51" a="1"/>
  <c r="M51" s="1"/>
  <c r="L36" a="1"/>
  <c r="L36" s="1"/>
  <c r="L42" a="1"/>
  <c r="L42" s="1"/>
  <c r="L48" a="1"/>
  <c r="L48" s="1"/>
  <c r="U33" a="1"/>
  <c r="U33" s="1"/>
  <c r="K38" a="1"/>
  <c r="K38" s="1"/>
  <c r="K44" a="1"/>
  <c r="K44" s="1"/>
  <c r="K50" a="1"/>
  <c r="K50" s="1"/>
  <c r="AG37" a="1"/>
  <c r="AG37" s="1"/>
  <c r="AG40" a="1"/>
  <c r="AG40" s="1"/>
  <c r="Z46" a="1"/>
  <c r="Z46" s="1"/>
  <c r="Z36" a="1"/>
  <c r="Z36" s="1"/>
  <c r="AF36" a="1"/>
  <c r="AF36" s="1"/>
  <c r="L35" a="1"/>
  <c r="L35" s="1"/>
  <c r="Z44" a="1"/>
  <c r="Z44" s="1"/>
  <c r="AG42" a="1"/>
  <c r="AG42" s="1"/>
  <c r="AG47" a="1"/>
  <c r="AG47" s="1"/>
  <c r="Y49" a="1"/>
  <c r="Y49" s="1"/>
  <c r="AA34" a="1"/>
  <c r="AA34" s="1"/>
  <c r="AA40" a="1"/>
  <c r="AA40" s="1"/>
  <c r="AA46" a="1"/>
  <c r="AA46" s="1"/>
  <c r="M52" a="1"/>
  <c r="M52" s="1"/>
  <c r="W36" a="1"/>
  <c r="W36" s="1"/>
  <c r="W42" a="1"/>
  <c r="W42" s="1"/>
  <c r="W48" a="1"/>
  <c r="W48" s="1"/>
  <c r="AE56" a="1"/>
  <c r="AE56" s="1"/>
  <c r="V38" a="1"/>
  <c r="V38" s="1"/>
  <c r="V44" a="1"/>
  <c r="V44" s="1"/>
  <c r="V50" a="1"/>
  <c r="V50" s="1"/>
  <c r="G34" a="1"/>
  <c r="G34" s="1"/>
  <c r="G40" a="1"/>
  <c r="G40" s="1"/>
  <c r="G46" a="1"/>
  <c r="G46" s="1"/>
  <c r="AE51" a="1"/>
  <c r="AE51" s="1"/>
  <c r="R35" a="1"/>
  <c r="R35" s="1"/>
  <c r="R41" a="1"/>
  <c r="R41" s="1"/>
  <c r="R47" a="1"/>
  <c r="R47" s="1"/>
  <c r="E37" a="1"/>
  <c r="E37" s="1"/>
  <c r="E43" a="1"/>
  <c r="E43" s="1"/>
  <c r="E49" a="1"/>
  <c r="E49" s="1"/>
  <c r="W56" a="1"/>
  <c r="W56" s="1"/>
  <c r="D39" a="1"/>
  <c r="D39" s="1"/>
  <c r="D45" a="1"/>
  <c r="D45" s="1"/>
  <c r="D51" a="1"/>
  <c r="D51" s="1"/>
  <c r="C35" a="1"/>
  <c r="C35" s="1"/>
  <c r="C41" a="1"/>
  <c r="C41" s="1"/>
  <c r="C47" a="1"/>
  <c r="C47" s="1"/>
  <c r="R52" a="1"/>
  <c r="R52" s="1"/>
  <c r="B37" a="1"/>
  <c r="B37" s="1"/>
  <c r="B43" a="1"/>
  <c r="B43" s="1"/>
  <c r="B49" a="1"/>
  <c r="B49" s="1"/>
  <c r="Z56" a="1"/>
  <c r="Z56" s="1"/>
  <c r="A39" a="1"/>
  <c r="A39" s="1"/>
  <c r="AH39" s="1"/>
  <c r="A45" a="1"/>
  <c r="A45" s="1"/>
  <c r="AH45" s="1"/>
  <c r="A51" a="1"/>
  <c r="A51" s="1"/>
  <c r="AH51" s="1"/>
  <c r="AE35" a="1"/>
  <c r="AE35" s="1"/>
  <c r="AE41" a="1"/>
  <c r="AE41" s="1"/>
  <c r="AE47" a="1"/>
  <c r="AE47" s="1"/>
  <c r="G33" a="1"/>
  <c r="G33" s="1"/>
  <c r="AD37" a="1"/>
  <c r="AD37" s="1"/>
  <c r="AD43" a="1"/>
  <c r="AD43" s="1"/>
  <c r="AD49" a="1"/>
  <c r="AD49" s="1"/>
  <c r="D56" a="1"/>
  <c r="D56" s="1"/>
  <c r="Z49" a="1"/>
  <c r="Z49" s="1"/>
  <c r="Z34" a="1"/>
  <c r="Z34" s="1"/>
  <c r="Z39" a="1"/>
  <c r="Z39" s="1"/>
  <c r="Z41" a="1"/>
  <c r="Z41" s="1"/>
  <c r="X33" a="1"/>
  <c r="X33" s="1"/>
  <c r="Q56" a="1"/>
  <c r="Q56" s="1"/>
  <c r="K48" a="1"/>
  <c r="K48" s="1"/>
  <c r="X51" a="1"/>
  <c r="X51" s="1"/>
  <c r="K41" a="1"/>
  <c r="K41" s="1"/>
  <c r="J34" a="1"/>
  <c r="J34" s="1"/>
  <c r="J40" a="1"/>
  <c r="J40" s="1"/>
  <c r="J46" a="1"/>
  <c r="J46" s="1"/>
  <c r="A52" a="1"/>
  <c r="A52" s="1"/>
  <c r="AH52" s="1"/>
  <c r="I36" a="1"/>
  <c r="I36" s="1"/>
  <c r="I42" a="1"/>
  <c r="I42" s="1"/>
  <c r="I48" a="1"/>
  <c r="I48" s="1"/>
  <c r="P33" a="1"/>
  <c r="P33" s="1"/>
  <c r="H38" a="1"/>
  <c r="H38" s="1"/>
  <c r="H44" a="1"/>
  <c r="H44" s="1"/>
  <c r="H50" a="1"/>
  <c r="H50" s="1"/>
  <c r="B56" a="1"/>
  <c r="B56" s="1"/>
  <c r="U39" a="1"/>
  <c r="U39" s="1"/>
  <c r="U45" a="1"/>
  <c r="U45" s="1"/>
  <c r="F35" a="1"/>
  <c r="F35" s="1"/>
  <c r="F41" a="1"/>
  <c r="F41" s="1"/>
  <c r="F47" a="1"/>
  <c r="F47" s="1"/>
  <c r="U52" a="1"/>
  <c r="U52" s="1"/>
  <c r="Q36" a="1"/>
  <c r="Q36" s="1"/>
  <c r="Q42" a="1"/>
  <c r="Q42" s="1"/>
  <c r="Q48" a="1"/>
  <c r="Q48" s="1"/>
  <c r="AE33" a="1"/>
  <c r="AE33" s="1"/>
  <c r="P38" a="1"/>
  <c r="P38" s="1"/>
  <c r="P44" a="1"/>
  <c r="P44" s="1"/>
  <c r="P50" a="1"/>
  <c r="P50" s="1"/>
  <c r="O34" a="1"/>
  <c r="O34" s="1"/>
  <c r="O40" a="1"/>
  <c r="O40" s="1"/>
  <c r="O46" a="1"/>
  <c r="O46" s="1"/>
  <c r="F52" a="1"/>
  <c r="F52" s="1"/>
  <c r="N36" a="1"/>
  <c r="N36" s="1"/>
  <c r="N42" a="1"/>
  <c r="N42" s="1"/>
  <c r="N48" a="1"/>
  <c r="N48" s="1"/>
  <c r="W33" a="1"/>
  <c r="W33" s="1"/>
  <c r="M38" a="1"/>
  <c r="M38" s="1"/>
  <c r="M44" a="1"/>
  <c r="M44" s="1"/>
  <c r="M50" a="1"/>
  <c r="M50" s="1"/>
  <c r="K49" a="1"/>
  <c r="K49" s="1"/>
  <c r="Z45" a="1"/>
  <c r="Z45" s="1"/>
  <c r="AF42" a="1"/>
  <c r="AF42" s="1"/>
  <c r="AF33" a="1"/>
  <c r="AF33" s="1"/>
  <c r="AA39" a="1"/>
  <c r="AA39" s="1"/>
  <c r="AA45" a="1"/>
  <c r="AA45" s="1"/>
  <c r="V51" a="1"/>
  <c r="V51" s="1"/>
  <c r="W35" a="1"/>
  <c r="W35" s="1"/>
  <c r="W41" a="1"/>
  <c r="W41" s="1"/>
  <c r="W47" a="1"/>
  <c r="W47" s="1"/>
  <c r="D33" a="1"/>
  <c r="D33" s="1"/>
  <c r="V37" a="1"/>
  <c r="V37" s="1"/>
  <c r="V43" a="1"/>
  <c r="V43" s="1"/>
  <c r="V49" a="1"/>
  <c r="V49" s="1"/>
  <c r="G56" a="1"/>
  <c r="G56" s="1"/>
  <c r="G39" a="1"/>
  <c r="G39" s="1"/>
  <c r="G45" a="1"/>
  <c r="G45" s="1"/>
  <c r="G51" a="1"/>
  <c r="G51" s="1"/>
  <c r="R34" a="1"/>
  <c r="R34" s="1"/>
  <c r="R40" a="1"/>
  <c r="R40" s="1"/>
  <c r="R46" a="1"/>
  <c r="R46" s="1"/>
  <c r="E36" a="1"/>
  <c r="E36" s="1"/>
  <c r="E42" a="1"/>
  <c r="E42" s="1"/>
  <c r="E48" a="1"/>
  <c r="E48" s="1"/>
  <c r="L33" a="1"/>
  <c r="L33" s="1"/>
  <c r="D38" a="1"/>
  <c r="D38" s="1"/>
  <c r="D44" a="1"/>
  <c r="D44" s="1"/>
  <c r="D50" a="1"/>
  <c r="D50" s="1"/>
  <c r="C34" a="1"/>
  <c r="C34" s="1"/>
  <c r="C40" a="1"/>
  <c r="C40" s="1"/>
  <c r="C46" a="1"/>
  <c r="C46" s="1"/>
  <c r="AA51" a="1"/>
  <c r="AA51" s="1"/>
  <c r="B36" a="1"/>
  <c r="B36" s="1"/>
  <c r="B42" a="1"/>
  <c r="B42" s="1"/>
  <c r="B48" a="1"/>
  <c r="B48" s="1"/>
  <c r="I33" a="1"/>
  <c r="I33" s="1"/>
  <c r="A38" a="1"/>
  <c r="A38" s="1"/>
  <c r="AH38" s="1"/>
  <c r="A44" a="1"/>
  <c r="A44" s="1"/>
  <c r="AH44" s="1"/>
  <c r="A50" a="1"/>
  <c r="A50" s="1"/>
  <c r="AH50" s="1"/>
  <c r="AE34" a="1"/>
  <c r="AE34" s="1"/>
  <c r="AE40" a="1"/>
  <c r="AE40" s="1"/>
  <c r="AE46" a="1"/>
  <c r="AE46" s="1"/>
  <c r="O52" a="1"/>
  <c r="O52" s="1"/>
  <c r="AD36" a="1"/>
  <c r="AD36" s="1"/>
  <c r="AD42" a="1"/>
  <c r="AD42" s="1"/>
  <c r="AD48" a="1"/>
  <c r="AD48" s="1"/>
  <c r="AC56" a="1"/>
  <c r="AC56" s="1"/>
  <c r="AG39" a="1"/>
  <c r="AG39" s="1"/>
  <c r="Z37" a="1"/>
  <c r="Z37" s="1"/>
  <c r="AF47" a="1"/>
  <c r="AF47" s="1"/>
  <c r="Z40" a="1"/>
  <c r="Z40" s="1"/>
  <c r="X40" a="1"/>
  <c r="X40" s="1"/>
  <c r="L46" a="1"/>
  <c r="L46" s="1"/>
  <c r="K42" a="1"/>
  <c r="K42" s="1"/>
  <c r="AE45" a="1"/>
  <c r="AE45" s="1"/>
  <c r="X34" a="1"/>
  <c r="X34" s="1"/>
  <c r="J39" a="1"/>
  <c r="J39" s="1"/>
  <c r="J45" a="1"/>
  <c r="J45" s="1"/>
  <c r="J51" a="1"/>
  <c r="J51" s="1"/>
  <c r="I35" a="1"/>
  <c r="I35" s="1"/>
  <c r="I41" a="1"/>
  <c r="I41" s="1"/>
  <c r="I47" a="1"/>
  <c r="I47" s="1"/>
  <c r="X52" a="1"/>
  <c r="X52" s="1"/>
  <c r="H37" a="1"/>
  <c r="H37" s="1"/>
  <c r="H43" a="1"/>
  <c r="H43" s="1"/>
  <c r="H49" a="1"/>
  <c r="H49" s="1"/>
  <c r="T56" a="1"/>
  <c r="T56" s="1"/>
  <c r="U38" a="1"/>
  <c r="U38" s="1"/>
  <c r="U44" a="1"/>
  <c r="U44" s="1"/>
  <c r="U50" a="1"/>
  <c r="U50" s="1"/>
  <c r="F34" a="1"/>
  <c r="F34" s="1"/>
  <c r="F40" a="1"/>
  <c r="F40" s="1"/>
  <c r="F46" a="1"/>
  <c r="F46" s="1"/>
  <c r="AD51" a="1"/>
  <c r="AD51" s="1"/>
  <c r="Q35" a="1"/>
  <c r="Q35" s="1"/>
  <c r="Q41" a="1"/>
  <c r="Q41" s="1"/>
  <c r="Q47" a="1"/>
  <c r="Q47" s="1"/>
  <c r="AF52" a="1"/>
  <c r="AF52" s="1"/>
  <c r="P37" a="1"/>
  <c r="P37" s="1"/>
  <c r="P43" a="1"/>
  <c r="P43" s="1"/>
  <c r="P49" a="1"/>
  <c r="P49" s="1"/>
  <c r="L56" a="1"/>
  <c r="L56" s="1"/>
  <c r="O39" a="1"/>
  <c r="O39" s="1"/>
  <c r="O45" a="1"/>
  <c r="O45" s="1"/>
  <c r="O51" a="1"/>
  <c r="O51" s="1"/>
  <c r="N35" a="1"/>
  <c r="N35" s="1"/>
  <c r="N41" a="1"/>
  <c r="N41" s="1"/>
  <c r="N47" a="1"/>
  <c r="N47" s="1"/>
  <c r="AC52" a="1"/>
  <c r="AC52" s="1"/>
  <c r="M37" a="1"/>
  <c r="M37" s="1"/>
  <c r="M43" a="1"/>
  <c r="M43" s="1"/>
  <c r="M49" a="1"/>
  <c r="M49" s="1"/>
  <c r="L34" a="1"/>
  <c r="L34" s="1"/>
  <c r="L40" a="1"/>
  <c r="L40" s="1"/>
  <c r="C52" a="1"/>
  <c r="C52" s="1"/>
  <c r="AD41" a="1"/>
  <c r="AD41" s="1"/>
  <c r="Z33" a="1"/>
  <c r="Z33" s="1"/>
  <c r="AA38" a="1"/>
  <c r="AA38" s="1"/>
  <c r="AA44" a="1"/>
  <c r="AA44" s="1"/>
  <c r="AA50" a="1"/>
  <c r="AA50" s="1"/>
  <c r="W34" a="1"/>
  <c r="W34" s="1"/>
  <c r="W40" a="1"/>
  <c r="W40" s="1"/>
  <c r="W46" a="1"/>
  <c r="W46" s="1"/>
  <c r="L52" a="1"/>
  <c r="L52" s="1"/>
  <c r="V36" a="1"/>
  <c r="V36" s="1"/>
  <c r="V42" a="1"/>
  <c r="V42" s="1"/>
  <c r="V48" a="1"/>
  <c r="V48" s="1"/>
  <c r="AF56" a="1"/>
  <c r="AF56" s="1"/>
  <c r="G38" a="1"/>
  <c r="G38" s="1"/>
  <c r="G44" a="1"/>
  <c r="G44" s="1"/>
  <c r="G50" a="1"/>
  <c r="G50" s="1"/>
  <c r="O56" a="1"/>
  <c r="O56" s="1"/>
  <c r="R39" a="1"/>
  <c r="R39" s="1"/>
  <c r="R45" a="1"/>
  <c r="R45" s="1"/>
  <c r="R51" a="1"/>
  <c r="R51" s="1"/>
  <c r="E35" a="1"/>
  <c r="E35" s="1"/>
  <c r="E41" a="1"/>
  <c r="E41" s="1"/>
  <c r="E47" a="1"/>
  <c r="E47" s="1"/>
  <c r="T52" a="1"/>
  <c r="T52" s="1"/>
  <c r="D37" a="1"/>
  <c r="D37" s="1"/>
  <c r="D43" a="1"/>
  <c r="D43" s="1"/>
  <c r="D49" a="1"/>
  <c r="D49" s="1"/>
  <c r="X56" a="1"/>
  <c r="X56" s="1"/>
  <c r="C39" a="1"/>
  <c r="C39" s="1"/>
  <c r="C45" a="1"/>
  <c r="C45" s="1"/>
  <c r="C51" a="1"/>
  <c r="C51" s="1"/>
  <c r="B35" a="1"/>
  <c r="B35" s="1"/>
  <c r="B41" a="1"/>
  <c r="B41" s="1"/>
  <c r="B47" a="1"/>
  <c r="B47" s="1"/>
  <c r="Q52" a="1"/>
  <c r="Q52" s="1"/>
  <c r="A37" a="1"/>
  <c r="A37" s="1"/>
  <c r="AH37" s="1"/>
  <c r="A43" a="1"/>
  <c r="A43" s="1"/>
  <c r="AH43" s="1"/>
  <c r="A49" a="1"/>
  <c r="A49" s="1"/>
  <c r="AH49" s="1"/>
  <c r="AA56" a="1"/>
  <c r="AA56" s="1"/>
  <c r="AE39" a="1"/>
  <c r="AE39" s="1"/>
  <c r="K47" a="1"/>
  <c r="K47" s="1"/>
  <c r="Y33" a="1"/>
  <c r="Y33" s="1"/>
  <c r="X48" a="1"/>
  <c r="X48" s="1"/>
  <c r="X39" a="1"/>
  <c r="X39" s="1"/>
  <c r="Y48" a="1"/>
  <c r="Y48" s="1"/>
  <c r="Y39" a="1"/>
  <c r="Y39" s="1"/>
  <c r="X47" a="1"/>
  <c r="X47" s="1"/>
  <c r="Y47" a="1"/>
  <c r="Y47" s="1"/>
  <c r="X38" a="1"/>
  <c r="X38" s="1"/>
  <c r="Y38" a="1"/>
  <c r="Y38" s="1"/>
  <c r="X50" a="1"/>
  <c r="X50" s="1"/>
  <c r="X45" a="1"/>
  <c r="X45" s="1"/>
  <c r="Y45" a="1"/>
  <c r="Y45" s="1"/>
  <c r="Y50" a="1"/>
  <c r="Y50" s="1"/>
  <c r="X44" a="1"/>
  <c r="X44" s="1"/>
  <c r="Y44" a="1"/>
  <c r="Y44" s="1"/>
  <c r="X37" a="1"/>
  <c r="X37" s="1"/>
  <c r="Y37" a="1"/>
  <c r="Y37" s="1"/>
  <c r="X36" a="1"/>
  <c r="X36" s="1"/>
  <c r="X46" a="1"/>
  <c r="X46" s="1"/>
  <c r="Y42" a="1"/>
  <c r="Y42" s="1"/>
  <c r="Y36" a="1"/>
  <c r="Y36" s="1"/>
  <c r="S51" a="1"/>
  <c r="S51" s="1"/>
  <c r="AH56"/>
  <c r="AG20" a="1"/>
  <c r="AG15" a="1"/>
  <c r="AG10" a="1"/>
  <c r="AG12" a="1"/>
  <c r="AG14" a="1"/>
  <c r="AG11" a="1"/>
  <c r="AG20" l="1"/>
  <c r="AG10"/>
  <c r="AG11"/>
  <c r="AG15"/>
  <c r="AG14"/>
  <c r="AG12"/>
  <c r="I56"/>
  <c r="S41" a="1"/>
  <c r="S41" s="1"/>
  <c r="S39" a="1"/>
  <c r="S39" s="1"/>
  <c r="S37" a="1"/>
  <c r="S37" s="1"/>
  <c r="S35" a="1"/>
  <c r="S35" s="1"/>
  <c r="S49" a="1"/>
  <c r="S49" s="1"/>
  <c r="S42" a="1"/>
  <c r="S42" s="1"/>
  <c r="S44" a="1"/>
  <c r="S44" s="1"/>
  <c r="S48" a="1"/>
  <c r="S48" s="1"/>
  <c r="S40" a="1"/>
  <c r="S40" s="1"/>
  <c r="S50" a="1"/>
  <c r="S50" s="1"/>
  <c r="S38" a="1"/>
  <c r="S38" s="1"/>
  <c r="S46" a="1"/>
  <c r="S46" s="1"/>
  <c r="S36" a="1"/>
  <c r="S36" s="1"/>
  <c r="S47" a="1"/>
  <c r="S47" s="1"/>
  <c r="S34" a="1"/>
  <c r="S34" s="1"/>
  <c r="S45" a="1"/>
  <c r="S45" s="1"/>
  <c r="S43" a="1"/>
  <c r="S43" s="1"/>
  <c r="Y35" a="1"/>
  <c r="Y35" s="1"/>
  <c r="S33" a="1"/>
  <c r="S33" s="1"/>
  <c r="T51" a="1"/>
  <c r="T51" s="1"/>
  <c r="AB51" a="1"/>
  <c r="AB51" s="1"/>
  <c r="T36" l="1" a="1"/>
  <c r="T36" s="1"/>
  <c r="AB35" a="1"/>
  <c r="AB35" s="1"/>
  <c r="T43" a="1"/>
  <c r="T43" s="1"/>
  <c r="AB36" a="1"/>
  <c r="AB36" s="1"/>
  <c r="T49" a="1"/>
  <c r="T49" s="1"/>
  <c r="AB42" a="1"/>
  <c r="AB42" s="1"/>
  <c r="T46" a="1"/>
  <c r="T46" s="1"/>
  <c r="T47" a="1"/>
  <c r="T47" s="1"/>
  <c r="AB49" a="1"/>
  <c r="AB49" s="1"/>
  <c r="AB40" a="1"/>
  <c r="AB40" s="1"/>
  <c r="AB46" a="1"/>
  <c r="AB46" s="1"/>
  <c r="T34" a="1"/>
  <c r="T34" s="1"/>
  <c r="AB47" a="1"/>
  <c r="AB47" s="1"/>
  <c r="AB38" a="1"/>
  <c r="AB38" s="1"/>
  <c r="AB39" a="1"/>
  <c r="AB39" s="1"/>
  <c r="T40" a="1"/>
  <c r="T40" s="1"/>
  <c r="AC34" a="1"/>
  <c r="AC34" s="1"/>
  <c r="T44" a="1"/>
  <c r="T44" s="1"/>
  <c r="AB34" a="1"/>
  <c r="AB34" s="1"/>
  <c r="T38" a="1"/>
  <c r="T38" s="1"/>
  <c r="T45" a="1"/>
  <c r="T45" s="1"/>
  <c r="AB44" a="1"/>
  <c r="AB44" s="1"/>
  <c r="AB45" a="1"/>
  <c r="AB45" s="1"/>
  <c r="T48" a="1"/>
  <c r="T48" s="1"/>
  <c r="AB43" a="1"/>
  <c r="AB43" s="1"/>
  <c r="T41" a="1"/>
  <c r="T41" s="1"/>
  <c r="AB48" a="1"/>
  <c r="AB48" s="1"/>
  <c r="T42" a="1"/>
  <c r="T42" s="1"/>
  <c r="AB41" a="1"/>
  <c r="AB41" s="1"/>
  <c r="T50" a="1"/>
  <c r="T50" s="1"/>
  <c r="T37" a="1"/>
  <c r="T37" s="1"/>
  <c r="T35" a="1"/>
  <c r="T35" s="1"/>
  <c r="T39" a="1"/>
  <c r="T39" s="1"/>
  <c r="AB50" a="1"/>
  <c r="AB50" s="1"/>
  <c r="AB37" a="1"/>
  <c r="AB37" s="1"/>
  <c r="T33" a="1"/>
  <c r="T33" s="1"/>
  <c r="AB33" a="1"/>
  <c r="AB33" s="1"/>
  <c r="AC51" a="1"/>
  <c r="AC51" s="1"/>
  <c r="AC45" l="1" a="1"/>
  <c r="AC45" s="1"/>
  <c r="AC39" a="1"/>
  <c r="AC39" s="1"/>
  <c r="AC47" a="1"/>
  <c r="AC47" s="1"/>
  <c r="AC41" a="1"/>
  <c r="AC41" s="1"/>
  <c r="AC36" a="1"/>
  <c r="AC36" s="1"/>
  <c r="AC38" a="1"/>
  <c r="AC38" s="1"/>
  <c r="AC50" a="1"/>
  <c r="AC50" s="1"/>
  <c r="AC46" a="1"/>
  <c r="AC46" s="1"/>
  <c r="AC48" a="1"/>
  <c r="AC48" s="1"/>
  <c r="AC44" a="1"/>
  <c r="AC44" s="1"/>
  <c r="AC43" a="1"/>
  <c r="AC43" s="1"/>
  <c r="AC42" a="1"/>
  <c r="AC42" s="1"/>
  <c r="AC49" a="1"/>
  <c r="AC49" s="1"/>
  <c r="AC35" a="1"/>
  <c r="AC35" s="1"/>
  <c r="AC40" a="1"/>
  <c r="AC40" s="1"/>
  <c r="AC37" a="1"/>
  <c r="AC37" s="1"/>
  <c r="AC33" a="1"/>
  <c r="AC33" s="1"/>
  <c r="AH12" a="1"/>
  <c r="C12" a="1"/>
  <c r="G12" a="1"/>
  <c r="A12" a="1"/>
  <c r="O12" a="1"/>
  <c r="F12" a="1"/>
  <c r="K12" a="1"/>
  <c r="C12" l="1"/>
  <c r="AI12" s="1"/>
  <c r="A12"/>
  <c r="O12"/>
  <c r="K12"/>
  <c r="F12"/>
  <c r="AH12"/>
  <c r="G12"/>
  <c r="AH16" a="1"/>
  <c r="O24" a="1"/>
  <c r="G21" a="1"/>
  <c r="F21" a="1"/>
  <c r="K28" a="1"/>
  <c r="C11" a="1"/>
  <c r="K19" a="1"/>
  <c r="G23" a="1"/>
  <c r="O21" a="1"/>
  <c r="C25" a="1"/>
  <c r="C17" a="1"/>
  <c r="G15" a="1"/>
  <c r="O18" a="1"/>
  <c r="G16" a="1"/>
  <c r="K13" a="1"/>
  <c r="K22" a="1"/>
  <c r="F28" a="1"/>
  <c r="K25" a="1"/>
  <c r="AH18" a="1"/>
  <c r="O16" a="1"/>
  <c r="G18" a="1"/>
  <c r="C28" a="1"/>
  <c r="F25" a="1"/>
  <c r="C24" a="1"/>
  <c r="O14" a="1"/>
  <c r="C10" a="1"/>
  <c r="C22" a="1"/>
  <c r="A16" a="1"/>
  <c r="F19" a="1"/>
  <c r="O22" a="1"/>
  <c r="O11" a="1"/>
  <c r="G10" a="1"/>
  <c r="G14" a="1"/>
  <c r="C26" a="1"/>
  <c r="A20" a="1"/>
  <c r="O17" a="1"/>
  <c r="AH29" a="1"/>
  <c r="O20" a="1"/>
  <c r="F11" a="1"/>
  <c r="F29" a="1"/>
  <c r="A15" a="1"/>
  <c r="AG25" a="1"/>
  <c r="AH27" a="1"/>
  <c r="AH26" a="1"/>
  <c r="G24" a="1"/>
  <c r="G25" a="1"/>
  <c r="C13" a="1"/>
  <c r="AH23" a="1"/>
  <c r="O13" a="1"/>
  <c r="A13" a="1"/>
  <c r="F20" a="1"/>
  <c r="A29" a="1"/>
  <c r="F16" a="1"/>
  <c r="G20" a="1"/>
  <c r="AH20" a="1"/>
  <c r="O15" a="1"/>
  <c r="F26" a="1"/>
  <c r="G11" a="1"/>
  <c r="AH15" a="1"/>
  <c r="AG29" a="1"/>
  <c r="G27" a="1"/>
  <c r="A14" a="1"/>
  <c r="A23" a="1"/>
  <c r="K29" a="1"/>
  <c r="C14" a="1"/>
  <c r="AH13" a="1"/>
  <c r="AG26" a="1"/>
  <c r="K17" a="1"/>
  <c r="F15" a="1"/>
  <c r="K20" a="1"/>
  <c r="F23" a="1"/>
  <c r="F22" a="1"/>
  <c r="F27" a="1"/>
  <c r="AH24" a="1"/>
  <c r="C29" a="1"/>
  <c r="K23" a="1"/>
  <c r="K26" a="1"/>
  <c r="A27" a="1"/>
  <c r="F17" a="1"/>
  <c r="O28" a="1"/>
  <c r="C27" a="1"/>
  <c r="AH10" a="1"/>
  <c r="K10" a="1"/>
  <c r="K14" a="1"/>
  <c r="F18" a="1"/>
  <c r="O19" a="1"/>
  <c r="C23" a="1"/>
  <c r="K15" a="1"/>
  <c r="AH17" a="1"/>
  <c r="A21" a="1"/>
  <c r="F10" a="1"/>
  <c r="F24" a="1"/>
  <c r="AH14" a="1"/>
  <c r="A24" a="1"/>
  <c r="O23" a="1"/>
  <c r="O29" a="1"/>
  <c r="C16" a="1"/>
  <c r="C15" a="1"/>
  <c r="AH19" a="1"/>
  <c r="O26" a="1"/>
  <c r="K11" a="1"/>
  <c r="K27" a="1"/>
  <c r="F14" a="1"/>
  <c r="O25" a="1"/>
  <c r="F13" a="1"/>
  <c r="K24" a="1"/>
  <c r="A25" a="1"/>
  <c r="O10" a="1"/>
  <c r="G28" a="1"/>
  <c r="AH11" a="1"/>
  <c r="A26" a="1"/>
  <c r="AG27" a="1"/>
  <c r="K21" a="1"/>
  <c r="A28" a="1"/>
  <c r="C18" a="1"/>
  <c r="AG28" a="1"/>
  <c r="G26" a="1"/>
  <c r="K18" a="1"/>
  <c r="A19" a="1"/>
  <c r="AH21" a="1"/>
  <c r="G22" a="1"/>
  <c r="AH28" a="1"/>
  <c r="C20" a="1"/>
  <c r="A18" a="1"/>
  <c r="K16" a="1"/>
  <c r="A22" a="1"/>
  <c r="A10" a="1"/>
  <c r="C21" a="1"/>
  <c r="AH25" a="1"/>
  <c r="A11" a="1"/>
  <c r="G13" a="1"/>
  <c r="G17" a="1"/>
  <c r="C19" a="1"/>
  <c r="G19" a="1"/>
  <c r="G29" a="1"/>
  <c r="O27" a="1"/>
  <c r="A17" a="1"/>
  <c r="AH22" a="1"/>
  <c r="AK12" l="1"/>
  <c r="AJ12"/>
  <c r="K29"/>
  <c r="K15"/>
  <c r="AH28"/>
  <c r="F28"/>
  <c r="A29"/>
  <c r="C29"/>
  <c r="AI29" s="1"/>
  <c r="AJ29" s="1"/>
  <c r="C15"/>
  <c r="G17"/>
  <c r="A16"/>
  <c r="A14"/>
  <c r="C16"/>
  <c r="G13"/>
  <c r="O29"/>
  <c r="A11"/>
  <c r="C10"/>
  <c r="AG29"/>
  <c r="O23"/>
  <c r="AH25"/>
  <c r="O14"/>
  <c r="F13"/>
  <c r="AH16"/>
  <c r="O17"/>
  <c r="A10"/>
  <c r="K13"/>
  <c r="AH10"/>
  <c r="O26"/>
  <c r="C28"/>
  <c r="AI28" s="1"/>
  <c r="AJ28" s="1"/>
  <c r="A13"/>
  <c r="C13"/>
  <c r="G19"/>
  <c r="K19"/>
  <c r="K17"/>
  <c r="C18"/>
  <c r="F14"/>
  <c r="A17"/>
  <c r="G14"/>
  <c r="O15"/>
  <c r="F10"/>
  <c r="K16"/>
  <c r="O16"/>
  <c r="AH20"/>
  <c r="A21"/>
  <c r="A18"/>
  <c r="AH18"/>
  <c r="G20"/>
  <c r="F16"/>
  <c r="AH11"/>
  <c r="C11"/>
  <c r="A15"/>
  <c r="G22"/>
  <c r="K22"/>
  <c r="F20"/>
  <c r="O19"/>
  <c r="AH21"/>
  <c r="F18"/>
  <c r="A19"/>
  <c r="G16"/>
  <c r="O13"/>
  <c r="K14"/>
  <c r="K18"/>
  <c r="O18"/>
  <c r="AH23"/>
  <c r="F23"/>
  <c r="A24"/>
  <c r="C21"/>
  <c r="C24"/>
  <c r="F21"/>
  <c r="K20"/>
  <c r="AH17"/>
  <c r="C17"/>
  <c r="F11"/>
  <c r="A20"/>
  <c r="C20"/>
  <c r="G25"/>
  <c r="F26"/>
  <c r="K25"/>
  <c r="O22"/>
  <c r="O25"/>
  <c r="F24"/>
  <c r="A22"/>
  <c r="G18"/>
  <c r="F17"/>
  <c r="K21"/>
  <c r="O21"/>
  <c r="AH26"/>
  <c r="A27"/>
  <c r="AG27"/>
  <c r="G23"/>
  <c r="AH27"/>
  <c r="AG25"/>
  <c r="K23"/>
  <c r="AH19"/>
  <c r="C19"/>
  <c r="F19"/>
  <c r="A23"/>
  <c r="C23"/>
  <c r="AI23" s="1"/>
  <c r="AJ23" s="1"/>
  <c r="G28"/>
  <c r="K28"/>
  <c r="F29"/>
  <c r="AH24"/>
  <c r="O10"/>
  <c r="F27"/>
  <c r="A25"/>
  <c r="G21"/>
  <c r="O20"/>
  <c r="F22"/>
  <c r="K24"/>
  <c r="O24"/>
  <c r="AH29"/>
  <c r="AH15"/>
  <c r="K10"/>
  <c r="G26"/>
  <c r="G15"/>
  <c r="AG28"/>
  <c r="K26"/>
  <c r="AH22"/>
  <c r="C22"/>
  <c r="F25"/>
  <c r="A26"/>
  <c r="C26"/>
  <c r="G27"/>
  <c r="G11"/>
  <c r="F15"/>
  <c r="C27"/>
  <c r="AH14"/>
  <c r="O28"/>
  <c r="A28"/>
  <c r="C25"/>
  <c r="G24"/>
  <c r="AG26"/>
  <c r="K27"/>
  <c r="O27"/>
  <c r="G10"/>
  <c r="AH13"/>
  <c r="K11"/>
  <c r="G29"/>
  <c r="O11"/>
  <c r="C14"/>
  <c r="AG18" a="1"/>
  <c r="AG23" a="1"/>
  <c r="AG22" a="1"/>
  <c r="AG19" a="1"/>
  <c r="AG13" a="1"/>
  <c r="AG21" a="1"/>
  <c r="AG16" a="1"/>
  <c r="AG17" a="1"/>
  <c r="AG24" a="1"/>
  <c r="AI15" l="1"/>
  <c r="AI20"/>
  <c r="AI16"/>
  <c r="AJ16" s="1"/>
  <c r="AI17"/>
  <c r="AI11"/>
  <c r="AK18"/>
  <c r="AI18"/>
  <c r="AI10"/>
  <c r="B7"/>
  <c r="AK14"/>
  <c r="AK15"/>
  <c r="AI24"/>
  <c r="AJ24" s="1"/>
  <c r="AK22"/>
  <c r="AK19"/>
  <c r="AK17"/>
  <c r="AK28"/>
  <c r="AK29"/>
  <c r="AK13"/>
  <c r="AK26"/>
  <c r="AK23"/>
  <c r="AK20"/>
  <c r="AK25"/>
  <c r="AK16"/>
  <c r="AI14"/>
  <c r="AK27"/>
  <c r="AI21"/>
  <c r="AK11"/>
  <c r="AI13"/>
  <c r="AI25"/>
  <c r="AJ25" s="1"/>
  <c r="AK24"/>
  <c r="AI19"/>
  <c r="AI27"/>
  <c r="AJ27" s="1"/>
  <c r="AK21"/>
  <c r="AK10"/>
  <c r="AI22"/>
  <c r="AI26"/>
  <c r="AJ26" s="1"/>
  <c r="AG22"/>
  <c r="AG21"/>
  <c r="AG17"/>
  <c r="AG24"/>
  <c r="AG23"/>
  <c r="AG13"/>
  <c r="AG19"/>
  <c r="AG16"/>
  <c r="AG18"/>
  <c r="AJ20" l="1"/>
  <c r="AJ15"/>
  <c r="AJ17"/>
  <c r="AJ19"/>
  <c r="AJ11"/>
  <c r="AJ21"/>
  <c r="AJ22"/>
  <c r="AJ14"/>
  <c r="AJ13"/>
  <c r="AJ18"/>
  <c r="AJ10"/>
</calcChain>
</file>

<file path=xl/comments1.xml><?xml version="1.0" encoding="utf-8"?>
<comments xmlns="http://schemas.openxmlformats.org/spreadsheetml/2006/main">
  <authors>
    <author>acer</author>
    <author>Lore</author>
    <author>Luca</author>
  </authors>
  <commentList>
    <comment ref="BH2" authorId="0">
      <text>
        <r>
          <rPr>
            <b/>
            <sz val="8"/>
            <color indexed="81"/>
            <rFont val="Tahoma"/>
            <family val="2"/>
          </rPr>
          <t>si intendono al 12,5 %
vanno inserite negative</t>
        </r>
      </text>
    </comment>
    <comment ref="C4" authorId="1">
      <text>
        <r>
          <rPr>
            <b/>
            <sz val="8"/>
            <color indexed="81"/>
            <rFont val="Tahoma"/>
            <family val="2"/>
          </rPr>
          <t xml:space="preserve">DATA SCADENZA
DATA REGOLAMENTO ODIERNA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4" authorId="0">
      <text>
        <r>
          <rPr>
            <b/>
            <sz val="8"/>
            <color indexed="81"/>
            <rFont val="Tahoma"/>
            <family val="2"/>
          </rPr>
          <t>DATA ACQUISTO
DATA REGOLAMENTO ACQUISTO
DATA ODIERNA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4" authorId="1">
      <text>
        <r>
          <rPr>
            <b/>
            <sz val="8"/>
            <color indexed="81"/>
            <rFont val="Tahoma"/>
            <family val="2"/>
          </rPr>
          <t>PREZZO ACQUISTO
PREZZO CARICO FISCALE
DATA PROSSIMA CEDOLA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" authorId="0">
      <text>
        <r>
          <rPr>
            <b/>
            <sz val="8"/>
            <color indexed="81"/>
            <rFont val="Tahoma"/>
            <family val="2"/>
          </rPr>
          <t>TASSO
CAMBIO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4" authorId="0">
      <text>
        <r>
          <rPr>
            <b/>
            <sz val="8"/>
            <color indexed="81"/>
            <rFont val="Tahoma"/>
            <family val="2"/>
          </rPr>
          <t>NUMERO CEDOLE ANNUALI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4" authorId="1">
      <text>
        <r>
          <rPr>
            <b/>
            <sz val="8"/>
            <color indexed="81"/>
            <rFont val="Tahoma"/>
            <family val="2"/>
          </rPr>
          <t>Evidenzia oltre il 5%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249" authorId="2">
      <text>
        <r>
          <rPr>
            <b/>
            <sz val="8"/>
            <color indexed="81"/>
            <rFont val="Tahoma"/>
            <family val="2"/>
          </rPr>
          <t xml:space="preserve">TITOLI A REDDITO FISSO SELEZIONATI PER RAPPRESENTARE AMPIAMENTE IL MERCATO DEL DEBITO STATALE DEI MERCATI EMERGENTI IN VALUTA LOCALE: BRASILE, UNGHERIA,
INDONESIA, MALESIA, MESSICO, POLONIA,
SUDAFRICA, TURCHIA. </t>
        </r>
      </text>
    </comment>
    <comment ref="A373" authorId="2">
      <text>
        <r>
          <rPr>
            <b/>
            <sz val="8"/>
            <color indexed="81"/>
            <rFont val="Tahoma"/>
            <family val="2"/>
          </rPr>
          <t>MAGGIORI 30 OBBLIGAZIONI NON GOVERNATIVE AD ELEVATO RENDIMENTO DENOMINATE IN EURO ED EMESSE DA SOGGETTI NON FINANZIARI. E' PREVISTO IL REINVESTIMENTO DELLE CEDOLE NELL'INDICE.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Lore</author>
    <author>acer</author>
  </authors>
  <commentList>
    <comment ref="C1" authorId="0">
      <text>
        <r>
          <rPr>
            <b/>
            <sz val="8"/>
            <color indexed="81"/>
            <rFont val="Tahoma"/>
            <family val="2"/>
          </rPr>
          <t xml:space="preserve">DATA SCADENZA
DATA REGOLAMENTO ODIERNA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1">
      <text>
        <r>
          <rPr>
            <b/>
            <sz val="8"/>
            <color indexed="81"/>
            <rFont val="Tahoma"/>
            <family val="2"/>
          </rPr>
          <t>DATA ACQUISTO
DATA REGOLAMENTO ACQUISTO
DATA ODIERNA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>
      <text>
        <r>
          <rPr>
            <b/>
            <sz val="8"/>
            <color indexed="81"/>
            <rFont val="Tahoma"/>
            <family val="2"/>
          </rPr>
          <t>PREZZO ACQUISTO
PREZZO CARICO FISCALE
DATA PROSSIMA CEDOLA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1" authorId="1">
      <text>
        <r>
          <rPr>
            <b/>
            <sz val="8"/>
            <color indexed="81"/>
            <rFont val="Tahoma"/>
            <family val="2"/>
          </rPr>
          <t>TASSO
CAMBIO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1">
      <text>
        <r>
          <rPr>
            <b/>
            <sz val="8"/>
            <color indexed="81"/>
            <rFont val="Tahoma"/>
            <family val="2"/>
          </rPr>
          <t>NUMERO CEDOLE ANNUALI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>
      <text>
        <r>
          <rPr>
            <b/>
            <sz val="8"/>
            <color indexed="81"/>
            <rFont val="Tahoma"/>
            <family val="2"/>
          </rPr>
          <t>Evidenzia oltre il 5%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nnections.xml><?xml version="1.0" encoding="utf-8"?>
<connections xmlns="http://schemas.openxmlformats.org/spreadsheetml/2006/main">
  <connection id="1" name="Connessione1" type="4" refreshedVersion="3" background="1" saveData="1">
    <webPr sourceData="1" parsePre="1" consecutive="1" xl2000="1" url="http://it.exchange-rates.org/MajorRates.aspx"/>
  </connection>
  <connection id="2" name="eurofxref-daily" type="4" refreshedVersion="0" background="1">
    <webPr xml="1" sourceData="1" parsePre="1" consecutive="1" url="C:\Users\Luca\Downloads\eurofxref-daily (3).xml" htmlTables="1"/>
  </connection>
  <connection id="3" name="eurofxref-daily1" type="4" reconnectionMethod="2" refreshedVersion="0" background="1">
    <webPr xml="1" sourceData="1" parsePre="1" consecutive="1" url="https://www.ecb.europa.eu/stats/eurofxref/eurofxref-daily.xml?9a255ee8efa90c6a11139bedc2e35026" htmlTables="1"/>
  </connection>
</connections>
</file>

<file path=xl/sharedStrings.xml><?xml version="1.0" encoding="utf-8"?>
<sst xmlns="http://schemas.openxmlformats.org/spreadsheetml/2006/main" count="922" uniqueCount="520">
  <si>
    <t>IT0000072618</t>
  </si>
  <si>
    <t>IT0003132476</t>
  </si>
  <si>
    <t>IT0003153415</t>
  </si>
  <si>
    <t>IT0003128367</t>
  </si>
  <si>
    <t>DB</t>
  </si>
  <si>
    <t>ISP</t>
  </si>
  <si>
    <t>€/CNY</t>
  </si>
  <si>
    <t>€/CHF</t>
  </si>
  <si>
    <t>€/NOK</t>
  </si>
  <si>
    <t>€/HUF</t>
  </si>
  <si>
    <t>€/ZAR</t>
  </si>
  <si>
    <t>€/TRY</t>
  </si>
  <si>
    <t>EUR 3 M</t>
  </si>
  <si>
    <t>€/CAD</t>
  </si>
  <si>
    <t>€/RUB</t>
  </si>
  <si>
    <t>€/NZD</t>
  </si>
  <si>
    <t>€/BRL</t>
  </si>
  <si>
    <t>€/AUD</t>
  </si>
  <si>
    <t>BOT 6 M</t>
  </si>
  <si>
    <t>€/£</t>
  </si>
  <si>
    <t>€/$</t>
  </si>
  <si>
    <t>INFLAZ</t>
  </si>
  <si>
    <t>EUR 6 M</t>
  </si>
  <si>
    <t>Totale generale</t>
  </si>
  <si>
    <t>FINANC</t>
  </si>
  <si>
    <t>CORPOR</t>
  </si>
  <si>
    <t>TDS+SOVER</t>
  </si>
  <si>
    <t>C/C</t>
  </si>
  <si>
    <t>Totale titoli</t>
  </si>
  <si>
    <t>Snam Rete Gas</t>
  </si>
  <si>
    <t>n/a</t>
  </si>
  <si>
    <t>Prossima data utili:</t>
  </si>
  <si>
    <t>Beta:</t>
  </si>
  <si>
    <t>Target 1A (prev.):</t>
  </si>
  <si>
    <t>Lettera:</t>
  </si>
  <si>
    <t>Denaro:</t>
  </si>
  <si>
    <t>Apertura:</t>
  </si>
  <si>
    <t>Prec. chiusura:</t>
  </si>
  <si>
    <t>ENEL</t>
  </si>
  <si>
    <t>Eni</t>
  </si>
  <si>
    <t>IT0000062072</t>
  </si>
  <si>
    <t>Generali</t>
  </si>
  <si>
    <t>vend 16/6/15  84,85</t>
  </si>
  <si>
    <t>IT0003007728</t>
  </si>
  <si>
    <t>Tods</t>
  </si>
  <si>
    <t>20/3 vend 9,27</t>
  </si>
  <si>
    <t>vend 9,43 10/3/15</t>
  </si>
  <si>
    <t>vend 8,44 14/7/15</t>
  </si>
  <si>
    <t>IT0004618465</t>
  </si>
  <si>
    <t>Saipem</t>
  </si>
  <si>
    <t>vend 17/3/15 a 6,26</t>
  </si>
  <si>
    <t>IT0004781412</t>
  </si>
  <si>
    <t>Unicredit</t>
  </si>
  <si>
    <t>Intesa Sanpaolo</t>
  </si>
  <si>
    <t>US0378331005</t>
  </si>
  <si>
    <t>AZIONI</t>
  </si>
  <si>
    <t>Long leva2 grano</t>
  </si>
  <si>
    <t>JE00B2NFTX18</t>
  </si>
  <si>
    <t>Lyxor ETF Lever Wheat</t>
  </si>
  <si>
    <t>Rendimento YTD (Mkt)²:</t>
  </si>
  <si>
    <t>310,20mln</t>
  </si>
  <si>
    <t>Attività nette²:</t>
  </si>
  <si>
    <t>NAV¹:</t>
  </si>
  <si>
    <t>vend 22/1 a 120,5</t>
  </si>
  <si>
    <t>v 26/6 118,41</t>
  </si>
  <si>
    <t>EUR</t>
  </si>
  <si>
    <t>ACCUMULA DIVIDENDI</t>
  </si>
  <si>
    <t>FR0010975771</t>
  </si>
  <si>
    <t>Lyxor ETF EUR LIQUID HIGH YIELD 30</t>
  </si>
  <si>
    <t>302,08mln</t>
  </si>
  <si>
    <t>vend 18/6 a 8,215  3700 pcs</t>
  </si>
  <si>
    <t>USD</t>
  </si>
  <si>
    <t>DA' DIVIDENDI</t>
  </si>
  <si>
    <t>FR0007063177</t>
  </si>
  <si>
    <t>LYXOR ETF NASDAQ 100</t>
  </si>
  <si>
    <t>v 1/6 a 64,16</t>
  </si>
  <si>
    <t>USD leva 3X</t>
  </si>
  <si>
    <t>JE00B3QQ4551</t>
  </si>
  <si>
    <t>ETFS 3X Short EUR Long USD</t>
  </si>
  <si>
    <t>IE00B0M63391</t>
  </si>
  <si>
    <t>IShare ETF Korea</t>
  </si>
  <si>
    <t>vend 3/11/14 a 146,74</t>
  </si>
  <si>
    <t>IE00B5BMR087</t>
  </si>
  <si>
    <t>IShare ETF SP 500 USD</t>
  </si>
  <si>
    <t>DA' DIVIDENDO</t>
  </si>
  <si>
    <t>FR0010345371</t>
  </si>
  <si>
    <t>LYXOR ETF STOXX EUROPE 600 BANKS</t>
  </si>
  <si>
    <t>Long leva2 DAX</t>
  </si>
  <si>
    <t>LU0252634307</t>
  </si>
  <si>
    <t>Lyxor ETF Lever DAX</t>
  </si>
  <si>
    <t>LU0252633754</t>
  </si>
  <si>
    <t>Lyxor ETF DAX</t>
  </si>
  <si>
    <t>TRIMESTRALI</t>
  </si>
  <si>
    <t>v 34,53 il 17/9</t>
  </si>
  <si>
    <t>IE00B0M63516</t>
  </si>
  <si>
    <t>IS MSCI ETF Brazil</t>
  </si>
  <si>
    <t>1,01mld</t>
  </si>
  <si>
    <t>FR0010361683</t>
  </si>
  <si>
    <t>Lyxor ETF INDIA</t>
  </si>
  <si>
    <t>ott-dic</t>
  </si>
  <si>
    <t>vend 52,2  apr 2019</t>
  </si>
  <si>
    <t>azioni Mondo EUR</t>
  </si>
  <si>
    <t>IE00B441G979</t>
  </si>
  <si>
    <t xml:space="preserve">Ishares Msci World Eur Hdg </t>
  </si>
  <si>
    <t>vend 22,55  16/5/17</t>
  </si>
  <si>
    <t>30 azioni top dividend europee</t>
  </si>
  <si>
    <t>Dà DIVIDENDI</t>
  </si>
  <si>
    <t>21/4  375 €</t>
  </si>
  <si>
    <t>LU0292095535</t>
  </si>
  <si>
    <t>DB EuroStoxx Div._30</t>
  </si>
  <si>
    <t>Rendimento YTD (Mkt):</t>
  </si>
  <si>
    <t>Attività nette:</t>
  </si>
  <si>
    <t>NAV:</t>
  </si>
  <si>
    <t>v 38,99 il 6/2</t>
  </si>
  <si>
    <t>AUD</t>
  </si>
  <si>
    <t>STACCA 2 DIVIDENDI</t>
  </si>
  <si>
    <t>LU0496786905</t>
  </si>
  <si>
    <t>Lyxor ETF AUSTRALIA</t>
  </si>
  <si>
    <t>199,37mln</t>
  </si>
  <si>
    <t>v 3/6 a 27,4</t>
  </si>
  <si>
    <t>FR0010410266</t>
  </si>
  <si>
    <t>Lyxor ETF LATIN AMERICA</t>
  </si>
  <si>
    <t>v 3/6 a 71,3</t>
  </si>
  <si>
    <t>DA' 2 DIVIDENDI ANNO</t>
  </si>
  <si>
    <t>IE00B5M4WH52</t>
  </si>
  <si>
    <t>Barclays Local Cur Core Govt Bond</t>
  </si>
  <si>
    <t>228,55mln</t>
  </si>
  <si>
    <t>vend 16/1 a 60</t>
  </si>
  <si>
    <t>FR0010326256</t>
  </si>
  <si>
    <t>Lyxor ETF Turchia Titan 20</t>
  </si>
  <si>
    <t>v 11/5</t>
  </si>
  <si>
    <t>CS SP500</t>
  </si>
  <si>
    <t>vend 18/6 a 16,765  4150 pcs</t>
  </si>
  <si>
    <t>v 19/6 a 16,75</t>
  </si>
  <si>
    <t>GB00B15KXX56</t>
  </si>
  <si>
    <t>ETF Gold</t>
  </si>
  <si>
    <t>JE00B24DKH53</t>
  </si>
  <si>
    <t>ETF Natural Gas Short</t>
  </si>
  <si>
    <t>vend 16/6/15 37,93</t>
  </si>
  <si>
    <t>IE00B4L5Y983</t>
  </si>
  <si>
    <t>ETF ISHARES CORE WRD</t>
  </si>
  <si>
    <t>DE000A1EK0G3</t>
  </si>
  <si>
    <t>ETF Gold Hedge</t>
  </si>
  <si>
    <t>143,82mln</t>
  </si>
  <si>
    <t>v 7/12 a 27,35</t>
  </si>
  <si>
    <t>Short leva2 Mib30</t>
  </si>
  <si>
    <t>FR0010446666</t>
  </si>
  <si>
    <t>Lyxor ETF Xbear</t>
  </si>
  <si>
    <t>vend 10,91 14/7/15</t>
  </si>
  <si>
    <t>Long leva2 Mib30</t>
  </si>
  <si>
    <t>FR0010446658</t>
  </si>
  <si>
    <t>Lyxor ETF Lever MIB</t>
  </si>
  <si>
    <t>IE00B4V5WD83</t>
  </si>
  <si>
    <t>FTSE MIB Daily Leveraged TR EUR</t>
  </si>
  <si>
    <t>v 11/9 a 0,0355</t>
  </si>
  <si>
    <t>Gas leva2</t>
  </si>
  <si>
    <t>JE00B2NFTQ41</t>
  </si>
  <si>
    <t>Lyxor ETF Nat Gas Lev</t>
  </si>
  <si>
    <t>ETF</t>
  </si>
  <si>
    <t>U/P - COMM E CAP GAIN</t>
  </si>
  <si>
    <t>U/P SUL PREZZO</t>
  </si>
  <si>
    <t>CONTROVAL</t>
  </si>
  <si>
    <t>PREZZO</t>
  </si>
  <si>
    <t>PREZZO ACQ</t>
  </si>
  <si>
    <t>DATA ACQUIS</t>
  </si>
  <si>
    <t>QUOTE</t>
  </si>
  <si>
    <t>ISIN</t>
  </si>
  <si>
    <t>TITOLO</t>
  </si>
  <si>
    <t xml:space="preserve">CEDOLA NETTA MEDIA </t>
  </si>
  <si>
    <t>DURATION MEDIA</t>
  </si>
  <si>
    <t>U/P</t>
  </si>
  <si>
    <t>RATEI</t>
  </si>
  <si>
    <t>Ordinario</t>
  </si>
  <si>
    <t>TDS/BEI</t>
  </si>
  <si>
    <t>Italia</t>
  </si>
  <si>
    <t>Titoli di stato</t>
  </si>
  <si>
    <t>MOT</t>
  </si>
  <si>
    <t>ACT/ACT</t>
  </si>
  <si>
    <t>18000 M</t>
  </si>
  <si>
    <t>MAG/NOV</t>
  </si>
  <si>
    <t>A</t>
  </si>
  <si>
    <t>ITALIA</t>
  </si>
  <si>
    <t>ALTRO</t>
  </si>
  <si>
    <t>TASSO FISSO</t>
  </si>
  <si>
    <t>TLX</t>
  </si>
  <si>
    <t>NOV</t>
  </si>
  <si>
    <t>BBB</t>
  </si>
  <si>
    <t>UNIPOL</t>
  </si>
  <si>
    <t>Francia</t>
  </si>
  <si>
    <t>Automobili</t>
  </si>
  <si>
    <t>750 M</t>
  </si>
  <si>
    <t>RENAULT</t>
  </si>
  <si>
    <t>Industriale</t>
  </si>
  <si>
    <t>FEB</t>
  </si>
  <si>
    <t>N/R</t>
  </si>
  <si>
    <t>INTEK</t>
  </si>
  <si>
    <t>Utilities</t>
  </si>
  <si>
    <t>ALERION</t>
  </si>
  <si>
    <t>MAG</t>
  </si>
  <si>
    <t>BB</t>
  </si>
  <si>
    <t>ANSALDO</t>
  </si>
  <si>
    <t>APR/OTT</t>
  </si>
  <si>
    <t>MAIRE TECNIMONT</t>
  </si>
  <si>
    <t>1250 M</t>
  </si>
  <si>
    <t>MAR</t>
  </si>
  <si>
    <t>German</t>
  </si>
  <si>
    <t>E-TLX</t>
  </si>
  <si>
    <t>Beni consumo</t>
  </si>
  <si>
    <t>ATLANTIA</t>
  </si>
  <si>
    <t>titolo in pegno</t>
  </si>
  <si>
    <t>OBBLIGAZIONI</t>
  </si>
  <si>
    <t>RUB</t>
  </si>
  <si>
    <t>NZD</t>
  </si>
  <si>
    <t>SEK</t>
  </si>
  <si>
    <t>CZK</t>
  </si>
  <si>
    <t>PLN</t>
  </si>
  <si>
    <t>MXN</t>
  </si>
  <si>
    <t>INR</t>
  </si>
  <si>
    <t>DKK</t>
  </si>
  <si>
    <t>CNY</t>
  </si>
  <si>
    <t>JPY</t>
  </si>
  <si>
    <t>CHF</t>
  </si>
  <si>
    <t>BRL</t>
  </si>
  <si>
    <t>HUF</t>
  </si>
  <si>
    <t>NOK</t>
  </si>
  <si>
    <t>ZAR</t>
  </si>
  <si>
    <t>TRY</t>
  </si>
  <si>
    <t>CAD</t>
  </si>
  <si>
    <t>GPB</t>
  </si>
  <si>
    <t>BANCA ITA SCADENZA ENTRO 12/2014</t>
  </si>
  <si>
    <t>ASIATICHE</t>
  </si>
  <si>
    <t>PEMEX</t>
  </si>
  <si>
    <t>TAMBURI</t>
  </si>
  <si>
    <t>BILFINGER</t>
  </si>
  <si>
    <t>LUFTHANSA</t>
  </si>
  <si>
    <t>CARRARO</t>
  </si>
  <si>
    <t>TESLA</t>
  </si>
  <si>
    <t>BOMBARDIER</t>
  </si>
  <si>
    <t>AIR FRANCE</t>
  </si>
  <si>
    <t>GM</t>
  </si>
  <si>
    <t>HERTZ</t>
  </si>
  <si>
    <t>ROLLS ROYCE</t>
  </si>
  <si>
    <t>GLENCORE</t>
  </si>
  <si>
    <t>PETROBRAS</t>
  </si>
  <si>
    <t>ASTALDI</t>
  </si>
  <si>
    <t>ERAMET</t>
  </si>
  <si>
    <t>SALINI</t>
  </si>
  <si>
    <t>MITTEL</t>
  </si>
  <si>
    <t>AZIMUT</t>
  </si>
  <si>
    <t>INDESIT</t>
  </si>
  <si>
    <t>CATTOLICA</t>
  </si>
  <si>
    <t>ALLIANZ</t>
  </si>
  <si>
    <t>ARCELOR</t>
  </si>
  <si>
    <t>NEXI</t>
  </si>
  <si>
    <t>SPAGNA</t>
  </si>
  <si>
    <t>CITIGR</t>
  </si>
  <si>
    <t>SAIPEM</t>
  </si>
  <si>
    <t>MORGN ST</t>
  </si>
  <si>
    <t>BIRS</t>
  </si>
  <si>
    <t>DEUT TELEK</t>
  </si>
  <si>
    <t>AREVA</t>
  </si>
  <si>
    <t>BCA CARIGE</t>
  </si>
  <si>
    <t>GERMANIA</t>
  </si>
  <si>
    <t>THYSSEN</t>
  </si>
  <si>
    <t>PORT TELECOM</t>
  </si>
  <si>
    <t>COMMERZ</t>
  </si>
  <si>
    <t>FINMEC</t>
  </si>
  <si>
    <t>CROAZIA</t>
  </si>
  <si>
    <t>LAFAR</t>
  </si>
  <si>
    <t>PEUGEO</t>
  </si>
  <si>
    <t>TURCHIA</t>
  </si>
  <si>
    <t>MERRIL</t>
  </si>
  <si>
    <t>GENERAL EL</t>
  </si>
  <si>
    <t>MAIRE TECN</t>
  </si>
  <si>
    <t>GAZPROM</t>
  </si>
  <si>
    <t>RAIFFEISEN</t>
  </si>
  <si>
    <t>AIG</t>
  </si>
  <si>
    <t>IVS GROUP</t>
  </si>
  <si>
    <t>ZURICH</t>
  </si>
  <si>
    <t>DAIMLER</t>
  </si>
  <si>
    <t>AUCHAN</t>
  </si>
  <si>
    <t>ITALCEM</t>
  </si>
  <si>
    <t>GENERAL</t>
  </si>
  <si>
    <t>BANCO POP</t>
  </si>
  <si>
    <t>PORTOGALLO</t>
  </si>
  <si>
    <t>VOLK</t>
  </si>
  <si>
    <t>AXA</t>
  </si>
  <si>
    <t>ENI</t>
  </si>
  <si>
    <t>PIRELL</t>
  </si>
  <si>
    <t>BEI</t>
  </si>
  <si>
    <t>ICCREA</t>
  </si>
  <si>
    <t>UNIC</t>
  </si>
  <si>
    <t>TELECOM IT</t>
  </si>
  <si>
    <t>MPS</t>
  </si>
  <si>
    <t>FIAT AU</t>
  </si>
  <si>
    <t>MEDIOB</t>
  </si>
  <si>
    <t>ITA</t>
  </si>
  <si>
    <t>MESSICO</t>
  </si>
  <si>
    <t>RUSSIA</t>
  </si>
  <si>
    <t>LUSSEMBUR</t>
  </si>
  <si>
    <t>PORTOGAL</t>
  </si>
  <si>
    <t>SCOZIA</t>
  </si>
  <si>
    <t>BELG</t>
  </si>
  <si>
    <t>CROAZ</t>
  </si>
  <si>
    <t>OLAND</t>
  </si>
  <si>
    <t>SVIZZ</t>
  </si>
  <si>
    <t>SOVER</t>
  </si>
  <si>
    <t>INGHIL</t>
  </si>
  <si>
    <t>FRAN</t>
  </si>
  <si>
    <t>GERM</t>
  </si>
  <si>
    <t>USA</t>
  </si>
  <si>
    <t>SPA</t>
  </si>
  <si>
    <t>BENI CONS</t>
  </si>
  <si>
    <t>OIL E GAS</t>
  </si>
  <si>
    <t>INDUSTRIAL</t>
  </si>
  <si>
    <t>CHIMIC</t>
  </si>
  <si>
    <t>TELEC</t>
  </si>
  <si>
    <t>UTILIT</t>
  </si>
  <si>
    <t>ASSIC</t>
  </si>
  <si>
    <t xml:space="preserve">BANCHE </t>
  </si>
  <si>
    <t>AUTO</t>
  </si>
  <si>
    <t>SOVER controv</t>
  </si>
  <si>
    <t>TDS controv</t>
  </si>
  <si>
    <t>TDS</t>
  </si>
  <si>
    <t>COVER</t>
  </si>
  <si>
    <t>LTI</t>
  </si>
  <si>
    <t>LTII</t>
  </si>
  <si>
    <t>ORD</t>
  </si>
  <si>
    <t>NR</t>
  </si>
  <si>
    <t>AA</t>
  </si>
  <si>
    <t>AAA</t>
  </si>
  <si>
    <t>PERPET</t>
  </si>
  <si>
    <t>CONVERT</t>
  </si>
  <si>
    <t>PCT</t>
  </si>
  <si>
    <t>INFLAT</t>
  </si>
  <si>
    <t>TV</t>
  </si>
  <si>
    <t>ZC</t>
  </si>
  <si>
    <t>TF</t>
  </si>
  <si>
    <t>PREZ SCARICO CAP GAIN</t>
  </si>
  <si>
    <t>PREZ CARICO CAP GAIN</t>
  </si>
  <si>
    <t>IMPOSTA DISAGGIO</t>
  </si>
  <si>
    <t>IMPORTO SECCO</t>
  </si>
  <si>
    <t>TASSO LORDO INT (ZC)</t>
  </si>
  <si>
    <t>PREZ NETTO SCAD</t>
  </si>
  <si>
    <t>&lt;0,50%</t>
  </si>
  <si>
    <t>YTM</t>
  </si>
  <si>
    <t>BASE</t>
  </si>
  <si>
    <t>Y.T.M net</t>
  </si>
  <si>
    <t>GIORNI</t>
  </si>
  <si>
    <t>cambio medio acquist*valore nominale USD</t>
  </si>
  <si>
    <t>VALUTA sul controvalore</t>
  </si>
  <si>
    <t>EMITTENTE</t>
  </si>
  <si>
    <t>NAZIONE</t>
  </si>
  <si>
    <t>VALUTA sul nominale</t>
  </si>
  <si>
    <t>SETTORE</t>
  </si>
  <si>
    <t>SUBORDINAZIONE</t>
  </si>
  <si>
    <t>RATING</t>
  </si>
  <si>
    <t>TIPO INVESTIMENTO</t>
  </si>
  <si>
    <t>IMPOR AL NETTO PLUS</t>
  </si>
  <si>
    <t>RATEO LORDO</t>
  </si>
  <si>
    <t>PREZ ACQ FINALE</t>
  </si>
  <si>
    <t>COSTO SUPER SECCO</t>
  </si>
  <si>
    <t>GIORNI RAT TOT</t>
  </si>
  <si>
    <t>DURATA ANNI POSSED</t>
  </si>
  <si>
    <t>PREZ TEOR FISC EMIS</t>
  </si>
  <si>
    <t>SPREAD vs BTP</t>
  </si>
  <si>
    <t>Spread</t>
  </si>
  <si>
    <t>U/P SUL CAMBIO IN €</t>
  </si>
  <si>
    <t>Spese fisse</t>
  </si>
  <si>
    <t>IMPOSTA SULLA PLUS</t>
  </si>
  <si>
    <t>SCARTO EMISS LORD</t>
  </si>
  <si>
    <t>RATEO LORDO ACQ</t>
  </si>
  <si>
    <t>DISAG LORDO ACQ</t>
  </si>
  <si>
    <t>GIORNI RAT ACQ</t>
  </si>
  <si>
    <t>DURATA GIORNI</t>
  </si>
  <si>
    <t>DISAGG LORDO EMISS</t>
  </si>
  <si>
    <t>Minimo</t>
  </si>
  <si>
    <r>
      <t xml:space="preserve">PLUS </t>
    </r>
    <r>
      <rPr>
        <sz val="9"/>
        <color indexed="10"/>
        <rFont val="Arial"/>
        <family val="2"/>
      </rPr>
      <t>MINUS</t>
    </r>
    <r>
      <rPr>
        <sz val="9"/>
        <rFont val="Arial"/>
        <family val="2"/>
      </rPr>
      <t xml:space="preserve"> REALIZZ</t>
    </r>
  </si>
  <si>
    <t>DISAGGIO LORDO</t>
  </si>
  <si>
    <t>PREZ TEOR ACQ</t>
  </si>
  <si>
    <t>GIORNI DIS</t>
  </si>
  <si>
    <t>DURATA ANNI</t>
  </si>
  <si>
    <t>PREZZO RIMBORSO</t>
  </si>
  <si>
    <t xml:space="preserve"> NETTO</t>
  </si>
  <si>
    <t>NET</t>
  </si>
  <si>
    <t>Spread Vs BTP</t>
  </si>
  <si>
    <t>Massimo</t>
  </si>
  <si>
    <t>GUADAGNO NETTO</t>
  </si>
  <si>
    <t>IMPOSTA RATEO</t>
  </si>
  <si>
    <t>SPESE</t>
  </si>
  <si>
    <t>MERCATO</t>
  </si>
  <si>
    <t>PREZZO EMISSIONE</t>
  </si>
  <si>
    <t>Y.T.M. net / DURATION</t>
  </si>
  <si>
    <t>CDS</t>
  </si>
  <si>
    <t>RATEO</t>
  </si>
  <si>
    <t>DURAT MODIF</t>
  </si>
  <si>
    <t>WARNING cambio</t>
  </si>
  <si>
    <t>WARNING prezzo</t>
  </si>
  <si>
    <t>MESE CEDOLA</t>
  </si>
  <si>
    <t>VALORE NOMINALE</t>
  </si>
  <si>
    <t>TASSO</t>
  </si>
  <si>
    <t>Prezzo ACQ</t>
  </si>
  <si>
    <t>DATA ACQUISTO REGOLAM</t>
  </si>
  <si>
    <t>DATA SCADENZ</t>
  </si>
  <si>
    <t>Warning U/P prezzo</t>
  </si>
  <si>
    <t>Commissioni</t>
  </si>
  <si>
    <t>Commiss interv USD</t>
  </si>
  <si>
    <t>RENDIMENTO MEDIO</t>
  </si>
  <si>
    <t>IMPORTO TOT SCAD</t>
  </si>
  <si>
    <t>IMPORTO TOT ACQ</t>
  </si>
  <si>
    <t>COMMISSIONI</t>
  </si>
  <si>
    <t>VOLUME</t>
  </si>
  <si>
    <t>DATA EMISSIONE</t>
  </si>
  <si>
    <t>Tasso EUR 1M-0,50%</t>
  </si>
  <si>
    <t>Formattazioni condizionali</t>
  </si>
  <si>
    <t>Azioni</t>
  </si>
  <si>
    <t>Minus in portafogli</t>
  </si>
  <si>
    <t>Fondi</t>
  </si>
  <si>
    <t>Obbligazioni</t>
  </si>
  <si>
    <t>SBILANCIO</t>
  </si>
  <si>
    <t>ALLA SCADENZA</t>
  </si>
  <si>
    <t>ALL'ACQUISTO</t>
  </si>
  <si>
    <t>EMISSIONE</t>
  </si>
  <si>
    <t>,</t>
  </si>
  <si>
    <t>30/360</t>
  </si>
  <si>
    <t>500 M</t>
  </si>
  <si>
    <t>SET</t>
  </si>
  <si>
    <t>1000 M</t>
  </si>
  <si>
    <t>Banche</t>
  </si>
  <si>
    <t>250 M</t>
  </si>
  <si>
    <t>200 M</t>
  </si>
  <si>
    <t>Call</t>
  </si>
  <si>
    <t>EXTRAMOT</t>
  </si>
  <si>
    <t>Chimico e Farmaceutico</t>
  </si>
  <si>
    <t>DICEMBRE</t>
  </si>
  <si>
    <t>INTESA</t>
  </si>
  <si>
    <t>NOVEMBRE</t>
  </si>
  <si>
    <t>OTTOBRE</t>
  </si>
  <si>
    <t>SETTEMBRE</t>
  </si>
  <si>
    <t>AGOSTO</t>
  </si>
  <si>
    <t>LUGLIO</t>
  </si>
  <si>
    <t>GIUGNO</t>
  </si>
  <si>
    <t>MAGGIO</t>
  </si>
  <si>
    <t>APRILE</t>
  </si>
  <si>
    <t>MARZO</t>
  </si>
  <si>
    <t>FEBBRAIO</t>
  </si>
  <si>
    <t>GENNAIO</t>
  </si>
  <si>
    <t>FLUSSO CEDOLARE</t>
  </si>
  <si>
    <t>Olanda</t>
  </si>
  <si>
    <t>WIIT</t>
  </si>
  <si>
    <t>XS2393520734</t>
  </si>
  <si>
    <t>OVS</t>
  </si>
  <si>
    <t>XS2395580892</t>
  </si>
  <si>
    <t>ROMANIA</t>
  </si>
  <si>
    <t>XS2434895558</t>
  </si>
  <si>
    <t>Romania</t>
  </si>
  <si>
    <t>AGO</t>
  </si>
  <si>
    <t xml:space="preserve">BTP  </t>
  </si>
  <si>
    <t>GIU/DIC</t>
  </si>
  <si>
    <t>ESSELUNGA</t>
  </si>
  <si>
    <t>BULGARIA</t>
  </si>
  <si>
    <t>GOLDMAN SACHS</t>
  </si>
  <si>
    <t>HEIDELBERGCEMENT</t>
  </si>
  <si>
    <t>UNGHERIA</t>
  </si>
  <si>
    <t>Ungheria</t>
  </si>
  <si>
    <t>vend 2,46 10/2</t>
  </si>
  <si>
    <t>24/3/23  293 € DIVID</t>
  </si>
  <si>
    <t>RWE</t>
  </si>
  <si>
    <t>VEND 13,38  3/4/23</t>
  </si>
  <si>
    <t>130 M</t>
  </si>
  <si>
    <t>ITALIAN WINE</t>
  </si>
  <si>
    <t>700 M</t>
  </si>
  <si>
    <t>IT0005542359</t>
  </si>
  <si>
    <t>ITALGAS</t>
  </si>
  <si>
    <t>PORSCHE</t>
  </si>
  <si>
    <t>AUSTRIA</t>
  </si>
  <si>
    <t>XS2395035517</t>
  </si>
  <si>
    <t>5 M</t>
  </si>
  <si>
    <t>XS1892127470</t>
  </si>
  <si>
    <t>600 M</t>
  </si>
  <si>
    <t>XS2577874782</t>
  </si>
  <si>
    <t>FORD</t>
  </si>
  <si>
    <t>SOCIETE GENERALE</t>
  </si>
  <si>
    <t>IT0005544082</t>
  </si>
  <si>
    <t>decennale</t>
  </si>
  <si>
    <t>XS2680932907</t>
  </si>
  <si>
    <t>205 M</t>
  </si>
  <si>
    <t>XS2668070662</t>
  </si>
  <si>
    <t>BAYER</t>
  </si>
  <si>
    <t>XS2289795465</t>
  </si>
  <si>
    <t>NEWLAT FOOD</t>
  </si>
  <si>
    <t>ILIAD</t>
  </si>
  <si>
    <t>IT0006756438</t>
  </si>
  <si>
    <t>120 M</t>
  </si>
  <si>
    <t>GOODYEAR</t>
  </si>
  <si>
    <t>METRO AG</t>
  </si>
  <si>
    <t>SOLAVAY</t>
  </si>
  <si>
    <t>VALEO</t>
  </si>
  <si>
    <t>ALPERIA</t>
  </si>
  <si>
    <t>IT0005595373</t>
  </si>
  <si>
    <t>TEVA</t>
  </si>
  <si>
    <t>XS1211044075</t>
  </si>
  <si>
    <t>Commiss dal 2024</t>
  </si>
  <si>
    <t>BORGOSESIA</t>
  </si>
  <si>
    <t>IT0005597874</t>
  </si>
  <si>
    <t>XS2892988192</t>
  </si>
  <si>
    <t>20 M</t>
  </si>
  <si>
    <t>XS2781204149</t>
  </si>
  <si>
    <t>40,564,88</t>
  </si>
  <si>
    <t>Svezia</t>
  </si>
  <si>
    <t>VOLVO</t>
  </si>
  <si>
    <t>FR001400SSO4</t>
  </si>
  <si>
    <t>800 M</t>
  </si>
  <si>
    <t>Taglio 1K-RCI Banque</t>
  </si>
  <si>
    <t>CEDOLA  NETTA ANNUA</t>
  </si>
  <si>
    <t>CEDOLA  NETTA EFFETTIVA</t>
  </si>
  <si>
    <t>DA CONSID</t>
  </si>
  <si>
    <t>ANNO SCADENZA</t>
  </si>
  <si>
    <t>GIORNO STACCO CEDOLA</t>
  </si>
  <si>
    <t>DATA SCADENZA</t>
  </si>
</sst>
</file>

<file path=xl/styles.xml><?xml version="1.0" encoding="utf-8"?>
<styleSheet xmlns="http://schemas.openxmlformats.org/spreadsheetml/2006/main">
  <numFmts count="23">
    <numFmt numFmtId="164" formatCode="&quot;€&quot;\ #,##0;[Red]\-&quot;€&quot;\ #,##0"/>
    <numFmt numFmtId="165" formatCode="&quot;€&quot;\ #,##0.00;[Red]\-&quot;€&quot;\ #,##0.00"/>
    <numFmt numFmtId="166" formatCode="&quot;€&quot;\ #,##0"/>
    <numFmt numFmtId="167" formatCode="0.00%;[Red]\ \-0.00%"/>
    <numFmt numFmtId="168" formatCode="[$USD]\ #,##0;[Red]\-[$USD]\ #,##0"/>
    <numFmt numFmtId="169" formatCode="&quot;€&quot;\ #,##0.00"/>
    <numFmt numFmtId="170" formatCode="#,##0.000"/>
    <numFmt numFmtId="172" formatCode="0.000"/>
    <numFmt numFmtId="174" formatCode="0.000%"/>
    <numFmt numFmtId="175" formatCode="dd\.mm\.yyyy"/>
    <numFmt numFmtId="176" formatCode="[$-409]h:mm\ AM/PM;@"/>
    <numFmt numFmtId="177" formatCode="h:mm;@"/>
    <numFmt numFmtId="178" formatCode="#,##0.00000"/>
    <numFmt numFmtId="179" formatCode="#,##0.0000"/>
    <numFmt numFmtId="180" formatCode="0.0000"/>
    <numFmt numFmtId="181" formatCode="&quot;€&quot;\ #,##0.00000"/>
    <numFmt numFmtId="182" formatCode="0.00000"/>
    <numFmt numFmtId="183" formatCode="0.000000"/>
    <numFmt numFmtId="184" formatCode="0.00000%"/>
    <numFmt numFmtId="185" formatCode="0.0"/>
    <numFmt numFmtId="186" formatCode="0.0000000"/>
    <numFmt numFmtId="187" formatCode="[$$-409]#,##0_ ;[Red]\-[$$-409]#,##0\ "/>
    <numFmt numFmtId="194" formatCode="[$$-409]#,##0"/>
  </numFmts>
  <fonts count="10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indexed="81"/>
      <name val="Tahoma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24"/>
      <color indexed="8"/>
      <name val="Calibri"/>
      <family val="2"/>
    </font>
    <font>
      <b/>
      <sz val="12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2"/>
      <color indexed="8"/>
      <name val="Calibri"/>
      <family val="2"/>
    </font>
    <font>
      <sz val="11"/>
      <color indexed="8"/>
      <name val="Arial"/>
      <family val="2"/>
    </font>
    <font>
      <b/>
      <sz val="14"/>
      <color indexed="8"/>
      <name val="Calibri"/>
      <family val="2"/>
    </font>
    <font>
      <u/>
      <sz val="9.9"/>
      <color theme="10"/>
      <name val="Calibri"/>
      <family val="2"/>
    </font>
    <font>
      <b/>
      <sz val="11"/>
      <color theme="1"/>
      <name val="Calibri"/>
      <family val="2"/>
    </font>
    <font>
      <b/>
      <sz val="10"/>
      <color indexed="8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sz val="12"/>
      <color indexed="8"/>
      <name val="Arial"/>
      <family val="2"/>
    </font>
    <font>
      <sz val="11"/>
      <color theme="1"/>
      <name val="Calibri"/>
      <family val="2"/>
    </font>
    <font>
      <sz val="11"/>
      <color theme="0" tint="-0.34998626667073579"/>
      <name val="Calibri"/>
      <family val="2"/>
    </font>
    <font>
      <b/>
      <sz val="11"/>
      <color theme="1" tint="0.249977111117893"/>
      <name val="Arial"/>
      <family val="2"/>
    </font>
    <font>
      <sz val="10"/>
      <color theme="1"/>
      <name val="Arial"/>
      <family val="2"/>
    </font>
    <font>
      <b/>
      <sz val="14"/>
      <color indexed="8"/>
      <name val="Arial"/>
      <family val="2"/>
    </font>
    <font>
      <sz val="11"/>
      <color theme="0"/>
      <name val="Arial"/>
      <family val="2"/>
    </font>
    <font>
      <sz val="8"/>
      <color indexed="81"/>
      <name val="Tahoma"/>
      <family val="2"/>
    </font>
    <font>
      <i/>
      <sz val="9"/>
      <color indexed="8"/>
      <name val="Calibri"/>
      <family val="2"/>
    </font>
    <font>
      <i/>
      <sz val="11"/>
      <color indexed="8"/>
      <name val="Calibri"/>
      <family val="2"/>
    </font>
    <font>
      <sz val="10"/>
      <color rgb="FFFF0000"/>
      <name val="Arial"/>
      <family val="2"/>
    </font>
    <font>
      <sz val="9"/>
      <color indexed="8"/>
      <name val="Calibri"/>
      <family val="2"/>
    </font>
    <font>
      <sz val="11"/>
      <name val="Calibri"/>
      <family val="2"/>
    </font>
    <font>
      <b/>
      <i/>
      <sz val="12"/>
      <color indexed="8"/>
      <name val="Calibri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4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i/>
      <sz val="9"/>
      <name val="Arial"/>
      <family val="2"/>
    </font>
    <font>
      <i/>
      <sz val="14"/>
      <name val="Arial"/>
      <family val="2"/>
    </font>
    <font>
      <sz val="10"/>
      <color rgb="FF7030A0"/>
      <name val="Arial"/>
      <family val="2"/>
    </font>
    <font>
      <sz val="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u val="double"/>
      <sz val="22"/>
      <name val="Arial"/>
      <family val="2"/>
    </font>
    <font>
      <b/>
      <sz val="26"/>
      <name val="Arial"/>
      <family val="2"/>
    </font>
    <font>
      <b/>
      <sz val="12"/>
      <name val="Arial"/>
      <family val="2"/>
    </font>
    <font>
      <b/>
      <u val="double"/>
      <sz val="24"/>
      <name val="Arial"/>
      <family val="2"/>
    </font>
    <font>
      <sz val="10"/>
      <color theme="0"/>
      <name val="Arial"/>
      <family val="2"/>
    </font>
    <font>
      <i/>
      <sz val="10"/>
      <color indexed="8"/>
      <name val="Arial"/>
      <family val="2"/>
    </font>
    <font>
      <b/>
      <sz val="11"/>
      <name val="Arial"/>
      <family val="2"/>
    </font>
    <font>
      <b/>
      <sz val="10"/>
      <color theme="0"/>
      <name val="Arial"/>
      <family val="2"/>
    </font>
    <font>
      <sz val="9"/>
      <color theme="0"/>
      <name val="Arial"/>
      <family val="2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4"/>
      <color rgb="FF323232"/>
      <name val="Arial"/>
      <family val="2"/>
    </font>
    <font>
      <sz val="11"/>
      <color theme="0"/>
      <name val="Calibri"/>
      <family val="2"/>
    </font>
    <font>
      <sz val="11"/>
      <name val="Arial"/>
      <family val="2"/>
    </font>
    <font>
      <i/>
      <sz val="11"/>
      <color indexed="8"/>
      <name val="Arial"/>
      <family val="2"/>
    </font>
    <font>
      <b/>
      <sz val="10"/>
      <color theme="1"/>
      <name val="Arial"/>
      <family val="2"/>
    </font>
    <font>
      <sz val="10"/>
      <color theme="0" tint="-0.34998626667073579"/>
      <name val="Arial"/>
      <family val="2"/>
    </font>
    <font>
      <sz val="11"/>
      <color rgb="FFFF0000"/>
      <name val="Calibri"/>
      <family val="2"/>
    </font>
    <font>
      <sz val="9"/>
      <color theme="0"/>
      <name val="Calibri"/>
      <family val="2"/>
    </font>
    <font>
      <sz val="9"/>
      <color rgb="FFFF0000"/>
      <name val="Calibri"/>
      <family val="2"/>
    </font>
    <font>
      <b/>
      <i/>
      <sz val="11"/>
      <name val="Arial"/>
      <family val="2"/>
    </font>
    <font>
      <b/>
      <i/>
      <sz val="10"/>
      <name val="Arial"/>
      <family val="2"/>
    </font>
    <font>
      <b/>
      <i/>
      <sz val="10"/>
      <color rgb="FFFF0000"/>
      <name val="Arial"/>
      <family val="2"/>
    </font>
    <font>
      <i/>
      <sz val="9"/>
      <color indexed="8"/>
      <name val="Arial"/>
      <family val="2"/>
    </font>
    <font>
      <i/>
      <sz val="10"/>
      <name val="Arial"/>
      <family val="2"/>
    </font>
    <font>
      <b/>
      <i/>
      <sz val="9"/>
      <name val="Arial"/>
      <family val="2"/>
    </font>
    <font>
      <i/>
      <sz val="10"/>
      <color theme="0"/>
      <name val="Arial"/>
      <family val="2"/>
    </font>
    <font>
      <b/>
      <i/>
      <sz val="10"/>
      <color theme="1"/>
      <name val="Arial"/>
      <family val="2"/>
    </font>
    <font>
      <i/>
      <sz val="10"/>
      <color rgb="FFFF0000"/>
      <name val="Arial"/>
      <family val="2"/>
    </font>
    <font>
      <sz val="9"/>
      <color rgb="FF00B050"/>
      <name val="Arial"/>
      <family val="2"/>
    </font>
    <font>
      <b/>
      <sz val="9"/>
      <name val="Arial"/>
      <family val="2"/>
    </font>
    <font>
      <sz val="10"/>
      <color rgb="FF00B0F0"/>
      <name val="Arial"/>
      <family val="2"/>
    </font>
    <font>
      <i/>
      <sz val="10"/>
      <color theme="1"/>
      <name val="Arial"/>
      <family val="2"/>
    </font>
    <font>
      <b/>
      <sz val="11"/>
      <color rgb="FFFF0000"/>
      <name val="Arial"/>
      <family val="2"/>
    </font>
    <font>
      <b/>
      <sz val="8"/>
      <name val="Arial"/>
      <family val="2"/>
    </font>
    <font>
      <sz val="9"/>
      <color indexed="10"/>
      <name val="Arial"/>
      <family val="2"/>
    </font>
    <font>
      <sz val="10"/>
      <color theme="2" tint="-0.499984740745262"/>
      <name val="Arial"/>
      <family val="2"/>
    </font>
    <font>
      <sz val="14"/>
      <color theme="0" tint="-0.34998626667073579"/>
      <name val="Arial"/>
      <family val="2"/>
    </font>
    <font>
      <b/>
      <sz val="11"/>
      <color theme="0"/>
      <name val="Calibri"/>
      <family val="2"/>
    </font>
    <font>
      <u/>
      <sz val="10"/>
      <name val="Arial"/>
      <family val="2"/>
    </font>
    <font>
      <b/>
      <u/>
      <sz val="10"/>
      <name val="Arial"/>
      <family val="2"/>
    </font>
    <font>
      <b/>
      <sz val="16"/>
      <name val="Arial"/>
      <family val="2"/>
    </font>
    <font>
      <b/>
      <sz val="11"/>
      <color rgb="FFFF0000"/>
      <name val="Calibri"/>
      <family val="2"/>
    </font>
    <font>
      <sz val="10"/>
      <color theme="0" tint="-0.249977111117893"/>
      <name val="Arial"/>
      <family val="2"/>
    </font>
    <font>
      <b/>
      <sz val="16"/>
      <color rgb="FFFF0000"/>
      <name val="Calibri"/>
      <family val="2"/>
    </font>
    <font>
      <sz val="10"/>
      <color theme="0" tint="-0.499984740745262"/>
      <name val="Arial"/>
      <family val="2"/>
    </font>
    <font>
      <b/>
      <sz val="9"/>
      <color rgb="FFFF0000"/>
      <name val="Arial"/>
      <family val="2"/>
    </font>
    <font>
      <b/>
      <sz val="9"/>
      <color rgb="FFFF0000"/>
      <name val="Calibri"/>
      <family val="2"/>
    </font>
    <font>
      <i/>
      <sz val="10"/>
      <color theme="0" tint="-0.34998626667073579"/>
      <name val="Arial"/>
      <family val="2"/>
    </font>
    <font>
      <b/>
      <sz val="12"/>
      <color rgb="FFFF0000"/>
      <name val="Calibri"/>
      <family val="2"/>
    </font>
    <font>
      <b/>
      <sz val="12"/>
      <name val="Calibri"/>
      <family val="2"/>
    </font>
    <font>
      <sz val="11"/>
      <color theme="0" tint="-0.34998626667073579"/>
      <name val="Arial"/>
      <family val="2"/>
    </font>
    <font>
      <b/>
      <sz val="14"/>
      <color rgb="FFFF0000"/>
      <name val="Arial"/>
      <family val="2"/>
    </font>
    <font>
      <b/>
      <sz val="20"/>
      <color indexed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046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6" fillId="0" borderId="0"/>
    <xf numFmtId="0" fontId="15" fillId="0" borderId="0"/>
    <xf numFmtId="0" fontId="6" fillId="0" borderId="0"/>
    <xf numFmtId="0" fontId="11" fillId="0" borderId="0"/>
    <xf numFmtId="168" fontId="11" fillId="0" borderId="0"/>
    <xf numFmtId="168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168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168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168" fontId="11" fillId="0" borderId="0"/>
    <xf numFmtId="0" fontId="6" fillId="0" borderId="0"/>
    <xf numFmtId="168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168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11" fillId="0" borderId="0"/>
    <xf numFmtId="0" fontId="4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4" fillId="0" borderId="0"/>
    <xf numFmtId="168" fontId="4" fillId="0" borderId="0"/>
    <xf numFmtId="168" fontId="4" fillId="0" borderId="0"/>
    <xf numFmtId="168" fontId="11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11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11" fillId="0" borderId="0"/>
    <xf numFmtId="168" fontId="11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11" fillId="0" borderId="0"/>
    <xf numFmtId="168" fontId="11" fillId="0" borderId="0"/>
    <xf numFmtId="168" fontId="11" fillId="0" borderId="0"/>
    <xf numFmtId="168" fontId="4" fillId="0" borderId="0"/>
    <xf numFmtId="168" fontId="4" fillId="0" borderId="0"/>
    <xf numFmtId="168" fontId="11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11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20" fillId="0" borderId="0" applyNumberFormat="0" applyFill="0" applyBorder="0" applyAlignment="0" applyProtection="0">
      <alignment vertical="top"/>
      <protection locked="0"/>
    </xf>
    <xf numFmtId="168" fontId="4" fillId="0" borderId="0"/>
    <xf numFmtId="0" fontId="4" fillId="0" borderId="0"/>
    <xf numFmtId="168" fontId="4" fillId="0" borderId="0"/>
    <xf numFmtId="0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20" fillId="0" borderId="0" applyNumberFormat="0" applyFill="0" applyBorder="0" applyAlignment="0" applyProtection="0">
      <alignment vertical="top"/>
      <protection locked="0"/>
    </xf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11" fillId="0" borderId="0"/>
    <xf numFmtId="0" fontId="11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11" fillId="0" borderId="0"/>
    <xf numFmtId="0" fontId="4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0" fontId="4" fillId="0" borderId="0"/>
    <xf numFmtId="168" fontId="4" fillId="0" borderId="0"/>
    <xf numFmtId="168" fontId="4" fillId="0" borderId="0"/>
    <xf numFmtId="0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168" fontId="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8" fontId="3" fillId="0" borderId="0"/>
    <xf numFmtId="0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1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8" fillId="0" borderId="0" applyNumberFormat="0" applyFill="0" applyBorder="0" applyAlignment="0" applyProtection="0">
      <alignment vertical="top"/>
      <protection locked="0"/>
    </xf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0" fontId="3" fillId="0" borderId="0"/>
    <xf numFmtId="168" fontId="3" fillId="0" borderId="0"/>
    <xf numFmtId="168" fontId="3" fillId="0" borderId="0"/>
    <xf numFmtId="0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168" fontId="3" fillId="0" borderId="0"/>
    <xf numFmtId="0" fontId="2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11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168" fontId="2" fillId="0" borderId="0"/>
    <xf numFmtId="0" fontId="11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8" fillId="0" borderId="0" applyNumberFormat="0" applyFill="0" applyBorder="0" applyAlignment="0" applyProtection="0">
      <alignment vertical="top"/>
      <protection locked="0"/>
    </xf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8" fillId="0" borderId="0" applyNumberFormat="0" applyFill="0" applyBorder="0" applyAlignment="0" applyProtection="0">
      <alignment vertical="top"/>
      <protection locked="0"/>
    </xf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168" fontId="1" fillId="0" borderId="0"/>
    <xf numFmtId="168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5" fillId="0" borderId="0"/>
  </cellStyleXfs>
  <cellXfs count="1101">
    <xf numFmtId="0" fontId="0" fillId="0" borderId="0" xfId="0"/>
    <xf numFmtId="0" fontId="11" fillId="0" borderId="0" xfId="2"/>
    <xf numFmtId="0" fontId="11" fillId="0" borderId="0" xfId="2" applyAlignment="1">
      <alignment horizontal="center"/>
    </xf>
    <xf numFmtId="0" fontId="11" fillId="0" borderId="0" xfId="2" applyAlignment="1">
      <alignment horizontal="center" vertical="center"/>
    </xf>
    <xf numFmtId="0" fontId="11" fillId="0" borderId="0" xfId="2" applyFill="1" applyBorder="1"/>
    <xf numFmtId="0" fontId="11" fillId="0" borderId="0" xfId="2" applyFill="1" applyBorder="1" applyAlignment="1">
      <alignment horizontal="center" vertical="center"/>
    </xf>
    <xf numFmtId="0" fontId="11" fillId="0" borderId="0" xfId="2" applyFill="1"/>
    <xf numFmtId="0" fontId="11" fillId="0" borderId="0" xfId="2" applyFill="1" applyAlignment="1">
      <alignment horizontal="center" vertical="center"/>
    </xf>
    <xf numFmtId="0" fontId="11" fillId="0" borderId="0" xfId="2" applyBorder="1"/>
    <xf numFmtId="0" fontId="12" fillId="0" borderId="0" xfId="2" applyFont="1" applyFill="1" applyAlignment="1">
      <alignment vertical="center"/>
    </xf>
    <xf numFmtId="0" fontId="11" fillId="0" borderId="6" xfId="2" applyBorder="1"/>
    <xf numFmtId="0" fontId="18" fillId="0" borderId="0" xfId="2" applyFont="1" applyFill="1" applyBorder="1" applyAlignment="1">
      <alignment horizontal="center" vertical="center"/>
    </xf>
    <xf numFmtId="0" fontId="11" fillId="0" borderId="0" xfId="2" applyAlignment="1">
      <alignment horizontal="left" vertical="center"/>
    </xf>
    <xf numFmtId="0" fontId="11" fillId="0" borderId="0" xfId="2" applyBorder="1" applyAlignment="1">
      <alignment horizontal="center" vertical="center"/>
    </xf>
    <xf numFmtId="0" fontId="11" fillId="0" borderId="0" xfId="2" applyAlignment="1">
      <alignment vertical="center"/>
    </xf>
    <xf numFmtId="0" fontId="11" fillId="0" borderId="0" xfId="2" applyFill="1" applyBorder="1" applyAlignment="1">
      <alignment vertical="center"/>
    </xf>
    <xf numFmtId="166" fontId="18" fillId="0" borderId="0" xfId="2" applyNumberFormat="1" applyFont="1" applyFill="1" applyBorder="1" applyAlignment="1">
      <alignment horizontal="center" vertical="center"/>
    </xf>
    <xf numFmtId="164" fontId="18" fillId="0" borderId="0" xfId="2" applyNumberFormat="1" applyFont="1" applyFill="1" applyBorder="1" applyAlignment="1">
      <alignment horizontal="center" vertical="center"/>
    </xf>
    <xf numFmtId="0" fontId="11" fillId="0" borderId="0" xfId="2" applyBorder="1" applyAlignment="1">
      <alignment vertical="center"/>
    </xf>
    <xf numFmtId="0" fontId="11" fillId="0" borderId="0" xfId="2" applyFont="1" applyAlignment="1">
      <alignment vertical="center"/>
    </xf>
    <xf numFmtId="0" fontId="11" fillId="0" borderId="0" xfId="2" applyFont="1" applyBorder="1" applyAlignment="1">
      <alignment vertical="center"/>
    </xf>
    <xf numFmtId="0" fontId="9" fillId="0" borderId="0" xfId="2" applyFont="1" applyBorder="1" applyAlignment="1">
      <alignment horizontal="center" vertical="center"/>
    </xf>
    <xf numFmtId="0" fontId="9" fillId="0" borderId="0" xfId="2" applyFont="1" applyFill="1" applyBorder="1" applyAlignment="1">
      <alignment horizontal="center" vertical="center"/>
    </xf>
    <xf numFmtId="0" fontId="11" fillId="0" borderId="0" xfId="2" applyFill="1" applyAlignment="1">
      <alignment vertical="center"/>
    </xf>
    <xf numFmtId="0" fontId="11" fillId="0" borderId="6" xfId="2" applyFill="1" applyBorder="1" applyAlignment="1">
      <alignment horizontal="center" vertical="center"/>
    </xf>
    <xf numFmtId="0" fontId="11" fillId="0" borderId="0" xfId="2" applyAlignment="1">
      <alignment horizontal="right" vertical="center"/>
    </xf>
    <xf numFmtId="0" fontId="18" fillId="0" borderId="0" xfId="2" applyFont="1" applyBorder="1" applyAlignment="1">
      <alignment horizontal="center" vertical="center"/>
    </xf>
    <xf numFmtId="2" fontId="18" fillId="0" borderId="0" xfId="2" applyNumberFormat="1" applyFont="1" applyAlignment="1">
      <alignment horizontal="center" vertical="center"/>
    </xf>
    <xf numFmtId="10" fontId="23" fillId="0" borderId="0" xfId="2" applyNumberFormat="1" applyFont="1" applyBorder="1" applyAlignment="1">
      <alignment horizontal="center" vertical="center"/>
    </xf>
    <xf numFmtId="0" fontId="18" fillId="0" borderId="0" xfId="2" applyFont="1" applyAlignment="1">
      <alignment horizontal="center" vertical="center"/>
    </xf>
    <xf numFmtId="0" fontId="24" fillId="0" borderId="0" xfId="2" applyFont="1" applyBorder="1" applyAlignment="1">
      <alignment horizontal="left" vertical="center"/>
    </xf>
    <xf numFmtId="0" fontId="11" fillId="0" borderId="6" xfId="2" applyBorder="1" applyAlignment="1">
      <alignment horizontal="center" vertical="center"/>
    </xf>
    <xf numFmtId="0" fontId="11" fillId="0" borderId="6" xfId="2" applyBorder="1" applyAlignment="1">
      <alignment vertical="center"/>
    </xf>
    <xf numFmtId="0" fontId="33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12" fillId="0" borderId="0" xfId="2" applyFont="1" applyAlignment="1">
      <alignment vertical="center"/>
    </xf>
    <xf numFmtId="1" fontId="11" fillId="0" borderId="0" xfId="2" applyNumberFormat="1" applyAlignment="1">
      <alignment vertical="center"/>
    </xf>
    <xf numFmtId="0" fontId="9" fillId="0" borderId="0" xfId="2" applyFont="1" applyAlignment="1">
      <alignment horizontal="center" vertical="center"/>
    </xf>
    <xf numFmtId="0" fontId="35" fillId="0" borderId="0" xfId="2" applyFont="1" applyAlignment="1">
      <alignment horizontal="center" vertical="center"/>
    </xf>
    <xf numFmtId="0" fontId="36" fillId="0" borderId="0" xfId="2" applyFont="1" applyAlignment="1">
      <alignment horizontal="center" vertical="center"/>
    </xf>
    <xf numFmtId="0" fontId="37" fillId="0" borderId="0" xfId="2" applyFont="1" applyAlignment="1">
      <alignment vertical="center"/>
    </xf>
    <xf numFmtId="0" fontId="36" fillId="0" borderId="0" xfId="2" applyFont="1" applyAlignment="1">
      <alignment vertical="center"/>
    </xf>
    <xf numFmtId="0" fontId="33" fillId="0" borderId="0" xfId="2" applyFont="1" applyFill="1" applyAlignment="1">
      <alignment vertical="center"/>
    </xf>
    <xf numFmtId="0" fontId="34" fillId="0" borderId="0" xfId="2" applyFont="1" applyFill="1" applyAlignment="1">
      <alignment vertical="center"/>
    </xf>
    <xf numFmtId="0" fontId="34" fillId="0" borderId="0" xfId="2" applyFont="1" applyFill="1" applyAlignment="1">
      <alignment horizontal="center" vertical="center"/>
    </xf>
    <xf numFmtId="4" fontId="16" fillId="0" borderId="0" xfId="2" applyNumberFormat="1" applyFont="1" applyAlignment="1">
      <alignment vertical="center"/>
    </xf>
    <xf numFmtId="165" fontId="39" fillId="0" borderId="0" xfId="2" applyNumberFormat="1" applyFont="1" applyAlignment="1">
      <alignment horizontal="center" vertical="center"/>
    </xf>
    <xf numFmtId="0" fontId="16" fillId="0" borderId="0" xfId="2" applyFont="1" applyAlignment="1">
      <alignment vertical="center"/>
    </xf>
    <xf numFmtId="0" fontId="16" fillId="0" borderId="0" xfId="2" applyFont="1" applyAlignment="1">
      <alignment vertical="center" wrapText="1"/>
    </xf>
    <xf numFmtId="175" fontId="16" fillId="0" borderId="0" xfId="2" applyNumberFormat="1" applyFont="1"/>
    <xf numFmtId="0" fontId="11" fillId="0" borderId="6" xfId="2" applyFill="1" applyBorder="1" applyAlignment="1">
      <alignment vertical="center"/>
    </xf>
    <xf numFmtId="0" fontId="18" fillId="0" borderId="0" xfId="2" applyFont="1" applyFill="1" applyAlignment="1">
      <alignment vertical="center"/>
    </xf>
    <xf numFmtId="165" fontId="9" fillId="0" borderId="0" xfId="2" applyNumberFormat="1" applyFont="1" applyFill="1" applyAlignment="1">
      <alignment vertical="center"/>
    </xf>
    <xf numFmtId="0" fontId="9" fillId="0" borderId="6" xfId="2" applyFont="1" applyFill="1" applyBorder="1" applyAlignment="1">
      <alignment horizontal="center" vertical="center"/>
    </xf>
    <xf numFmtId="0" fontId="42" fillId="0" borderId="0" xfId="2" applyFont="1" applyFill="1" applyBorder="1" applyAlignment="1">
      <alignment vertical="center"/>
    </xf>
    <xf numFmtId="0" fontId="18" fillId="0" borderId="0" xfId="2" applyFont="1" applyFill="1" applyBorder="1" applyAlignment="1">
      <alignment vertical="center"/>
    </xf>
    <xf numFmtId="0" fontId="18" fillId="0" borderId="0" xfId="2" applyFont="1" applyAlignment="1">
      <alignment vertical="center"/>
    </xf>
    <xf numFmtId="176" fontId="42" fillId="0" borderId="0" xfId="2" applyNumberFormat="1" applyFont="1" applyAlignment="1">
      <alignment horizontal="center" vertical="center"/>
    </xf>
    <xf numFmtId="176" fontId="35" fillId="0" borderId="0" xfId="2" applyNumberFormat="1" applyFont="1" applyAlignment="1">
      <alignment horizontal="center" vertical="center"/>
    </xf>
    <xf numFmtId="166" fontId="42" fillId="0" borderId="0" xfId="2" applyNumberFormat="1" applyFont="1" applyFill="1" applyBorder="1" applyAlignment="1">
      <alignment horizontal="center" vertical="center"/>
    </xf>
    <xf numFmtId="0" fontId="23" fillId="0" borderId="0" xfId="2" applyFont="1" applyAlignment="1">
      <alignment vertical="center"/>
    </xf>
    <xf numFmtId="0" fontId="22" fillId="0" borderId="0" xfId="2" applyFont="1" applyFill="1" applyBorder="1" applyAlignment="1">
      <alignment horizontal="center" vertical="center"/>
    </xf>
    <xf numFmtId="0" fontId="43" fillId="0" borderId="0" xfId="2" applyFont="1" applyFill="1" applyBorder="1" applyAlignment="1">
      <alignment vertical="center"/>
    </xf>
    <xf numFmtId="0" fontId="23" fillId="0" borderId="0" xfId="2" applyFont="1" applyFill="1" applyBorder="1" applyAlignment="1">
      <alignment vertical="center"/>
    </xf>
    <xf numFmtId="0" fontId="36" fillId="0" borderId="0" xfId="2" applyFont="1" applyFill="1" applyBorder="1" applyAlignment="1">
      <alignment vertical="center"/>
    </xf>
    <xf numFmtId="1" fontId="12" fillId="0" borderId="0" xfId="2" applyNumberFormat="1" applyFont="1" applyAlignment="1">
      <alignment vertical="center"/>
    </xf>
    <xf numFmtId="0" fontId="35" fillId="0" borderId="0" xfId="2" applyFont="1" applyFill="1" applyAlignment="1">
      <alignment horizontal="center" vertical="center"/>
    </xf>
    <xf numFmtId="166" fontId="18" fillId="0" borderId="0" xfId="2" applyNumberFormat="1" applyFont="1" applyAlignment="1">
      <alignment vertical="center"/>
    </xf>
    <xf numFmtId="0" fontId="26" fillId="0" borderId="0" xfId="2" applyFont="1" applyFill="1" applyAlignment="1">
      <alignment vertical="center"/>
    </xf>
    <xf numFmtId="177" fontId="35" fillId="0" borderId="0" xfId="2" applyNumberFormat="1" applyFont="1" applyAlignment="1">
      <alignment horizontal="center" vertical="center"/>
    </xf>
    <xf numFmtId="1" fontId="11" fillId="0" borderId="0" xfId="2" applyNumberFormat="1" applyFill="1" applyAlignment="1">
      <alignment vertical="center"/>
    </xf>
    <xf numFmtId="0" fontId="35" fillId="6" borderId="25" xfId="2" applyFont="1" applyFill="1" applyBorder="1" applyAlignment="1">
      <alignment horizontal="center" vertical="center"/>
    </xf>
    <xf numFmtId="0" fontId="23" fillId="2" borderId="0" xfId="2" applyFont="1" applyFill="1" applyAlignment="1">
      <alignment vertical="center"/>
    </xf>
    <xf numFmtId="0" fontId="44" fillId="0" borderId="0" xfId="2" applyFont="1" applyFill="1" applyBorder="1" applyAlignment="1">
      <alignment horizontal="center" vertical="center"/>
    </xf>
    <xf numFmtId="0" fontId="45" fillId="0" borderId="0" xfId="2" applyFont="1" applyFill="1" applyBorder="1" applyAlignment="1">
      <alignment horizontal="center" vertical="center"/>
    </xf>
    <xf numFmtId="177" fontId="42" fillId="0" borderId="0" xfId="2" applyNumberFormat="1" applyFont="1" applyAlignment="1">
      <alignment horizontal="center" vertical="center"/>
    </xf>
    <xf numFmtId="0" fontId="35" fillId="3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vertical="center"/>
    </xf>
    <xf numFmtId="0" fontId="33" fillId="0" borderId="0" xfId="2" applyFont="1" applyFill="1" applyBorder="1" applyAlignment="1">
      <alignment vertical="center"/>
    </xf>
    <xf numFmtId="0" fontId="34" fillId="0" borderId="0" xfId="2" applyFont="1" applyFill="1" applyBorder="1" applyAlignment="1">
      <alignment vertical="center"/>
    </xf>
    <xf numFmtId="0" fontId="34" fillId="0" borderId="0" xfId="2" applyFont="1" applyFill="1" applyBorder="1" applyAlignment="1">
      <alignment horizontal="center" vertical="center"/>
    </xf>
    <xf numFmtId="0" fontId="40" fillId="7" borderId="0" xfId="2" applyFont="1" applyFill="1" applyBorder="1" applyAlignment="1">
      <alignment horizontal="center" vertical="center"/>
    </xf>
    <xf numFmtId="2" fontId="11" fillId="0" borderId="0" xfId="2" applyNumberFormat="1" applyFill="1" applyAlignment="1">
      <alignment vertical="center"/>
    </xf>
    <xf numFmtId="0" fontId="35" fillId="6" borderId="0" xfId="2" applyFont="1" applyFill="1" applyBorder="1" applyAlignment="1">
      <alignment horizontal="center" vertical="center"/>
    </xf>
    <xf numFmtId="0" fontId="34" fillId="6" borderId="25" xfId="2" applyFont="1" applyFill="1" applyBorder="1" applyAlignment="1">
      <alignment vertical="center"/>
    </xf>
    <xf numFmtId="0" fontId="34" fillId="6" borderId="25" xfId="2" applyFont="1" applyFill="1" applyBorder="1" applyAlignment="1">
      <alignment horizontal="center" vertical="center"/>
    </xf>
    <xf numFmtId="0" fontId="45" fillId="6" borderId="25" xfId="2" applyFont="1" applyFill="1" applyBorder="1" applyAlignment="1">
      <alignment horizontal="center" vertical="center"/>
    </xf>
    <xf numFmtId="14" fontId="46" fillId="6" borderId="25" xfId="206" applyNumberFormat="1" applyFont="1" applyFill="1" applyBorder="1" applyAlignment="1">
      <alignment horizontal="center" vertical="center"/>
    </xf>
    <xf numFmtId="0" fontId="12" fillId="6" borderId="25" xfId="2" applyFont="1" applyFill="1" applyBorder="1" applyAlignment="1">
      <alignment vertical="center"/>
    </xf>
    <xf numFmtId="0" fontId="11" fillId="6" borderId="25" xfId="2" applyFill="1" applyBorder="1" applyAlignment="1">
      <alignment vertical="center"/>
    </xf>
    <xf numFmtId="1" fontId="11" fillId="6" borderId="25" xfId="2" applyNumberFormat="1" applyFill="1" applyBorder="1" applyAlignment="1">
      <alignment vertical="center"/>
    </xf>
    <xf numFmtId="0" fontId="9" fillId="6" borderId="25" xfId="2" applyFont="1" applyFill="1" applyBorder="1" applyAlignment="1">
      <alignment horizontal="center" vertical="center"/>
    </xf>
    <xf numFmtId="0" fontId="47" fillId="6" borderId="25" xfId="2" applyFont="1" applyFill="1" applyBorder="1" applyAlignment="1">
      <alignment horizontal="center" vertical="center"/>
    </xf>
    <xf numFmtId="0" fontId="48" fillId="6" borderId="25" xfId="2" applyFont="1" applyFill="1" applyBorder="1" applyAlignment="1">
      <alignment horizontal="center" vertical="center"/>
    </xf>
    <xf numFmtId="0" fontId="41" fillId="6" borderId="25" xfId="2" applyFont="1" applyFill="1" applyBorder="1" applyAlignment="1">
      <alignment horizontal="center" vertical="center"/>
    </xf>
    <xf numFmtId="166" fontId="11" fillId="0" borderId="0" xfId="2" applyNumberFormat="1" applyFill="1" applyBorder="1" applyAlignment="1">
      <alignment vertical="center"/>
    </xf>
    <xf numFmtId="178" fontId="49" fillId="3" borderId="0" xfId="2" applyNumberFormat="1" applyFont="1" applyFill="1" applyBorder="1" applyAlignment="1">
      <alignment horizontal="center" vertical="center"/>
    </xf>
    <xf numFmtId="179" fontId="49" fillId="3" borderId="0" xfId="2" applyNumberFormat="1" applyFont="1" applyFill="1" applyBorder="1" applyAlignment="1">
      <alignment horizontal="center" vertical="center"/>
    </xf>
    <xf numFmtId="170" fontId="49" fillId="3" borderId="0" xfId="2" applyNumberFormat="1" applyFont="1" applyFill="1" applyBorder="1" applyAlignment="1">
      <alignment horizontal="center" vertical="center"/>
    </xf>
    <xf numFmtId="2" fontId="49" fillId="3" borderId="0" xfId="2" applyNumberFormat="1" applyFont="1" applyFill="1" applyBorder="1" applyAlignment="1">
      <alignment horizontal="center" vertical="center"/>
    </xf>
    <xf numFmtId="0" fontId="11" fillId="3" borderId="0" xfId="2" applyFill="1" applyAlignment="1">
      <alignment vertical="center"/>
    </xf>
    <xf numFmtId="0" fontId="41" fillId="6" borderId="0" xfId="2" applyFont="1" applyFill="1" applyBorder="1" applyAlignment="1">
      <alignment horizontal="center" vertical="center"/>
    </xf>
    <xf numFmtId="0" fontId="50" fillId="6" borderId="0" xfId="2" applyFont="1" applyFill="1" applyBorder="1" applyAlignment="1">
      <alignment horizontal="center" vertical="center"/>
    </xf>
    <xf numFmtId="0" fontId="51" fillId="6" borderId="0" xfId="2" applyFont="1" applyFill="1" applyBorder="1" applyAlignment="1">
      <alignment horizontal="center" vertical="center"/>
    </xf>
    <xf numFmtId="0" fontId="52" fillId="7" borderId="0" xfId="2" applyFont="1" applyFill="1" applyBorder="1" applyAlignment="1">
      <alignment horizontal="center" vertical="center"/>
    </xf>
    <xf numFmtId="0" fontId="23" fillId="0" borderId="24" xfId="2" applyFont="1" applyFill="1" applyBorder="1" applyAlignment="1">
      <alignment horizontal="center" vertical="center"/>
    </xf>
    <xf numFmtId="0" fontId="11" fillId="6" borderId="0" xfId="2" applyFill="1" applyBorder="1" applyAlignment="1">
      <alignment vertical="center"/>
    </xf>
    <xf numFmtId="0" fontId="11" fillId="6" borderId="0" xfId="2" applyFill="1" applyBorder="1" applyAlignment="1">
      <alignment horizontal="center" vertical="center"/>
    </xf>
    <xf numFmtId="0" fontId="45" fillId="6" borderId="0" xfId="2" applyFont="1" applyFill="1" applyBorder="1" applyAlignment="1">
      <alignment horizontal="center" vertical="center"/>
    </xf>
    <xf numFmtId="0" fontId="11" fillId="6" borderId="0" xfId="2" applyFill="1" applyAlignment="1">
      <alignment vertical="center"/>
    </xf>
    <xf numFmtId="0" fontId="12" fillId="6" borderId="0" xfId="2" applyFont="1" applyFill="1" applyAlignment="1">
      <alignment vertical="center"/>
    </xf>
    <xf numFmtId="1" fontId="11" fillId="6" borderId="0" xfId="2" applyNumberFormat="1" applyFill="1" applyAlignment="1">
      <alignment vertical="center"/>
    </xf>
    <xf numFmtId="0" fontId="9" fillId="6" borderId="0" xfId="2" applyFont="1" applyFill="1" applyAlignment="1">
      <alignment horizontal="center" vertical="center"/>
    </xf>
    <xf numFmtId="0" fontId="47" fillId="6" borderId="0" xfId="2" applyFont="1" applyFill="1" applyBorder="1" applyAlignment="1">
      <alignment horizontal="center" vertical="center"/>
    </xf>
    <xf numFmtId="0" fontId="48" fillId="6" borderId="0" xfId="2" applyFont="1" applyFill="1" applyBorder="1" applyAlignment="1">
      <alignment horizontal="center" vertical="center"/>
    </xf>
    <xf numFmtId="0" fontId="53" fillId="6" borderId="0" xfId="2" applyFont="1" applyFill="1" applyBorder="1" applyAlignment="1">
      <alignment horizontal="center" vertical="center"/>
    </xf>
    <xf numFmtId="0" fontId="12" fillId="0" borderId="0" xfId="2" applyFont="1" applyBorder="1" applyAlignment="1">
      <alignment vertical="center"/>
    </xf>
    <xf numFmtId="0" fontId="12" fillId="0" borderId="6" xfId="2" applyFont="1" applyBorder="1" applyAlignment="1">
      <alignment vertical="center"/>
    </xf>
    <xf numFmtId="166" fontId="23" fillId="0" borderId="21" xfId="2" applyNumberFormat="1" applyFont="1" applyFill="1" applyBorder="1" applyAlignment="1">
      <alignment horizontal="center" vertical="center"/>
    </xf>
    <xf numFmtId="0" fontId="12" fillId="0" borderId="6" xfId="2" applyFont="1" applyFill="1" applyBorder="1" applyAlignment="1">
      <alignment vertical="center"/>
    </xf>
    <xf numFmtId="166" fontId="30" fillId="0" borderId="0" xfId="2" applyNumberFormat="1" applyFont="1" applyFill="1" applyAlignment="1">
      <alignment horizontal="center" vertical="center"/>
    </xf>
    <xf numFmtId="10" fontId="35" fillId="0" borderId="0" xfId="2" applyNumberFormat="1" applyFont="1" applyBorder="1" applyAlignment="1">
      <alignment horizontal="center" vertical="center"/>
    </xf>
    <xf numFmtId="166" fontId="30" fillId="0" borderId="0" xfId="2" applyNumberFormat="1" applyFont="1" applyFill="1" applyBorder="1" applyAlignment="1">
      <alignment horizontal="center" vertical="center"/>
    </xf>
    <xf numFmtId="166" fontId="30" fillId="4" borderId="0" xfId="2" applyNumberFormat="1" applyFont="1" applyFill="1" applyBorder="1" applyAlignment="1">
      <alignment horizontal="center" vertical="center"/>
    </xf>
    <xf numFmtId="166" fontId="30" fillId="4" borderId="22" xfId="2" applyNumberFormat="1" applyFont="1" applyFill="1" applyBorder="1" applyAlignment="1">
      <alignment horizontal="center" vertical="center"/>
    </xf>
    <xf numFmtId="0" fontId="11" fillId="4" borderId="26" xfId="2" applyFill="1" applyBorder="1" applyAlignment="1">
      <alignment vertical="center"/>
    </xf>
    <xf numFmtId="1" fontId="11" fillId="4" borderId="26" xfId="2" applyNumberFormat="1" applyFill="1" applyBorder="1" applyAlignment="1">
      <alignment vertical="center"/>
    </xf>
    <xf numFmtId="0" fontId="11" fillId="0" borderId="26" xfId="2" applyBorder="1" applyAlignment="1">
      <alignment vertical="center"/>
    </xf>
    <xf numFmtId="0" fontId="17" fillId="0" borderId="0" xfId="2" applyFont="1" applyAlignment="1">
      <alignment vertical="center"/>
    </xf>
    <xf numFmtId="1" fontId="17" fillId="0" borderId="0" xfId="2" applyNumberFormat="1" applyFont="1" applyAlignment="1">
      <alignment vertical="center"/>
    </xf>
    <xf numFmtId="166" fontId="12" fillId="0" borderId="6" xfId="2" applyNumberFormat="1" applyFont="1" applyBorder="1" applyAlignment="1">
      <alignment vertical="center"/>
    </xf>
    <xf numFmtId="166" fontId="22" fillId="0" borderId="0" xfId="2" applyNumberFormat="1" applyFont="1" applyAlignment="1">
      <alignment horizontal="center" vertical="center"/>
    </xf>
    <xf numFmtId="0" fontId="52" fillId="0" borderId="0" xfId="2" applyFont="1" applyBorder="1" applyAlignment="1">
      <alignment horizontal="left" vertical="center"/>
    </xf>
    <xf numFmtId="1" fontId="52" fillId="0" borderId="0" xfId="2" applyNumberFormat="1" applyFont="1" applyBorder="1" applyAlignment="1">
      <alignment horizontal="left" vertical="center"/>
    </xf>
    <xf numFmtId="167" fontId="29" fillId="0" borderId="0" xfId="2" applyNumberFormat="1" applyFont="1" applyBorder="1" applyAlignment="1">
      <alignment horizontal="center" vertical="center"/>
    </xf>
    <xf numFmtId="0" fontId="35" fillId="0" borderId="0" xfId="2" applyFont="1" applyBorder="1" applyAlignment="1">
      <alignment horizontal="center" vertical="center"/>
    </xf>
    <xf numFmtId="166" fontId="11" fillId="0" borderId="0" xfId="2" applyNumberFormat="1" applyAlignment="1">
      <alignment vertical="center"/>
    </xf>
    <xf numFmtId="0" fontId="11" fillId="2" borderId="0" xfId="2" applyFill="1" applyAlignment="1">
      <alignment vertical="center"/>
    </xf>
    <xf numFmtId="166" fontId="11" fillId="0" borderId="6" xfId="2" applyNumberFormat="1" applyBorder="1" applyAlignment="1">
      <alignment vertical="center"/>
    </xf>
    <xf numFmtId="164" fontId="23" fillId="0" borderId="0" xfId="2" applyNumberFormat="1" applyFont="1" applyBorder="1" applyAlignment="1">
      <alignment horizontal="center" vertical="center"/>
    </xf>
    <xf numFmtId="166" fontId="25" fillId="0" borderId="0" xfId="2" applyNumberFormat="1" applyFont="1" applyAlignment="1">
      <alignment horizontal="center" vertical="center"/>
    </xf>
    <xf numFmtId="166" fontId="25" fillId="0" borderId="0" xfId="2" applyNumberFormat="1" applyFont="1" applyFill="1" applyAlignment="1">
      <alignment horizontal="center" vertical="center"/>
    </xf>
    <xf numFmtId="0" fontId="18" fillId="0" borderId="0" xfId="2" applyFont="1" applyBorder="1" applyAlignment="1">
      <alignment vertical="center"/>
    </xf>
    <xf numFmtId="0" fontId="34" fillId="0" borderId="0" xfId="2" applyFont="1" applyBorder="1" applyAlignment="1">
      <alignment vertical="center"/>
    </xf>
    <xf numFmtId="0" fontId="26" fillId="0" borderId="0" xfId="2" applyFont="1" applyFill="1" applyBorder="1" applyAlignment="1">
      <alignment vertical="center"/>
    </xf>
    <xf numFmtId="1" fontId="18" fillId="0" borderId="0" xfId="2" applyNumberFormat="1" applyFont="1" applyBorder="1" applyAlignment="1">
      <alignment vertical="center"/>
    </xf>
    <xf numFmtId="0" fontId="26" fillId="0" borderId="25" xfId="2" applyFont="1" applyFill="1" applyBorder="1" applyAlignment="1">
      <alignment vertical="center"/>
    </xf>
    <xf numFmtId="0" fontId="18" fillId="0" borderId="25" xfId="2" applyFont="1" applyBorder="1" applyAlignment="1">
      <alignment vertical="center"/>
    </xf>
    <xf numFmtId="0" fontId="23" fillId="0" borderId="25" xfId="2" applyFont="1" applyFill="1" applyBorder="1" applyAlignment="1">
      <alignment vertical="center"/>
    </xf>
    <xf numFmtId="1" fontId="18" fillId="0" borderId="25" xfId="2" applyNumberFormat="1" applyFont="1" applyBorder="1" applyAlignment="1">
      <alignment vertical="center"/>
    </xf>
    <xf numFmtId="0" fontId="9" fillId="0" borderId="25" xfId="2" applyFont="1" applyBorder="1" applyAlignment="1">
      <alignment horizontal="center" vertical="center"/>
    </xf>
    <xf numFmtId="0" fontId="11" fillId="0" borderId="25" xfId="2" applyBorder="1"/>
    <xf numFmtId="0" fontId="34" fillId="0" borderId="25" xfId="2" applyFont="1" applyFill="1" applyBorder="1" applyAlignment="1">
      <alignment vertical="center"/>
    </xf>
    <xf numFmtId="0" fontId="34" fillId="0" borderId="25" xfId="2" applyFont="1" applyBorder="1" applyAlignment="1">
      <alignment vertical="center"/>
    </xf>
    <xf numFmtId="164" fontId="43" fillId="0" borderId="0" xfId="2" applyNumberFormat="1" applyFont="1" applyFill="1" applyBorder="1" applyAlignment="1">
      <alignment horizontal="center" vertical="center"/>
    </xf>
    <xf numFmtId="164" fontId="22" fillId="0" borderId="0" xfId="2" applyNumberFormat="1" applyFont="1" applyFill="1" applyBorder="1" applyAlignment="1">
      <alignment horizontal="center" vertical="center"/>
    </xf>
    <xf numFmtId="1" fontId="11" fillId="0" borderId="0" xfId="2" applyNumberFormat="1" applyFill="1" applyBorder="1" applyAlignment="1">
      <alignment vertical="center"/>
    </xf>
    <xf numFmtId="167" fontId="22" fillId="0" borderId="0" xfId="2" applyNumberFormat="1" applyFont="1" applyBorder="1" applyAlignment="1">
      <alignment horizontal="right" vertical="center"/>
    </xf>
    <xf numFmtId="167" fontId="54" fillId="0" borderId="0" xfId="2" applyNumberFormat="1" applyFont="1" applyBorder="1" applyAlignment="1">
      <alignment horizontal="center" vertical="center"/>
    </xf>
    <xf numFmtId="0" fontId="9" fillId="0" borderId="25" xfId="2" applyFont="1" applyFill="1" applyBorder="1" applyAlignment="1">
      <alignment horizontal="center" vertical="center"/>
    </xf>
    <xf numFmtId="0" fontId="11" fillId="0" borderId="25" xfId="2" applyBorder="1" applyAlignment="1">
      <alignment vertical="center"/>
    </xf>
    <xf numFmtId="164" fontId="43" fillId="0" borderId="25" xfId="2" applyNumberFormat="1" applyFont="1" applyFill="1" applyBorder="1" applyAlignment="1">
      <alignment horizontal="center" vertical="center"/>
    </xf>
    <xf numFmtId="164" fontId="22" fillId="0" borderId="25" xfId="2" applyNumberFormat="1" applyFont="1" applyFill="1" applyBorder="1" applyAlignment="1">
      <alignment horizontal="center" vertical="center"/>
    </xf>
    <xf numFmtId="164" fontId="23" fillId="0" borderId="25" xfId="2" applyNumberFormat="1" applyFont="1" applyBorder="1" applyAlignment="1">
      <alignment horizontal="center" vertical="center"/>
    </xf>
    <xf numFmtId="166" fontId="25" fillId="0" borderId="25" xfId="2" applyNumberFormat="1" applyFont="1" applyFill="1" applyBorder="1" applyAlignment="1">
      <alignment horizontal="center" vertical="center"/>
    </xf>
    <xf numFmtId="0" fontId="11" fillId="0" borderId="25" xfId="2" applyFill="1" applyBorder="1" applyAlignment="1">
      <alignment vertical="center"/>
    </xf>
    <xf numFmtId="1" fontId="11" fillId="0" borderId="25" xfId="2" applyNumberFormat="1" applyFill="1" applyBorder="1" applyAlignment="1">
      <alignment vertical="center"/>
    </xf>
    <xf numFmtId="167" fontId="22" fillId="0" borderId="25" xfId="2" applyNumberFormat="1" applyFont="1" applyBorder="1" applyAlignment="1">
      <alignment horizontal="right" vertical="center"/>
    </xf>
    <xf numFmtId="167" fontId="54" fillId="0" borderId="25" xfId="2" applyNumberFormat="1" applyFont="1" applyBorder="1" applyAlignment="1">
      <alignment horizontal="center" vertical="center"/>
    </xf>
    <xf numFmtId="0" fontId="11" fillId="0" borderId="25" xfId="2" applyFill="1" applyBorder="1"/>
    <xf numFmtId="0" fontId="9" fillId="0" borderId="6" xfId="2" applyFont="1" applyBorder="1" applyAlignment="1">
      <alignment horizontal="center" vertical="center"/>
    </xf>
    <xf numFmtId="0" fontId="42" fillId="0" borderId="0" xfId="2" applyFont="1" applyAlignment="1">
      <alignment horizontal="center" vertical="center"/>
    </xf>
    <xf numFmtId="167" fontId="9" fillId="0" borderId="0" xfId="2" applyNumberFormat="1" applyFont="1" applyAlignment="1">
      <alignment horizontal="center" vertical="center"/>
    </xf>
    <xf numFmtId="0" fontId="22" fillId="0" borderId="0" xfId="2" applyFont="1" applyAlignment="1">
      <alignment vertical="center"/>
    </xf>
    <xf numFmtId="1" fontId="18" fillId="0" borderId="0" xfId="2" applyNumberFormat="1" applyFont="1" applyAlignment="1">
      <alignment vertical="center"/>
    </xf>
    <xf numFmtId="14" fontId="9" fillId="0" borderId="0" xfId="2" applyNumberFormat="1" applyFont="1" applyAlignment="1">
      <alignment horizontal="center" vertical="center"/>
    </xf>
    <xf numFmtId="0" fontId="11" fillId="0" borderId="26" xfId="2" applyFill="1" applyBorder="1" applyAlignment="1">
      <alignment vertical="center"/>
    </xf>
    <xf numFmtId="0" fontId="42" fillId="0" borderId="0" xfId="2" applyFont="1" applyFill="1" applyBorder="1" applyAlignment="1">
      <alignment horizontal="center" vertical="center"/>
    </xf>
    <xf numFmtId="169" fontId="9" fillId="0" borderId="0" xfId="2" applyNumberFormat="1" applyFont="1" applyFill="1" applyBorder="1" applyAlignment="1">
      <alignment horizontal="center" vertical="center"/>
    </xf>
    <xf numFmtId="10" fontId="9" fillId="0" borderId="0" xfId="2" applyNumberFormat="1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left" vertical="center"/>
    </xf>
    <xf numFmtId="14" fontId="42" fillId="0" borderId="0" xfId="2" applyNumberFormat="1" applyFont="1" applyFill="1" applyBorder="1" applyAlignment="1">
      <alignment horizontal="center" vertical="center"/>
    </xf>
    <xf numFmtId="167" fontId="22" fillId="0" borderId="0" xfId="2" applyNumberFormat="1" applyFont="1" applyFill="1" applyAlignment="1">
      <alignment horizontal="center" vertical="center"/>
    </xf>
    <xf numFmtId="20" fontId="42" fillId="0" borderId="0" xfId="2" applyNumberFormat="1" applyFont="1" applyAlignment="1">
      <alignment horizontal="center" vertical="center"/>
    </xf>
    <xf numFmtId="166" fontId="54" fillId="0" borderId="0" xfId="2" applyNumberFormat="1" applyFont="1" applyAlignment="1">
      <alignment horizontal="center" vertical="center"/>
    </xf>
    <xf numFmtId="2" fontId="42" fillId="0" borderId="0" xfId="2" applyNumberFormat="1" applyFont="1" applyAlignment="1">
      <alignment horizontal="center" vertical="center"/>
    </xf>
    <xf numFmtId="14" fontId="42" fillId="0" borderId="0" xfId="2" applyNumberFormat="1" applyFont="1" applyAlignment="1">
      <alignment horizontal="center" vertical="center"/>
    </xf>
    <xf numFmtId="169" fontId="22" fillId="5" borderId="0" xfId="2" applyNumberFormat="1" applyFont="1" applyFill="1" applyBorder="1" applyAlignment="1">
      <alignment horizontal="center" vertical="center"/>
    </xf>
    <xf numFmtId="49" fontId="42" fillId="0" borderId="0" xfId="2" applyNumberFormat="1" applyFont="1" applyFill="1" applyBorder="1" applyAlignment="1">
      <alignment horizontal="center" vertical="center"/>
    </xf>
    <xf numFmtId="164" fontId="22" fillId="0" borderId="0" xfId="2" applyNumberFormat="1" applyFont="1" applyAlignment="1">
      <alignment horizontal="center" vertical="center"/>
    </xf>
    <xf numFmtId="0" fontId="23" fillId="0" borderId="0" xfId="2" applyFont="1" applyAlignment="1">
      <alignment horizontal="left" vertical="center"/>
    </xf>
    <xf numFmtId="0" fontId="37" fillId="0" borderId="0" xfId="2" applyFont="1" applyAlignment="1">
      <alignment horizontal="center" vertical="center"/>
    </xf>
    <xf numFmtId="0" fontId="29" fillId="0" borderId="0" xfId="2" applyFont="1" applyAlignment="1">
      <alignment horizontal="right" vertical="center"/>
    </xf>
    <xf numFmtId="0" fontId="15" fillId="0" borderId="0" xfId="2" applyFont="1" applyBorder="1" applyAlignment="1">
      <alignment horizontal="center" vertical="center" wrapText="1"/>
    </xf>
    <xf numFmtId="0" fontId="56" fillId="0" borderId="0" xfId="2" applyFont="1" applyBorder="1" applyAlignment="1">
      <alignment horizontal="left" vertical="center"/>
    </xf>
    <xf numFmtId="0" fontId="9" fillId="0" borderId="0" xfId="2" applyFont="1" applyAlignment="1">
      <alignment horizontal="left" vertical="center"/>
    </xf>
    <xf numFmtId="0" fontId="31" fillId="0" borderId="0" xfId="2" applyFont="1" applyFill="1" applyAlignment="1">
      <alignment horizontal="center" vertical="center"/>
    </xf>
    <xf numFmtId="167" fontId="57" fillId="0" borderId="0" xfId="2" applyNumberFormat="1" applyFont="1" applyBorder="1" applyAlignment="1">
      <alignment horizontal="center" vertical="center"/>
    </xf>
    <xf numFmtId="0" fontId="31" fillId="0" borderId="0" xfId="2" applyFont="1" applyAlignment="1">
      <alignment vertical="center"/>
    </xf>
    <xf numFmtId="0" fontId="9" fillId="0" borderId="0" xfId="2" applyFont="1" applyFill="1" applyBorder="1" applyAlignment="1">
      <alignment vertical="center"/>
    </xf>
    <xf numFmtId="14" fontId="9" fillId="0" borderId="0" xfId="2" applyNumberFormat="1" applyFont="1" applyFill="1" applyBorder="1" applyAlignment="1">
      <alignment horizontal="center" vertical="center"/>
    </xf>
    <xf numFmtId="20" fontId="58" fillId="0" borderId="0" xfId="2" applyNumberFormat="1" applyFont="1" applyAlignment="1">
      <alignment horizontal="right" vertical="center"/>
    </xf>
    <xf numFmtId="14" fontId="47" fillId="0" borderId="0" xfId="2" applyNumberFormat="1" applyFont="1" applyBorder="1" applyAlignment="1">
      <alignment horizontal="center" vertical="center"/>
    </xf>
    <xf numFmtId="0" fontId="15" fillId="0" borderId="0" xfId="2" applyFont="1" applyFill="1" applyBorder="1" applyAlignment="1">
      <alignment horizontal="center" vertical="center"/>
    </xf>
    <xf numFmtId="164" fontId="22" fillId="0" borderId="27" xfId="2" applyNumberFormat="1" applyFont="1" applyBorder="1" applyAlignment="1">
      <alignment horizontal="center" vertical="center"/>
    </xf>
    <xf numFmtId="179" fontId="29" fillId="0" borderId="0" xfId="2" applyNumberFormat="1" applyFont="1" applyFill="1" applyBorder="1" applyAlignment="1">
      <alignment horizontal="center" vertical="center"/>
    </xf>
    <xf numFmtId="16" fontId="59" fillId="0" borderId="0" xfId="2" applyNumberFormat="1" applyFont="1" applyAlignment="1">
      <alignment vertical="center"/>
    </xf>
    <xf numFmtId="0" fontId="28" fillId="0" borderId="0" xfId="2" applyFont="1" applyBorder="1" applyAlignment="1">
      <alignment horizontal="left" vertical="center"/>
    </xf>
    <xf numFmtId="0" fontId="15" fillId="0" borderId="0" xfId="2" applyFont="1" applyFill="1" applyBorder="1" applyAlignment="1">
      <alignment horizontal="center" vertical="center" wrapText="1"/>
    </xf>
    <xf numFmtId="0" fontId="15" fillId="0" borderId="0" xfId="2" applyFont="1" applyBorder="1" applyAlignment="1">
      <alignment horizontal="right" vertical="center" wrapText="1"/>
    </xf>
    <xf numFmtId="2" fontId="60" fillId="0" borderId="0" xfId="2" applyNumberFormat="1" applyFont="1" applyAlignment="1">
      <alignment horizontal="center" vertical="center"/>
    </xf>
    <xf numFmtId="4" fontId="61" fillId="0" borderId="0" xfId="2" applyNumberFormat="1" applyFont="1"/>
    <xf numFmtId="169" fontId="9" fillId="3" borderId="0" xfId="2" applyNumberFormat="1" applyFont="1" applyFill="1" applyBorder="1" applyAlignment="1">
      <alignment horizontal="center" vertical="center"/>
    </xf>
    <xf numFmtId="49" fontId="9" fillId="0" borderId="0" xfId="2" applyNumberFormat="1" applyFont="1" applyFill="1" applyBorder="1" applyAlignment="1">
      <alignment horizontal="left" vertical="center"/>
    </xf>
    <xf numFmtId="4" fontId="29" fillId="8" borderId="0" xfId="2" applyNumberFormat="1" applyFont="1" applyFill="1" applyBorder="1" applyAlignment="1">
      <alignment horizontal="center" vertical="center"/>
    </xf>
    <xf numFmtId="0" fontId="62" fillId="0" borderId="0" xfId="2" applyFont="1" applyFill="1" applyAlignment="1">
      <alignment vertical="center"/>
    </xf>
    <xf numFmtId="0" fontId="42" fillId="0" borderId="0" xfId="2" applyFont="1" applyBorder="1" applyAlignment="1">
      <alignment horizontal="center" vertical="center"/>
    </xf>
    <xf numFmtId="0" fontId="18" fillId="0" borderId="0" xfId="2" applyFont="1" applyFill="1" applyAlignment="1">
      <alignment horizontal="center" vertical="center"/>
    </xf>
    <xf numFmtId="167" fontId="22" fillId="0" borderId="0" xfId="2" applyNumberFormat="1" applyFont="1" applyAlignment="1">
      <alignment horizontal="center" vertical="center"/>
    </xf>
    <xf numFmtId="0" fontId="15" fillId="0" borderId="0" xfId="2" applyFont="1" applyFill="1" applyAlignment="1">
      <alignment horizontal="center" vertical="center"/>
    </xf>
    <xf numFmtId="169" fontId="9" fillId="0" borderId="0" xfId="2" applyNumberFormat="1" applyFont="1" applyBorder="1" applyAlignment="1">
      <alignment horizontal="center" vertical="center"/>
    </xf>
    <xf numFmtId="14" fontId="42" fillId="0" borderId="0" xfId="2" applyNumberFormat="1" applyFont="1" applyBorder="1" applyAlignment="1">
      <alignment horizontal="center" vertical="center"/>
    </xf>
    <xf numFmtId="0" fontId="35" fillId="0" borderId="0" xfId="2" applyFont="1" applyFill="1" applyBorder="1" applyAlignment="1">
      <alignment horizontal="center" vertical="center"/>
    </xf>
    <xf numFmtId="0" fontId="9" fillId="2" borderId="0" xfId="2" applyFont="1" applyFill="1" applyAlignment="1">
      <alignment horizontal="center" vertical="center"/>
    </xf>
    <xf numFmtId="0" fontId="36" fillId="0" borderId="0" xfId="2" applyFont="1" applyFill="1" applyBorder="1" applyAlignment="1">
      <alignment horizontal="center" vertical="center"/>
    </xf>
    <xf numFmtId="167" fontId="22" fillId="0" borderId="0" xfId="2" applyNumberFormat="1" applyFont="1" applyFill="1" applyBorder="1" applyAlignment="1">
      <alignment horizontal="right" vertical="center"/>
    </xf>
    <xf numFmtId="0" fontId="47" fillId="0" borderId="0" xfId="2" applyFont="1" applyFill="1" applyBorder="1" applyAlignment="1">
      <alignment horizontal="center" vertical="center"/>
    </xf>
    <xf numFmtId="166" fontId="31" fillId="0" borderId="0" xfId="2" applyNumberFormat="1" applyFont="1" applyFill="1" applyBorder="1" applyAlignment="1">
      <alignment horizontal="center" vertical="center"/>
    </xf>
    <xf numFmtId="0" fontId="48" fillId="0" borderId="0" xfId="2" applyFont="1" applyFill="1" applyBorder="1" applyAlignment="1">
      <alignment horizontal="center" vertical="center"/>
    </xf>
    <xf numFmtId="0" fontId="63" fillId="0" borderId="0" xfId="2" applyFont="1" applyFill="1" applyBorder="1" applyAlignment="1">
      <alignment horizontal="right" vertical="center"/>
    </xf>
    <xf numFmtId="0" fontId="64" fillId="0" borderId="0" xfId="2" applyFont="1" applyFill="1" applyBorder="1" applyAlignment="1">
      <alignment horizontal="left" vertical="center"/>
    </xf>
    <xf numFmtId="0" fontId="52" fillId="0" borderId="0" xfId="2" applyFont="1" applyFill="1" applyBorder="1" applyAlignment="1">
      <alignment horizontal="left" vertical="center"/>
    </xf>
    <xf numFmtId="20" fontId="42" fillId="0" borderId="0" xfId="2" applyNumberFormat="1" applyFont="1" applyFill="1" applyAlignment="1">
      <alignment horizontal="center" vertical="center"/>
    </xf>
    <xf numFmtId="167" fontId="65" fillId="0" borderId="0" xfId="2" applyNumberFormat="1" applyFont="1" applyFill="1" applyBorder="1" applyAlignment="1">
      <alignment horizontal="center" vertical="center"/>
    </xf>
    <xf numFmtId="0" fontId="36" fillId="0" borderId="0" xfId="2" applyFont="1" applyFill="1" applyAlignment="1">
      <alignment horizontal="center" vertical="center"/>
    </xf>
    <xf numFmtId="0" fontId="56" fillId="0" borderId="0" xfId="2" applyFont="1" applyFill="1" applyBorder="1" applyAlignment="1">
      <alignment horizontal="left" vertical="center"/>
    </xf>
    <xf numFmtId="172" fontId="42" fillId="0" borderId="0" xfId="2" applyNumberFormat="1" applyFont="1" applyAlignment="1">
      <alignment horizontal="center" vertical="center"/>
    </xf>
    <xf numFmtId="10" fontId="23" fillId="0" borderId="0" xfId="2" applyNumberFormat="1" applyFont="1" applyFill="1" applyBorder="1" applyAlignment="1">
      <alignment horizontal="center" vertical="center"/>
    </xf>
    <xf numFmtId="164" fontId="9" fillId="0" borderId="0" xfId="2" applyNumberFormat="1" applyFont="1" applyAlignment="1">
      <alignment horizontal="center" vertical="center"/>
    </xf>
    <xf numFmtId="0" fontId="23" fillId="0" borderId="0" xfId="2" applyFont="1" applyBorder="1" applyAlignment="1">
      <alignment vertical="center"/>
    </xf>
    <xf numFmtId="4" fontId="9" fillId="0" borderId="0" xfId="2" applyNumberFormat="1" applyFont="1" applyAlignment="1">
      <alignment horizontal="center" vertical="center"/>
    </xf>
    <xf numFmtId="0" fontId="42" fillId="0" borderId="0" xfId="2" applyNumberFormat="1" applyFont="1" applyFill="1" applyAlignment="1">
      <alignment horizontal="center" vertical="center"/>
    </xf>
    <xf numFmtId="22" fontId="42" fillId="0" borderId="0" xfId="2" applyNumberFormat="1" applyFont="1" applyFill="1" applyAlignment="1">
      <alignment horizontal="center" vertical="center"/>
    </xf>
    <xf numFmtId="0" fontId="47" fillId="2" borderId="0" xfId="2" applyFont="1" applyFill="1" applyBorder="1" applyAlignment="1">
      <alignment horizontal="center" vertical="center"/>
    </xf>
    <xf numFmtId="14" fontId="9" fillId="0" borderId="0" xfId="2" applyNumberFormat="1" applyFont="1" applyBorder="1" applyAlignment="1">
      <alignment horizontal="center" vertical="center"/>
    </xf>
    <xf numFmtId="0" fontId="54" fillId="0" borderId="0" xfId="2" applyFont="1" applyFill="1" applyAlignment="1">
      <alignment horizontal="center" vertical="center"/>
    </xf>
    <xf numFmtId="0" fontId="33" fillId="0" borderId="0" xfId="2" applyFont="1" applyBorder="1" applyAlignment="1">
      <alignment vertical="center"/>
    </xf>
    <xf numFmtId="0" fontId="34" fillId="0" borderId="0" xfId="2" applyFont="1" applyBorder="1" applyAlignment="1">
      <alignment horizontal="center" vertical="center"/>
    </xf>
    <xf numFmtId="0" fontId="9" fillId="0" borderId="26" xfId="2" applyFont="1" applyBorder="1" applyAlignment="1">
      <alignment horizontal="center" vertical="center"/>
    </xf>
    <xf numFmtId="0" fontId="9" fillId="0" borderId="26" xfId="2" applyFont="1" applyFill="1" applyBorder="1" applyAlignment="1">
      <alignment horizontal="center" vertical="center"/>
    </xf>
    <xf numFmtId="169" fontId="22" fillId="0" borderId="26" xfId="2" applyNumberFormat="1" applyFont="1" applyFill="1" applyBorder="1" applyAlignment="1">
      <alignment horizontal="center" vertical="center"/>
    </xf>
    <xf numFmtId="164" fontId="43" fillId="0" borderId="26" xfId="2" applyNumberFormat="1" applyFont="1" applyFill="1" applyBorder="1" applyAlignment="1">
      <alignment horizontal="center" vertical="center"/>
    </xf>
    <xf numFmtId="164" fontId="22" fillId="0" borderId="26" xfId="2" applyNumberFormat="1" applyFont="1" applyFill="1" applyBorder="1" applyAlignment="1">
      <alignment horizontal="center" vertical="center"/>
    </xf>
    <xf numFmtId="164" fontId="22" fillId="0" borderId="23" xfId="2" applyNumberFormat="1" applyFont="1" applyFill="1" applyBorder="1" applyAlignment="1">
      <alignment horizontal="center" vertical="center"/>
    </xf>
    <xf numFmtId="164" fontId="23" fillId="0" borderId="26" xfId="2" applyNumberFormat="1" applyFont="1" applyBorder="1" applyAlignment="1">
      <alignment horizontal="center" vertical="center"/>
    </xf>
    <xf numFmtId="166" fontId="25" fillId="4" borderId="26" xfId="2" applyNumberFormat="1" applyFont="1" applyFill="1" applyBorder="1" applyAlignment="1">
      <alignment horizontal="center" vertical="center"/>
    </xf>
    <xf numFmtId="166" fontId="25" fillId="4" borderId="27" xfId="2" applyNumberFormat="1" applyFont="1" applyFill="1" applyBorder="1" applyAlignment="1">
      <alignment horizontal="center" vertical="center"/>
    </xf>
    <xf numFmtId="1" fontId="11" fillId="0" borderId="26" xfId="2" applyNumberFormat="1" applyFill="1" applyBorder="1" applyAlignment="1">
      <alignment vertical="center"/>
    </xf>
    <xf numFmtId="167" fontId="22" fillId="0" borderId="26" xfId="2" applyNumberFormat="1" applyFont="1" applyBorder="1" applyAlignment="1">
      <alignment horizontal="right" vertical="center"/>
    </xf>
    <xf numFmtId="0" fontId="47" fillId="0" borderId="26" xfId="2" applyFont="1" applyFill="1" applyBorder="1" applyAlignment="1">
      <alignment horizontal="center" vertical="center"/>
    </xf>
    <xf numFmtId="0" fontId="48" fillId="0" borderId="26" xfId="2" applyFont="1" applyFill="1" applyBorder="1" applyAlignment="1">
      <alignment horizontal="center" vertical="center"/>
    </xf>
    <xf numFmtId="0" fontId="41" fillId="0" borderId="26" xfId="2" applyFont="1" applyFill="1" applyBorder="1" applyAlignment="1">
      <alignment horizontal="center" vertical="center"/>
    </xf>
    <xf numFmtId="0" fontId="64" fillId="0" borderId="26" xfId="2" applyFont="1" applyBorder="1" applyAlignment="1">
      <alignment vertical="center"/>
    </xf>
    <xf numFmtId="0" fontId="52" fillId="9" borderId="23" xfId="2" applyFont="1" applyFill="1" applyBorder="1" applyAlignment="1">
      <alignment horizontal="left" vertical="center"/>
    </xf>
    <xf numFmtId="0" fontId="42" fillId="0" borderId="2" xfId="2" applyFont="1" applyBorder="1" applyAlignment="1">
      <alignment horizontal="center" vertical="center"/>
    </xf>
    <xf numFmtId="0" fontId="9" fillId="0" borderId="2" xfId="2" applyFont="1" applyBorder="1" applyAlignment="1">
      <alignment horizontal="center" vertical="center"/>
    </xf>
    <xf numFmtId="14" fontId="42" fillId="0" borderId="4" xfId="2" applyNumberFormat="1" applyFont="1" applyBorder="1" applyAlignment="1">
      <alignment horizontal="center" vertical="center"/>
    </xf>
    <xf numFmtId="0" fontId="15" fillId="0" borderId="0" xfId="2" applyFont="1"/>
    <xf numFmtId="0" fontId="42" fillId="0" borderId="8" xfId="2" applyFont="1" applyBorder="1" applyAlignment="1">
      <alignment horizontal="center" vertical="center"/>
    </xf>
    <xf numFmtId="0" fontId="9" fillId="0" borderId="8" xfId="2" applyFont="1" applyBorder="1" applyAlignment="1">
      <alignment horizontal="center" vertical="center"/>
    </xf>
    <xf numFmtId="14" fontId="42" fillId="0" borderId="9" xfId="2" applyNumberFormat="1" applyFont="1" applyBorder="1" applyAlignment="1">
      <alignment horizontal="center" vertical="center"/>
    </xf>
    <xf numFmtId="20" fontId="58" fillId="0" borderId="0" xfId="2" applyNumberFormat="1" applyFont="1" applyAlignment="1">
      <alignment horizontal="center" vertical="center"/>
    </xf>
    <xf numFmtId="10" fontId="11" fillId="0" borderId="0" xfId="2" applyNumberFormat="1"/>
    <xf numFmtId="1" fontId="11" fillId="0" borderId="0" xfId="2" applyNumberFormat="1" applyAlignment="1">
      <alignment horizontal="center" vertical="center"/>
    </xf>
    <xf numFmtId="0" fontId="62" fillId="0" borderId="0" xfId="2" applyFont="1" applyAlignment="1">
      <alignment horizontal="center" vertical="center"/>
    </xf>
    <xf numFmtId="0" fontId="62" fillId="0" borderId="0" xfId="2" applyFont="1"/>
    <xf numFmtId="1" fontId="35" fillId="0" borderId="0" xfId="2" applyNumberFormat="1" applyFont="1" applyBorder="1" applyAlignment="1">
      <alignment vertical="center"/>
    </xf>
    <xf numFmtId="1" fontId="35" fillId="0" borderId="6" xfId="2" applyNumberFormat="1" applyFont="1" applyBorder="1" applyAlignment="1">
      <alignment vertical="center"/>
    </xf>
    <xf numFmtId="0" fontId="39" fillId="0" borderId="0" xfId="2" applyFont="1" applyBorder="1" applyAlignment="1">
      <alignment horizontal="center" vertical="center"/>
    </xf>
    <xf numFmtId="4" fontId="29" fillId="0" borderId="0" xfId="2" applyNumberFormat="1" applyFont="1" applyFill="1" applyBorder="1" applyAlignment="1">
      <alignment horizontal="center" vertical="center"/>
    </xf>
    <xf numFmtId="10" fontId="62" fillId="0" borderId="0" xfId="2" applyNumberFormat="1" applyFont="1"/>
    <xf numFmtId="10" fontId="11" fillId="0" borderId="0" xfId="2" applyNumberFormat="1" applyAlignment="1">
      <alignment vertical="center"/>
    </xf>
    <xf numFmtId="10" fontId="54" fillId="0" borderId="0" xfId="2" applyNumberFormat="1" applyFont="1" applyAlignment="1">
      <alignment horizontal="center" vertical="center"/>
    </xf>
    <xf numFmtId="0" fontId="54" fillId="0" borderId="0" xfId="2" applyFont="1" applyAlignment="1">
      <alignment horizontal="center" vertical="center"/>
    </xf>
    <xf numFmtId="10" fontId="35" fillId="0" borderId="0" xfId="2" applyNumberFormat="1" applyFont="1" applyAlignment="1">
      <alignment horizontal="center" vertical="center"/>
    </xf>
    <xf numFmtId="166" fontId="11" fillId="3" borderId="6" xfId="2" applyNumberFormat="1" applyFill="1" applyBorder="1" applyAlignment="1">
      <alignment vertical="center"/>
    </xf>
    <xf numFmtId="166" fontId="11" fillId="2" borderId="6" xfId="2" applyNumberFormat="1" applyFill="1" applyBorder="1" applyAlignment="1">
      <alignment vertical="center"/>
    </xf>
    <xf numFmtId="10" fontId="9" fillId="0" borderId="0" xfId="2" applyNumberFormat="1" applyFont="1" applyAlignment="1">
      <alignment horizontal="center" vertical="center"/>
    </xf>
    <xf numFmtId="169" fontId="35" fillId="0" borderId="0" xfId="2" applyNumberFormat="1" applyFont="1" applyFill="1" applyBorder="1" applyAlignment="1">
      <alignment horizontal="center" vertical="center"/>
    </xf>
    <xf numFmtId="164" fontId="22" fillId="0" borderId="0" xfId="2" applyNumberFormat="1" applyFont="1" applyBorder="1" applyAlignment="1">
      <alignment horizontal="center" vertical="center"/>
    </xf>
    <xf numFmtId="4" fontId="29" fillId="2" borderId="0" xfId="2" applyNumberFormat="1" applyFont="1" applyFill="1" applyBorder="1" applyAlignment="1">
      <alignment horizontal="center" vertical="center"/>
    </xf>
    <xf numFmtId="16" fontId="29" fillId="0" borderId="0" xfId="2" applyNumberFormat="1" applyFont="1" applyAlignment="1">
      <alignment horizontal="center" vertical="center"/>
    </xf>
    <xf numFmtId="20" fontId="54" fillId="0" borderId="0" xfId="2" applyNumberFormat="1" applyFont="1" applyAlignment="1">
      <alignment horizontal="center" vertical="center"/>
    </xf>
    <xf numFmtId="2" fontId="67" fillId="0" borderId="0" xfId="2" applyNumberFormat="1" applyFont="1" applyAlignment="1">
      <alignment vertical="center"/>
    </xf>
    <xf numFmtId="0" fontId="29" fillId="0" borderId="0" xfId="2" applyFont="1" applyAlignment="1">
      <alignment horizontal="center" vertical="center"/>
    </xf>
    <xf numFmtId="0" fontId="33" fillId="0" borderId="0" xfId="2" applyFont="1" applyAlignment="1">
      <alignment horizontal="center" vertical="center"/>
    </xf>
    <xf numFmtId="10" fontId="9" fillId="0" borderId="0" xfId="2" applyNumberFormat="1" applyFont="1" applyFill="1" applyAlignment="1">
      <alignment horizontal="center" vertical="center"/>
    </xf>
    <xf numFmtId="10" fontId="11" fillId="0" borderId="0" xfId="2" applyNumberFormat="1" applyFill="1" applyAlignment="1">
      <alignment vertical="center"/>
    </xf>
    <xf numFmtId="0" fontId="31" fillId="0" borderId="0" xfId="2" applyFont="1" applyFill="1" applyAlignment="1">
      <alignment vertical="center"/>
    </xf>
    <xf numFmtId="10" fontId="54" fillId="0" borderId="0" xfId="2" applyNumberFormat="1" applyFont="1" applyFill="1" applyAlignment="1">
      <alignment horizontal="center" vertical="center"/>
    </xf>
    <xf numFmtId="0" fontId="67" fillId="0" borderId="0" xfId="2" applyFont="1" applyAlignment="1">
      <alignment horizontal="center" vertical="center"/>
    </xf>
    <xf numFmtId="0" fontId="24" fillId="0" borderId="0" xfId="2" applyFont="1" applyFill="1" applyBorder="1" applyAlignment="1">
      <alignment horizontal="left" vertical="center"/>
    </xf>
    <xf numFmtId="10" fontId="35" fillId="0" borderId="0" xfId="2" applyNumberFormat="1" applyFont="1" applyFill="1" applyAlignment="1">
      <alignment horizontal="center" vertical="center"/>
    </xf>
    <xf numFmtId="0" fontId="69" fillId="0" borderId="0" xfId="2" applyFont="1" applyAlignment="1">
      <alignment horizontal="center" vertical="center"/>
    </xf>
    <xf numFmtId="0" fontId="69" fillId="0" borderId="0" xfId="2" applyFont="1" applyFill="1" applyAlignment="1">
      <alignment horizontal="center" vertical="center"/>
    </xf>
    <xf numFmtId="0" fontId="18" fillId="10" borderId="0" xfId="2" applyFont="1" applyFill="1" applyBorder="1" applyAlignment="1">
      <alignment horizontal="center" vertical="center"/>
    </xf>
    <xf numFmtId="0" fontId="70" fillId="0" borderId="0" xfId="2" applyFont="1" applyFill="1" applyBorder="1" applyAlignment="1">
      <alignment horizontal="center" vertical="center"/>
    </xf>
    <xf numFmtId="0" fontId="70" fillId="0" borderId="0" xfId="2" applyFont="1" applyFill="1" applyBorder="1" applyAlignment="1">
      <alignment horizontal="center" vertical="center" wrapText="1"/>
    </xf>
    <xf numFmtId="166" fontId="54" fillId="0" borderId="0" xfId="2" applyNumberFormat="1" applyFont="1" applyFill="1" applyAlignment="1">
      <alignment horizontal="center" vertical="center"/>
    </xf>
    <xf numFmtId="49" fontId="9" fillId="0" borderId="0" xfId="2" applyNumberFormat="1" applyFont="1" applyFill="1" applyAlignment="1">
      <alignment horizontal="center" vertical="center"/>
    </xf>
    <xf numFmtId="0" fontId="35" fillId="0" borderId="0" xfId="2" applyFont="1" applyBorder="1" applyAlignment="1">
      <alignment horizontal="center" vertical="center" wrapText="1"/>
    </xf>
    <xf numFmtId="20" fontId="59" fillId="0" borderId="0" xfId="2" applyNumberFormat="1" applyFont="1" applyAlignment="1">
      <alignment horizontal="center" vertical="center"/>
    </xf>
    <xf numFmtId="14" fontId="42" fillId="0" borderId="0" xfId="2" applyNumberFormat="1" applyFont="1" applyFill="1" applyAlignment="1">
      <alignment horizontal="center" vertical="center"/>
    </xf>
    <xf numFmtId="166" fontId="11" fillId="0" borderId="0" xfId="2" applyNumberFormat="1" applyBorder="1" applyAlignment="1">
      <alignment vertical="center"/>
    </xf>
    <xf numFmtId="20" fontId="58" fillId="0" borderId="0" xfId="2" applyNumberFormat="1" applyFont="1" applyBorder="1" applyAlignment="1">
      <alignment horizontal="center" vertical="center"/>
    </xf>
    <xf numFmtId="10" fontId="31" fillId="0" borderId="0" xfId="2" applyNumberFormat="1" applyFont="1" applyAlignment="1">
      <alignment vertical="center"/>
    </xf>
    <xf numFmtId="0" fontId="35" fillId="0" borderId="8" xfId="2" applyFont="1" applyBorder="1" applyAlignment="1">
      <alignment horizontal="center" vertical="center"/>
    </xf>
    <xf numFmtId="4" fontId="54" fillId="0" borderId="0" xfId="2" applyNumberFormat="1" applyFont="1" applyFill="1" applyBorder="1" applyAlignment="1">
      <alignment horizontal="center" vertical="center"/>
    </xf>
    <xf numFmtId="0" fontId="71" fillId="0" borderId="0" xfId="2" applyFont="1" applyBorder="1" applyAlignment="1">
      <alignment horizontal="right" vertical="center" wrapText="1"/>
    </xf>
    <xf numFmtId="0" fontId="11" fillId="0" borderId="0" xfId="2" applyBorder="1" applyAlignment="1">
      <alignment horizontal="left" vertical="center"/>
    </xf>
    <xf numFmtId="0" fontId="31" fillId="0" borderId="8" xfId="2" applyFont="1" applyBorder="1" applyAlignment="1">
      <alignment vertical="center"/>
    </xf>
    <xf numFmtId="0" fontId="15" fillId="0" borderId="0" xfId="2" applyFont="1" applyAlignment="1">
      <alignment vertical="center"/>
    </xf>
    <xf numFmtId="0" fontId="71" fillId="0" borderId="0" xfId="2" applyFont="1" applyBorder="1" applyAlignment="1">
      <alignment vertical="center" wrapText="1"/>
    </xf>
    <xf numFmtId="0" fontId="70" fillId="0" borderId="0" xfId="2" applyFont="1" applyBorder="1" applyAlignment="1">
      <alignment vertical="center" wrapText="1"/>
    </xf>
    <xf numFmtId="0" fontId="15" fillId="0" borderId="0" xfId="2" applyFont="1" applyAlignment="1">
      <alignment horizontal="left" vertical="center"/>
    </xf>
    <xf numFmtId="169" fontId="22" fillId="0" borderId="0" xfId="2" applyNumberFormat="1" applyFont="1" applyFill="1" applyBorder="1" applyAlignment="1">
      <alignment horizontal="center" vertical="center"/>
    </xf>
    <xf numFmtId="166" fontId="25" fillId="4" borderId="0" xfId="2" applyNumberFormat="1" applyFont="1" applyFill="1" applyBorder="1" applyAlignment="1">
      <alignment horizontal="center" vertical="center"/>
    </xf>
    <xf numFmtId="166" fontId="63" fillId="0" borderId="0" xfId="2" applyNumberFormat="1" applyFont="1" applyBorder="1" applyAlignment="1">
      <alignment horizontal="center" vertical="center"/>
    </xf>
    <xf numFmtId="0" fontId="41" fillId="0" borderId="0" xfId="2" applyFont="1" applyFill="1" applyBorder="1" applyAlignment="1">
      <alignment horizontal="center" vertical="center"/>
    </xf>
    <xf numFmtId="0" fontId="64" fillId="0" borderId="0" xfId="2" applyFont="1" applyBorder="1" applyAlignment="1">
      <alignment vertical="center"/>
    </xf>
    <xf numFmtId="0" fontId="52" fillId="9" borderId="0" xfId="2" applyFont="1" applyFill="1" applyBorder="1" applyAlignment="1">
      <alignment horizontal="left" vertical="center"/>
    </xf>
    <xf numFmtId="166" fontId="11" fillId="0" borderId="6" xfId="2" applyNumberFormat="1" applyFont="1" applyBorder="1" applyAlignment="1">
      <alignment vertical="center"/>
    </xf>
    <xf numFmtId="179" fontId="29" fillId="2" borderId="0" xfId="2" applyNumberFormat="1" applyFont="1" applyFill="1" applyBorder="1" applyAlignment="1">
      <alignment horizontal="center" vertical="center"/>
    </xf>
    <xf numFmtId="0" fontId="72" fillId="0" borderId="0" xfId="2" applyFont="1" applyBorder="1" applyAlignment="1">
      <alignment horizontal="center" vertical="center" wrapText="1"/>
    </xf>
    <xf numFmtId="0" fontId="11" fillId="0" borderId="23" xfId="2" applyBorder="1" applyAlignment="1">
      <alignment vertical="center"/>
    </xf>
    <xf numFmtId="166" fontId="9" fillId="0" borderId="0" xfId="2" applyNumberFormat="1" applyFont="1" applyFill="1" applyBorder="1" applyAlignment="1">
      <alignment horizontal="center" vertical="center"/>
    </xf>
    <xf numFmtId="1" fontId="71" fillId="0" borderId="0" xfId="2" applyNumberFormat="1" applyFont="1" applyBorder="1" applyAlignment="1">
      <alignment horizontal="center" vertical="center" wrapText="1"/>
    </xf>
    <xf numFmtId="0" fontId="72" fillId="0" borderId="0" xfId="2" applyFont="1" applyFill="1" applyBorder="1" applyAlignment="1">
      <alignment horizontal="center" vertical="center" wrapText="1"/>
    </xf>
    <xf numFmtId="0" fontId="56" fillId="0" borderId="0" xfId="2" applyFont="1" applyBorder="1" applyAlignment="1">
      <alignment vertical="center"/>
    </xf>
    <xf numFmtId="0" fontId="37" fillId="0" borderId="0" xfId="2" applyFont="1" applyBorder="1" applyAlignment="1">
      <alignment vertical="center"/>
    </xf>
    <xf numFmtId="0" fontId="21" fillId="0" borderId="0" xfId="2" applyFont="1" applyFill="1" applyAlignment="1">
      <alignment horizontal="center" vertical="center"/>
    </xf>
    <xf numFmtId="1" fontId="71" fillId="0" borderId="28" xfId="2" applyNumberFormat="1" applyFont="1" applyBorder="1" applyAlignment="1">
      <alignment horizontal="center" vertical="center" wrapText="1"/>
    </xf>
    <xf numFmtId="0" fontId="71" fillId="0" borderId="28" xfId="2" applyFont="1" applyBorder="1" applyAlignment="1">
      <alignment vertical="center" wrapText="1"/>
    </xf>
    <xf numFmtId="166" fontId="40" fillId="0" borderId="0" xfId="2" applyNumberFormat="1" applyFont="1" applyFill="1" applyBorder="1" applyAlignment="1">
      <alignment horizontal="center" vertical="center"/>
    </xf>
    <xf numFmtId="0" fontId="56" fillId="0" borderId="28" xfId="2" applyFont="1" applyBorder="1" applyAlignment="1">
      <alignment vertical="center"/>
    </xf>
    <xf numFmtId="0" fontId="9" fillId="0" borderId="29" xfId="2" applyFont="1" applyFill="1" applyBorder="1" applyAlignment="1">
      <alignment horizontal="center" vertical="center"/>
    </xf>
    <xf numFmtId="172" fontId="73" fillId="0" borderId="29" xfId="2" applyNumberFormat="1" applyFont="1" applyFill="1" applyBorder="1" applyAlignment="1">
      <alignment horizontal="center" vertical="center"/>
    </xf>
    <xf numFmtId="172" fontId="64" fillId="0" borderId="29" xfId="2" applyNumberFormat="1" applyFont="1" applyFill="1" applyBorder="1" applyAlignment="1">
      <alignment horizontal="center" vertical="center"/>
    </xf>
    <xf numFmtId="172" fontId="64" fillId="0" borderId="25" xfId="2" applyNumberFormat="1" applyFont="1" applyFill="1" applyBorder="1" applyAlignment="1">
      <alignment horizontal="center" vertical="center"/>
    </xf>
    <xf numFmtId="164" fontId="29" fillId="0" borderId="25" xfId="2" applyNumberFormat="1" applyFont="1" applyFill="1" applyBorder="1" applyAlignment="1">
      <alignment horizontal="center" vertical="center"/>
    </xf>
    <xf numFmtId="0" fontId="12" fillId="0" borderId="25" xfId="2" applyFont="1" applyBorder="1" applyAlignment="1">
      <alignment vertical="center"/>
    </xf>
    <xf numFmtId="1" fontId="11" fillId="0" borderId="25" xfId="2" applyNumberFormat="1" applyBorder="1" applyAlignment="1">
      <alignment vertical="center"/>
    </xf>
    <xf numFmtId="0" fontId="18" fillId="0" borderId="25" xfId="2" applyFont="1" applyBorder="1" applyAlignment="1">
      <alignment horizontal="center" vertical="center"/>
    </xf>
    <xf numFmtId="172" fontId="18" fillId="0" borderId="25" xfId="2" applyNumberFormat="1" applyFont="1" applyBorder="1" applyAlignment="1">
      <alignment horizontal="center" vertical="center"/>
    </xf>
    <xf numFmtId="0" fontId="56" fillId="0" borderId="25" xfId="2" applyFont="1" applyBorder="1" applyAlignment="1">
      <alignment horizontal="center" vertical="center"/>
    </xf>
    <xf numFmtId="0" fontId="23" fillId="0" borderId="25" xfId="2" applyFont="1" applyBorder="1" applyAlignment="1">
      <alignment horizontal="center" vertical="center"/>
    </xf>
    <xf numFmtId="164" fontId="22" fillId="0" borderId="6" xfId="2" applyNumberFormat="1" applyFont="1" applyFill="1" applyBorder="1" applyAlignment="1">
      <alignment horizontal="center" vertical="center"/>
    </xf>
    <xf numFmtId="166" fontId="22" fillId="0" borderId="0" xfId="2" applyNumberFormat="1" applyFont="1" applyFill="1" applyBorder="1" applyAlignment="1">
      <alignment horizontal="center" vertical="center"/>
    </xf>
    <xf numFmtId="166" fontId="9" fillId="0" borderId="6" xfId="2" applyNumberFormat="1" applyFont="1" applyFill="1" applyBorder="1" applyAlignment="1">
      <alignment horizontal="center" vertical="center"/>
    </xf>
    <xf numFmtId="169" fontId="23" fillId="0" borderId="0" xfId="2" applyNumberFormat="1" applyFont="1" applyFill="1" applyBorder="1" applyAlignment="1">
      <alignment horizontal="center" vertical="center"/>
    </xf>
    <xf numFmtId="174" fontId="9" fillId="0" borderId="6" xfId="2" applyNumberFormat="1" applyFont="1" applyBorder="1" applyAlignment="1">
      <alignment horizontal="center" vertical="center"/>
    </xf>
    <xf numFmtId="174" fontId="73" fillId="0" borderId="20" xfId="2" applyNumberFormat="1" applyFont="1" applyFill="1" applyBorder="1" applyAlignment="1">
      <alignment horizontal="center" vertical="center"/>
    </xf>
    <xf numFmtId="174" fontId="64" fillId="0" borderId="6" xfId="2" applyNumberFormat="1" applyFont="1" applyFill="1" applyBorder="1" applyAlignment="1">
      <alignment horizontal="center" vertical="center"/>
    </xf>
    <xf numFmtId="174" fontId="64" fillId="0" borderId="0" xfId="2" applyNumberFormat="1" applyFont="1" applyFill="1" applyBorder="1" applyAlignment="1">
      <alignment horizontal="center" vertical="center"/>
    </xf>
    <xf numFmtId="164" fontId="23" fillId="4" borderId="0" xfId="2" applyNumberFormat="1" applyFont="1" applyFill="1" applyBorder="1" applyAlignment="1">
      <alignment horizontal="center" vertical="center"/>
    </xf>
    <xf numFmtId="166" fontId="52" fillId="4" borderId="0" xfId="2" applyNumberFormat="1" applyFont="1" applyFill="1" applyBorder="1" applyAlignment="1">
      <alignment horizontal="center" vertical="center"/>
    </xf>
    <xf numFmtId="166" fontId="52" fillId="4" borderId="27" xfId="2" applyNumberFormat="1" applyFont="1" applyFill="1" applyBorder="1" applyAlignment="1">
      <alignment horizontal="center" vertical="center"/>
    </xf>
    <xf numFmtId="166" fontId="9" fillId="0" borderId="0" xfId="2" applyNumberFormat="1" applyFont="1" applyBorder="1" applyAlignment="1">
      <alignment horizontal="center" vertical="center"/>
    </xf>
    <xf numFmtId="1" fontId="18" fillId="0" borderId="0" xfId="2" applyNumberFormat="1" applyFont="1" applyBorder="1" applyAlignment="1">
      <alignment horizontal="center" vertical="center"/>
    </xf>
    <xf numFmtId="172" fontId="18" fillId="0" borderId="0" xfId="2" applyNumberFormat="1" applyFont="1" applyFill="1" applyBorder="1" applyAlignment="1">
      <alignment horizontal="right" vertical="center"/>
    </xf>
    <xf numFmtId="0" fontId="64" fillId="0" borderId="0" xfId="2" applyFont="1" applyBorder="1" applyAlignment="1">
      <alignment horizontal="right" vertical="center"/>
    </xf>
    <xf numFmtId="172" fontId="56" fillId="0" borderId="0" xfId="2" applyNumberFormat="1" applyFont="1" applyBorder="1" applyAlignment="1">
      <alignment horizontal="center" vertical="center"/>
    </xf>
    <xf numFmtId="0" fontId="23" fillId="0" borderId="0" xfId="2" applyFont="1" applyBorder="1" applyAlignment="1">
      <alignment horizontal="right" vertical="center"/>
    </xf>
    <xf numFmtId="0" fontId="9" fillId="0" borderId="5" xfId="2" applyFont="1" applyFill="1" applyBorder="1" applyAlignment="1">
      <alignment horizontal="center" vertical="center"/>
    </xf>
    <xf numFmtId="0" fontId="64" fillId="0" borderId="6" xfId="2" applyFont="1" applyFill="1" applyBorder="1" applyAlignment="1">
      <alignment horizontal="center" vertical="center"/>
    </xf>
    <xf numFmtId="0" fontId="73" fillId="0" borderId="6" xfId="2" applyFont="1" applyBorder="1" applyAlignment="1">
      <alignment horizontal="center" vertical="center"/>
    </xf>
    <xf numFmtId="0" fontId="64" fillId="0" borderId="6" xfId="2" applyFont="1" applyBorder="1" applyAlignment="1">
      <alignment horizontal="center" vertical="center"/>
    </xf>
    <xf numFmtId="166" fontId="56" fillId="0" borderId="0" xfId="2" applyNumberFormat="1" applyFont="1" applyFill="1" applyBorder="1" applyAlignment="1">
      <alignment horizontal="left" vertical="center"/>
    </xf>
    <xf numFmtId="0" fontId="39" fillId="0" borderId="0" xfId="2" applyFont="1" applyAlignment="1">
      <alignment horizontal="center" vertical="center"/>
    </xf>
    <xf numFmtId="0" fontId="11" fillId="4" borderId="0" xfId="2" applyFill="1"/>
    <xf numFmtId="0" fontId="9" fillId="0" borderId="8" xfId="2" applyFont="1" applyFill="1" applyBorder="1" applyAlignment="1">
      <alignment horizontal="center" vertical="center"/>
    </xf>
    <xf numFmtId="180" fontId="42" fillId="0" borderId="0" xfId="2" applyNumberFormat="1" applyFont="1" applyFill="1" applyBorder="1" applyAlignment="1">
      <alignment vertical="center"/>
    </xf>
    <xf numFmtId="166" fontId="9" fillId="0" borderId="0" xfId="206" applyNumberFormat="1" applyFont="1" applyFill="1" applyBorder="1" applyAlignment="1">
      <alignment horizontal="center" vertical="center"/>
    </xf>
    <xf numFmtId="0" fontId="47" fillId="0" borderId="0" xfId="2" applyFont="1" applyFill="1" applyAlignment="1">
      <alignment horizontal="center" vertical="center"/>
    </xf>
    <xf numFmtId="2" fontId="15" fillId="0" borderId="0" xfId="2" applyNumberFormat="1" applyFont="1" applyFill="1" applyBorder="1" applyAlignment="1">
      <alignment horizontal="center" vertical="center"/>
    </xf>
    <xf numFmtId="0" fontId="74" fillId="0" borderId="0" xfId="2" applyFont="1" applyFill="1" applyBorder="1" applyAlignment="1">
      <alignment horizontal="center" vertical="center"/>
    </xf>
    <xf numFmtId="14" fontId="15" fillId="0" borderId="0" xfId="2" applyNumberFormat="1" applyFont="1" applyFill="1" applyBorder="1" applyAlignment="1">
      <alignment horizontal="center" vertical="center"/>
    </xf>
    <xf numFmtId="0" fontId="15" fillId="0" borderId="0" xfId="2" applyFont="1" applyFill="1" applyBorder="1" applyAlignment="1">
      <alignment horizontal="left" vertical="center"/>
    </xf>
    <xf numFmtId="0" fontId="35" fillId="0" borderId="0" xfId="2" applyFont="1" applyAlignment="1">
      <alignment vertical="center"/>
    </xf>
    <xf numFmtId="0" fontId="11" fillId="0" borderId="5" xfId="2" applyFont="1" applyBorder="1" applyAlignment="1">
      <alignment vertical="center"/>
    </xf>
    <xf numFmtId="0" fontId="11" fillId="0" borderId="6" xfId="2" applyFont="1" applyBorder="1" applyAlignment="1">
      <alignment vertical="center"/>
    </xf>
    <xf numFmtId="0" fontId="11" fillId="0" borderId="0" xfId="2" applyFont="1" applyBorder="1" applyAlignment="1">
      <alignment horizontal="center" vertical="center"/>
    </xf>
    <xf numFmtId="0" fontId="67" fillId="0" borderId="6" xfId="2" applyFont="1" applyBorder="1" applyAlignment="1">
      <alignment vertical="center"/>
    </xf>
    <xf numFmtId="0" fontId="11" fillId="0" borderId="0" xfId="2" applyFont="1" applyFill="1" applyBorder="1" applyAlignment="1">
      <alignment vertical="center"/>
    </xf>
    <xf numFmtId="0" fontId="11" fillId="0" borderId="6" xfId="2" applyFont="1" applyFill="1" applyBorder="1" applyAlignment="1">
      <alignment vertical="center"/>
    </xf>
    <xf numFmtId="169" fontId="22" fillId="0" borderId="5" xfId="2" applyNumberFormat="1" applyFont="1" applyFill="1" applyBorder="1" applyAlignment="1">
      <alignment horizontal="center" vertical="center"/>
    </xf>
    <xf numFmtId="181" fontId="9" fillId="0" borderId="0" xfId="2" applyNumberFormat="1" applyFont="1" applyFill="1" applyBorder="1" applyAlignment="1">
      <alignment horizontal="center" vertical="center"/>
    </xf>
    <xf numFmtId="166" fontId="70" fillId="0" borderId="6" xfId="2" applyNumberFormat="1" applyFont="1" applyFill="1" applyBorder="1" applyAlignment="1">
      <alignment horizontal="center" vertical="center"/>
    </xf>
    <xf numFmtId="166" fontId="75" fillId="0" borderId="6" xfId="2" applyNumberFormat="1" applyFont="1" applyFill="1" applyBorder="1" applyAlignment="1">
      <alignment horizontal="left" vertical="center"/>
    </xf>
    <xf numFmtId="166" fontId="70" fillId="0" borderId="6" xfId="2" applyNumberFormat="1" applyFont="1" applyFill="1" applyBorder="1" applyAlignment="1">
      <alignment horizontal="left" vertical="center"/>
    </xf>
    <xf numFmtId="166" fontId="56" fillId="0" borderId="0" xfId="2" applyNumberFormat="1" applyFont="1" applyBorder="1" applyAlignment="1">
      <alignment horizontal="center" vertical="center"/>
    </xf>
    <xf numFmtId="166" fontId="52" fillId="0" borderId="0" xfId="2" applyNumberFormat="1" applyFont="1" applyBorder="1" applyAlignment="1">
      <alignment horizontal="center" vertical="center"/>
    </xf>
    <xf numFmtId="1" fontId="56" fillId="0" borderId="0" xfId="2" applyNumberFormat="1" applyFont="1" applyBorder="1" applyAlignment="1">
      <alignment horizontal="center" vertical="center"/>
    </xf>
    <xf numFmtId="166" fontId="56" fillId="0" borderId="0" xfId="2" applyNumberFormat="1" applyFont="1" applyFill="1" applyBorder="1" applyAlignment="1">
      <alignment horizontal="center" vertical="center"/>
    </xf>
    <xf numFmtId="166" fontId="56" fillId="4" borderId="0" xfId="2" applyNumberFormat="1" applyFont="1" applyFill="1" applyBorder="1" applyAlignment="1">
      <alignment horizontal="center" vertical="center"/>
    </xf>
    <xf numFmtId="0" fontId="63" fillId="0" borderId="0" xfId="2" applyFont="1" applyBorder="1" applyAlignment="1">
      <alignment horizontal="center" vertical="center"/>
    </xf>
    <xf numFmtId="0" fontId="56" fillId="0" borderId="0" xfId="2" applyFont="1" applyAlignment="1">
      <alignment horizontal="center" vertical="center"/>
    </xf>
    <xf numFmtId="181" fontId="63" fillId="0" borderId="0" xfId="2" applyNumberFormat="1" applyFont="1" applyBorder="1" applyAlignment="1">
      <alignment horizontal="center" vertical="center"/>
    </xf>
    <xf numFmtId="0" fontId="34" fillId="0" borderId="6" xfId="2" applyFont="1" applyBorder="1" applyAlignment="1">
      <alignment vertical="center"/>
    </xf>
    <xf numFmtId="0" fontId="34" fillId="0" borderId="6" xfId="2" applyFont="1" applyFill="1" applyBorder="1" applyAlignment="1">
      <alignment horizontal="center" vertical="center"/>
    </xf>
    <xf numFmtId="0" fontId="15" fillId="0" borderId="0" xfId="2" applyFont="1" applyBorder="1" applyAlignment="1">
      <alignment horizontal="left" vertical="center"/>
    </xf>
    <xf numFmtId="0" fontId="35" fillId="0" borderId="0" xfId="2" applyFont="1" applyBorder="1" applyAlignment="1">
      <alignment vertical="center"/>
    </xf>
    <xf numFmtId="0" fontId="35" fillId="0" borderId="5" xfId="2" applyFont="1" applyBorder="1" applyAlignment="1">
      <alignment vertical="center"/>
    </xf>
    <xf numFmtId="0" fontId="35" fillId="0" borderId="6" xfId="2" applyFont="1" applyBorder="1" applyAlignment="1">
      <alignment horizontal="center" vertical="center"/>
    </xf>
    <xf numFmtId="0" fontId="35" fillId="0" borderId="6" xfId="2" applyFont="1" applyBorder="1" applyAlignment="1">
      <alignment vertical="center"/>
    </xf>
    <xf numFmtId="0" fontId="35" fillId="0" borderId="0" xfId="2" applyFont="1" applyFill="1" applyAlignment="1">
      <alignment vertical="center"/>
    </xf>
    <xf numFmtId="0" fontId="35" fillId="0" borderId="0" xfId="2" applyFont="1" applyFill="1" applyBorder="1" applyAlignment="1">
      <alignment vertical="center"/>
    </xf>
    <xf numFmtId="0" fontId="35" fillId="0" borderId="6" xfId="2" applyFont="1" applyFill="1" applyBorder="1" applyAlignment="1">
      <alignment vertical="center"/>
    </xf>
    <xf numFmtId="0" fontId="35" fillId="0" borderId="6" xfId="2" applyFont="1" applyFill="1" applyBorder="1" applyAlignment="1">
      <alignment horizontal="center" vertical="center"/>
    </xf>
    <xf numFmtId="180" fontId="35" fillId="0" borderId="0" xfId="2" applyNumberFormat="1" applyFont="1" applyFill="1" applyBorder="1" applyAlignment="1">
      <alignment horizontal="center" vertical="center"/>
    </xf>
    <xf numFmtId="169" fontId="65" fillId="0" borderId="0" xfId="2" applyNumberFormat="1" applyFont="1" applyFill="1" applyBorder="1" applyAlignment="1">
      <alignment horizontal="center" vertical="center"/>
    </xf>
    <xf numFmtId="169" fontId="29" fillId="0" borderId="0" xfId="2" applyNumberFormat="1" applyFont="1" applyFill="1" applyBorder="1" applyAlignment="1">
      <alignment horizontal="center" vertical="center"/>
    </xf>
    <xf numFmtId="182" fontId="29" fillId="0" borderId="2" xfId="2" applyNumberFormat="1" applyFont="1" applyFill="1" applyBorder="1" applyAlignment="1">
      <alignment horizontal="center" vertical="center"/>
    </xf>
    <xf numFmtId="182" fontId="29" fillId="0" borderId="0" xfId="2" applyNumberFormat="1" applyFont="1" applyFill="1" applyBorder="1" applyAlignment="1">
      <alignment horizontal="center" vertical="center"/>
    </xf>
    <xf numFmtId="183" fontId="29" fillId="0" borderId="0" xfId="2" applyNumberFormat="1" applyFont="1" applyFill="1" applyBorder="1" applyAlignment="1">
      <alignment horizontal="center" vertical="center"/>
    </xf>
    <xf numFmtId="184" fontId="29" fillId="0" borderId="0" xfId="2" applyNumberFormat="1" applyFont="1" applyFill="1" applyBorder="1" applyAlignment="1">
      <alignment horizontal="center" vertical="center"/>
    </xf>
    <xf numFmtId="0" fontId="29" fillId="0" borderId="6" xfId="2" applyFont="1" applyFill="1" applyBorder="1" applyAlignment="1">
      <alignment horizontal="center" vertical="center"/>
    </xf>
    <xf numFmtId="1" fontId="76" fillId="0" borderId="0" xfId="2" applyNumberFormat="1" applyFont="1" applyFill="1" applyBorder="1" applyAlignment="1">
      <alignment vertical="center"/>
    </xf>
    <xf numFmtId="2" fontId="77" fillId="0" borderId="6" xfId="2" applyNumberFormat="1" applyFont="1" applyFill="1" applyBorder="1" applyAlignment="1">
      <alignment vertical="center"/>
    </xf>
    <xf numFmtId="1" fontId="47" fillId="0" borderId="0" xfId="2" applyNumberFormat="1" applyFont="1" applyFill="1" applyBorder="1" applyAlignment="1">
      <alignment horizontal="center" vertical="center"/>
    </xf>
    <xf numFmtId="0" fontId="56" fillId="0" borderId="0" xfId="2" applyFont="1" applyFill="1" applyBorder="1" applyAlignment="1">
      <alignment horizontal="center" vertical="center"/>
    </xf>
    <xf numFmtId="0" fontId="55" fillId="0" borderId="0" xfId="18" applyFont="1" applyFill="1" applyBorder="1" applyAlignment="1">
      <alignment horizontal="center" vertical="center"/>
    </xf>
    <xf numFmtId="0" fontId="54" fillId="0" borderId="0" xfId="2" applyFont="1" applyFill="1" applyBorder="1" applyAlignment="1">
      <alignment horizontal="center" vertical="center"/>
    </xf>
    <xf numFmtId="2" fontId="15" fillId="0" borderId="0" xfId="2" applyNumberFormat="1" applyFont="1" applyBorder="1" applyAlignment="1">
      <alignment horizontal="center" vertical="center"/>
    </xf>
    <xf numFmtId="185" fontId="76" fillId="0" borderId="0" xfId="2" applyNumberFormat="1" applyFont="1" applyFill="1" applyBorder="1" applyAlignment="1">
      <alignment horizontal="center" vertical="center"/>
    </xf>
    <xf numFmtId="14" fontId="79" fillId="0" borderId="0" xfId="206" applyNumberFormat="1" applyFont="1" applyFill="1" applyBorder="1" applyAlignment="1">
      <alignment horizontal="center" vertical="center"/>
    </xf>
    <xf numFmtId="0" fontId="47" fillId="3" borderId="0" xfId="2" applyFont="1" applyFill="1" applyBorder="1" applyAlignment="1">
      <alignment horizontal="left" vertical="center"/>
    </xf>
    <xf numFmtId="182" fontId="29" fillId="0" borderId="5" xfId="2" applyNumberFormat="1" applyFont="1" applyFill="1" applyBorder="1" applyAlignment="1">
      <alignment horizontal="center" vertical="center"/>
    </xf>
    <xf numFmtId="169" fontId="29" fillId="0" borderId="6" xfId="2" applyNumberFormat="1" applyFont="1" applyFill="1" applyBorder="1" applyAlignment="1">
      <alignment horizontal="center" vertical="center"/>
    </xf>
    <xf numFmtId="1" fontId="78" fillId="0" borderId="0" xfId="2" applyNumberFormat="1" applyFont="1" applyFill="1" applyBorder="1" applyAlignment="1">
      <alignment vertical="center"/>
    </xf>
    <xf numFmtId="2" fontId="77" fillId="0" borderId="0" xfId="2" applyNumberFormat="1" applyFont="1" applyFill="1" applyBorder="1" applyAlignment="1">
      <alignment vertical="center"/>
    </xf>
    <xf numFmtId="1" fontId="58" fillId="0" borderId="0" xfId="2" applyNumberFormat="1" applyFont="1" applyFill="1" applyBorder="1" applyAlignment="1">
      <alignment horizontal="center" vertical="center"/>
    </xf>
    <xf numFmtId="0" fontId="54" fillId="0" borderId="2" xfId="2" applyFont="1" applyFill="1" applyBorder="1" applyAlignment="1">
      <alignment horizontal="center" vertical="center"/>
    </xf>
    <xf numFmtId="185" fontId="78" fillId="0" borderId="2" xfId="2" applyNumberFormat="1" applyFont="1" applyFill="1" applyBorder="1" applyAlignment="1">
      <alignment horizontal="center" vertical="center"/>
    </xf>
    <xf numFmtId="0" fontId="11" fillId="0" borderId="8" xfId="2" applyBorder="1" applyAlignment="1">
      <alignment vertical="center"/>
    </xf>
    <xf numFmtId="2" fontId="29" fillId="0" borderId="0" xfId="2" applyNumberFormat="1" applyFont="1" applyFill="1" applyBorder="1" applyAlignment="1">
      <alignment horizontal="center" vertical="center"/>
    </xf>
    <xf numFmtId="2" fontId="29" fillId="0" borderId="5" xfId="2" applyNumberFormat="1" applyFont="1" applyFill="1" applyBorder="1" applyAlignment="1">
      <alignment horizontal="center" vertical="center"/>
    </xf>
    <xf numFmtId="1" fontId="29" fillId="0" borderId="6" xfId="2" applyNumberFormat="1" applyFont="1" applyFill="1" applyBorder="1" applyAlignment="1">
      <alignment horizontal="center" vertical="center"/>
    </xf>
    <xf numFmtId="180" fontId="29" fillId="0" borderId="5" xfId="2" applyNumberFormat="1" applyFont="1" applyFill="1" applyBorder="1" applyAlignment="1">
      <alignment horizontal="center" vertical="center"/>
    </xf>
    <xf numFmtId="172" fontId="9" fillId="0" borderId="6" xfId="2" applyNumberFormat="1" applyFont="1" applyFill="1" applyBorder="1" applyAlignment="1">
      <alignment horizontal="center" vertical="center"/>
    </xf>
    <xf numFmtId="185" fontId="78" fillId="0" borderId="0" xfId="2" applyNumberFormat="1" applyFont="1" applyFill="1" applyBorder="1" applyAlignment="1">
      <alignment horizontal="center" vertical="center"/>
    </xf>
    <xf numFmtId="14" fontId="60" fillId="0" borderId="0" xfId="206" applyNumberFormat="1" applyFont="1" applyFill="1" applyBorder="1" applyAlignment="1">
      <alignment horizontal="center" vertical="center"/>
    </xf>
    <xf numFmtId="169" fontId="47" fillId="0" borderId="0" xfId="2" applyNumberFormat="1" applyFont="1" applyFill="1" applyBorder="1" applyAlignment="1">
      <alignment horizontal="left" vertical="center"/>
    </xf>
    <xf numFmtId="186" fontId="29" fillId="0" borderId="0" xfId="2" applyNumberFormat="1" applyFont="1" applyFill="1" applyBorder="1" applyAlignment="1">
      <alignment horizontal="center" vertical="center"/>
    </xf>
    <xf numFmtId="186" fontId="29" fillId="0" borderId="5" xfId="2" applyNumberFormat="1" applyFont="1" applyFill="1" applyBorder="1" applyAlignment="1">
      <alignment horizontal="center" vertical="center"/>
    </xf>
    <xf numFmtId="1" fontId="9" fillId="0" borderId="0" xfId="2" applyNumberFormat="1" applyFont="1" applyFill="1" applyBorder="1" applyAlignment="1">
      <alignment horizontal="center" vertical="center"/>
    </xf>
    <xf numFmtId="0" fontId="15" fillId="0" borderId="6" xfId="2" applyFont="1" applyFill="1" applyBorder="1" applyAlignment="1">
      <alignment horizontal="center" vertical="center"/>
    </xf>
    <xf numFmtId="1" fontId="74" fillId="0" borderId="0" xfId="2" applyNumberFormat="1" applyFont="1" applyFill="1" applyBorder="1" applyAlignment="1">
      <alignment horizontal="center" vertical="center"/>
    </xf>
    <xf numFmtId="2" fontId="9" fillId="0" borderId="0" xfId="2" applyNumberFormat="1" applyFont="1" applyFill="1" applyAlignment="1">
      <alignment horizontal="center" vertical="center"/>
    </xf>
    <xf numFmtId="172" fontId="15" fillId="0" borderId="0" xfId="2" applyNumberFormat="1" applyFont="1" applyFill="1" applyBorder="1" applyAlignment="1">
      <alignment horizontal="center" vertical="center"/>
    </xf>
    <xf numFmtId="0" fontId="47" fillId="0" borderId="0" xfId="2" applyFont="1" applyFill="1" applyBorder="1" applyAlignment="1">
      <alignment horizontal="left" vertical="center"/>
    </xf>
    <xf numFmtId="165" fontId="9" fillId="0" borderId="0" xfId="2" applyNumberFormat="1" applyFont="1" applyFill="1" applyBorder="1" applyAlignment="1">
      <alignment horizontal="center" vertical="center"/>
    </xf>
    <xf numFmtId="169" fontId="9" fillId="0" borderId="5" xfId="2" applyNumberFormat="1" applyFont="1" applyFill="1" applyBorder="1" applyAlignment="1">
      <alignment horizontal="center" vertical="center"/>
    </xf>
    <xf numFmtId="182" fontId="9" fillId="0" borderId="0" xfId="2" applyNumberFormat="1" applyFont="1" applyFill="1" applyBorder="1" applyAlignment="1">
      <alignment horizontal="center" vertical="center"/>
    </xf>
    <xf numFmtId="1" fontId="9" fillId="0" borderId="6" xfId="2" applyNumberFormat="1" applyFont="1" applyFill="1" applyBorder="1" applyAlignment="1">
      <alignment horizontal="center" vertical="center"/>
    </xf>
    <xf numFmtId="2" fontId="9" fillId="0" borderId="0" xfId="2" applyNumberFormat="1" applyFont="1" applyBorder="1" applyAlignment="1">
      <alignment horizontal="center" vertical="center"/>
    </xf>
    <xf numFmtId="1" fontId="76" fillId="0" borderId="0" xfId="2" applyNumberFormat="1" applyFont="1" applyFill="1" applyBorder="1" applyAlignment="1">
      <alignment horizontal="center" vertical="center"/>
    </xf>
    <xf numFmtId="0" fontId="62" fillId="0" borderId="0" xfId="2" applyFont="1" applyFill="1" applyBorder="1" applyAlignment="1">
      <alignment vertical="center"/>
    </xf>
    <xf numFmtId="0" fontId="9" fillId="0" borderId="0" xfId="2" applyFont="1" applyFill="1" applyBorder="1" applyAlignment="1">
      <alignment horizontal="right" vertical="center"/>
    </xf>
    <xf numFmtId="20" fontId="62" fillId="0" borderId="0" xfId="2" applyNumberFormat="1" applyFont="1" applyBorder="1"/>
    <xf numFmtId="165" fontId="22" fillId="0" borderId="0" xfId="2" applyNumberFormat="1" applyFont="1" applyFill="1" applyBorder="1" applyAlignment="1">
      <alignment horizontal="center" vertical="center"/>
    </xf>
    <xf numFmtId="0" fontId="73" fillId="0" borderId="0" xfId="2" applyFont="1" applyBorder="1" applyAlignment="1">
      <alignment horizontal="center" vertical="center"/>
    </xf>
    <xf numFmtId="2" fontId="47" fillId="0" borderId="0" xfId="2" applyNumberFormat="1" applyFont="1" applyFill="1" applyBorder="1" applyAlignment="1">
      <alignment horizontal="right" vertical="center"/>
    </xf>
    <xf numFmtId="0" fontId="62" fillId="0" borderId="0" xfId="2" applyFont="1" applyAlignment="1">
      <alignment vertical="center"/>
    </xf>
    <xf numFmtId="0" fontId="77" fillId="0" borderId="0" xfId="2" applyFont="1" applyFill="1" applyBorder="1" applyAlignment="1">
      <alignment horizontal="center" vertical="center"/>
    </xf>
    <xf numFmtId="14" fontId="81" fillId="0" borderId="0" xfId="206" applyNumberFormat="1" applyFont="1" applyFill="1" applyBorder="1" applyAlignment="1">
      <alignment horizontal="center" vertical="center"/>
    </xf>
    <xf numFmtId="0" fontId="82" fillId="0" borderId="0" xfId="18" applyFont="1" applyFill="1" applyAlignment="1">
      <alignment horizontal="left" vertical="center"/>
    </xf>
    <xf numFmtId="0" fontId="35" fillId="0" borderId="8" xfId="2" applyFont="1" applyBorder="1" applyAlignment="1">
      <alignment vertical="center"/>
    </xf>
    <xf numFmtId="2" fontId="11" fillId="0" borderId="8" xfId="2" applyNumberFormat="1" applyFill="1" applyBorder="1" applyAlignment="1">
      <alignment vertical="center"/>
    </xf>
    <xf numFmtId="2" fontId="11" fillId="4" borderId="8" xfId="2" applyNumberFormat="1" applyFill="1" applyBorder="1" applyAlignment="1">
      <alignment vertical="center"/>
    </xf>
    <xf numFmtId="0" fontId="26" fillId="0" borderId="8" xfId="2" applyFont="1" applyBorder="1" applyAlignment="1">
      <alignment horizontal="center" vertical="center"/>
    </xf>
    <xf numFmtId="2" fontId="35" fillId="0" borderId="0" xfId="2" applyNumberFormat="1" applyFont="1" applyFill="1" applyBorder="1" applyAlignment="1">
      <alignment horizontal="center" vertical="center"/>
    </xf>
    <xf numFmtId="169" fontId="22" fillId="11" borderId="0" xfId="2" applyNumberFormat="1" applyFont="1" applyFill="1" applyBorder="1" applyAlignment="1">
      <alignment horizontal="center" vertical="center"/>
    </xf>
    <xf numFmtId="169" fontId="9" fillId="0" borderId="0" xfId="2" applyNumberFormat="1" applyFont="1" applyFill="1" applyAlignment="1">
      <alignment horizontal="center" vertical="center"/>
    </xf>
    <xf numFmtId="0" fontId="9" fillId="2" borderId="0" xfId="2" applyFont="1" applyFill="1" applyBorder="1" applyAlignment="1">
      <alignment horizontal="center" vertical="center"/>
    </xf>
    <xf numFmtId="14" fontId="9" fillId="0" borderId="6" xfId="2" applyNumberFormat="1" applyFont="1" applyFill="1" applyBorder="1" applyAlignment="1">
      <alignment horizontal="center" vertical="center"/>
    </xf>
    <xf numFmtId="10" fontId="9" fillId="0" borderId="6" xfId="2" applyNumberFormat="1" applyFont="1" applyBorder="1" applyAlignment="1">
      <alignment horizontal="center" vertical="center"/>
    </xf>
    <xf numFmtId="10" fontId="9" fillId="0" borderId="20" xfId="2" applyNumberFormat="1" applyFont="1" applyBorder="1" applyAlignment="1">
      <alignment horizontal="center" vertical="center"/>
    </xf>
    <xf numFmtId="180" fontId="42" fillId="0" borderId="6" xfId="2" applyNumberFormat="1" applyFont="1" applyFill="1" applyBorder="1" applyAlignment="1">
      <alignment horizontal="left" vertical="center"/>
    </xf>
    <xf numFmtId="10" fontId="15" fillId="0" borderId="0" xfId="2" applyNumberFormat="1" applyFont="1" applyFill="1" applyBorder="1" applyAlignment="1">
      <alignment horizontal="center" vertical="center"/>
    </xf>
    <xf numFmtId="1" fontId="59" fillId="0" borderId="0" xfId="2" applyNumberFormat="1" applyFont="1" applyFill="1" applyBorder="1" applyAlignment="1">
      <alignment horizontal="center" vertical="center"/>
    </xf>
    <xf numFmtId="166" fontId="9" fillId="0" borderId="0" xfId="206" applyNumberFormat="1" applyFont="1" applyBorder="1" applyAlignment="1">
      <alignment horizontal="center" vertical="center"/>
    </xf>
    <xf numFmtId="164" fontId="9" fillId="0" borderId="0" xfId="2" applyNumberFormat="1" applyFont="1" applyFill="1" applyBorder="1" applyAlignment="1">
      <alignment horizontal="center" vertical="center"/>
    </xf>
    <xf numFmtId="0" fontId="35" fillId="0" borderId="8" xfId="2" applyFont="1" applyFill="1" applyBorder="1" applyAlignment="1">
      <alignment horizontal="center" vertical="center"/>
    </xf>
    <xf numFmtId="14" fontId="29" fillId="0" borderId="0" xfId="206" applyNumberFormat="1" applyFont="1" applyFill="1" applyBorder="1" applyAlignment="1">
      <alignment horizontal="center" vertical="center"/>
    </xf>
    <xf numFmtId="2" fontId="65" fillId="0" borderId="0" xfId="2" applyNumberFormat="1" applyFont="1" applyFill="1" applyBorder="1" applyAlignment="1">
      <alignment horizontal="center" vertical="center"/>
    </xf>
    <xf numFmtId="2" fontId="24" fillId="0" borderId="0" xfId="2" applyNumberFormat="1" applyFont="1" applyFill="1" applyBorder="1" applyAlignment="1">
      <alignment vertical="center"/>
    </xf>
    <xf numFmtId="1" fontId="11" fillId="0" borderId="0" xfId="2" applyNumberFormat="1" applyFill="1" applyBorder="1" applyAlignment="1">
      <alignment horizontal="center" vertical="center"/>
    </xf>
    <xf numFmtId="1" fontId="11" fillId="0" borderId="6" xfId="2" applyNumberFormat="1" applyFill="1" applyBorder="1" applyAlignment="1">
      <alignment horizontal="center" vertical="center"/>
    </xf>
    <xf numFmtId="0" fontId="67" fillId="0" borderId="6" xfId="2" applyFont="1" applyFill="1" applyBorder="1" applyAlignment="1">
      <alignment vertical="center"/>
    </xf>
    <xf numFmtId="0" fontId="75" fillId="0" borderId="0" xfId="2" applyFont="1" applyFill="1" applyBorder="1" applyAlignment="1">
      <alignment horizontal="center" vertical="center"/>
    </xf>
    <xf numFmtId="0" fontId="71" fillId="0" borderId="6" xfId="2" applyFont="1" applyFill="1" applyBorder="1" applyAlignment="1">
      <alignment horizontal="center" vertical="center"/>
    </xf>
    <xf numFmtId="0" fontId="70" fillId="0" borderId="6" xfId="2" applyFont="1" applyFill="1" applyBorder="1" applyAlignment="1">
      <alignment horizontal="center" vertical="center"/>
    </xf>
    <xf numFmtId="2" fontId="11" fillId="0" borderId="0" xfId="2" applyNumberFormat="1" applyFill="1" applyBorder="1" applyAlignment="1">
      <alignment vertical="center"/>
    </xf>
    <xf numFmtId="0" fontId="67" fillId="0" borderId="0" xfId="2" applyFont="1" applyFill="1" applyBorder="1"/>
    <xf numFmtId="14" fontId="57" fillId="0" borderId="0" xfId="206" applyNumberFormat="1" applyFont="1" applyFill="1" applyBorder="1" applyAlignment="1">
      <alignment horizontal="left" vertical="center"/>
    </xf>
    <xf numFmtId="0" fontId="37" fillId="0" borderId="0" xfId="2" applyFont="1" applyFill="1" applyBorder="1" applyAlignment="1">
      <alignment vertical="center"/>
    </xf>
    <xf numFmtId="0" fontId="11" fillId="0" borderId="26" xfId="2" applyBorder="1"/>
    <xf numFmtId="1" fontId="15" fillId="0" borderId="26" xfId="2" applyNumberFormat="1" applyFont="1" applyFill="1" applyBorder="1" applyAlignment="1">
      <alignment horizontal="center" vertical="center"/>
    </xf>
    <xf numFmtId="0" fontId="9" fillId="0" borderId="5" xfId="2" applyFont="1" applyFill="1" applyBorder="1" applyAlignment="1">
      <alignment horizontal="right" vertical="center"/>
    </xf>
    <xf numFmtId="0" fontId="9" fillId="0" borderId="6" xfId="2" applyFont="1" applyFill="1" applyBorder="1" applyAlignment="1">
      <alignment horizontal="right" vertical="center"/>
    </xf>
    <xf numFmtId="0" fontId="9" fillId="0" borderId="23" xfId="2" applyFont="1" applyFill="1" applyBorder="1" applyAlignment="1">
      <alignment horizontal="right" vertical="center"/>
    </xf>
    <xf numFmtId="180" fontId="42" fillId="0" borderId="26" xfId="2" applyNumberFormat="1" applyFont="1" applyFill="1" applyBorder="1" applyAlignment="1">
      <alignment vertical="center"/>
    </xf>
    <xf numFmtId="0" fontId="22" fillId="0" borderId="26" xfId="2" applyFont="1" applyFill="1" applyBorder="1" applyAlignment="1">
      <alignment vertical="center"/>
    </xf>
    <xf numFmtId="0" fontId="12" fillId="0" borderId="26" xfId="2" applyFont="1" applyFill="1" applyBorder="1" applyAlignment="1">
      <alignment vertical="center"/>
    </xf>
    <xf numFmtId="0" fontId="11" fillId="0" borderId="26" xfId="2" applyFill="1" applyBorder="1"/>
    <xf numFmtId="0" fontId="15" fillId="0" borderId="26" xfId="2" applyFont="1" applyFill="1" applyBorder="1" applyAlignment="1">
      <alignment horizontal="center" vertical="center"/>
    </xf>
    <xf numFmtId="4" fontId="54" fillId="0" borderId="26" xfId="2" applyNumberFormat="1" applyFont="1" applyFill="1" applyBorder="1" applyAlignment="1">
      <alignment horizontal="center" vertical="center"/>
    </xf>
    <xf numFmtId="2" fontId="15" fillId="0" borderId="26" xfId="2" applyNumberFormat="1" applyFont="1" applyFill="1" applyBorder="1" applyAlignment="1">
      <alignment horizontal="center" vertical="center"/>
    </xf>
    <xf numFmtId="0" fontId="74" fillId="0" borderId="26" xfId="2" applyFont="1" applyFill="1" applyBorder="1" applyAlignment="1">
      <alignment horizontal="center" vertical="center"/>
    </xf>
    <xf numFmtId="14" fontId="9" fillId="0" borderId="26" xfId="206" applyNumberFormat="1" applyFont="1" applyFill="1" applyBorder="1" applyAlignment="1">
      <alignment horizontal="center" vertical="center"/>
    </xf>
    <xf numFmtId="0" fontId="52" fillId="10" borderId="23" xfId="2" applyFont="1" applyFill="1" applyBorder="1" applyAlignment="1">
      <alignment horizontal="left" vertical="center"/>
    </xf>
    <xf numFmtId="0" fontId="33" fillId="0" borderId="5" xfId="2" applyFont="1" applyFill="1" applyBorder="1" applyAlignment="1">
      <alignment vertical="center"/>
    </xf>
    <xf numFmtId="184" fontId="29" fillId="0" borderId="5" xfId="2" applyNumberFormat="1" applyFont="1" applyFill="1" applyBorder="1" applyAlignment="1">
      <alignment horizontal="center" vertical="center"/>
    </xf>
    <xf numFmtId="1" fontId="78" fillId="0" borderId="5" xfId="2" applyNumberFormat="1" applyFont="1" applyFill="1" applyBorder="1" applyAlignment="1">
      <alignment vertical="center"/>
    </xf>
    <xf numFmtId="0" fontId="67" fillId="0" borderId="0" xfId="2" applyFont="1" applyFill="1" applyBorder="1" applyAlignment="1">
      <alignment vertical="center"/>
    </xf>
    <xf numFmtId="22" fontId="35" fillId="0" borderId="0" xfId="2" applyNumberFormat="1" applyFont="1" applyFill="1" applyBorder="1" applyAlignment="1">
      <alignment horizontal="center" vertical="center"/>
    </xf>
    <xf numFmtId="1" fontId="15" fillId="0" borderId="0" xfId="2" applyNumberFormat="1" applyFont="1" applyFill="1" applyBorder="1" applyAlignment="1">
      <alignment horizontal="center" vertical="center"/>
    </xf>
    <xf numFmtId="0" fontId="42" fillId="0" borderId="0" xfId="2" applyFont="1" applyAlignment="1">
      <alignment horizontal="left" vertical="center"/>
    </xf>
    <xf numFmtId="1" fontId="29" fillId="0" borderId="0" xfId="2" applyNumberFormat="1" applyFont="1" applyFill="1" applyBorder="1" applyAlignment="1">
      <alignment horizontal="center" vertical="center"/>
    </xf>
    <xf numFmtId="2" fontId="74" fillId="0" borderId="0" xfId="2" applyNumberFormat="1" applyFont="1" applyFill="1" applyBorder="1" applyAlignment="1">
      <alignment horizontal="center" vertical="center"/>
    </xf>
    <xf numFmtId="1" fontId="29" fillId="0" borderId="5" xfId="2" applyNumberFormat="1" applyFont="1" applyFill="1" applyBorder="1" applyAlignment="1">
      <alignment horizontal="center" vertical="center"/>
    </xf>
    <xf numFmtId="166" fontId="11" fillId="0" borderId="0" xfId="2" applyNumberFormat="1" applyFont="1" applyFill="1" applyBorder="1" applyAlignment="1">
      <alignment horizontal="center" vertical="center"/>
    </xf>
    <xf numFmtId="0" fontId="82" fillId="0" borderId="0" xfId="2" applyFont="1" applyFill="1" applyAlignment="1">
      <alignment horizontal="center" vertical="center"/>
    </xf>
    <xf numFmtId="172" fontId="9" fillId="0" borderId="5" xfId="2" applyNumberFormat="1" applyFont="1" applyFill="1" applyBorder="1" applyAlignment="1">
      <alignment horizontal="center" vertical="center"/>
    </xf>
    <xf numFmtId="14" fontId="35" fillId="0" borderId="0" xfId="206" applyNumberFormat="1" applyFont="1" applyFill="1" applyBorder="1" applyAlignment="1">
      <alignment horizontal="center" vertical="center"/>
    </xf>
    <xf numFmtId="166" fontId="73" fillId="0" borderId="5" xfId="2" applyNumberFormat="1" applyFont="1" applyFill="1" applyBorder="1" applyAlignment="1">
      <alignment horizontal="center" vertical="center"/>
    </xf>
    <xf numFmtId="14" fontId="42" fillId="0" borderId="5" xfId="2" applyNumberFormat="1" applyFont="1" applyFill="1" applyBorder="1" applyAlignment="1">
      <alignment horizontal="center" vertical="center"/>
    </xf>
    <xf numFmtId="16" fontId="42" fillId="0" borderId="0" xfId="2" applyNumberFormat="1" applyFont="1" applyFill="1" applyAlignment="1">
      <alignment horizontal="center" vertical="center"/>
    </xf>
    <xf numFmtId="0" fontId="31" fillId="0" borderId="0" xfId="2" applyFont="1" applyFill="1" applyBorder="1" applyAlignment="1">
      <alignment horizontal="center" vertical="center"/>
    </xf>
    <xf numFmtId="0" fontId="55" fillId="0" borderId="0" xfId="2" applyFont="1" applyFill="1" applyBorder="1" applyAlignment="1">
      <alignment horizontal="left" vertical="center"/>
    </xf>
    <xf numFmtId="0" fontId="29" fillId="0" borderId="8" xfId="2" applyFont="1" applyBorder="1" applyAlignment="1">
      <alignment vertical="center"/>
    </xf>
    <xf numFmtId="2" fontId="26" fillId="0" borderId="8" xfId="2" applyNumberFormat="1" applyFont="1" applyFill="1" applyBorder="1" applyAlignment="1">
      <alignment vertical="center"/>
    </xf>
    <xf numFmtId="2" fontId="26" fillId="4" borderId="8" xfId="2" applyNumberFormat="1" applyFont="1" applyFill="1" applyBorder="1" applyAlignment="1">
      <alignment vertical="center"/>
    </xf>
    <xf numFmtId="172" fontId="15" fillId="0" borderId="5" xfId="2" applyNumberFormat="1" applyFont="1" applyFill="1" applyBorder="1" applyAlignment="1">
      <alignment horizontal="center" vertical="center"/>
    </xf>
    <xf numFmtId="1" fontId="42" fillId="0" borderId="5" xfId="2" applyNumberFormat="1" applyFont="1" applyFill="1" applyBorder="1" applyAlignment="1">
      <alignment horizontal="center" vertical="center"/>
    </xf>
    <xf numFmtId="14" fontId="9" fillId="0" borderId="0" xfId="206" applyNumberFormat="1" applyFont="1" applyBorder="1" applyAlignment="1">
      <alignment horizontal="center" vertical="center"/>
    </xf>
    <xf numFmtId="166" fontId="29" fillId="0" borderId="0" xfId="2" applyNumberFormat="1" applyFont="1" applyFill="1" applyBorder="1" applyAlignment="1">
      <alignment horizontal="center" vertical="center"/>
    </xf>
    <xf numFmtId="1" fontId="47" fillId="0" borderId="5" xfId="2" applyNumberFormat="1" applyFont="1" applyFill="1" applyBorder="1" applyAlignment="1" applyProtection="1">
      <alignment horizontal="center"/>
      <protection locked="0"/>
    </xf>
    <xf numFmtId="1" fontId="47" fillId="0" borderId="0" xfId="2" applyNumberFormat="1" applyFont="1" applyFill="1" applyBorder="1" applyAlignment="1" applyProtection="1">
      <alignment horizontal="center"/>
      <protection locked="0"/>
    </xf>
    <xf numFmtId="1" fontId="47" fillId="0" borderId="6" xfId="2" applyNumberFormat="1" applyFont="1" applyFill="1" applyBorder="1" applyAlignment="1" applyProtection="1">
      <alignment horizontal="center"/>
      <protection locked="0"/>
    </xf>
    <xf numFmtId="1" fontId="47" fillId="0" borderId="6" xfId="2" applyNumberFormat="1" applyFont="1" applyBorder="1" applyAlignment="1" applyProtection="1">
      <alignment horizontal="center"/>
      <protection locked="0"/>
    </xf>
    <xf numFmtId="0" fontId="11" fillId="4" borderId="0" xfId="2" applyFill="1" applyAlignment="1">
      <alignment vertical="center"/>
    </xf>
    <xf numFmtId="1" fontId="35" fillId="0" borderId="0" xfId="2" applyNumberFormat="1" applyFont="1" applyBorder="1" applyAlignment="1">
      <alignment horizontal="center" vertical="center"/>
    </xf>
    <xf numFmtId="169" fontId="29" fillId="0" borderId="5" xfId="2" applyNumberFormat="1" applyFont="1" applyFill="1" applyBorder="1" applyAlignment="1">
      <alignment horizontal="center" vertical="center"/>
    </xf>
    <xf numFmtId="172" fontId="29" fillId="0" borderId="6" xfId="2" applyNumberFormat="1" applyFont="1" applyFill="1" applyBorder="1" applyAlignment="1">
      <alignment horizontal="center" vertical="center"/>
    </xf>
    <xf numFmtId="2" fontId="29" fillId="0" borderId="0" xfId="2" applyNumberFormat="1" applyFont="1" applyFill="1" applyBorder="1" applyAlignment="1">
      <alignment horizontal="right" vertical="center"/>
    </xf>
    <xf numFmtId="22" fontId="54" fillId="0" borderId="0" xfId="2" applyNumberFormat="1" applyFont="1" applyFill="1" applyBorder="1" applyAlignment="1">
      <alignment horizontal="center" vertical="center"/>
    </xf>
    <xf numFmtId="0" fontId="42" fillId="0" borderId="0" xfId="2" applyFont="1" applyBorder="1" applyAlignment="1">
      <alignment horizontal="left" vertical="center"/>
    </xf>
    <xf numFmtId="167" fontId="22" fillId="0" borderId="0" xfId="2" applyNumberFormat="1" applyFont="1" applyBorder="1" applyAlignment="1">
      <alignment horizontal="center" vertical="center"/>
    </xf>
    <xf numFmtId="174" fontId="15" fillId="0" borderId="0" xfId="2" applyNumberFormat="1" applyFont="1" applyFill="1" applyBorder="1" applyAlignment="1">
      <alignment horizontal="center" vertical="center"/>
    </xf>
    <xf numFmtId="14" fontId="42" fillId="0" borderId="11" xfId="2" applyNumberFormat="1" applyFont="1" applyFill="1" applyBorder="1" applyAlignment="1">
      <alignment horizontal="center" vertical="center"/>
    </xf>
    <xf numFmtId="167" fontId="9" fillId="0" borderId="12" xfId="2" applyNumberFormat="1" applyFont="1" applyFill="1" applyBorder="1" applyAlignment="1">
      <alignment horizontal="center" vertical="center"/>
    </xf>
    <xf numFmtId="10" fontId="80" fillId="0" borderId="6" xfId="2" applyNumberFormat="1" applyFont="1" applyFill="1" applyBorder="1" applyAlignment="1">
      <alignment horizontal="right" vertical="center"/>
    </xf>
    <xf numFmtId="172" fontId="47" fillId="0" borderId="0" xfId="2" applyNumberFormat="1" applyFont="1" applyFill="1" applyBorder="1" applyAlignment="1">
      <alignment horizontal="center" vertical="center"/>
    </xf>
    <xf numFmtId="180" fontId="47" fillId="0" borderId="0" xfId="2" applyNumberFormat="1" applyFont="1" applyFill="1" applyBorder="1" applyAlignment="1">
      <alignment horizontal="center" vertical="center"/>
    </xf>
    <xf numFmtId="0" fontId="55" fillId="0" borderId="0" xfId="2" applyFont="1" applyBorder="1" applyAlignment="1">
      <alignment horizontal="left" vertical="center"/>
    </xf>
    <xf numFmtId="187" fontId="42" fillId="0" borderId="0" xfId="206" applyNumberFormat="1" applyFont="1" applyFill="1" applyBorder="1" applyAlignment="1">
      <alignment horizontal="left" vertical="center"/>
    </xf>
    <xf numFmtId="169" fontId="22" fillId="11" borderId="5" xfId="2" applyNumberFormat="1" applyFont="1" applyFill="1" applyBorder="1" applyAlignment="1">
      <alignment horizontal="center" vertical="center"/>
    </xf>
    <xf numFmtId="14" fontId="9" fillId="0" borderId="6" xfId="2" applyNumberFormat="1" applyFont="1" applyBorder="1" applyAlignment="1">
      <alignment horizontal="center" vertical="center"/>
    </xf>
    <xf numFmtId="1" fontId="42" fillId="0" borderId="15" xfId="2" applyNumberFormat="1" applyFont="1" applyFill="1" applyBorder="1" applyAlignment="1">
      <alignment horizontal="center" vertical="center"/>
    </xf>
    <xf numFmtId="10" fontId="9" fillId="0" borderId="16" xfId="2" applyNumberFormat="1" applyFont="1" applyFill="1" applyBorder="1" applyAlignment="1">
      <alignment horizontal="center" vertical="center"/>
    </xf>
    <xf numFmtId="10" fontId="60" fillId="0" borderId="6" xfId="2" applyNumberFormat="1" applyFont="1" applyFill="1" applyBorder="1" applyAlignment="1">
      <alignment horizontal="left" vertical="center"/>
    </xf>
    <xf numFmtId="0" fontId="47" fillId="0" borderId="0" xfId="18" applyFont="1" applyFill="1" applyBorder="1" applyAlignment="1">
      <alignment horizontal="center" vertical="center"/>
    </xf>
    <xf numFmtId="0" fontId="39" fillId="0" borderId="0" xfId="18" applyFont="1" applyFill="1" applyBorder="1" applyAlignment="1">
      <alignment horizontal="left" vertical="center"/>
    </xf>
    <xf numFmtId="2" fontId="12" fillId="0" borderId="0" xfId="2" applyNumberFormat="1" applyFont="1" applyBorder="1" applyAlignment="1">
      <alignment vertical="center"/>
    </xf>
    <xf numFmtId="180" fontId="29" fillId="0" borderId="0" xfId="2" applyNumberFormat="1" applyFont="1" applyFill="1" applyBorder="1" applyAlignment="1">
      <alignment horizontal="center" vertical="center"/>
    </xf>
    <xf numFmtId="166" fontId="11" fillId="0" borderId="0" xfId="2" applyNumberFormat="1" applyFont="1" applyBorder="1" applyAlignment="1">
      <alignment horizontal="center" vertical="center"/>
    </xf>
    <xf numFmtId="172" fontId="9" fillId="0" borderId="0" xfId="2" applyNumberFormat="1" applyFont="1" applyFill="1" applyBorder="1" applyAlignment="1">
      <alignment horizontal="center" vertical="center"/>
    </xf>
    <xf numFmtId="2" fontId="47" fillId="0" borderId="6" xfId="2" applyNumberFormat="1" applyFont="1" applyFill="1" applyBorder="1" applyAlignment="1">
      <alignment horizontal="center" vertical="center"/>
    </xf>
    <xf numFmtId="166" fontId="73" fillId="0" borderId="0" xfId="2" applyNumberFormat="1" applyFont="1" applyFill="1" applyBorder="1" applyAlignment="1">
      <alignment horizontal="center" vertical="center"/>
    </xf>
    <xf numFmtId="167" fontId="9" fillId="0" borderId="32" xfId="2" applyNumberFormat="1" applyFont="1" applyFill="1" applyBorder="1" applyAlignment="1">
      <alignment horizontal="center" vertical="center"/>
    </xf>
    <xf numFmtId="10" fontId="80" fillId="0" borderId="20" xfId="2" applyNumberFormat="1" applyFont="1" applyFill="1" applyBorder="1" applyAlignment="1">
      <alignment horizontal="right" vertical="center"/>
    </xf>
    <xf numFmtId="0" fontId="62" fillId="0" borderId="0" xfId="2" applyFont="1" applyBorder="1"/>
    <xf numFmtId="0" fontId="58" fillId="0" borderId="0" xfId="2" applyFont="1" applyFill="1" applyBorder="1" applyAlignment="1">
      <alignment horizontal="center" vertical="center"/>
    </xf>
    <xf numFmtId="1" fontId="35" fillId="0" borderId="0" xfId="2" applyNumberFormat="1" applyFont="1" applyFill="1" applyBorder="1" applyAlignment="1">
      <alignment horizontal="center" vertical="center"/>
    </xf>
    <xf numFmtId="10" fontId="9" fillId="0" borderId="33" xfId="2" applyNumberFormat="1" applyFont="1" applyBorder="1" applyAlignment="1">
      <alignment horizontal="center" vertical="center"/>
    </xf>
    <xf numFmtId="10" fontId="60" fillId="0" borderId="20" xfId="2" applyNumberFormat="1" applyFont="1" applyFill="1" applyBorder="1" applyAlignment="1">
      <alignment horizontal="left" vertical="center"/>
    </xf>
    <xf numFmtId="180" fontId="42" fillId="0" borderId="20" xfId="2" applyNumberFormat="1" applyFont="1" applyFill="1" applyBorder="1" applyAlignment="1">
      <alignment horizontal="left" vertical="center"/>
    </xf>
    <xf numFmtId="2" fontId="65" fillId="12" borderId="0" xfId="2" applyNumberFormat="1" applyFont="1" applyFill="1" applyBorder="1" applyAlignment="1">
      <alignment horizontal="center" vertical="center"/>
    </xf>
    <xf numFmtId="0" fontId="67" fillId="0" borderId="6" xfId="2" applyFont="1" applyBorder="1" applyAlignment="1">
      <alignment horizontal="center" vertical="center"/>
    </xf>
    <xf numFmtId="0" fontId="71" fillId="0" borderId="20" xfId="2" applyFont="1" applyFill="1" applyBorder="1" applyAlignment="1">
      <alignment horizontal="center" vertical="center"/>
    </xf>
    <xf numFmtId="0" fontId="70" fillId="0" borderId="20" xfId="2" applyFont="1" applyFill="1" applyBorder="1" applyAlignment="1">
      <alignment horizontal="center" vertical="center"/>
    </xf>
    <xf numFmtId="1" fontId="60" fillId="0" borderId="0" xfId="2" applyNumberFormat="1" applyFont="1" applyFill="1" applyBorder="1" applyAlignment="1">
      <alignment horizontal="center" vertical="center"/>
    </xf>
    <xf numFmtId="1" fontId="76" fillId="0" borderId="5" xfId="2" applyNumberFormat="1" applyFont="1" applyFill="1" applyBorder="1" applyAlignment="1">
      <alignment vertical="center"/>
    </xf>
    <xf numFmtId="0" fontId="35" fillId="4" borderId="0" xfId="2" applyFont="1" applyFill="1" applyAlignment="1">
      <alignment vertical="center"/>
    </xf>
    <xf numFmtId="0" fontId="9" fillId="0" borderId="2" xfId="2" applyFont="1" applyFill="1" applyBorder="1" applyAlignment="1">
      <alignment horizontal="center" vertical="center"/>
    </xf>
    <xf numFmtId="0" fontId="55" fillId="0" borderId="0" xfId="2" applyFont="1" applyAlignment="1">
      <alignment horizontal="left" vertical="center"/>
    </xf>
    <xf numFmtId="0" fontId="74" fillId="0" borderId="0" xfId="2" applyFont="1" applyBorder="1" applyAlignment="1">
      <alignment horizontal="center" vertical="center"/>
    </xf>
    <xf numFmtId="0" fontId="67" fillId="0" borderId="0" xfId="2" applyFont="1" applyAlignment="1">
      <alignment vertical="center"/>
    </xf>
    <xf numFmtId="0" fontId="83" fillId="0" borderId="0" xfId="2" applyFont="1" applyFill="1" applyBorder="1" applyAlignment="1">
      <alignment horizontal="center" vertical="center"/>
    </xf>
    <xf numFmtId="174" fontId="56" fillId="0" borderId="0" xfId="2" applyNumberFormat="1" applyFont="1" applyFill="1" applyBorder="1" applyAlignment="1">
      <alignment horizontal="center" vertical="center"/>
    </xf>
    <xf numFmtId="0" fontId="47" fillId="0" borderId="0" xfId="2" applyFont="1" applyBorder="1" applyAlignment="1">
      <alignment horizontal="left" vertical="center"/>
    </xf>
    <xf numFmtId="169" fontId="35" fillId="0" borderId="5" xfId="2" applyNumberFormat="1" applyFont="1" applyFill="1" applyBorder="1" applyAlignment="1">
      <alignment vertical="center"/>
    </xf>
    <xf numFmtId="169" fontId="35" fillId="0" borderId="0" xfId="2" applyNumberFormat="1" applyFont="1" applyFill="1" applyBorder="1" applyAlignment="1">
      <alignment vertical="center"/>
    </xf>
    <xf numFmtId="0" fontId="11" fillId="0" borderId="5" xfId="2" applyBorder="1" applyAlignment="1">
      <alignment vertical="center"/>
    </xf>
    <xf numFmtId="0" fontId="34" fillId="0" borderId="5" xfId="2" applyFont="1" applyFill="1" applyBorder="1" applyAlignment="1">
      <alignment vertical="center"/>
    </xf>
    <xf numFmtId="0" fontId="34" fillId="0" borderId="6" xfId="2" applyFont="1" applyFill="1" applyBorder="1" applyAlignment="1">
      <alignment vertical="center"/>
    </xf>
    <xf numFmtId="0" fontId="69" fillId="0" borderId="0" xfId="2" applyFont="1" applyBorder="1" applyAlignment="1">
      <alignment horizontal="center" vertical="center"/>
    </xf>
    <xf numFmtId="1" fontId="11" fillId="0" borderId="0" xfId="2" applyNumberFormat="1" applyBorder="1" applyAlignment="1">
      <alignment horizontal="center" vertical="center"/>
    </xf>
    <xf numFmtId="1" fontId="11" fillId="0" borderId="6" xfId="2" applyNumberFormat="1" applyBorder="1" applyAlignment="1">
      <alignment horizontal="center" vertical="center"/>
    </xf>
    <xf numFmtId="0" fontId="9" fillId="0" borderId="22" xfId="2" applyFont="1" applyBorder="1" applyAlignment="1">
      <alignment horizontal="center" vertical="center"/>
    </xf>
    <xf numFmtId="0" fontId="9" fillId="0" borderId="23" xfId="2" applyFont="1" applyFill="1" applyBorder="1" applyAlignment="1">
      <alignment horizontal="center" vertical="center"/>
    </xf>
    <xf numFmtId="0" fontId="9" fillId="0" borderId="23" xfId="2" applyFont="1" applyBorder="1" applyAlignment="1">
      <alignment horizontal="center" vertical="center"/>
    </xf>
    <xf numFmtId="0" fontId="75" fillId="0" borderId="26" xfId="2" applyFont="1" applyFill="1" applyBorder="1" applyAlignment="1">
      <alignment horizontal="center" vertical="center"/>
    </xf>
    <xf numFmtId="0" fontId="71" fillId="0" borderId="23" xfId="2" applyFont="1" applyFill="1" applyBorder="1" applyAlignment="1">
      <alignment horizontal="center" vertical="center"/>
    </xf>
    <xf numFmtId="0" fontId="70" fillId="0" borderId="27" xfId="2" applyFont="1" applyFill="1" applyBorder="1" applyAlignment="1">
      <alignment horizontal="center" vertical="center"/>
    </xf>
    <xf numFmtId="0" fontId="70" fillId="0" borderId="26" xfId="2" applyFont="1" applyFill="1" applyBorder="1" applyAlignment="1">
      <alignment horizontal="center" vertical="center"/>
    </xf>
    <xf numFmtId="2" fontId="11" fillId="0" borderId="26" xfId="2" applyNumberFormat="1" applyFill="1" applyBorder="1" applyAlignment="1">
      <alignment vertical="center"/>
    </xf>
    <xf numFmtId="0" fontId="56" fillId="0" borderId="26" xfId="2" applyFont="1" applyFill="1" applyBorder="1" applyAlignment="1">
      <alignment horizontal="center" vertical="center"/>
    </xf>
    <xf numFmtId="0" fontId="12" fillId="0" borderId="26" xfId="2" applyFont="1" applyFill="1" applyBorder="1" applyAlignment="1">
      <alignment horizontal="center" vertical="center"/>
    </xf>
    <xf numFmtId="1" fontId="11" fillId="0" borderId="26" xfId="2" applyNumberFormat="1" applyFill="1" applyBorder="1" applyAlignment="1">
      <alignment horizontal="center" vertical="center"/>
    </xf>
    <xf numFmtId="0" fontId="29" fillId="0" borderId="26" xfId="2" applyFont="1" applyFill="1" applyBorder="1" applyAlignment="1">
      <alignment horizontal="center" vertical="center"/>
    </xf>
    <xf numFmtId="0" fontId="77" fillId="0" borderId="26" xfId="2" applyFont="1" applyFill="1" applyBorder="1" applyAlignment="1">
      <alignment horizontal="center" vertical="center"/>
    </xf>
    <xf numFmtId="14" fontId="57" fillId="0" borderId="26" xfId="206" applyNumberFormat="1" applyFont="1" applyFill="1" applyBorder="1" applyAlignment="1">
      <alignment horizontal="left" vertical="center"/>
    </xf>
    <xf numFmtId="0" fontId="37" fillId="0" borderId="26" xfId="2" applyFont="1" applyBorder="1" applyAlignment="1">
      <alignment vertical="center"/>
    </xf>
    <xf numFmtId="0" fontId="52" fillId="10" borderId="26" xfId="2" applyFont="1" applyFill="1" applyBorder="1" applyAlignment="1">
      <alignment horizontal="left" vertical="center"/>
    </xf>
    <xf numFmtId="0" fontId="82" fillId="0" borderId="0" xfId="18" applyFont="1" applyAlignment="1">
      <alignment horizontal="left" vertical="center"/>
    </xf>
    <xf numFmtId="0" fontId="11" fillId="0" borderId="2" xfId="2" applyFill="1" applyBorder="1" applyAlignment="1">
      <alignment vertical="center"/>
    </xf>
    <xf numFmtId="0" fontId="11" fillId="0" borderId="4" xfId="2" applyFill="1" applyBorder="1" applyAlignment="1">
      <alignment vertical="center"/>
    </xf>
    <xf numFmtId="0" fontId="11" fillId="0" borderId="2" xfId="2" applyFill="1" applyBorder="1" applyAlignment="1">
      <alignment horizontal="center" vertical="center"/>
    </xf>
    <xf numFmtId="0" fontId="67" fillId="0" borderId="6" xfId="2" applyFont="1" applyFill="1" applyBorder="1" applyAlignment="1">
      <alignment horizontal="center" vertical="center"/>
    </xf>
    <xf numFmtId="169" fontId="9" fillId="0" borderId="6" xfId="2" applyNumberFormat="1" applyFont="1" applyFill="1" applyBorder="1" applyAlignment="1">
      <alignment horizontal="center" vertical="center"/>
    </xf>
    <xf numFmtId="0" fontId="9" fillId="0" borderId="6" xfId="2" applyFont="1" applyFill="1" applyBorder="1" applyAlignment="1">
      <alignment vertical="center"/>
    </xf>
    <xf numFmtId="0" fontId="44" fillId="0" borderId="6" xfId="2" applyFont="1" applyFill="1" applyBorder="1" applyAlignment="1">
      <alignment horizontal="center" vertical="center"/>
    </xf>
    <xf numFmtId="0" fontId="45" fillId="0" borderId="6" xfId="2" applyFont="1" applyFill="1" applyBorder="1" applyAlignment="1">
      <alignment horizontal="center" vertical="center"/>
    </xf>
    <xf numFmtId="0" fontId="45" fillId="0" borderId="9" xfId="2" applyFont="1" applyFill="1" applyBorder="1" applyAlignment="1">
      <alignment horizontal="center" vertical="center"/>
    </xf>
    <xf numFmtId="0" fontId="45" fillId="0" borderId="8" xfId="2" applyFont="1" applyFill="1" applyBorder="1" applyAlignment="1">
      <alignment horizontal="center" vertical="center"/>
    </xf>
    <xf numFmtId="0" fontId="11" fillId="0" borderId="8" xfId="2" applyFill="1" applyBorder="1" applyAlignment="1">
      <alignment vertical="center"/>
    </xf>
    <xf numFmtId="0" fontId="12" fillId="0" borderId="8" xfId="2" applyFont="1" applyFill="1" applyBorder="1" applyAlignment="1">
      <alignment vertical="center"/>
    </xf>
    <xf numFmtId="1" fontId="11" fillId="0" borderId="8" xfId="2" applyNumberFormat="1" applyFill="1" applyBorder="1" applyAlignment="1">
      <alignment vertical="center"/>
    </xf>
    <xf numFmtId="0" fontId="47" fillId="0" borderId="8" xfId="2" applyFont="1" applyFill="1" applyBorder="1" applyAlignment="1">
      <alignment horizontal="center" vertical="center"/>
    </xf>
    <xf numFmtId="0" fontId="48" fillId="0" borderId="8" xfId="2" applyFont="1" applyFill="1" applyBorder="1" applyAlignment="1">
      <alignment horizontal="center" vertical="center"/>
    </xf>
    <xf numFmtId="0" fontId="41" fillId="0" borderId="8" xfId="2" applyFont="1" applyFill="1" applyBorder="1" applyAlignment="1">
      <alignment horizontal="center" vertical="center"/>
    </xf>
    <xf numFmtId="0" fontId="52" fillId="9" borderId="9" xfId="2" applyFont="1" applyFill="1" applyBorder="1" applyAlignment="1">
      <alignment horizontal="left" vertical="center"/>
    </xf>
    <xf numFmtId="0" fontId="11" fillId="0" borderId="26" xfId="2" applyFill="1" applyBorder="1" applyAlignment="1">
      <alignment horizontal="center" vertical="center"/>
    </xf>
    <xf numFmtId="0" fontId="11" fillId="0" borderId="23" xfId="2" applyFill="1" applyBorder="1" applyAlignment="1">
      <alignment horizontal="center" vertical="center"/>
    </xf>
    <xf numFmtId="0" fontId="42" fillId="0" borderId="11" xfId="2" applyFont="1" applyFill="1" applyBorder="1" applyAlignment="1">
      <alignment horizontal="center" vertical="center"/>
    </xf>
    <xf numFmtId="0" fontId="42" fillId="0" borderId="6" xfId="2" applyFont="1" applyFill="1" applyBorder="1" applyAlignment="1">
      <alignment horizontal="center" vertical="center"/>
    </xf>
    <xf numFmtId="0" fontId="47" fillId="0" borderId="20" xfId="2" applyFont="1" applyBorder="1" applyAlignment="1">
      <alignment horizontal="center" vertical="center"/>
    </xf>
    <xf numFmtId="0" fontId="36" fillId="0" borderId="6" xfId="2" applyFont="1" applyBorder="1" applyAlignment="1">
      <alignment horizontal="center" vertical="center"/>
    </xf>
    <xf numFmtId="0" fontId="75" fillId="3" borderId="3" xfId="2" applyFont="1" applyFill="1" applyBorder="1" applyAlignment="1">
      <alignment horizontal="center" vertical="center"/>
    </xf>
    <xf numFmtId="0" fontId="71" fillId="3" borderId="6" xfId="2" applyFont="1" applyFill="1" applyBorder="1" applyAlignment="1">
      <alignment horizontal="center" vertical="center"/>
    </xf>
    <xf numFmtId="0" fontId="71" fillId="0" borderId="6" xfId="2" applyFont="1" applyBorder="1" applyAlignment="1">
      <alignment horizontal="right" vertical="center"/>
    </xf>
    <xf numFmtId="0" fontId="71" fillId="0" borderId="0" xfId="2" applyFont="1" applyBorder="1" applyAlignment="1">
      <alignment vertical="center"/>
    </xf>
    <xf numFmtId="1" fontId="71" fillId="0" borderId="0" xfId="2" applyNumberFormat="1" applyFont="1" applyBorder="1" applyAlignment="1">
      <alignment vertical="center"/>
    </xf>
    <xf numFmtId="0" fontId="71" fillId="0" borderId="0" xfId="2" applyFont="1" applyBorder="1" applyAlignment="1">
      <alignment horizontal="right" vertical="center"/>
    </xf>
    <xf numFmtId="0" fontId="11" fillId="7" borderId="0" xfId="2" applyFill="1" applyAlignment="1">
      <alignment vertical="center"/>
    </xf>
    <xf numFmtId="0" fontId="47" fillId="0" borderId="5" xfId="2" applyFont="1" applyBorder="1" applyAlignment="1">
      <alignment horizontal="left" vertical="center"/>
    </xf>
    <xf numFmtId="0" fontId="47" fillId="0" borderId="34" xfId="2" applyFont="1" applyBorder="1" applyAlignment="1">
      <alignment horizontal="left" vertical="center"/>
    </xf>
    <xf numFmtId="0" fontId="71" fillId="0" borderId="6" xfId="2" applyFont="1" applyBorder="1" applyAlignment="1">
      <alignment horizontal="left" vertical="center"/>
    </xf>
    <xf numFmtId="169" fontId="11" fillId="0" borderId="0" xfId="2" applyNumberFormat="1" applyAlignment="1">
      <alignment vertical="center"/>
    </xf>
    <xf numFmtId="0" fontId="75" fillId="0" borderId="5" xfId="2" applyFont="1" applyFill="1" applyBorder="1" applyAlignment="1">
      <alignment horizontal="center" vertical="center"/>
    </xf>
    <xf numFmtId="0" fontId="71" fillId="0" borderId="6" xfId="2" applyFont="1" applyBorder="1" applyAlignment="1">
      <alignment horizontal="center" vertical="center"/>
    </xf>
    <xf numFmtId="166" fontId="67" fillId="0" borderId="0" xfId="2" applyNumberFormat="1" applyFont="1" applyAlignment="1">
      <alignment vertical="center"/>
    </xf>
    <xf numFmtId="169" fontId="26" fillId="0" borderId="0" xfId="2" applyNumberFormat="1" applyFont="1" applyAlignment="1">
      <alignment vertical="center"/>
    </xf>
    <xf numFmtId="0" fontId="71" fillId="0" borderId="9" xfId="2" applyFont="1" applyBorder="1" applyAlignment="1">
      <alignment horizontal="left" vertical="center"/>
    </xf>
    <xf numFmtId="0" fontId="71" fillId="0" borderId="0" xfId="2" applyFont="1" applyBorder="1" applyAlignment="1">
      <alignment horizontal="left" vertical="center"/>
    </xf>
    <xf numFmtId="9" fontId="11" fillId="0" borderId="0" xfId="2" applyNumberFormat="1" applyAlignment="1">
      <alignment vertical="center"/>
    </xf>
    <xf numFmtId="14" fontId="11" fillId="0" borderId="0" xfId="2" applyNumberFormat="1" applyFill="1" applyAlignment="1">
      <alignment vertical="center"/>
    </xf>
    <xf numFmtId="0" fontId="11" fillId="13" borderId="6" xfId="2" applyFill="1" applyBorder="1" applyAlignment="1">
      <alignment vertical="center"/>
    </xf>
    <xf numFmtId="2" fontId="11" fillId="0" borderId="0" xfId="2" applyNumberFormat="1" applyAlignment="1">
      <alignment vertical="center"/>
    </xf>
    <xf numFmtId="0" fontId="80" fillId="0" borderId="15" xfId="2" applyFont="1" applyFill="1" applyBorder="1" applyAlignment="1">
      <alignment horizontal="center" vertical="center"/>
    </xf>
    <xf numFmtId="0" fontId="80" fillId="0" borderId="0" xfId="2" applyFont="1" applyBorder="1" applyAlignment="1">
      <alignment horizontal="center" vertical="center"/>
    </xf>
    <xf numFmtId="0" fontId="80" fillId="0" borderId="9" xfId="2" applyFont="1" applyBorder="1" applyAlignment="1">
      <alignment horizontal="center" vertical="center"/>
    </xf>
    <xf numFmtId="0" fontId="44" fillId="0" borderId="3" xfId="2" applyFont="1" applyFill="1" applyBorder="1" applyAlignment="1">
      <alignment horizontal="center" vertical="center"/>
    </xf>
    <xf numFmtId="2" fontId="9" fillId="0" borderId="2" xfId="206" applyNumberFormat="1" applyFont="1" applyFill="1" applyBorder="1" applyAlignment="1">
      <alignment horizontal="left" vertical="center"/>
    </xf>
    <xf numFmtId="1" fontId="74" fillId="0" borderId="2" xfId="2" applyNumberFormat="1" applyFont="1" applyFill="1" applyBorder="1" applyAlignment="1">
      <alignment horizontal="center" vertical="center"/>
    </xf>
    <xf numFmtId="1" fontId="74" fillId="0" borderId="35" xfId="2" applyNumberFormat="1" applyFont="1" applyFill="1" applyBorder="1" applyAlignment="1">
      <alignment horizontal="center" vertical="center"/>
    </xf>
    <xf numFmtId="0" fontId="45" fillId="0" borderId="2" xfId="2" applyFont="1" applyFill="1" applyBorder="1" applyAlignment="1">
      <alignment horizontal="center" vertical="center"/>
    </xf>
    <xf numFmtId="0" fontId="62" fillId="0" borderId="2" xfId="2" applyFont="1" applyFill="1" applyBorder="1" applyAlignment="1">
      <alignment vertical="center"/>
    </xf>
    <xf numFmtId="2" fontId="62" fillId="0" borderId="2" xfId="2" applyNumberFormat="1" applyFont="1" applyFill="1" applyBorder="1" applyAlignment="1">
      <alignment vertical="center"/>
    </xf>
    <xf numFmtId="14" fontId="86" fillId="0" borderId="2" xfId="206" applyNumberFormat="1" applyFont="1" applyFill="1" applyBorder="1" applyAlignment="1">
      <alignment horizontal="center" vertical="center"/>
    </xf>
    <xf numFmtId="1" fontId="11" fillId="0" borderId="2" xfId="2" applyNumberFormat="1" applyFill="1" applyBorder="1" applyAlignment="1">
      <alignment vertical="center"/>
    </xf>
    <xf numFmtId="0" fontId="35" fillId="0" borderId="2" xfId="2" applyFont="1" applyFill="1" applyBorder="1" applyAlignment="1">
      <alignment horizontal="center" vertical="center"/>
    </xf>
    <xf numFmtId="0" fontId="47" fillId="0" borderId="2" xfId="2" applyFont="1" applyFill="1" applyBorder="1" applyAlignment="1">
      <alignment horizontal="center" vertical="center"/>
    </xf>
    <xf numFmtId="0" fontId="48" fillId="0" borderId="2" xfId="2" applyFont="1" applyFill="1" applyBorder="1" applyAlignment="1">
      <alignment horizontal="center" vertical="center"/>
    </xf>
    <xf numFmtId="0" fontId="87" fillId="0" borderId="2" xfId="2" applyFont="1" applyFill="1" applyBorder="1" applyAlignment="1">
      <alignment horizontal="center" vertical="center"/>
    </xf>
    <xf numFmtId="0" fontId="41" fillId="0" borderId="2" xfId="2" applyFont="1" applyFill="1" applyBorder="1" applyAlignment="1">
      <alignment horizontal="center" vertical="center"/>
    </xf>
    <xf numFmtId="0" fontId="48" fillId="13" borderId="2" xfId="2" applyFont="1" applyFill="1" applyBorder="1" applyAlignment="1">
      <alignment horizontal="center" vertical="center"/>
    </xf>
    <xf numFmtId="0" fontId="19" fillId="0" borderId="0" xfId="2" applyFont="1" applyAlignment="1">
      <alignment vertical="center"/>
    </xf>
    <xf numFmtId="164" fontId="21" fillId="0" borderId="0" xfId="2" applyNumberFormat="1" applyFont="1" applyAlignment="1">
      <alignment vertical="center"/>
    </xf>
    <xf numFmtId="0" fontId="19" fillId="0" borderId="6" xfId="2" applyFont="1" applyBorder="1" applyAlignment="1">
      <alignment vertical="center"/>
    </xf>
    <xf numFmtId="2" fontId="42" fillId="0" borderId="5" xfId="206" applyNumberFormat="1" applyFont="1" applyFill="1" applyBorder="1" applyAlignment="1">
      <alignment horizontal="center" vertical="center"/>
    </xf>
    <xf numFmtId="2" fontId="9" fillId="0" borderId="1" xfId="206" applyNumberFormat="1" applyFont="1" applyFill="1" applyBorder="1" applyAlignment="1">
      <alignment horizontal="left" vertical="center"/>
    </xf>
    <xf numFmtId="2" fontId="9" fillId="0" borderId="1" xfId="206" applyNumberFormat="1" applyFont="1" applyFill="1" applyBorder="1" applyAlignment="1">
      <alignment horizontal="center" vertical="center"/>
    </xf>
    <xf numFmtId="2" fontId="9" fillId="0" borderId="36" xfId="206" applyNumberFormat="1" applyFont="1" applyFill="1" applyBorder="1" applyAlignment="1">
      <alignment horizontal="center" vertical="center"/>
    </xf>
    <xf numFmtId="1" fontId="88" fillId="0" borderId="0" xfId="2" applyNumberFormat="1" applyFont="1" applyFill="1" applyAlignment="1">
      <alignment horizontal="center" vertical="center"/>
    </xf>
    <xf numFmtId="2" fontId="62" fillId="0" borderId="0" xfId="2" applyNumberFormat="1" applyFont="1" applyFill="1" applyAlignment="1">
      <alignment vertical="center"/>
    </xf>
    <xf numFmtId="14" fontId="89" fillId="0" borderId="26" xfId="2" applyNumberFormat="1" applyFont="1" applyFill="1" applyBorder="1" applyAlignment="1">
      <alignment horizontal="center" vertical="center"/>
    </xf>
    <xf numFmtId="14" fontId="90" fillId="0" borderId="23" xfId="2" applyNumberFormat="1" applyFont="1" applyFill="1" applyBorder="1" applyAlignment="1">
      <alignment horizontal="center" vertical="center"/>
    </xf>
    <xf numFmtId="0" fontId="91" fillId="13" borderId="0" xfId="2" applyFont="1" applyFill="1" applyBorder="1" applyAlignment="1">
      <alignment horizontal="left" vertical="center"/>
    </xf>
    <xf numFmtId="0" fontId="48" fillId="13" borderId="0" xfId="2" applyFont="1" applyFill="1" applyBorder="1" applyAlignment="1">
      <alignment horizontal="center" vertical="center"/>
    </xf>
    <xf numFmtId="0" fontId="41" fillId="4" borderId="26" xfId="2" applyFont="1" applyFill="1" applyBorder="1" applyAlignment="1">
      <alignment horizontal="left" vertical="center"/>
    </xf>
    <xf numFmtId="0" fontId="36" fillId="0" borderId="0" xfId="2" applyFont="1" applyBorder="1" applyAlignment="1">
      <alignment horizontal="center" vertical="center"/>
    </xf>
    <xf numFmtId="0" fontId="62" fillId="0" borderId="0" xfId="2" applyFont="1" applyFill="1"/>
    <xf numFmtId="14" fontId="93" fillId="0" borderId="0" xfId="206" applyNumberFormat="1" applyFont="1" applyFill="1" applyBorder="1" applyAlignment="1">
      <alignment horizontal="center" vertical="center"/>
    </xf>
    <xf numFmtId="169" fontId="29" fillId="0" borderId="20" xfId="2" applyNumberFormat="1" applyFont="1" applyFill="1" applyBorder="1" applyAlignment="1">
      <alignment horizontal="center" vertical="center"/>
    </xf>
    <xf numFmtId="169" fontId="9" fillId="0" borderId="20" xfId="2" applyNumberFormat="1" applyFont="1" applyFill="1" applyBorder="1" applyAlignment="1">
      <alignment horizontal="center" vertical="center"/>
    </xf>
    <xf numFmtId="169" fontId="22" fillId="11" borderId="20" xfId="2" applyNumberFormat="1" applyFont="1" applyFill="1" applyBorder="1" applyAlignment="1">
      <alignment horizontal="center" vertical="center"/>
    </xf>
    <xf numFmtId="1" fontId="11" fillId="0" borderId="0" xfId="2" applyNumberFormat="1" applyBorder="1" applyAlignment="1">
      <alignment vertical="center"/>
    </xf>
    <xf numFmtId="1" fontId="11" fillId="0" borderId="6" xfId="2" applyNumberFormat="1" applyBorder="1" applyAlignment="1">
      <alignment vertical="center"/>
    </xf>
    <xf numFmtId="169" fontId="65" fillId="0" borderId="26" xfId="2" applyNumberFormat="1" applyFont="1" applyFill="1" applyBorder="1" applyAlignment="1">
      <alignment horizontal="center" vertical="center"/>
    </xf>
    <xf numFmtId="169" fontId="29" fillId="0" borderId="27" xfId="2" applyNumberFormat="1" applyFont="1" applyFill="1" applyBorder="1" applyAlignment="1">
      <alignment horizontal="center" vertical="center"/>
    </xf>
    <xf numFmtId="182" fontId="29" fillId="0" borderId="26" xfId="2" applyNumberFormat="1" applyFont="1" applyFill="1" applyBorder="1" applyAlignment="1">
      <alignment horizontal="center" vertical="center"/>
    </xf>
    <xf numFmtId="183" fontId="29" fillId="0" borderId="26" xfId="2" applyNumberFormat="1" applyFont="1" applyFill="1" applyBorder="1" applyAlignment="1">
      <alignment horizontal="center" vertical="center"/>
    </xf>
    <xf numFmtId="166" fontId="29" fillId="0" borderId="26" xfId="2" applyNumberFormat="1" applyFont="1" applyFill="1" applyBorder="1" applyAlignment="1">
      <alignment horizontal="center" vertical="center"/>
    </xf>
    <xf numFmtId="0" fontId="75" fillId="0" borderId="23" xfId="2" applyFont="1" applyFill="1" applyBorder="1" applyAlignment="1">
      <alignment horizontal="center" vertical="center"/>
    </xf>
    <xf numFmtId="0" fontId="70" fillId="0" borderId="23" xfId="2" applyFont="1" applyFill="1" applyBorder="1" applyAlignment="1">
      <alignment horizontal="center" vertical="center"/>
    </xf>
    <xf numFmtId="0" fontId="40" fillId="0" borderId="0" xfId="2" applyFont="1" applyFill="1" applyBorder="1" applyAlignment="1">
      <alignment horizontal="center" vertical="center"/>
    </xf>
    <xf numFmtId="0" fontId="71" fillId="0" borderId="0" xfId="2" applyFont="1" applyFill="1" applyBorder="1" applyAlignment="1">
      <alignment horizontal="center" vertical="center"/>
    </xf>
    <xf numFmtId="0" fontId="12" fillId="0" borderId="0" xfId="2" applyFont="1"/>
    <xf numFmtId="169" fontId="11" fillId="0" borderId="0" xfId="2" applyNumberFormat="1" applyFill="1" applyBorder="1" applyAlignment="1">
      <alignment vertical="center"/>
    </xf>
    <xf numFmtId="0" fontId="11" fillId="4" borderId="0" xfId="2" applyFill="1" applyBorder="1" applyAlignment="1">
      <alignment vertical="center"/>
    </xf>
    <xf numFmtId="14" fontId="9" fillId="4" borderId="0" xfId="2" applyNumberFormat="1" applyFont="1" applyFill="1" applyAlignment="1">
      <alignment horizontal="center" vertical="center"/>
    </xf>
    <xf numFmtId="2" fontId="9" fillId="0" borderId="0" xfId="2" applyNumberFormat="1" applyFont="1" applyFill="1" applyBorder="1" applyAlignment="1">
      <alignment horizontal="center" vertical="center"/>
    </xf>
    <xf numFmtId="184" fontId="35" fillId="0" borderId="0" xfId="2" applyNumberFormat="1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vertical="center"/>
    </xf>
    <xf numFmtId="1" fontId="9" fillId="0" borderId="5" xfId="2" applyNumberFormat="1" applyFont="1" applyFill="1" applyBorder="1" applyAlignment="1">
      <alignment horizontal="center" vertical="center"/>
    </xf>
    <xf numFmtId="2" fontId="9" fillId="0" borderId="5" xfId="2" applyNumberFormat="1" applyFont="1" applyBorder="1" applyAlignment="1">
      <alignment horizontal="center" vertical="center"/>
    </xf>
    <xf numFmtId="3" fontId="9" fillId="0" borderId="0" xfId="2" applyNumberFormat="1" applyFont="1" applyFill="1" applyBorder="1" applyAlignment="1">
      <alignment horizontal="center" vertical="center"/>
    </xf>
    <xf numFmtId="184" fontId="35" fillId="0" borderId="5" xfId="2" applyNumberFormat="1" applyFont="1" applyFill="1" applyBorder="1" applyAlignment="1">
      <alignment horizontal="center" vertical="center"/>
    </xf>
    <xf numFmtId="0" fontId="62" fillId="0" borderId="0" xfId="2" applyFont="1" applyFill="1" applyBorder="1"/>
    <xf numFmtId="0" fontId="82" fillId="0" borderId="0" xfId="2" applyFont="1" applyFill="1" applyBorder="1" applyAlignment="1">
      <alignment horizontal="center" vertical="center"/>
    </xf>
    <xf numFmtId="9" fontId="15" fillId="0" borderId="0" xfId="2" applyNumberFormat="1" applyFont="1" applyFill="1" applyBorder="1" applyAlignment="1">
      <alignment horizontal="center" vertical="center"/>
    </xf>
    <xf numFmtId="0" fontId="62" fillId="0" borderId="0" xfId="2" applyFont="1" applyBorder="1" applyAlignment="1">
      <alignment vertical="center"/>
    </xf>
    <xf numFmtId="0" fontId="34" fillId="0" borderId="20" xfId="2" applyFont="1" applyFill="1" applyBorder="1" applyAlignment="1">
      <alignment vertical="center"/>
    </xf>
    <xf numFmtId="0" fontId="26" fillId="0" borderId="0" xfId="2" applyFont="1" applyBorder="1"/>
    <xf numFmtId="1" fontId="11" fillId="0" borderId="0" xfId="2" applyNumberFormat="1" applyFill="1" applyBorder="1"/>
    <xf numFmtId="14" fontId="47" fillId="0" borderId="0" xfId="2" applyNumberFormat="1" applyFont="1" applyBorder="1" applyAlignment="1">
      <alignment horizontal="left" vertical="center"/>
    </xf>
    <xf numFmtId="14" fontId="29" fillId="0" borderId="6" xfId="2" applyNumberFormat="1" applyFont="1" applyBorder="1" applyAlignment="1">
      <alignment horizontal="center" vertical="center"/>
    </xf>
    <xf numFmtId="180" fontId="35" fillId="0" borderId="6" xfId="2" applyNumberFormat="1" applyFont="1" applyFill="1" applyBorder="1" applyAlignment="1">
      <alignment horizontal="center" vertical="center"/>
    </xf>
    <xf numFmtId="166" fontId="29" fillId="0" borderId="6" xfId="2" applyNumberFormat="1" applyFont="1" applyFill="1" applyBorder="1" applyAlignment="1">
      <alignment horizontal="center" vertical="center"/>
    </xf>
    <xf numFmtId="1" fontId="47" fillId="0" borderId="21" xfId="2" applyNumberFormat="1" applyFont="1" applyFill="1" applyBorder="1" applyAlignment="1" applyProtection="1">
      <alignment horizontal="center"/>
      <protection locked="0"/>
    </xf>
    <xf numFmtId="1" fontId="15" fillId="0" borderId="6" xfId="2" applyNumberFormat="1" applyFont="1" applyBorder="1" applyAlignment="1" applyProtection="1">
      <alignment horizontal="center"/>
      <protection locked="0"/>
    </xf>
    <xf numFmtId="0" fontId="58" fillId="0" borderId="0" xfId="2" applyFont="1" applyFill="1" applyAlignment="1">
      <alignment horizontal="center" vertical="center"/>
    </xf>
    <xf numFmtId="172" fontId="59" fillId="0" borderId="0" xfId="2" applyNumberFormat="1" applyFont="1" applyFill="1" applyBorder="1" applyAlignment="1">
      <alignment horizontal="center" vertical="center"/>
    </xf>
    <xf numFmtId="166" fontId="29" fillId="0" borderId="5" xfId="2" applyNumberFormat="1" applyFont="1" applyBorder="1" applyAlignment="1">
      <alignment horizontal="center" vertical="center"/>
    </xf>
    <xf numFmtId="0" fontId="16" fillId="0" borderId="0" xfId="2" applyFont="1" applyFill="1" applyBorder="1" applyAlignment="1">
      <alignment horizontal="left" vertical="center"/>
    </xf>
    <xf numFmtId="0" fontId="31" fillId="0" borderId="0" xfId="2" applyFont="1" applyBorder="1" applyAlignment="1">
      <alignment horizontal="center" vertical="center"/>
    </xf>
    <xf numFmtId="3" fontId="54" fillId="0" borderId="0" xfId="2" applyNumberFormat="1" applyFont="1" applyBorder="1" applyAlignment="1">
      <alignment horizontal="center" vertical="center"/>
    </xf>
    <xf numFmtId="16" fontId="42" fillId="0" borderId="0" xfId="2" applyNumberFormat="1" applyFont="1" applyFill="1" applyBorder="1" applyAlignment="1">
      <alignment horizontal="center" vertical="center"/>
    </xf>
    <xf numFmtId="0" fontId="58" fillId="0" borderId="0" xfId="2" applyFont="1" applyAlignment="1">
      <alignment horizontal="center" vertical="center"/>
    </xf>
    <xf numFmtId="172" fontId="42" fillId="0" borderId="0" xfId="206" applyNumberFormat="1" applyFont="1" applyFill="1" applyBorder="1" applyAlignment="1">
      <alignment horizontal="center" vertical="center"/>
    </xf>
    <xf numFmtId="2" fontId="47" fillId="0" borderId="0" xfId="2" applyNumberFormat="1" applyFont="1" applyBorder="1" applyAlignment="1">
      <alignment horizontal="left" vertical="center"/>
    </xf>
    <xf numFmtId="0" fontId="15" fillId="0" borderId="0" xfId="2" applyFont="1" applyFill="1" applyAlignment="1">
      <alignment horizontal="center" vertical="center" wrapText="1"/>
    </xf>
    <xf numFmtId="0" fontId="47" fillId="0" borderId="0" xfId="2" applyFont="1" applyAlignment="1">
      <alignment horizontal="center" vertical="center" wrapText="1"/>
    </xf>
    <xf numFmtId="0" fontId="73" fillId="0" borderId="5" xfId="2" applyFont="1" applyFill="1" applyBorder="1" applyAlignment="1">
      <alignment horizontal="center" vertical="center"/>
    </xf>
    <xf numFmtId="0" fontId="94" fillId="0" borderId="0" xfId="2" applyFont="1" applyBorder="1" applyAlignment="1">
      <alignment horizontal="center" vertical="center"/>
    </xf>
    <xf numFmtId="172" fontId="18" fillId="0" borderId="0" xfId="2" applyNumberFormat="1" applyFont="1" applyFill="1" applyBorder="1" applyAlignment="1">
      <alignment horizontal="center" vertical="center"/>
    </xf>
    <xf numFmtId="0" fontId="26" fillId="0" borderId="0" xfId="2" applyFont="1" applyFill="1" applyBorder="1" applyAlignment="1">
      <alignment horizontal="center" vertical="center"/>
    </xf>
    <xf numFmtId="0" fontId="74" fillId="13" borderId="0" xfId="18" applyFont="1" applyFill="1" applyBorder="1" applyAlignment="1">
      <alignment horizontal="center" vertical="center"/>
    </xf>
    <xf numFmtId="172" fontId="55" fillId="13" borderId="0" xfId="2" applyNumberFormat="1" applyFont="1" applyFill="1" applyBorder="1" applyAlignment="1">
      <alignment horizontal="center" vertical="center"/>
    </xf>
    <xf numFmtId="2" fontId="55" fillId="13" borderId="0" xfId="2" applyNumberFormat="1" applyFont="1" applyFill="1" applyBorder="1" applyAlignment="1">
      <alignment horizontal="center" vertical="center"/>
    </xf>
    <xf numFmtId="2" fontId="77" fillId="0" borderId="0" xfId="2" applyNumberFormat="1" applyFont="1" applyFill="1" applyBorder="1" applyAlignment="1">
      <alignment horizontal="center" vertical="center"/>
    </xf>
    <xf numFmtId="2" fontId="60" fillId="0" borderId="0" xfId="206" applyNumberFormat="1" applyFont="1" applyFill="1" applyBorder="1" applyAlignment="1">
      <alignment horizontal="center" vertical="center"/>
    </xf>
    <xf numFmtId="2" fontId="82" fillId="0" borderId="0" xfId="2" applyNumberFormat="1" applyFont="1" applyFill="1" applyAlignment="1">
      <alignment horizontal="center" vertical="center"/>
    </xf>
    <xf numFmtId="2" fontId="74" fillId="0" borderId="26" xfId="2" applyNumberFormat="1" applyFont="1" applyFill="1" applyBorder="1" applyAlignment="1">
      <alignment horizontal="center" vertical="center"/>
    </xf>
    <xf numFmtId="2" fontId="11" fillId="0" borderId="0" xfId="2" applyNumberFormat="1" applyBorder="1" applyAlignment="1">
      <alignment vertical="center"/>
    </xf>
    <xf numFmtId="2" fontId="74" fillId="13" borderId="0" xfId="18" applyNumberFormat="1" applyFont="1" applyFill="1" applyBorder="1" applyAlignment="1">
      <alignment horizontal="center" vertical="center"/>
    </xf>
    <xf numFmtId="2" fontId="79" fillId="0" borderId="0" xfId="206" applyNumberFormat="1" applyFont="1" applyFill="1" applyBorder="1" applyAlignment="1">
      <alignment horizontal="center" vertical="center"/>
    </xf>
    <xf numFmtId="0" fontId="0" fillId="0" borderId="0" xfId="0" applyBorder="1"/>
    <xf numFmtId="2" fontId="82" fillId="13" borderId="0" xfId="2" applyNumberFormat="1" applyFont="1" applyFill="1" applyBorder="1" applyAlignment="1">
      <alignment horizontal="center" vertical="center"/>
    </xf>
    <xf numFmtId="0" fontId="0" fillId="0" borderId="0" xfId="0" applyFill="1" applyBorder="1"/>
    <xf numFmtId="0" fontId="35" fillId="0" borderId="0" xfId="0" applyFont="1" applyBorder="1" applyAlignment="1">
      <alignment horizontal="center" vertical="center"/>
    </xf>
    <xf numFmtId="167" fontId="22" fillId="0" borderId="0" xfId="18" applyNumberFormat="1" applyFont="1" applyFill="1" applyBorder="1" applyAlignment="1">
      <alignment horizontal="center" vertical="center"/>
    </xf>
    <xf numFmtId="0" fontId="11" fillId="0" borderId="0" xfId="18"/>
    <xf numFmtId="1" fontId="47" fillId="0" borderId="0" xfId="18" applyNumberFormat="1" applyFont="1" applyFill="1" applyBorder="1" applyAlignment="1">
      <alignment horizontal="center" vertical="center"/>
    </xf>
    <xf numFmtId="0" fontId="11" fillId="0" borderId="0" xfId="18" applyFill="1" applyBorder="1"/>
    <xf numFmtId="0" fontId="11" fillId="0" borderId="6" xfId="18" applyBorder="1"/>
    <xf numFmtId="0" fontId="11" fillId="4" borderId="0" xfId="18" applyFill="1"/>
    <xf numFmtId="0" fontId="9" fillId="0" borderId="0" xfId="18" applyFont="1" applyFill="1" applyBorder="1" applyAlignment="1">
      <alignment horizontal="right" vertical="center"/>
    </xf>
    <xf numFmtId="169" fontId="9" fillId="0" borderId="0" xfId="18" applyNumberFormat="1" applyFont="1" applyFill="1" applyBorder="1" applyAlignment="1">
      <alignment horizontal="center" vertical="center"/>
    </xf>
    <xf numFmtId="169" fontId="9" fillId="0" borderId="0" xfId="18" applyNumberFormat="1" applyFont="1" applyFill="1" applyAlignment="1">
      <alignment horizontal="center" vertical="center"/>
    </xf>
    <xf numFmtId="169" fontId="22" fillId="0" borderId="0" xfId="18" applyNumberFormat="1" applyFont="1" applyFill="1" applyBorder="1" applyAlignment="1">
      <alignment horizontal="center" vertical="center"/>
    </xf>
    <xf numFmtId="169" fontId="9" fillId="0" borderId="5" xfId="18" applyNumberFormat="1" applyFont="1" applyFill="1" applyBorder="1" applyAlignment="1">
      <alignment horizontal="center" vertical="center"/>
    </xf>
    <xf numFmtId="165" fontId="22" fillId="0" borderId="0" xfId="18" applyNumberFormat="1" applyFont="1" applyFill="1" applyBorder="1" applyAlignment="1">
      <alignment horizontal="center" vertical="center"/>
    </xf>
    <xf numFmtId="0" fontId="52" fillId="10" borderId="23" xfId="18" applyFont="1" applyFill="1" applyBorder="1" applyAlignment="1">
      <alignment horizontal="left" vertical="center"/>
    </xf>
    <xf numFmtId="0" fontId="11" fillId="0" borderId="26" xfId="18" applyBorder="1"/>
    <xf numFmtId="0" fontId="9" fillId="0" borderId="26" xfId="18" applyFont="1" applyFill="1" applyBorder="1" applyAlignment="1">
      <alignment horizontal="center" vertical="center"/>
    </xf>
    <xf numFmtId="0" fontId="74" fillId="0" borderId="26" xfId="18" applyFont="1" applyFill="1" applyBorder="1" applyAlignment="1">
      <alignment horizontal="center" vertical="center"/>
    </xf>
    <xf numFmtId="2" fontId="15" fillId="0" borderId="26" xfId="18" applyNumberFormat="1" applyFont="1" applyFill="1" applyBorder="1" applyAlignment="1">
      <alignment horizontal="center" vertical="center"/>
    </xf>
    <xf numFmtId="0" fontId="47" fillId="0" borderId="26" xfId="18" applyFont="1" applyFill="1" applyBorder="1" applyAlignment="1">
      <alignment horizontal="center" vertical="center"/>
    </xf>
    <xf numFmtId="4" fontId="54" fillId="0" borderId="26" xfId="18" applyNumberFormat="1" applyFont="1" applyFill="1" applyBorder="1" applyAlignment="1">
      <alignment horizontal="center" vertical="center"/>
    </xf>
    <xf numFmtId="0" fontId="15" fillId="0" borderId="26" xfId="18" applyFont="1" applyFill="1" applyBorder="1" applyAlignment="1">
      <alignment horizontal="center" vertical="center"/>
    </xf>
    <xf numFmtId="0" fontId="11" fillId="0" borderId="26" xfId="18" applyFill="1" applyBorder="1"/>
    <xf numFmtId="0" fontId="12" fillId="0" borderId="26" xfId="18" applyFont="1" applyFill="1" applyBorder="1" applyAlignment="1">
      <alignment vertical="center"/>
    </xf>
    <xf numFmtId="0" fontId="22" fillId="0" borderId="26" xfId="18" applyFont="1" applyFill="1" applyBorder="1" applyAlignment="1">
      <alignment vertical="center"/>
    </xf>
    <xf numFmtId="180" fontId="42" fillId="0" borderId="26" xfId="18" applyNumberFormat="1" applyFont="1" applyFill="1" applyBorder="1" applyAlignment="1">
      <alignment vertical="center"/>
    </xf>
    <xf numFmtId="0" fontId="9" fillId="0" borderId="23" xfId="18" applyFont="1" applyFill="1" applyBorder="1" applyAlignment="1">
      <alignment horizontal="right" vertical="center"/>
    </xf>
    <xf numFmtId="0" fontId="9" fillId="0" borderId="6" xfId="18" applyFont="1" applyFill="1" applyBorder="1" applyAlignment="1">
      <alignment horizontal="right" vertical="center"/>
    </xf>
    <xf numFmtId="0" fontId="9" fillId="0" borderId="5" xfId="18" applyFont="1" applyFill="1" applyBorder="1" applyAlignment="1">
      <alignment horizontal="right" vertical="center"/>
    </xf>
    <xf numFmtId="1" fontId="15" fillId="0" borderId="26" xfId="18" applyNumberFormat="1" applyFont="1" applyFill="1" applyBorder="1" applyAlignment="1">
      <alignment horizontal="center" vertical="center"/>
    </xf>
    <xf numFmtId="0" fontId="9" fillId="0" borderId="5" xfId="18" applyFont="1" applyFill="1" applyBorder="1" applyAlignment="1">
      <alignment horizontal="center" vertical="center"/>
    </xf>
    <xf numFmtId="0" fontId="9" fillId="0" borderId="26" xfId="18" applyFont="1" applyBorder="1" applyAlignment="1">
      <alignment horizontal="center" vertical="center"/>
    </xf>
    <xf numFmtId="14" fontId="9" fillId="4" borderId="0" xfId="206" applyNumberFormat="1" applyFont="1" applyFill="1" applyBorder="1" applyAlignment="1">
      <alignment horizontal="center" vertical="center"/>
    </xf>
    <xf numFmtId="0" fontId="0" fillId="0" borderId="0" xfId="0"/>
    <xf numFmtId="172" fontId="74" fillId="13" borderId="0" xfId="18" applyNumberFormat="1" applyFont="1" applyFill="1" applyBorder="1" applyAlignment="1">
      <alignment horizontal="center" vertical="center"/>
    </xf>
    <xf numFmtId="2" fontId="65" fillId="12" borderId="0" xfId="18" applyNumberFormat="1" applyFont="1" applyFill="1" applyBorder="1" applyAlignment="1">
      <alignment horizontal="center" vertical="center"/>
    </xf>
    <xf numFmtId="169" fontId="22" fillId="11" borderId="5" xfId="18" applyNumberFormat="1" applyFont="1" applyFill="1" applyBorder="1" applyAlignment="1">
      <alignment horizontal="center" vertical="center"/>
    </xf>
    <xf numFmtId="164" fontId="9" fillId="0" borderId="27" xfId="2" applyNumberFormat="1" applyFont="1" applyBorder="1" applyAlignment="1">
      <alignment horizontal="left" vertical="center"/>
    </xf>
    <xf numFmtId="2" fontId="24" fillId="3" borderId="0" xfId="2" applyNumberFormat="1" applyFont="1" applyFill="1" applyBorder="1" applyAlignment="1">
      <alignment vertical="center"/>
    </xf>
    <xf numFmtId="169" fontId="9" fillId="4" borderId="0" xfId="2" applyNumberFormat="1" applyFont="1" applyFill="1" applyBorder="1" applyAlignment="1">
      <alignment horizontal="center" vertical="center"/>
    </xf>
    <xf numFmtId="4" fontId="82" fillId="13" borderId="0" xfId="18" applyNumberFormat="1" applyFont="1" applyFill="1" applyBorder="1" applyAlignment="1">
      <alignment horizontal="center" vertical="center"/>
    </xf>
    <xf numFmtId="169" fontId="9" fillId="3" borderId="0" xfId="2" applyNumberFormat="1" applyFont="1" applyFill="1" applyAlignment="1">
      <alignment horizontal="center" vertical="center"/>
    </xf>
    <xf numFmtId="176" fontId="40" fillId="0" borderId="0" xfId="2" applyNumberFormat="1" applyFont="1" applyAlignment="1">
      <alignment horizontal="center" vertical="center"/>
    </xf>
    <xf numFmtId="176" fontId="43" fillId="0" borderId="0" xfId="2" applyNumberFormat="1" applyFont="1" applyAlignment="1">
      <alignment horizontal="center" vertical="center"/>
    </xf>
    <xf numFmtId="180" fontId="55" fillId="13" borderId="0" xfId="2" applyNumberFormat="1" applyFont="1" applyFill="1" applyBorder="1" applyAlignment="1">
      <alignment horizontal="center" vertical="center"/>
    </xf>
    <xf numFmtId="1" fontId="55" fillId="13" borderId="0" xfId="2" applyNumberFormat="1" applyFont="1" applyFill="1" applyBorder="1" applyAlignment="1">
      <alignment horizontal="center" vertical="center"/>
    </xf>
    <xf numFmtId="172" fontId="15" fillId="2" borderId="5" xfId="2" applyNumberFormat="1" applyFont="1" applyFill="1" applyBorder="1" applyAlignment="1">
      <alignment horizontal="center" vertical="center"/>
    </xf>
    <xf numFmtId="0" fontId="68" fillId="0" borderId="0" xfId="2" applyFont="1" applyBorder="1" applyAlignment="1">
      <alignment horizontal="center" vertical="center"/>
    </xf>
    <xf numFmtId="176" fontId="35" fillId="0" borderId="0" xfId="2" applyNumberFormat="1" applyFont="1" applyBorder="1" applyAlignment="1">
      <alignment horizontal="center" vertical="center"/>
    </xf>
    <xf numFmtId="180" fontId="77" fillId="0" borderId="0" xfId="2" applyNumberFormat="1" applyFont="1" applyFill="1" applyBorder="1" applyAlignment="1">
      <alignment horizontal="center" vertical="center"/>
    </xf>
    <xf numFmtId="167" fontId="9" fillId="0" borderId="0" xfId="2" applyNumberFormat="1" applyFont="1" applyFill="1" applyBorder="1" applyAlignment="1">
      <alignment horizontal="center" vertical="center"/>
    </xf>
    <xf numFmtId="167" fontId="22" fillId="0" borderId="0" xfId="2" applyNumberFormat="1" applyFont="1" applyFill="1" applyBorder="1" applyAlignment="1">
      <alignment horizontal="center" vertical="center"/>
    </xf>
    <xf numFmtId="2" fontId="24" fillId="13" borderId="0" xfId="2" applyNumberFormat="1" applyFont="1" applyFill="1" applyBorder="1" applyAlignment="1">
      <alignment vertical="center"/>
    </xf>
    <xf numFmtId="167" fontId="9" fillId="0" borderId="17" xfId="2" applyNumberFormat="1" applyFont="1" applyFill="1" applyBorder="1" applyAlignment="1">
      <alignment horizontal="center" vertical="center"/>
    </xf>
    <xf numFmtId="14" fontId="95" fillId="0" borderId="0" xfId="206" applyNumberFormat="1" applyFont="1" applyFill="1" applyBorder="1" applyAlignment="1">
      <alignment horizontal="center" vertical="center"/>
    </xf>
    <xf numFmtId="2" fontId="96" fillId="0" borderId="0" xfId="2" applyNumberFormat="1" applyFont="1" applyFill="1" applyBorder="1" applyAlignment="1">
      <alignment horizontal="center" vertical="center"/>
    </xf>
    <xf numFmtId="0" fontId="83" fillId="0" borderId="26" xfId="2" applyFont="1" applyFill="1" applyBorder="1" applyAlignment="1">
      <alignment horizontal="center" vertical="center"/>
    </xf>
    <xf numFmtId="16" fontId="35" fillId="0" borderId="0" xfId="2" applyNumberFormat="1" applyFont="1" applyBorder="1" applyAlignment="1">
      <alignment horizontal="center" vertical="center"/>
    </xf>
    <xf numFmtId="2" fontId="60" fillId="0" borderId="0" xfId="2" applyNumberFormat="1" applyFont="1" applyFill="1" applyBorder="1" applyAlignment="1">
      <alignment horizontal="center" vertical="center"/>
    </xf>
    <xf numFmtId="0" fontId="96" fillId="0" borderId="0" xfId="2" applyFont="1" applyFill="1" applyBorder="1" applyAlignment="1">
      <alignment horizontal="center" vertical="center"/>
    </xf>
    <xf numFmtId="0" fontId="92" fillId="0" borderId="0" xfId="2" applyFont="1" applyAlignment="1">
      <alignment vertical="center"/>
    </xf>
    <xf numFmtId="0" fontId="92" fillId="0" borderId="0" xfId="2" applyFont="1"/>
    <xf numFmtId="0" fontId="97" fillId="0" borderId="0" xfId="2" applyFont="1" applyAlignment="1">
      <alignment horizontal="center" vertical="center"/>
    </xf>
    <xf numFmtId="0" fontId="96" fillId="0" borderId="26" xfId="2" applyFont="1" applyFill="1" applyBorder="1" applyAlignment="1">
      <alignment horizontal="center" vertical="center"/>
    </xf>
    <xf numFmtId="0" fontId="40" fillId="0" borderId="0" xfId="2" applyFont="1" applyFill="1" applyAlignment="1">
      <alignment horizontal="center" vertical="center"/>
    </xf>
    <xf numFmtId="0" fontId="92" fillId="0" borderId="0" xfId="2" applyFont="1" applyBorder="1" applyAlignment="1">
      <alignment vertical="center"/>
    </xf>
    <xf numFmtId="0" fontId="92" fillId="0" borderId="0" xfId="2" applyFont="1" applyBorder="1"/>
    <xf numFmtId="0" fontId="96" fillId="0" borderId="26" xfId="18" applyFont="1" applyFill="1" applyBorder="1" applyAlignment="1">
      <alignment horizontal="center" vertical="center"/>
    </xf>
    <xf numFmtId="1" fontId="96" fillId="0" borderId="0" xfId="2" applyNumberFormat="1" applyFont="1" applyFill="1" applyBorder="1" applyAlignment="1">
      <alignment horizontal="center" vertical="center"/>
    </xf>
    <xf numFmtId="0" fontId="40" fillId="0" borderId="0" xfId="2" applyFont="1" applyAlignment="1">
      <alignment horizontal="center" vertical="center"/>
    </xf>
    <xf numFmtId="0" fontId="92" fillId="0" borderId="0" xfId="2" applyFont="1" applyFill="1" applyBorder="1"/>
    <xf numFmtId="0" fontId="40" fillId="0" borderId="0" xfId="2" applyFont="1" applyBorder="1" applyAlignment="1">
      <alignment horizontal="center" vertical="center"/>
    </xf>
    <xf numFmtId="0" fontId="40" fillId="0" borderId="8" xfId="2" applyFont="1" applyFill="1" applyBorder="1" applyAlignment="1">
      <alignment horizontal="center" vertical="center"/>
    </xf>
    <xf numFmtId="0" fontId="80" fillId="0" borderId="26" xfId="2" applyFont="1" applyFill="1" applyBorder="1" applyAlignment="1">
      <alignment horizontal="center" vertical="center"/>
    </xf>
    <xf numFmtId="0" fontId="97" fillId="0" borderId="0" xfId="2" applyFont="1" applyBorder="1" applyAlignment="1">
      <alignment horizontal="center" vertical="center"/>
    </xf>
    <xf numFmtId="0" fontId="40" fillId="0" borderId="2" xfId="2" applyFont="1" applyBorder="1" applyAlignment="1">
      <alignment horizontal="center" vertical="center"/>
    </xf>
    <xf numFmtId="166" fontId="12" fillId="0" borderId="0" xfId="2" applyNumberFormat="1" applyFont="1" applyAlignment="1">
      <alignment vertical="center"/>
    </xf>
    <xf numFmtId="166" fontId="22" fillId="0" borderId="0" xfId="206" applyNumberFormat="1" applyFont="1" applyFill="1" applyBorder="1" applyAlignment="1">
      <alignment horizontal="center" vertical="center"/>
    </xf>
    <xf numFmtId="0" fontId="47" fillId="0" borderId="15" xfId="2" applyFont="1" applyFill="1" applyBorder="1" applyAlignment="1">
      <alignment horizontal="center" vertical="center"/>
    </xf>
    <xf numFmtId="0" fontId="11" fillId="0" borderId="15" xfId="2" applyFill="1" applyBorder="1" applyAlignment="1">
      <alignment horizontal="center" vertical="center"/>
    </xf>
    <xf numFmtId="2" fontId="24" fillId="0" borderId="1" xfId="2" applyNumberFormat="1" applyFont="1" applyFill="1" applyBorder="1" applyAlignment="1">
      <alignment vertical="center"/>
    </xf>
    <xf numFmtId="2" fontId="24" fillId="0" borderId="12" xfId="2" applyNumberFormat="1" applyFont="1" applyFill="1" applyBorder="1" applyAlignment="1">
      <alignment vertical="center"/>
    </xf>
    <xf numFmtId="166" fontId="9" fillId="0" borderId="11" xfId="206" applyNumberFormat="1" applyFont="1" applyFill="1" applyBorder="1" applyAlignment="1">
      <alignment horizontal="center" vertical="center"/>
    </xf>
    <xf numFmtId="0" fontId="66" fillId="0" borderId="0" xfId="2" applyFont="1" applyBorder="1" applyAlignment="1">
      <alignment horizontal="center" vertical="center"/>
    </xf>
    <xf numFmtId="0" fontId="99" fillId="0" borderId="0" xfId="2" applyFont="1" applyBorder="1" applyAlignment="1">
      <alignment horizontal="center" vertical="center"/>
    </xf>
    <xf numFmtId="0" fontId="99" fillId="0" borderId="0" xfId="2" applyFont="1" applyFill="1" applyBorder="1" applyAlignment="1">
      <alignment horizontal="center" vertical="center"/>
    </xf>
    <xf numFmtId="0" fontId="99" fillId="0" borderId="15" xfId="2" applyFont="1" applyFill="1" applyBorder="1" applyAlignment="1">
      <alignment horizontal="center" vertical="center"/>
    </xf>
    <xf numFmtId="1" fontId="66" fillId="0" borderId="0" xfId="206" applyNumberFormat="1" applyFont="1" applyBorder="1" applyAlignment="1">
      <alignment horizontal="center" vertical="center"/>
    </xf>
    <xf numFmtId="194" fontId="66" fillId="0" borderId="0" xfId="206" applyNumberFormat="1" applyFont="1" applyBorder="1" applyAlignment="1">
      <alignment horizontal="center" vertical="center"/>
    </xf>
    <xf numFmtId="1" fontId="66" fillId="0" borderId="0" xfId="2" applyNumberFormat="1" applyFont="1" applyBorder="1" applyAlignment="1">
      <alignment horizontal="center" vertical="center"/>
    </xf>
    <xf numFmtId="1" fontId="98" fillId="0" borderId="0" xfId="2" applyNumberFormat="1" applyFont="1" applyFill="1" applyBorder="1" applyAlignment="1">
      <alignment horizontal="center" vertical="center"/>
    </xf>
    <xf numFmtId="1" fontId="27" fillId="0" borderId="0" xfId="2" applyNumberFormat="1" applyFont="1" applyFill="1" applyBorder="1" applyAlignment="1">
      <alignment horizontal="center" vertical="center"/>
    </xf>
    <xf numFmtId="2" fontId="24" fillId="0" borderId="16" xfId="2" applyNumberFormat="1" applyFont="1" applyFill="1" applyBorder="1" applyAlignment="1">
      <alignment vertical="center"/>
    </xf>
    <xf numFmtId="14" fontId="29" fillId="0" borderId="15" xfId="206" applyNumberFormat="1" applyFont="1" applyFill="1" applyBorder="1" applyAlignment="1">
      <alignment horizontal="center" vertical="center"/>
    </xf>
    <xf numFmtId="166" fontId="9" fillId="0" borderId="15" xfId="206" applyNumberFormat="1" applyFont="1" applyFill="1" applyBorder="1" applyAlignment="1">
      <alignment horizontal="center" vertical="center"/>
    </xf>
    <xf numFmtId="0" fontId="27" fillId="0" borderId="0" xfId="2" applyFont="1" applyFill="1" applyBorder="1" applyAlignment="1">
      <alignment horizontal="center" vertical="center"/>
    </xf>
    <xf numFmtId="49" fontId="9" fillId="0" borderId="0" xfId="206" applyNumberFormat="1" applyFont="1" applyBorder="1" applyAlignment="1">
      <alignment horizontal="left" vertical="center"/>
    </xf>
    <xf numFmtId="0" fontId="39" fillId="0" borderId="0" xfId="2" applyFont="1" applyBorder="1" applyAlignment="1">
      <alignment horizontal="center" vertical="center" wrapText="1"/>
    </xf>
    <xf numFmtId="0" fontId="40" fillId="0" borderId="0" xfId="2" applyFont="1" applyBorder="1" applyAlignment="1">
      <alignment horizontal="center" vertical="center" wrapText="1"/>
    </xf>
    <xf numFmtId="0" fontId="15" fillId="0" borderId="0" xfId="2" applyFont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0" fontId="71" fillId="0" borderId="0" xfId="2" applyFont="1" applyBorder="1" applyAlignment="1">
      <alignment horizontal="center" vertical="center" wrapText="1"/>
    </xf>
    <xf numFmtId="0" fontId="70" fillId="0" borderId="0" xfId="2" applyFont="1" applyBorder="1" applyAlignment="1">
      <alignment horizontal="center" vertical="center" wrapText="1"/>
    </xf>
    <xf numFmtId="0" fontId="80" fillId="0" borderId="0" xfId="2" applyFont="1" applyFill="1" applyBorder="1" applyAlignment="1">
      <alignment horizontal="center" vertical="center"/>
    </xf>
    <xf numFmtId="0" fontId="71" fillId="0" borderId="0" xfId="2" applyFont="1" applyFill="1" applyBorder="1" applyAlignment="1">
      <alignment horizontal="left" vertical="center"/>
    </xf>
    <xf numFmtId="0" fontId="47" fillId="0" borderId="0" xfId="2" applyFont="1" applyFill="1" applyBorder="1" applyAlignment="1">
      <alignment horizontal="center" vertical="center"/>
    </xf>
    <xf numFmtId="10" fontId="11" fillId="0" borderId="0" xfId="2" applyNumberFormat="1" applyFill="1" applyBorder="1" applyAlignment="1">
      <alignment vertical="center"/>
    </xf>
    <xf numFmtId="169" fontId="26" fillId="0" borderId="0" xfId="2" applyNumberFormat="1" applyFont="1" applyFill="1" applyBorder="1" applyAlignment="1">
      <alignment vertical="center"/>
    </xf>
    <xf numFmtId="166" fontId="67" fillId="0" borderId="0" xfId="2" applyNumberFormat="1" applyFont="1" applyFill="1" applyBorder="1" applyAlignment="1">
      <alignment vertical="center"/>
    </xf>
    <xf numFmtId="0" fontId="71" fillId="0" borderId="0" xfId="2" applyFont="1" applyFill="1" applyBorder="1" applyAlignment="1">
      <alignment horizontal="right" vertical="center"/>
    </xf>
    <xf numFmtId="0" fontId="11" fillId="0" borderId="0" xfId="2" applyFill="1" applyBorder="1" applyAlignment="1">
      <alignment horizontal="center" vertical="center"/>
    </xf>
    <xf numFmtId="0" fontId="0" fillId="0" borderId="11" xfId="0" applyBorder="1"/>
    <xf numFmtId="0" fontId="80" fillId="0" borderId="0" xfId="2" applyFont="1" applyFill="1" applyBorder="1" applyAlignment="1">
      <alignment horizontal="center" vertical="center"/>
    </xf>
    <xf numFmtId="0" fontId="101" fillId="0" borderId="0" xfId="2" applyFont="1" applyFill="1" applyBorder="1" applyAlignment="1">
      <alignment horizontal="center" vertical="center"/>
    </xf>
    <xf numFmtId="1" fontId="9" fillId="0" borderId="15" xfId="2" applyNumberFormat="1" applyFont="1" applyFill="1" applyBorder="1" applyAlignment="1">
      <alignment horizontal="center" vertical="center"/>
    </xf>
    <xf numFmtId="174" fontId="15" fillId="0" borderId="15" xfId="2" applyNumberFormat="1" applyFont="1" applyFill="1" applyBorder="1" applyAlignment="1">
      <alignment horizontal="center" vertical="center"/>
    </xf>
    <xf numFmtId="166" fontId="22" fillId="0" borderId="15" xfId="206" applyNumberFormat="1" applyFont="1" applyFill="1" applyBorder="1" applyAlignment="1">
      <alignment horizontal="center" vertical="center"/>
    </xf>
    <xf numFmtId="0" fontId="34" fillId="0" borderId="15" xfId="2" applyFont="1" applyFill="1" applyBorder="1" applyAlignment="1">
      <alignment horizontal="center" vertical="center"/>
    </xf>
    <xf numFmtId="0" fontId="27" fillId="0" borderId="15" xfId="2" applyFont="1" applyFill="1" applyBorder="1" applyAlignment="1">
      <alignment horizontal="center" vertical="center"/>
    </xf>
    <xf numFmtId="0" fontId="11" fillId="0" borderId="15" xfId="2" applyFill="1" applyBorder="1" applyAlignment="1">
      <alignment vertical="center"/>
    </xf>
    <xf numFmtId="0" fontId="0" fillId="0" borderId="15" xfId="0" applyBorder="1"/>
    <xf numFmtId="0" fontId="0" fillId="0" borderId="14" xfId="0" applyBorder="1"/>
    <xf numFmtId="49" fontId="9" fillId="0" borderId="1" xfId="206" applyNumberFormat="1" applyFont="1" applyBorder="1" applyAlignment="1">
      <alignment horizontal="left" vertical="center"/>
    </xf>
    <xf numFmtId="0" fontId="0" fillId="0" borderId="13" xfId="0" applyBorder="1"/>
    <xf numFmtId="0" fontId="0" fillId="0" borderId="12" xfId="0" applyBorder="1"/>
    <xf numFmtId="166" fontId="39" fillId="0" borderId="11" xfId="0" applyNumberFormat="1" applyFont="1" applyBorder="1"/>
    <xf numFmtId="166" fontId="39" fillId="0" borderId="10" xfId="0" applyNumberFormat="1" applyFont="1" applyBorder="1" applyAlignment="1">
      <alignment horizontal="center" vertical="center"/>
    </xf>
    <xf numFmtId="49" fontId="102" fillId="0" borderId="16" xfId="206" applyNumberFormat="1" applyFont="1" applyBorder="1" applyAlignment="1">
      <alignment horizontal="left" vertical="center"/>
    </xf>
    <xf numFmtId="166" fontId="47" fillId="0" borderId="0" xfId="2" applyNumberFormat="1" applyFont="1" applyFill="1" applyBorder="1" applyAlignment="1">
      <alignment horizontal="center" vertical="center"/>
    </xf>
    <xf numFmtId="0" fontId="13" fillId="0" borderId="0" xfId="2" applyFont="1" applyBorder="1" applyAlignment="1">
      <alignment horizontal="left" vertical="center"/>
    </xf>
    <xf numFmtId="0" fontId="103" fillId="0" borderId="36" xfId="2" applyFont="1" applyFill="1" applyBorder="1" applyAlignment="1">
      <alignment horizontal="center" vertical="center"/>
    </xf>
    <xf numFmtId="0" fontId="15" fillId="0" borderId="0" xfId="0" applyFont="1"/>
    <xf numFmtId="0" fontId="39" fillId="0" borderId="0" xfId="0" applyFont="1" applyAlignment="1">
      <alignment horizontal="center"/>
    </xf>
    <xf numFmtId="0" fontId="39" fillId="0" borderId="11" xfId="0" applyFont="1" applyBorder="1" applyAlignment="1">
      <alignment horizontal="center"/>
    </xf>
    <xf numFmtId="0" fontId="47" fillId="0" borderId="0" xfId="2" applyFont="1" applyFill="1" applyBorder="1" applyAlignment="1">
      <alignment vertical="center"/>
    </xf>
    <xf numFmtId="0" fontId="0" fillId="0" borderId="15" xfId="0" applyFill="1" applyBorder="1"/>
    <xf numFmtId="14" fontId="15" fillId="0" borderId="15" xfId="2" applyNumberFormat="1" applyFont="1" applyFill="1" applyBorder="1" applyAlignment="1">
      <alignment horizontal="center" vertical="center"/>
    </xf>
    <xf numFmtId="0" fontId="39" fillId="0" borderId="15" xfId="0" applyFont="1" applyFill="1" applyBorder="1"/>
    <xf numFmtId="0" fontId="26" fillId="0" borderId="15" xfId="2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/>
    </xf>
    <xf numFmtId="0" fontId="39" fillId="0" borderId="0" xfId="0" applyFont="1" applyFill="1" applyBorder="1"/>
    <xf numFmtId="0" fontId="65" fillId="0" borderId="0" xfId="0" applyFont="1" applyFill="1" applyBorder="1" applyAlignment="1">
      <alignment horizontal="center"/>
    </xf>
    <xf numFmtId="0" fontId="0" fillId="0" borderId="11" xfId="0" applyFill="1" applyBorder="1"/>
    <xf numFmtId="14" fontId="15" fillId="0" borderId="11" xfId="2" applyNumberFormat="1" applyFont="1" applyFill="1" applyBorder="1" applyAlignment="1">
      <alignment horizontal="center" vertical="center"/>
    </xf>
    <xf numFmtId="174" fontId="15" fillId="0" borderId="11" xfId="2" applyNumberFormat="1" applyFont="1" applyFill="1" applyBorder="1" applyAlignment="1">
      <alignment horizontal="center" vertical="center"/>
    </xf>
    <xf numFmtId="0" fontId="47" fillId="0" borderId="11" xfId="2" applyFont="1" applyFill="1" applyBorder="1" applyAlignment="1">
      <alignment horizontal="center" vertical="center"/>
    </xf>
    <xf numFmtId="166" fontId="22" fillId="0" borderId="11" xfId="206" applyNumberFormat="1" applyFont="1" applyFill="1" applyBorder="1" applyAlignment="1">
      <alignment horizontal="center" vertical="center"/>
    </xf>
    <xf numFmtId="0" fontId="39" fillId="0" borderId="11" xfId="0" applyFont="1" applyFill="1" applyBorder="1"/>
    <xf numFmtId="0" fontId="26" fillId="0" borderId="11" xfId="2" applyFont="1" applyFill="1" applyBorder="1" applyAlignment="1">
      <alignment horizontal="center" vertical="center"/>
    </xf>
    <xf numFmtId="0" fontId="65" fillId="0" borderId="11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1" fontId="26" fillId="0" borderId="14" xfId="2" applyNumberFormat="1" applyFont="1" applyFill="1" applyBorder="1" applyAlignment="1">
      <alignment horizontal="center" vertical="center"/>
    </xf>
    <xf numFmtId="1" fontId="26" fillId="0" borderId="13" xfId="2" applyNumberFormat="1" applyFont="1" applyFill="1" applyBorder="1" applyAlignment="1">
      <alignment horizontal="center" vertical="center"/>
    </xf>
    <xf numFmtId="1" fontId="26" fillId="0" borderId="10" xfId="2" applyNumberFormat="1" applyFont="1" applyFill="1" applyBorder="1" applyAlignment="1">
      <alignment horizontal="center" vertical="center"/>
    </xf>
    <xf numFmtId="166" fontId="18" fillId="4" borderId="0" xfId="206" applyNumberFormat="1" applyFont="1" applyFill="1" applyBorder="1" applyAlignment="1">
      <alignment horizontal="center" vertical="center"/>
    </xf>
    <xf numFmtId="2" fontId="80" fillId="0" borderId="0" xfId="2" applyNumberFormat="1" applyFont="1" applyFill="1" applyBorder="1" applyAlignment="1">
      <alignment horizontal="center" vertical="center"/>
    </xf>
    <xf numFmtId="2" fontId="78" fillId="0" borderId="0" xfId="2" applyNumberFormat="1" applyFont="1" applyFill="1" applyBorder="1" applyAlignment="1">
      <alignment horizontal="center" vertical="center"/>
    </xf>
    <xf numFmtId="1" fontId="78" fillId="0" borderId="0" xfId="2" applyNumberFormat="1" applyFont="1" applyFill="1" applyBorder="1" applyAlignment="1">
      <alignment horizontal="center" vertical="center"/>
    </xf>
    <xf numFmtId="169" fontId="35" fillId="0" borderId="0" xfId="2" applyNumberFormat="1" applyFont="1" applyFill="1" applyBorder="1" applyAlignment="1">
      <alignment horizontal="right" vertical="center"/>
    </xf>
    <xf numFmtId="10" fontId="49" fillId="3" borderId="0" xfId="2" applyNumberFormat="1" applyFont="1" applyFill="1" applyBorder="1" applyAlignment="1">
      <alignment horizontal="center" vertical="center"/>
    </xf>
    <xf numFmtId="0" fontId="52" fillId="3" borderId="0" xfId="2" applyFont="1" applyFill="1" applyBorder="1" applyAlignment="1">
      <alignment horizontal="center" vertical="center"/>
    </xf>
    <xf numFmtId="0" fontId="71" fillId="0" borderId="28" xfId="2" applyFont="1" applyBorder="1" applyAlignment="1">
      <alignment horizontal="center" vertical="center" wrapText="1"/>
    </xf>
    <xf numFmtId="0" fontId="71" fillId="0" borderId="0" xfId="2" applyFont="1" applyBorder="1" applyAlignment="1">
      <alignment horizontal="center" vertical="center" wrapText="1"/>
    </xf>
    <xf numFmtId="0" fontId="29" fillId="0" borderId="0" xfId="2" applyFont="1" applyFill="1" applyAlignment="1">
      <alignment horizontal="center" vertical="center"/>
    </xf>
    <xf numFmtId="0" fontId="9" fillId="0" borderId="0" xfId="2" applyFont="1" applyFill="1" applyAlignment="1">
      <alignment horizontal="center" vertical="center"/>
    </xf>
    <xf numFmtId="0" fontId="55" fillId="0" borderId="0" xfId="2" applyFont="1" applyFill="1" applyAlignment="1">
      <alignment horizontal="center" vertical="center"/>
    </xf>
    <xf numFmtId="0" fontId="56" fillId="0" borderId="0" xfId="2" applyFont="1" applyBorder="1" applyAlignment="1">
      <alignment horizontal="center" vertical="center" wrapText="1"/>
    </xf>
    <xf numFmtId="0" fontId="39" fillId="0" borderId="0" xfId="2" applyFont="1" applyBorder="1" applyAlignment="1">
      <alignment horizontal="center" vertical="center" wrapText="1"/>
    </xf>
    <xf numFmtId="0" fontId="56" fillId="0" borderId="0" xfId="2" applyFont="1" applyBorder="1" applyAlignment="1">
      <alignment horizontal="center" vertical="center"/>
    </xf>
    <xf numFmtId="165" fontId="9" fillId="0" borderId="0" xfId="2" applyNumberFormat="1" applyFont="1" applyFill="1" applyAlignment="1">
      <alignment horizontal="right" vertical="center"/>
    </xf>
    <xf numFmtId="14" fontId="9" fillId="0" borderId="0" xfId="2" applyNumberFormat="1" applyFont="1" applyFill="1" applyAlignment="1">
      <alignment horizontal="center" vertical="center"/>
    </xf>
    <xf numFmtId="166" fontId="23" fillId="0" borderId="0" xfId="2" applyNumberFormat="1" applyFont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47" fillId="0" borderId="0" xfId="2" applyFont="1" applyBorder="1" applyAlignment="1">
      <alignment horizontal="center" vertical="center"/>
    </xf>
    <xf numFmtId="0" fontId="70" fillId="0" borderId="28" xfId="2" applyFont="1" applyBorder="1" applyAlignment="1">
      <alignment horizontal="center" vertical="center" wrapText="1"/>
    </xf>
    <xf numFmtId="0" fontId="70" fillId="0" borderId="0" xfId="2" applyFont="1" applyBorder="1" applyAlignment="1">
      <alignment horizontal="center" vertical="center" wrapText="1"/>
    </xf>
    <xf numFmtId="0" fontId="12" fillId="0" borderId="0" xfId="2" applyFont="1" applyBorder="1" applyAlignment="1">
      <alignment horizontal="center" vertical="center"/>
    </xf>
    <xf numFmtId="0" fontId="11" fillId="0" borderId="2" xfId="2" applyBorder="1" applyAlignment="1">
      <alignment horizontal="center" vertical="center"/>
    </xf>
    <xf numFmtId="2" fontId="47" fillId="0" borderId="6" xfId="2" applyNumberFormat="1" applyFont="1" applyFill="1" applyBorder="1" applyAlignment="1">
      <alignment horizontal="right" vertical="center"/>
    </xf>
    <xf numFmtId="166" fontId="18" fillId="0" borderId="0" xfId="2" applyNumberFormat="1" applyFont="1" applyAlignment="1">
      <alignment horizontal="center" vertical="center"/>
    </xf>
    <xf numFmtId="0" fontId="23" fillId="0" borderId="15" xfId="2" applyFont="1" applyBorder="1" applyAlignment="1">
      <alignment horizontal="center" vertical="center"/>
    </xf>
    <xf numFmtId="0" fontId="23" fillId="0" borderId="2" xfId="2" applyFont="1" applyBorder="1" applyAlignment="1">
      <alignment horizontal="center" vertical="center"/>
    </xf>
    <xf numFmtId="0" fontId="47" fillId="0" borderId="6" xfId="2" applyFont="1" applyBorder="1" applyAlignment="1">
      <alignment horizontal="center" vertical="center"/>
    </xf>
    <xf numFmtId="0" fontId="47" fillId="0" borderId="5" xfId="2" applyFont="1" applyBorder="1" applyAlignment="1">
      <alignment horizontal="center" vertical="center"/>
    </xf>
    <xf numFmtId="2" fontId="47" fillId="0" borderId="20" xfId="2" applyNumberFormat="1" applyFont="1" applyFill="1" applyBorder="1" applyAlignment="1">
      <alignment horizontal="right" vertical="center"/>
    </xf>
    <xf numFmtId="165" fontId="38" fillId="0" borderId="0" xfId="2" applyNumberFormat="1" applyFont="1" applyFill="1" applyAlignment="1">
      <alignment horizontal="center" vertical="center"/>
    </xf>
    <xf numFmtId="169" fontId="35" fillId="0" borderId="5" xfId="2" applyNumberFormat="1" applyFont="1" applyFill="1" applyBorder="1" applyAlignment="1">
      <alignment horizontal="right" vertical="center"/>
    </xf>
    <xf numFmtId="166" fontId="22" fillId="0" borderId="26" xfId="206" applyNumberFormat="1" applyFont="1" applyFill="1" applyBorder="1" applyAlignment="1">
      <alignment horizontal="left" vertical="center"/>
    </xf>
    <xf numFmtId="0" fontId="40" fillId="0" borderId="0" xfId="2" applyFont="1" applyBorder="1" applyAlignment="1">
      <alignment horizontal="center" vertical="center" wrapText="1"/>
    </xf>
    <xf numFmtId="172" fontId="29" fillId="0" borderId="0" xfId="2" applyNumberFormat="1" applyFont="1" applyFill="1" applyBorder="1" applyAlignment="1">
      <alignment horizontal="center" vertical="center"/>
    </xf>
    <xf numFmtId="166" fontId="9" fillId="0" borderId="26" xfId="206" applyNumberFormat="1" applyFont="1" applyFill="1" applyBorder="1" applyAlignment="1">
      <alignment horizontal="center" vertical="center"/>
    </xf>
    <xf numFmtId="0" fontId="29" fillId="0" borderId="0" xfId="2" applyFont="1" applyFill="1" applyBorder="1" applyAlignment="1">
      <alignment horizontal="center" vertical="center"/>
    </xf>
    <xf numFmtId="0" fontId="71" fillId="0" borderId="0" xfId="2" applyFont="1" applyFill="1" applyBorder="1" applyAlignment="1">
      <alignment horizontal="center" vertical="center" wrapText="1"/>
    </xf>
    <xf numFmtId="0" fontId="11" fillId="0" borderId="23" xfId="2" applyBorder="1" applyAlignment="1">
      <alignment horizontal="center" vertical="center"/>
    </xf>
    <xf numFmtId="0" fontId="11" fillId="0" borderId="26" xfId="2" applyBorder="1" applyAlignment="1">
      <alignment horizontal="center" vertical="center"/>
    </xf>
    <xf numFmtId="166" fontId="26" fillId="0" borderId="0" xfId="2" applyNumberFormat="1" applyFont="1" applyFill="1" applyAlignment="1">
      <alignment horizontal="center" vertical="center"/>
    </xf>
    <xf numFmtId="167" fontId="65" fillId="0" borderId="26" xfId="2" applyNumberFormat="1" applyFont="1" applyBorder="1" applyAlignment="1">
      <alignment horizontal="center" vertical="center"/>
    </xf>
    <xf numFmtId="14" fontId="66" fillId="0" borderId="0" xfId="206" applyNumberFormat="1" applyFont="1" applyFill="1" applyBorder="1" applyAlignment="1">
      <alignment horizontal="center" vertical="center"/>
    </xf>
    <xf numFmtId="14" fontId="9" fillId="0" borderId="0" xfId="206" applyNumberFormat="1" applyFont="1" applyFill="1" applyBorder="1" applyAlignment="1">
      <alignment horizontal="center" vertical="center"/>
    </xf>
    <xf numFmtId="0" fontId="49" fillId="3" borderId="0" xfId="2" applyFont="1" applyFill="1" applyBorder="1" applyAlignment="1">
      <alignment horizontal="center" vertical="center"/>
    </xf>
    <xf numFmtId="0" fontId="22" fillId="0" borderId="6" xfId="2" applyFont="1" applyFill="1" applyBorder="1" applyAlignment="1">
      <alignment horizontal="center" vertical="center"/>
    </xf>
    <xf numFmtId="166" fontId="25" fillId="0" borderId="0" xfId="2" applyNumberFormat="1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166" fontId="23" fillId="0" borderId="0" xfId="2" applyNumberFormat="1" applyFont="1" applyFill="1" applyBorder="1" applyAlignment="1">
      <alignment horizontal="center" vertical="center"/>
    </xf>
    <xf numFmtId="0" fontId="80" fillId="0" borderId="0" xfId="2" applyFont="1" applyFill="1" applyBorder="1" applyAlignment="1">
      <alignment horizontal="center" vertical="center"/>
    </xf>
    <xf numFmtId="0" fontId="11" fillId="0" borderId="0" xfId="2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167" fontId="29" fillId="0" borderId="0" xfId="2" applyNumberFormat="1" applyFont="1" applyFill="1" applyBorder="1" applyAlignment="1">
      <alignment horizontal="center" vertical="center"/>
    </xf>
    <xf numFmtId="167" fontId="29" fillId="0" borderId="11" xfId="2" applyNumberFormat="1" applyFont="1" applyFill="1" applyBorder="1" applyAlignment="1">
      <alignment horizontal="center" vertical="center"/>
    </xf>
    <xf numFmtId="1" fontId="80" fillId="0" borderId="21" xfId="2" applyNumberFormat="1" applyFont="1" applyFill="1" applyBorder="1" applyAlignment="1">
      <alignment horizontal="center" vertical="center"/>
    </xf>
    <xf numFmtId="1" fontId="80" fillId="0" borderId="24" xfId="2" applyNumberFormat="1" applyFont="1" applyFill="1" applyBorder="1" applyAlignment="1">
      <alignment horizontal="center" vertical="center"/>
    </xf>
    <xf numFmtId="2" fontId="80" fillId="0" borderId="0" xfId="2" applyNumberFormat="1" applyFont="1" applyFill="1" applyBorder="1" applyAlignment="1">
      <alignment horizontal="center" vertical="center"/>
    </xf>
    <xf numFmtId="1" fontId="80" fillId="0" borderId="20" xfId="2" applyNumberFormat="1" applyFont="1" applyFill="1" applyBorder="1" applyAlignment="1">
      <alignment horizontal="center" vertical="center"/>
    </xf>
    <xf numFmtId="1" fontId="78" fillId="0" borderId="0" xfId="2" applyNumberFormat="1" applyFont="1" applyFill="1" applyBorder="1" applyAlignment="1">
      <alignment horizontal="center" vertical="center"/>
    </xf>
    <xf numFmtId="2" fontId="78" fillId="0" borderId="0" xfId="2" applyNumberFormat="1" applyFont="1" applyFill="1" applyBorder="1" applyAlignment="1">
      <alignment horizontal="center" vertical="center"/>
    </xf>
    <xf numFmtId="2" fontId="78" fillId="0" borderId="5" xfId="2" applyNumberFormat="1" applyFont="1" applyFill="1" applyBorder="1" applyAlignment="1">
      <alignment horizontal="center" vertical="center"/>
    </xf>
    <xf numFmtId="1" fontId="78" fillId="0" borderId="5" xfId="2" applyNumberFormat="1" applyFont="1" applyFill="1" applyBorder="1" applyAlignment="1">
      <alignment horizontal="center" vertical="center"/>
    </xf>
    <xf numFmtId="2" fontId="47" fillId="0" borderId="6" xfId="2" applyNumberFormat="1" applyFont="1" applyFill="1" applyBorder="1" applyAlignment="1">
      <alignment horizontal="right" vertical="center"/>
    </xf>
    <xf numFmtId="166" fontId="22" fillId="0" borderId="26" xfId="206" applyNumberFormat="1" applyFont="1" applyFill="1" applyBorder="1" applyAlignment="1">
      <alignment horizontal="left" vertical="center"/>
    </xf>
    <xf numFmtId="14" fontId="89" fillId="0" borderId="26" xfId="2" applyNumberFormat="1" applyFont="1" applyFill="1" applyBorder="1" applyAlignment="1">
      <alignment horizontal="left" vertical="center"/>
    </xf>
    <xf numFmtId="166" fontId="29" fillId="0" borderId="26" xfId="206" applyNumberFormat="1" applyFont="1" applyFill="1" applyBorder="1" applyAlignment="1">
      <alignment horizontal="center" vertical="center"/>
    </xf>
    <xf numFmtId="166" fontId="29" fillId="0" borderId="22" xfId="206" applyNumberFormat="1" applyFont="1" applyFill="1" applyBorder="1" applyAlignment="1">
      <alignment horizontal="center" vertical="center"/>
    </xf>
    <xf numFmtId="0" fontId="65" fillId="0" borderId="0" xfId="2" applyFont="1" applyBorder="1" applyAlignment="1">
      <alignment horizontal="center" vertical="center" wrapText="1"/>
    </xf>
    <xf numFmtId="0" fontId="39" fillId="0" borderId="0" xfId="2" applyFont="1" applyBorder="1" applyAlignment="1">
      <alignment horizontal="center" vertical="center" wrapText="1"/>
    </xf>
    <xf numFmtId="169" fontId="9" fillId="0" borderId="26" xfId="206" applyNumberFormat="1" applyFont="1" applyFill="1" applyBorder="1" applyAlignment="1">
      <alignment horizontal="center" vertical="center"/>
    </xf>
    <xf numFmtId="0" fontId="71" fillId="0" borderId="0" xfId="2" applyFont="1" applyBorder="1" applyAlignment="1">
      <alignment horizontal="center" vertical="center" wrapText="1"/>
    </xf>
    <xf numFmtId="0" fontId="70" fillId="0" borderId="0" xfId="2" applyFont="1" applyBorder="1" applyAlignment="1">
      <alignment horizontal="center" vertical="center" wrapText="1"/>
    </xf>
    <xf numFmtId="0" fontId="40" fillId="0" borderId="0" xfId="2" applyFont="1" applyBorder="1" applyAlignment="1">
      <alignment horizontal="center" vertical="center" wrapText="1"/>
    </xf>
    <xf numFmtId="0" fontId="40" fillId="0" borderId="8" xfId="2" applyFont="1" applyBorder="1" applyAlignment="1">
      <alignment horizontal="center" vertical="center" wrapText="1"/>
    </xf>
    <xf numFmtId="0" fontId="40" fillId="0" borderId="2" xfId="2" applyFont="1" applyBorder="1" applyAlignment="1">
      <alignment horizontal="center" vertical="center" wrapText="1"/>
    </xf>
    <xf numFmtId="165" fontId="38" fillId="0" borderId="0" xfId="2" applyNumberFormat="1" applyFont="1" applyFill="1" applyAlignment="1">
      <alignment horizontal="center" vertical="center"/>
    </xf>
    <xf numFmtId="0" fontId="47" fillId="0" borderId="28" xfId="2" applyFont="1" applyBorder="1" applyAlignment="1">
      <alignment horizontal="center" vertical="center" wrapText="1"/>
    </xf>
    <xf numFmtId="0" fontId="47" fillId="0" borderId="0" xfId="2" applyFont="1" applyBorder="1" applyAlignment="1">
      <alignment horizontal="center" vertical="center" wrapText="1"/>
    </xf>
    <xf numFmtId="0" fontId="47" fillId="0" borderId="2" xfId="2" applyFont="1" applyBorder="1" applyAlignment="1">
      <alignment horizontal="center" vertical="center" wrapText="1"/>
    </xf>
    <xf numFmtId="2" fontId="47" fillId="0" borderId="20" xfId="2" applyNumberFormat="1" applyFont="1" applyFill="1" applyBorder="1" applyAlignment="1">
      <alignment horizontal="right" vertical="center"/>
    </xf>
    <xf numFmtId="169" fontId="35" fillId="0" borderId="0" xfId="2" applyNumberFormat="1" applyFont="1" applyFill="1" applyBorder="1" applyAlignment="1">
      <alignment horizontal="right" vertical="center"/>
    </xf>
    <xf numFmtId="169" fontId="35" fillId="2" borderId="0" xfId="2" applyNumberFormat="1" applyFont="1" applyFill="1" applyBorder="1" applyAlignment="1">
      <alignment horizontal="right" vertical="center"/>
    </xf>
    <xf numFmtId="169" fontId="35" fillId="0" borderId="5" xfId="2" applyNumberFormat="1" applyFont="1" applyFill="1" applyBorder="1" applyAlignment="1">
      <alignment horizontal="right" vertical="center"/>
    </xf>
    <xf numFmtId="166" fontId="23" fillId="0" borderId="0" xfId="2" applyNumberFormat="1" applyFont="1" applyAlignment="1">
      <alignment horizontal="center" vertical="center"/>
    </xf>
    <xf numFmtId="166" fontId="18" fillId="0" borderId="0" xfId="2" applyNumberFormat="1" applyFont="1" applyAlignment="1">
      <alignment horizontal="center" vertical="center"/>
    </xf>
    <xf numFmtId="0" fontId="23" fillId="14" borderId="16" xfId="2" applyFont="1" applyFill="1" applyBorder="1" applyAlignment="1">
      <alignment horizontal="center" vertical="center"/>
    </xf>
    <xf numFmtId="0" fontId="23" fillId="14" borderId="14" xfId="2" applyFont="1" applyFill="1" applyBorder="1" applyAlignment="1">
      <alignment horizontal="center" vertical="center"/>
    </xf>
    <xf numFmtId="0" fontId="23" fillId="14" borderId="12" xfId="2" applyFont="1" applyFill="1" applyBorder="1" applyAlignment="1">
      <alignment horizontal="center" vertical="center"/>
    </xf>
    <xf numFmtId="0" fontId="23" fillId="14" borderId="10" xfId="2" applyFont="1" applyFill="1" applyBorder="1" applyAlignment="1">
      <alignment horizontal="center" vertical="center"/>
    </xf>
    <xf numFmtId="0" fontId="80" fillId="0" borderId="6" xfId="2" applyFont="1" applyFill="1" applyBorder="1" applyAlignment="1">
      <alignment horizontal="center" vertical="center"/>
    </xf>
    <xf numFmtId="0" fontId="80" fillId="0" borderId="32" xfId="2" applyFont="1" applyFill="1" applyBorder="1" applyAlignment="1">
      <alignment horizontal="center" vertical="center"/>
    </xf>
    <xf numFmtId="0" fontId="23" fillId="0" borderId="33" xfId="2" applyFont="1" applyBorder="1" applyAlignment="1">
      <alignment horizontal="center" vertical="center" wrapText="1"/>
    </xf>
    <xf numFmtId="0" fontId="23" fillId="0" borderId="15" xfId="2" applyFont="1" applyBorder="1" applyAlignment="1">
      <alignment horizontal="center" vertical="center" wrapText="1"/>
    </xf>
    <xf numFmtId="0" fontId="23" fillId="0" borderId="4" xfId="2" applyFont="1" applyBorder="1" applyAlignment="1">
      <alignment horizontal="center" vertical="center" wrapText="1"/>
    </xf>
    <xf numFmtId="0" fontId="23" fillId="0" borderId="2" xfId="2" applyFont="1" applyBorder="1" applyAlignment="1">
      <alignment horizontal="center" vertical="center" wrapText="1"/>
    </xf>
    <xf numFmtId="0" fontId="23" fillId="0" borderId="33" xfId="2" applyFont="1" applyBorder="1" applyAlignment="1">
      <alignment horizontal="center" vertical="center"/>
    </xf>
    <xf numFmtId="0" fontId="23" fillId="0" borderId="15" xfId="2" applyFont="1" applyBorder="1" applyAlignment="1">
      <alignment horizontal="center" vertical="center"/>
    </xf>
    <xf numFmtId="0" fontId="23" fillId="0" borderId="4" xfId="2" applyFont="1" applyBorder="1" applyAlignment="1">
      <alignment horizontal="center" vertical="center"/>
    </xf>
    <xf numFmtId="0" fontId="23" fillId="0" borderId="2" xfId="2" applyFont="1" applyBorder="1" applyAlignment="1">
      <alignment horizontal="center" vertical="center"/>
    </xf>
    <xf numFmtId="0" fontId="47" fillId="0" borderId="6" xfId="2" applyFont="1" applyBorder="1" applyAlignment="1">
      <alignment horizontal="center" vertical="center"/>
    </xf>
    <xf numFmtId="0" fontId="47" fillId="0" borderId="5" xfId="2" applyFont="1" applyBorder="1" applyAlignment="1">
      <alignment horizontal="center" vertical="center"/>
    </xf>
    <xf numFmtId="0" fontId="71" fillId="0" borderId="28" xfId="2" applyFont="1" applyBorder="1" applyAlignment="1">
      <alignment horizontal="center" vertical="center" wrapText="1"/>
    </xf>
    <xf numFmtId="1" fontId="78" fillId="0" borderId="12" xfId="2" applyNumberFormat="1" applyFont="1" applyFill="1" applyBorder="1" applyAlignment="1">
      <alignment horizontal="center" vertical="center"/>
    </xf>
    <xf numFmtId="1" fontId="78" fillId="0" borderId="11" xfId="2" applyNumberFormat="1" applyFont="1" applyFill="1" applyBorder="1" applyAlignment="1">
      <alignment horizontal="center" vertical="center"/>
    </xf>
    <xf numFmtId="2" fontId="78" fillId="0" borderId="16" xfId="2" applyNumberFormat="1" applyFont="1" applyFill="1" applyBorder="1" applyAlignment="1">
      <alignment horizontal="center" vertical="center"/>
    </xf>
    <xf numFmtId="2" fontId="78" fillId="0" borderId="14" xfId="2" applyNumberFormat="1" applyFont="1" applyFill="1" applyBorder="1" applyAlignment="1">
      <alignment horizontal="center" vertical="center"/>
    </xf>
    <xf numFmtId="2" fontId="78" fillId="0" borderId="1" xfId="2" applyNumberFormat="1" applyFont="1" applyFill="1" applyBorder="1" applyAlignment="1">
      <alignment horizontal="center" vertical="center"/>
    </xf>
    <xf numFmtId="2" fontId="78" fillId="0" borderId="13" xfId="2" applyNumberFormat="1" applyFont="1" applyFill="1" applyBorder="1" applyAlignment="1">
      <alignment horizontal="center" vertical="center"/>
    </xf>
    <xf numFmtId="2" fontId="78" fillId="0" borderId="15" xfId="2" applyNumberFormat="1" applyFont="1" applyFill="1" applyBorder="1" applyAlignment="1">
      <alignment horizontal="center" vertical="center"/>
    </xf>
    <xf numFmtId="169" fontId="11" fillId="0" borderId="6" xfId="2" applyNumberFormat="1" applyFill="1" applyBorder="1" applyAlignment="1">
      <alignment horizontal="center" vertical="center"/>
    </xf>
    <xf numFmtId="169" fontId="11" fillId="0" borderId="0" xfId="2" applyNumberFormat="1" applyFill="1" applyBorder="1" applyAlignment="1">
      <alignment horizontal="center" vertical="center"/>
    </xf>
    <xf numFmtId="2" fontId="78" fillId="0" borderId="31" xfId="2" applyNumberFormat="1" applyFont="1" applyFill="1" applyBorder="1" applyAlignment="1">
      <alignment horizontal="center" vertical="center"/>
    </xf>
    <xf numFmtId="1" fontId="78" fillId="0" borderId="30" xfId="2" applyNumberFormat="1" applyFont="1" applyFill="1" applyBorder="1" applyAlignment="1">
      <alignment horizontal="center" vertical="center"/>
    </xf>
    <xf numFmtId="14" fontId="15" fillId="0" borderId="19" xfId="2" applyNumberFormat="1" applyFont="1" applyFill="1" applyBorder="1" applyAlignment="1">
      <alignment horizontal="center" vertical="center"/>
    </xf>
    <xf numFmtId="14" fontId="15" fillId="0" borderId="18" xfId="2" applyNumberFormat="1" applyFont="1" applyFill="1" applyBorder="1" applyAlignment="1">
      <alignment horizontal="center" vertical="center"/>
    </xf>
    <xf numFmtId="0" fontId="12" fillId="0" borderId="0" xfId="2" applyFont="1" applyBorder="1" applyAlignment="1">
      <alignment horizontal="center" vertical="center"/>
    </xf>
    <xf numFmtId="0" fontId="14" fillId="0" borderId="9" xfId="2" applyFont="1" applyFill="1" applyBorder="1" applyAlignment="1">
      <alignment horizontal="center" vertical="center"/>
    </xf>
    <xf numFmtId="0" fontId="14" fillId="0" borderId="8" xfId="2" applyFont="1" applyFill="1" applyBorder="1" applyAlignment="1">
      <alignment horizontal="center" vertical="center"/>
    </xf>
    <xf numFmtId="0" fontId="14" fillId="0" borderId="7" xfId="2" applyFont="1" applyFill="1" applyBorder="1" applyAlignment="1">
      <alignment horizontal="center" vertical="center"/>
    </xf>
    <xf numFmtId="0" fontId="23" fillId="0" borderId="9" xfId="2" applyFont="1" applyFill="1" applyBorder="1" applyAlignment="1">
      <alignment horizontal="center" vertical="center"/>
    </xf>
    <xf numFmtId="0" fontId="23" fillId="0" borderId="8" xfId="2" applyFont="1" applyFill="1" applyBorder="1" applyAlignment="1">
      <alignment horizontal="center" vertical="center"/>
    </xf>
    <xf numFmtId="0" fontId="23" fillId="0" borderId="7" xfId="2" applyFont="1" applyFill="1" applyBorder="1" applyAlignment="1">
      <alignment horizontal="center" vertical="center"/>
    </xf>
    <xf numFmtId="0" fontId="23" fillId="0" borderId="23" xfId="2" applyFont="1" applyFill="1" applyBorder="1" applyAlignment="1">
      <alignment horizontal="center" vertical="center"/>
    </xf>
    <xf numFmtId="0" fontId="23" fillId="0" borderId="26" xfId="2" applyFont="1" applyFill="1" applyBorder="1" applyAlignment="1">
      <alignment horizontal="center" vertical="center"/>
    </xf>
    <xf numFmtId="0" fontId="23" fillId="0" borderId="22" xfId="2" applyFont="1" applyFill="1" applyBorder="1" applyAlignment="1">
      <alignment horizontal="center" vertical="center"/>
    </xf>
    <xf numFmtId="0" fontId="23" fillId="0" borderId="4" xfId="2" applyFont="1" applyFill="1" applyBorder="1" applyAlignment="1">
      <alignment horizontal="center" vertical="center"/>
    </xf>
    <xf numFmtId="0" fontId="23" fillId="0" borderId="2" xfId="2" applyFont="1" applyFill="1" applyBorder="1" applyAlignment="1">
      <alignment horizontal="center" vertical="center"/>
    </xf>
    <xf numFmtId="0" fontId="11" fillId="0" borderId="4" xfId="2" applyBorder="1" applyAlignment="1">
      <alignment horizontal="center" vertical="center"/>
    </xf>
    <xf numFmtId="0" fontId="11" fillId="0" borderId="2" xfId="2" applyBorder="1" applyAlignment="1">
      <alignment horizontal="center" vertical="center"/>
    </xf>
    <xf numFmtId="0" fontId="11" fillId="0" borderId="3" xfId="2" applyBorder="1" applyAlignment="1">
      <alignment horizontal="center" vertical="center"/>
    </xf>
    <xf numFmtId="0" fontId="84" fillId="0" borderId="0" xfId="2" applyFont="1" applyFill="1" applyBorder="1" applyAlignment="1">
      <alignment horizontal="center" vertical="center" wrapText="1"/>
    </xf>
    <xf numFmtId="14" fontId="9" fillId="0" borderId="0" xfId="18" applyNumberFormat="1" applyFont="1" applyFill="1" applyAlignment="1">
      <alignment horizontal="center" vertical="center"/>
    </xf>
    <xf numFmtId="165" fontId="9" fillId="0" borderId="0" xfId="2" applyNumberFormat="1" applyFont="1" applyFill="1" applyAlignment="1">
      <alignment horizontal="right" vertical="center"/>
    </xf>
    <xf numFmtId="14" fontId="9" fillId="0" borderId="0" xfId="2" applyNumberFormat="1" applyFont="1" applyFill="1" applyAlignment="1">
      <alignment horizontal="center" vertical="center"/>
    </xf>
    <xf numFmtId="165" fontId="11" fillId="0" borderId="0" xfId="2" applyNumberFormat="1" applyAlignment="1">
      <alignment horizontal="center" vertical="center"/>
    </xf>
    <xf numFmtId="0" fontId="25" fillId="2" borderId="0" xfId="2" applyFont="1" applyFill="1" applyAlignment="1">
      <alignment horizontal="center" vertical="center"/>
    </xf>
    <xf numFmtId="0" fontId="29" fillId="0" borderId="0" xfId="2" applyFont="1" applyFill="1" applyAlignment="1">
      <alignment horizontal="center" vertical="center"/>
    </xf>
    <xf numFmtId="0" fontId="71" fillId="0" borderId="2" xfId="2" applyFont="1" applyBorder="1" applyAlignment="1">
      <alignment horizontal="center" vertical="center" wrapText="1"/>
    </xf>
    <xf numFmtId="0" fontId="55" fillId="0" borderId="0" xfId="2" applyFont="1" applyFill="1" applyAlignment="1">
      <alignment horizontal="center" vertical="center"/>
    </xf>
    <xf numFmtId="0" fontId="15" fillId="0" borderId="0" xfId="2" applyFont="1" applyBorder="1" applyAlignment="1">
      <alignment horizontal="center" vertical="center"/>
    </xf>
    <xf numFmtId="0" fontId="47" fillId="0" borderId="0" xfId="2" applyFont="1" applyBorder="1" applyAlignment="1">
      <alignment horizontal="center" vertical="center"/>
    </xf>
    <xf numFmtId="0" fontId="70" fillId="0" borderId="28" xfId="2" applyFont="1" applyBorder="1" applyAlignment="1">
      <alignment horizontal="center" vertical="center" wrapText="1"/>
    </xf>
    <xf numFmtId="0" fontId="9" fillId="0" borderId="0" xfId="2" applyFont="1" applyFill="1" applyAlignment="1">
      <alignment horizontal="center" vertical="center"/>
    </xf>
    <xf numFmtId="166" fontId="18" fillId="0" borderId="26" xfId="2" applyNumberFormat="1" applyFont="1" applyFill="1" applyBorder="1" applyAlignment="1">
      <alignment horizontal="center" vertical="center"/>
    </xf>
    <xf numFmtId="0" fontId="39" fillId="0" borderId="28" xfId="2" applyFont="1" applyBorder="1" applyAlignment="1">
      <alignment horizontal="center" vertical="center" wrapText="1"/>
    </xf>
    <xf numFmtId="0" fontId="39" fillId="0" borderId="2" xfId="2" applyFont="1" applyBorder="1" applyAlignment="1">
      <alignment horizontal="center" vertical="center" wrapText="1"/>
    </xf>
    <xf numFmtId="0" fontId="56" fillId="0" borderId="0" xfId="2" applyFont="1" applyBorder="1" applyAlignment="1">
      <alignment horizontal="center" vertical="center" wrapText="1"/>
    </xf>
    <xf numFmtId="0" fontId="56" fillId="0" borderId="28" xfId="2" applyFont="1" applyBorder="1" applyAlignment="1">
      <alignment horizontal="center" vertical="center"/>
    </xf>
    <xf numFmtId="0" fontId="56" fillId="0" borderId="0" xfId="2" applyFont="1" applyBorder="1" applyAlignment="1">
      <alignment horizontal="center" vertical="center"/>
    </xf>
    <xf numFmtId="0" fontId="56" fillId="0" borderId="2" xfId="2" applyFont="1" applyBorder="1" applyAlignment="1">
      <alignment horizontal="center" vertical="center"/>
    </xf>
    <xf numFmtId="166" fontId="18" fillId="2" borderId="0" xfId="2" applyNumberFormat="1" applyFont="1" applyFill="1" applyAlignment="1">
      <alignment horizontal="center" vertical="center"/>
    </xf>
    <xf numFmtId="10" fontId="49" fillId="3" borderId="0" xfId="2" applyNumberFormat="1" applyFont="1" applyFill="1" applyBorder="1" applyAlignment="1">
      <alignment horizontal="center" vertical="center"/>
    </xf>
    <xf numFmtId="0" fontId="52" fillId="3" borderId="0" xfId="2" applyFont="1" applyFill="1" applyBorder="1" applyAlignment="1">
      <alignment horizontal="center" vertical="center"/>
    </xf>
    <xf numFmtId="1" fontId="80" fillId="0" borderId="0" xfId="2" applyNumberFormat="1" applyFont="1" applyFill="1" applyBorder="1" applyAlignment="1">
      <alignment horizontal="center" vertical="center"/>
    </xf>
    <xf numFmtId="166" fontId="18" fillId="4" borderId="0" xfId="206" applyNumberFormat="1" applyFont="1" applyFill="1" applyBorder="1" applyAlignment="1">
      <alignment horizontal="center" vertical="center"/>
    </xf>
    <xf numFmtId="0" fontId="23" fillId="0" borderId="0" xfId="2" applyFont="1" applyFill="1" applyBorder="1" applyAlignment="1">
      <alignment horizontal="center" vertical="center"/>
    </xf>
    <xf numFmtId="0" fontId="11" fillId="0" borderId="0" xfId="2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 vertical="center"/>
    </xf>
    <xf numFmtId="0" fontId="80" fillId="0" borderId="0" xfId="2" applyFont="1" applyFill="1" applyBorder="1" applyAlignment="1">
      <alignment horizontal="center" vertical="center"/>
    </xf>
    <xf numFmtId="0" fontId="14" fillId="0" borderId="0" xfId="2" applyFont="1" applyFill="1" applyBorder="1" applyAlignment="1">
      <alignment horizontal="center" vertical="center"/>
    </xf>
    <xf numFmtId="0" fontId="41" fillId="0" borderId="0" xfId="2" applyFont="1" applyFill="1" applyAlignment="1">
      <alignment horizontal="left" vertical="center" wrapText="1"/>
    </xf>
    <xf numFmtId="175" fontId="16" fillId="0" borderId="0" xfId="2" applyNumberFormat="1" applyFont="1" applyFill="1"/>
    <xf numFmtId="0" fontId="16" fillId="0" borderId="0" xfId="2" applyFont="1" applyFill="1" applyAlignment="1">
      <alignment vertical="center" wrapText="1"/>
    </xf>
    <xf numFmtId="4" fontId="16" fillId="0" borderId="0" xfId="2" applyNumberFormat="1" applyFont="1" applyFill="1" applyAlignment="1">
      <alignment vertical="center"/>
    </xf>
    <xf numFmtId="0" fontId="16" fillId="0" borderId="0" xfId="2" applyFont="1" applyFill="1" applyAlignment="1">
      <alignment vertical="center"/>
    </xf>
    <xf numFmtId="0" fontId="100" fillId="0" borderId="0" xfId="0" applyFont="1" applyFill="1"/>
    <xf numFmtId="0" fontId="39" fillId="0" borderId="0" xfId="2" applyFont="1" applyFill="1" applyAlignment="1">
      <alignment horizontal="left" vertical="center" wrapText="1"/>
    </xf>
    <xf numFmtId="0" fontId="39" fillId="0" borderId="0" xfId="2" applyFont="1" applyFill="1" applyAlignment="1">
      <alignment horizontal="center" vertical="center" wrapText="1"/>
    </xf>
    <xf numFmtId="165" fontId="39" fillId="0" borderId="0" xfId="2" applyNumberFormat="1" applyFont="1" applyFill="1" applyAlignment="1">
      <alignment horizontal="center" vertical="center"/>
    </xf>
    <xf numFmtId="0" fontId="40" fillId="0" borderId="0" xfId="2" applyFont="1" applyFill="1" applyAlignment="1">
      <alignment horizontal="center" vertical="center" wrapText="1"/>
    </xf>
  </cellXfs>
  <cellStyles count="38046">
    <cellStyle name="Collegamento ipertestuale 2" xfId="3"/>
    <cellStyle name="Collegamento ipertestuale 2 10" xfId="735"/>
    <cellStyle name="Collegamento ipertestuale 2 11" xfId="833"/>
    <cellStyle name="Collegamento ipertestuale 2 12" xfId="878"/>
    <cellStyle name="Collegamento ipertestuale 2 13" xfId="977"/>
    <cellStyle name="Collegamento ipertestuale 2 14" xfId="1638"/>
    <cellStyle name="Collegamento ipertestuale 2 15" xfId="2575"/>
    <cellStyle name="Collegamento ipertestuale 2 16" xfId="2870"/>
    <cellStyle name="Collegamento ipertestuale 2 17" xfId="4430"/>
    <cellStyle name="Collegamento ipertestuale 2 18" xfId="4727"/>
    <cellStyle name="Collegamento ipertestuale 2 19" xfId="6210"/>
    <cellStyle name="Collegamento ipertestuale 2 2" xfId="4"/>
    <cellStyle name="Collegamento ipertestuale 2 20" xfId="7469"/>
    <cellStyle name="Collegamento ipertestuale 2 21" xfId="8140"/>
    <cellStyle name="Collegamento ipertestuale 2 22" xfId="22857"/>
    <cellStyle name="Collegamento ipertestuale 2 23" xfId="29697"/>
    <cellStyle name="Collegamento ipertestuale 2 24" xfId="29696"/>
    <cellStyle name="Collegamento ipertestuale 2 25" xfId="30803"/>
    <cellStyle name="Collegamento ipertestuale 2 26" xfId="32498"/>
    <cellStyle name="Collegamento ipertestuale 2 27" xfId="33408"/>
    <cellStyle name="Collegamento ipertestuale 2 28" xfId="34238"/>
    <cellStyle name="Collegamento ipertestuale 2 29" xfId="35007"/>
    <cellStyle name="Collegamento ipertestuale 2 3" xfId="207"/>
    <cellStyle name="Collegamento ipertestuale 2 30" xfId="35442"/>
    <cellStyle name="Collegamento ipertestuale 2 31" xfId="36858"/>
    <cellStyle name="Collegamento ipertestuale 2 4" xfId="400"/>
    <cellStyle name="Collegamento ipertestuale 2 5" xfId="449"/>
    <cellStyle name="Collegamento ipertestuale 2 6" xfId="497"/>
    <cellStyle name="Collegamento ipertestuale 2 7" xfId="546"/>
    <cellStyle name="Collegamento ipertestuale 2 8" xfId="597"/>
    <cellStyle name="Collegamento ipertestuale 2 9" xfId="684"/>
    <cellStyle name="Collegamento ipertestuale 3" xfId="1"/>
    <cellStyle name="Normale" xfId="0" builtinId="0"/>
    <cellStyle name="Normale 10" xfId="5"/>
    <cellStyle name="Normale 10 10" xfId="685"/>
    <cellStyle name="Normale 10 10 10" xfId="15556"/>
    <cellStyle name="Normale 10 10 11" xfId="23168"/>
    <cellStyle name="Normale 10 10 12" xfId="30359"/>
    <cellStyle name="Normale 10 10 13" xfId="31300"/>
    <cellStyle name="Normale 10 10 14" xfId="32213"/>
    <cellStyle name="Normale 10 10 15" xfId="33131"/>
    <cellStyle name="Normale 10 10 16" xfId="34083"/>
    <cellStyle name="Normale 10 10 17" xfId="35015"/>
    <cellStyle name="Normale 10 10 18" xfId="35941"/>
    <cellStyle name="Normale 10 10 19" xfId="36866"/>
    <cellStyle name="Normale 10 10 2" xfId="1650"/>
    <cellStyle name="Normale 10 10 2 2" xfId="9113"/>
    <cellStyle name="Normale 10 10 2 3" xfId="16521"/>
    <cellStyle name="Normale 10 10 2 4" xfId="22848"/>
    <cellStyle name="Normale 10 10 20" xfId="37770"/>
    <cellStyle name="Normale 10 10 3" xfId="2583"/>
    <cellStyle name="Normale 10 10 3 2" xfId="10046"/>
    <cellStyle name="Normale 10 10 3 3" xfId="17454"/>
    <cellStyle name="Normale 10 10 3 4" xfId="27698"/>
    <cellStyle name="Normale 10 10 4" xfId="3499"/>
    <cellStyle name="Normale 10 10 4 2" xfId="10962"/>
    <cellStyle name="Normale 10 10 4 3" xfId="18370"/>
    <cellStyle name="Normale 10 10 4 4" xfId="22443"/>
    <cellStyle name="Normale 10 10 5" xfId="4438"/>
    <cellStyle name="Normale 10 10 5 2" xfId="11901"/>
    <cellStyle name="Normale 10 10 5 3" xfId="19309"/>
    <cellStyle name="Normale 10 10 5 4" xfId="28613"/>
    <cellStyle name="Normale 10 10 6" xfId="5354"/>
    <cellStyle name="Normale 10 10 6 2" xfId="12817"/>
    <cellStyle name="Normale 10 10 6 3" xfId="20225"/>
    <cellStyle name="Normale 10 10 6 4" xfId="22825"/>
    <cellStyle name="Normale 10 10 7" xfId="6287"/>
    <cellStyle name="Normale 10 10 7 2" xfId="13750"/>
    <cellStyle name="Normale 10 10 7 3" xfId="21158"/>
    <cellStyle name="Normale 10 10 7 4" xfId="27732"/>
    <cellStyle name="Normale 10 10 8" xfId="7192"/>
    <cellStyle name="Normale 10 10 8 2" xfId="14655"/>
    <cellStyle name="Normale 10 10 8 3" xfId="22063"/>
    <cellStyle name="Normale 10 10 8 4" xfId="23733"/>
    <cellStyle name="Normale 10 10 9" xfId="8148"/>
    <cellStyle name="Normale 10 11" xfId="762"/>
    <cellStyle name="Normale 10 11 10" xfId="15633"/>
    <cellStyle name="Normale 10 11 11" xfId="28379"/>
    <cellStyle name="Normale 10 11 12" xfId="30436"/>
    <cellStyle name="Normale 10 11 13" xfId="31377"/>
    <cellStyle name="Normale 10 11 14" xfId="32290"/>
    <cellStyle name="Normale 10 11 15" xfId="33207"/>
    <cellStyle name="Normale 10 11 16" xfId="34160"/>
    <cellStyle name="Normale 10 11 17" xfId="35092"/>
    <cellStyle name="Normale 10 11 18" xfId="36018"/>
    <cellStyle name="Normale 10 11 19" xfId="36943"/>
    <cellStyle name="Normale 10 11 2" xfId="1727"/>
    <cellStyle name="Normale 10 11 2 2" xfId="9190"/>
    <cellStyle name="Normale 10 11 2 3" xfId="16598"/>
    <cellStyle name="Normale 10 11 2 4" xfId="24521"/>
    <cellStyle name="Normale 10 11 20" xfId="37846"/>
    <cellStyle name="Normale 10 11 3" xfId="2660"/>
    <cellStyle name="Normale 10 11 3 2" xfId="10123"/>
    <cellStyle name="Normale 10 11 3 3" xfId="17531"/>
    <cellStyle name="Normale 10 11 3 4" xfId="22980"/>
    <cellStyle name="Normale 10 11 4" xfId="3576"/>
    <cellStyle name="Normale 10 11 4 2" xfId="11039"/>
    <cellStyle name="Normale 10 11 4 3" xfId="18447"/>
    <cellStyle name="Normale 10 11 4 4" xfId="26640"/>
    <cellStyle name="Normale 10 11 5" xfId="4515"/>
    <cellStyle name="Normale 10 11 5 2" xfId="11978"/>
    <cellStyle name="Normale 10 11 5 3" xfId="19386"/>
    <cellStyle name="Normale 10 11 5 4" xfId="25903"/>
    <cellStyle name="Normale 10 11 6" xfId="5431"/>
    <cellStyle name="Normale 10 11 6 2" xfId="12894"/>
    <cellStyle name="Normale 10 11 6 3" xfId="20302"/>
    <cellStyle name="Normale 10 11 6 4" xfId="24426"/>
    <cellStyle name="Normale 10 11 7" xfId="6364"/>
    <cellStyle name="Normale 10 11 7 2" xfId="13827"/>
    <cellStyle name="Normale 10 11 7 3" xfId="21235"/>
    <cellStyle name="Normale 10 11 7 4" xfId="23064"/>
    <cellStyle name="Normale 10 11 8" xfId="7268"/>
    <cellStyle name="Normale 10 11 8 2" xfId="14731"/>
    <cellStyle name="Normale 10 11 8 3" xfId="22139"/>
    <cellStyle name="Normale 10 11 8 4" xfId="26678"/>
    <cellStyle name="Normale 10 11 9" xfId="8225"/>
    <cellStyle name="Normale 10 12" xfId="817"/>
    <cellStyle name="Normale 10 12 10" xfId="15688"/>
    <cellStyle name="Normale 10 12 11" xfId="27668"/>
    <cellStyle name="Normale 10 12 12" xfId="30489"/>
    <cellStyle name="Normale 10 12 13" xfId="31432"/>
    <cellStyle name="Normale 10 12 14" xfId="32344"/>
    <cellStyle name="Normale 10 12 15" xfId="33260"/>
    <cellStyle name="Normale 10 12 16" xfId="34215"/>
    <cellStyle name="Normale 10 12 17" xfId="35147"/>
    <cellStyle name="Normale 10 12 18" xfId="36073"/>
    <cellStyle name="Normale 10 12 19" xfId="36998"/>
    <cellStyle name="Normale 10 12 2" xfId="1782"/>
    <cellStyle name="Normale 10 12 2 2" xfId="9245"/>
    <cellStyle name="Normale 10 12 2 3" xfId="16653"/>
    <cellStyle name="Normale 10 12 2 4" xfId="23884"/>
    <cellStyle name="Normale 10 12 20" xfId="37899"/>
    <cellStyle name="Normale 10 12 3" xfId="2715"/>
    <cellStyle name="Normale 10 12 3 2" xfId="10178"/>
    <cellStyle name="Normale 10 12 3 3" xfId="17586"/>
    <cellStyle name="Normale 10 12 3 4" xfId="29398"/>
    <cellStyle name="Normale 10 12 4" xfId="3630"/>
    <cellStyle name="Normale 10 12 4 2" xfId="11093"/>
    <cellStyle name="Normale 10 12 4 3" xfId="18501"/>
    <cellStyle name="Normale 10 12 4 4" xfId="27226"/>
    <cellStyle name="Normale 10 12 5" xfId="4570"/>
    <cellStyle name="Normale 10 12 5 2" xfId="12033"/>
    <cellStyle name="Normale 10 12 5 3" xfId="19441"/>
    <cellStyle name="Normale 10 12 5 4" xfId="24976"/>
    <cellStyle name="Normale 10 12 6" xfId="5485"/>
    <cellStyle name="Normale 10 12 6 2" xfId="12948"/>
    <cellStyle name="Normale 10 12 6 3" xfId="20356"/>
    <cellStyle name="Normale 10 12 6 4" xfId="24785"/>
    <cellStyle name="Normale 10 12 7" xfId="6419"/>
    <cellStyle name="Normale 10 12 7 2" xfId="13882"/>
    <cellStyle name="Normale 10 12 7 3" xfId="21290"/>
    <cellStyle name="Normale 10 12 7 4" xfId="29477"/>
    <cellStyle name="Normale 10 12 8" xfId="7321"/>
    <cellStyle name="Normale 10 12 8 2" xfId="14784"/>
    <cellStyle name="Normale 10 12 8 3" xfId="22192"/>
    <cellStyle name="Normale 10 12 8 4" xfId="22809"/>
    <cellStyle name="Normale 10 12 9" xfId="8280"/>
    <cellStyle name="Normale 10 13" xfId="904"/>
    <cellStyle name="Normale 10 13 10" xfId="15775"/>
    <cellStyle name="Normale 10 13 11" xfId="25267"/>
    <cellStyle name="Normale 10 13 12" xfId="30573"/>
    <cellStyle name="Normale 10 13 13" xfId="31519"/>
    <cellStyle name="Normale 10 13 14" xfId="32430"/>
    <cellStyle name="Normale 10 13 15" xfId="33342"/>
    <cellStyle name="Normale 10 13 16" xfId="34302"/>
    <cellStyle name="Normale 10 13 17" xfId="35234"/>
    <cellStyle name="Normale 10 13 18" xfId="36160"/>
    <cellStyle name="Normale 10 13 19" xfId="37085"/>
    <cellStyle name="Normale 10 13 2" xfId="1869"/>
    <cellStyle name="Normale 10 13 2 2" xfId="9332"/>
    <cellStyle name="Normale 10 13 2 3" xfId="16740"/>
    <cellStyle name="Normale 10 13 2 4" xfId="23597"/>
    <cellStyle name="Normale 10 13 20" xfId="37981"/>
    <cellStyle name="Normale 10 13 3" xfId="2802"/>
    <cellStyle name="Normale 10 13 3 2" xfId="10265"/>
    <cellStyle name="Normale 10 13 3 3" xfId="17673"/>
    <cellStyle name="Normale 10 13 3 4" xfId="22646"/>
    <cellStyle name="Normale 10 13 4" xfId="3716"/>
    <cellStyle name="Normale 10 13 4 2" xfId="11179"/>
    <cellStyle name="Normale 10 13 4 3" xfId="18587"/>
    <cellStyle name="Normale 10 13 4 4" xfId="22884"/>
    <cellStyle name="Normale 10 13 5" xfId="4657"/>
    <cellStyle name="Normale 10 13 5 2" xfId="12120"/>
    <cellStyle name="Normale 10 13 5 3" xfId="19528"/>
    <cellStyle name="Normale 10 13 5 4" xfId="25548"/>
    <cellStyle name="Normale 10 13 6" xfId="5571"/>
    <cellStyle name="Normale 10 13 6 2" xfId="13034"/>
    <cellStyle name="Normale 10 13 6 3" xfId="20442"/>
    <cellStyle name="Normale 10 13 6 4" xfId="25338"/>
    <cellStyle name="Normale 10 13 7" xfId="6506"/>
    <cellStyle name="Normale 10 13 7 2" xfId="13969"/>
    <cellStyle name="Normale 10 13 7 3" xfId="21377"/>
    <cellStyle name="Normale 10 13 7 4" xfId="22727"/>
    <cellStyle name="Normale 10 13 8" xfId="7403"/>
    <cellStyle name="Normale 10 13 8 2" xfId="14866"/>
    <cellStyle name="Normale 10 13 8 3" xfId="22274"/>
    <cellStyle name="Normale 10 13 8 4" xfId="27882"/>
    <cellStyle name="Normale 10 13 9" xfId="8367"/>
    <cellStyle name="Normale 10 14" xfId="979"/>
    <cellStyle name="Normale 10 14 2" xfId="8442"/>
    <cellStyle name="Normale 10 14 3" xfId="15850"/>
    <cellStyle name="Normale 10 14 4" xfId="22696"/>
    <cellStyle name="Normale 10 15" xfId="1511"/>
    <cellStyle name="Normale 10 15 2" xfId="8974"/>
    <cellStyle name="Normale 10 15 3" xfId="16382"/>
    <cellStyle name="Normale 10 15 4" xfId="25665"/>
    <cellStyle name="Normale 10 16" xfId="2082"/>
    <cellStyle name="Normale 10 16 2" xfId="9545"/>
    <cellStyle name="Normale 10 16 3" xfId="16953"/>
    <cellStyle name="Normale 10 16 4" xfId="26761"/>
    <cellStyle name="Normale 10 17" xfId="3785"/>
    <cellStyle name="Normale 10 17 2" xfId="11248"/>
    <cellStyle name="Normale 10 17 3" xfId="18656"/>
    <cellStyle name="Normale 10 17 4" xfId="25383"/>
    <cellStyle name="Normale 10 18" xfId="3937"/>
    <cellStyle name="Normale 10 18 2" xfId="11400"/>
    <cellStyle name="Normale 10 18 3" xfId="18808"/>
    <cellStyle name="Normale 10 18 4" xfId="25959"/>
    <cellStyle name="Normale 10 19" xfId="5643"/>
    <cellStyle name="Normale 10 19 2" xfId="13106"/>
    <cellStyle name="Normale 10 19 3" xfId="20514"/>
    <cellStyle name="Normale 10 19 4" xfId="29428"/>
    <cellStyle name="Normale 10 2" xfId="6"/>
    <cellStyle name="Normale 10 2 10" xfId="6442"/>
    <cellStyle name="Normale 10 2 10 2" xfId="13905"/>
    <cellStyle name="Normale 10 2 10 3" xfId="21313"/>
    <cellStyle name="Normale 10 2 10 4" xfId="22555"/>
    <cellStyle name="Normale 10 2 11" xfId="7472"/>
    <cellStyle name="Normale 10 2 12" xfId="7646"/>
    <cellStyle name="Normale 10 2 13" xfId="27459"/>
    <cellStyle name="Normale 10 2 14" xfId="29700"/>
    <cellStyle name="Normale 10 2 15" xfId="30229"/>
    <cellStyle name="Normale 10 2 16" xfId="31384"/>
    <cellStyle name="Normale 10 2 17" xfId="32497"/>
    <cellStyle name="Normale 10 2 18" xfId="33411"/>
    <cellStyle name="Normale 10 2 19" xfId="34001"/>
    <cellStyle name="Normale 10 2 2" xfId="7"/>
    <cellStyle name="Normale 10 2 2 10" xfId="7473"/>
    <cellStyle name="Normale 10 2 2 11" xfId="8303"/>
    <cellStyle name="Normale 10 2 2 12" xfId="26551"/>
    <cellStyle name="Normale 10 2 2 13" xfId="29701"/>
    <cellStyle name="Normale 10 2 2 14" xfId="30182"/>
    <cellStyle name="Normale 10 2 2 15" xfId="31288"/>
    <cellStyle name="Normale 10 2 2 16" xfId="32439"/>
    <cellStyle name="Normale 10 2 2 17" xfId="33412"/>
    <cellStyle name="Normale 10 2 2 18" xfId="33944"/>
    <cellStyle name="Normale 10 2 2 19" xfId="35170"/>
    <cellStyle name="Normale 10 2 2 2" xfId="210"/>
    <cellStyle name="Normale 10 2 2 2 10" xfId="15083"/>
    <cellStyle name="Normale 10 2 2 2 11" xfId="22524"/>
    <cellStyle name="Normale 10 2 2 2 12" xfId="29895"/>
    <cellStyle name="Normale 10 2 2 2 13" xfId="30827"/>
    <cellStyle name="Normale 10 2 2 2 14" xfId="31748"/>
    <cellStyle name="Normale 10 2 2 2 15" xfId="32673"/>
    <cellStyle name="Normale 10 2 2 2 16" xfId="33610"/>
    <cellStyle name="Normale 10 2 2 2 17" xfId="34540"/>
    <cellStyle name="Normale 10 2 2 2 18" xfId="35466"/>
    <cellStyle name="Normale 10 2 2 2 19" xfId="36392"/>
    <cellStyle name="Normale 10 2 2 2 2" xfId="1177"/>
    <cellStyle name="Normale 10 2 2 2 2 2" xfId="8640"/>
    <cellStyle name="Normale 10 2 2 2 2 3" xfId="16048"/>
    <cellStyle name="Normale 10 2 2 2 2 4" xfId="25942"/>
    <cellStyle name="Normale 10 2 2 2 20" xfId="37312"/>
    <cellStyle name="Normale 10 2 2 2 3" xfId="2108"/>
    <cellStyle name="Normale 10 2 2 2 3 2" xfId="9571"/>
    <cellStyle name="Normale 10 2 2 2 3 3" xfId="16979"/>
    <cellStyle name="Normale 10 2 2 2 3 4" xfId="23236"/>
    <cellStyle name="Normale 10 2 2 2 4" xfId="3030"/>
    <cellStyle name="Normale 10 2 2 2 4 2" xfId="10493"/>
    <cellStyle name="Normale 10 2 2 2 4 3" xfId="17901"/>
    <cellStyle name="Normale 10 2 2 2 4 4" xfId="26721"/>
    <cellStyle name="Normale 10 2 2 2 5" xfId="3963"/>
    <cellStyle name="Normale 10 2 2 2 5 2" xfId="11426"/>
    <cellStyle name="Normale 10 2 2 2 5 3" xfId="18834"/>
    <cellStyle name="Normale 10 2 2 2 5 4" xfId="23901"/>
    <cellStyle name="Normale 10 2 2 2 6" xfId="4886"/>
    <cellStyle name="Normale 10 2 2 2 6 2" xfId="12349"/>
    <cellStyle name="Normale 10 2 2 2 6 3" xfId="19757"/>
    <cellStyle name="Normale 10 2 2 2 6 4" xfId="28611"/>
    <cellStyle name="Normale 10 2 2 2 7" xfId="5814"/>
    <cellStyle name="Normale 10 2 2 2 7 2" xfId="13277"/>
    <cellStyle name="Normale 10 2 2 2 7 3" xfId="20685"/>
    <cellStyle name="Normale 10 2 2 2 7 4" xfId="22383"/>
    <cellStyle name="Normale 10 2 2 2 8" xfId="6734"/>
    <cellStyle name="Normale 10 2 2 2 8 2" xfId="14197"/>
    <cellStyle name="Normale 10 2 2 2 8 3" xfId="21605"/>
    <cellStyle name="Normale 10 2 2 2 8 4" xfId="26693"/>
    <cellStyle name="Normale 10 2 2 2 9" xfId="7673"/>
    <cellStyle name="Normale 10 2 2 20" xfId="35928"/>
    <cellStyle name="Normale 10 2 2 21" xfId="37021"/>
    <cellStyle name="Normale 10 2 2 3" xfId="981"/>
    <cellStyle name="Normale 10 2 2 3 2" xfId="8444"/>
    <cellStyle name="Normale 10 2 2 3 3" xfId="15852"/>
    <cellStyle name="Normale 10 2 2 3 4" xfId="28216"/>
    <cellStyle name="Normale 10 2 2 4" xfId="993"/>
    <cellStyle name="Normale 10 2 2 4 2" xfId="8456"/>
    <cellStyle name="Normale 10 2 2 4 3" xfId="15864"/>
    <cellStyle name="Normale 10 2 2 4 4" xfId="25263"/>
    <cellStyle name="Normale 10 2 2 5" xfId="2738"/>
    <cellStyle name="Normale 10 2 2 5 2" xfId="10201"/>
    <cellStyle name="Normale 10 2 2 5 3" xfId="17609"/>
    <cellStyle name="Normale 10 2 2 5 4" xfId="28893"/>
    <cellStyle name="Normale 10 2 2 6" xfId="3786"/>
    <cellStyle name="Normale 10 2 2 6 2" xfId="11249"/>
    <cellStyle name="Normale 10 2 2 6 3" xfId="18657"/>
    <cellStyle name="Normale 10 2 2 6 4" xfId="24467"/>
    <cellStyle name="Normale 10 2 2 7" xfId="4593"/>
    <cellStyle name="Normale 10 2 2 7 2" xfId="12056"/>
    <cellStyle name="Normale 10 2 2 7 3" xfId="19464"/>
    <cellStyle name="Normale 10 2 2 7 4" xfId="25680"/>
    <cellStyle name="Normale 10 2 2 8" xfId="5640"/>
    <cellStyle name="Normale 10 2 2 8 2" xfId="13103"/>
    <cellStyle name="Normale 10 2 2 8 3" xfId="20511"/>
    <cellStyle name="Normale 10 2 2 8 4" xfId="24932"/>
    <cellStyle name="Normale 10 2 2 9" xfId="6371"/>
    <cellStyle name="Normale 10 2 2 9 2" xfId="13834"/>
    <cellStyle name="Normale 10 2 2 9 3" xfId="21242"/>
    <cellStyle name="Normale 10 2 2 9 4" xfId="24001"/>
    <cellStyle name="Normale 10 2 20" xfId="34513"/>
    <cellStyle name="Normale 10 2 21" xfId="36025"/>
    <cellStyle name="Normale 10 2 22" xfId="36367"/>
    <cellStyle name="Normale 10 2 3" xfId="209"/>
    <cellStyle name="Normale 10 2 3 10" xfId="15082"/>
    <cellStyle name="Normale 10 2 3 11" xfId="23637"/>
    <cellStyle name="Normale 10 2 3 12" xfId="29894"/>
    <cellStyle name="Normale 10 2 3 13" xfId="30826"/>
    <cellStyle name="Normale 10 2 3 14" xfId="31747"/>
    <cellStyle name="Normale 10 2 3 15" xfId="32672"/>
    <cellStyle name="Normale 10 2 3 16" xfId="33609"/>
    <cellStyle name="Normale 10 2 3 17" xfId="34539"/>
    <cellStyle name="Normale 10 2 3 18" xfId="35465"/>
    <cellStyle name="Normale 10 2 3 19" xfId="36391"/>
    <cellStyle name="Normale 10 2 3 2" xfId="1176"/>
    <cellStyle name="Normale 10 2 3 2 2" xfId="8639"/>
    <cellStyle name="Normale 10 2 3 2 3" xfId="16047"/>
    <cellStyle name="Normale 10 2 3 2 4" xfId="26876"/>
    <cellStyle name="Normale 10 2 3 20" xfId="37311"/>
    <cellStyle name="Normale 10 2 3 3" xfId="2107"/>
    <cellStyle name="Normale 10 2 3 3 2" xfId="9570"/>
    <cellStyle name="Normale 10 2 3 3 3" xfId="16978"/>
    <cellStyle name="Normale 10 2 3 3 4" xfId="25236"/>
    <cellStyle name="Normale 10 2 3 4" xfId="3029"/>
    <cellStyle name="Normale 10 2 3 4 2" xfId="10492"/>
    <cellStyle name="Normale 10 2 3 4 3" xfId="17900"/>
    <cellStyle name="Normale 10 2 3 4 4" xfId="27625"/>
    <cellStyle name="Normale 10 2 3 5" xfId="3962"/>
    <cellStyle name="Normale 10 2 3 5 2" xfId="11425"/>
    <cellStyle name="Normale 10 2 3 5 3" xfId="18833"/>
    <cellStyle name="Normale 10 2 3 5 4" xfId="24825"/>
    <cellStyle name="Normale 10 2 3 6" xfId="4885"/>
    <cellStyle name="Normale 10 2 3 6 2" xfId="12348"/>
    <cellStyle name="Normale 10 2 3 6 3" xfId="19756"/>
    <cellStyle name="Normale 10 2 3 6 4" xfId="29502"/>
    <cellStyle name="Normale 10 2 3 7" xfId="5813"/>
    <cellStyle name="Normale 10 2 3 7 2" xfId="13276"/>
    <cellStyle name="Normale 10 2 3 7 3" xfId="20684"/>
    <cellStyle name="Normale 10 2 3 7 4" xfId="23498"/>
    <cellStyle name="Normale 10 2 3 8" xfId="6733"/>
    <cellStyle name="Normale 10 2 3 8 2" xfId="14196"/>
    <cellStyle name="Normale 10 2 3 8 3" xfId="21604"/>
    <cellStyle name="Normale 10 2 3 8 4" xfId="27597"/>
    <cellStyle name="Normale 10 2 3 9" xfId="7672"/>
    <cellStyle name="Normale 10 2 4" xfId="980"/>
    <cellStyle name="Normale 10 2 4 2" xfId="8443"/>
    <cellStyle name="Normale 10 2 4 3" xfId="15851"/>
    <cellStyle name="Normale 10 2 4 4" xfId="29126"/>
    <cellStyle name="Normale 10 2 5" xfId="1466"/>
    <cellStyle name="Normale 10 2 5 2" xfId="8929"/>
    <cellStyle name="Normale 10 2 5 3" xfId="16337"/>
    <cellStyle name="Normale 10 2 5 4" xfId="22682"/>
    <cellStyle name="Normale 10 2 6" xfId="2081"/>
    <cellStyle name="Normale 10 2 6 2" xfId="9544"/>
    <cellStyle name="Normale 10 2 6 3" xfId="16952"/>
    <cellStyle name="Normale 10 2 6 4" xfId="27665"/>
    <cellStyle name="Normale 10 2 7" xfId="3725"/>
    <cellStyle name="Normale 10 2 7 2" xfId="11188"/>
    <cellStyle name="Normale 10 2 7 3" xfId="18596"/>
    <cellStyle name="Normale 10 2 7 4" xfId="29265"/>
    <cellStyle name="Normale 10 2 8" xfId="3936"/>
    <cellStyle name="Normale 10 2 8 2" xfId="11399"/>
    <cellStyle name="Normale 10 2 8 3" xfId="18807"/>
    <cellStyle name="Normale 10 2 8 4" xfId="26893"/>
    <cellStyle name="Normale 10 2 9" xfId="5642"/>
    <cellStyle name="Normale 10 2 9 2" xfId="13105"/>
    <cellStyle name="Normale 10 2 9 3" xfId="20513"/>
    <cellStyle name="Normale 10 2 9 4" xfId="22999"/>
    <cellStyle name="Normale 10 20" xfId="5790"/>
    <cellStyle name="Normale 10 20 2" xfId="13253"/>
    <cellStyle name="Normale 10 20 3" xfId="20661"/>
    <cellStyle name="Normale 10 20 4" xfId="23057"/>
    <cellStyle name="Normale 10 21" xfId="7471"/>
    <cellStyle name="Normale 10 22" xfId="7647"/>
    <cellStyle name="Normale 10 23" xfId="28383"/>
    <cellStyle name="Normale 10 24" xfId="29699"/>
    <cellStyle name="Normale 10 25" xfId="30280"/>
    <cellStyle name="Normale 10 26" xfId="31455"/>
    <cellStyle name="Normale 10 27" xfId="32499"/>
    <cellStyle name="Normale 10 28" xfId="33410"/>
    <cellStyle name="Normale 10 29" xfId="34071"/>
    <cellStyle name="Normale 10 3" xfId="8"/>
    <cellStyle name="Normale 10 3 10" xfId="7474"/>
    <cellStyle name="Normale 10 3 11" xfId="8232"/>
    <cellStyle name="Normale 10 3 12" xfId="25622"/>
    <cellStyle name="Normale 10 3 13" xfId="29702"/>
    <cellStyle name="Normale 10 3 14" xfId="30134"/>
    <cellStyle name="Normale 10 3 15" xfId="31218"/>
    <cellStyle name="Normale 10 3 16" xfId="32367"/>
    <cellStyle name="Normale 10 3 17" xfId="33413"/>
    <cellStyle name="Normale 10 3 18" xfId="33899"/>
    <cellStyle name="Normale 10 3 19" xfId="35099"/>
    <cellStyle name="Normale 10 3 2" xfId="211"/>
    <cellStyle name="Normale 10 3 2 10" xfId="15084"/>
    <cellStyle name="Normale 10 3 2 11" xfId="28954"/>
    <cellStyle name="Normale 10 3 2 12" xfId="29896"/>
    <cellStyle name="Normale 10 3 2 13" xfId="30828"/>
    <cellStyle name="Normale 10 3 2 14" xfId="31749"/>
    <cellStyle name="Normale 10 3 2 15" xfId="32674"/>
    <cellStyle name="Normale 10 3 2 16" xfId="33611"/>
    <cellStyle name="Normale 10 3 2 17" xfId="34541"/>
    <cellStyle name="Normale 10 3 2 18" xfId="35467"/>
    <cellStyle name="Normale 10 3 2 19" xfId="36393"/>
    <cellStyle name="Normale 10 3 2 2" xfId="1178"/>
    <cellStyle name="Normale 10 3 2 2 2" xfId="8641"/>
    <cellStyle name="Normale 10 3 2 2 3" xfId="16049"/>
    <cellStyle name="Normale 10 3 2 2 4" xfId="25033"/>
    <cellStyle name="Normale 10 3 2 20" xfId="37313"/>
    <cellStyle name="Normale 10 3 2 3" xfId="2109"/>
    <cellStyle name="Normale 10 3 2 3 2" xfId="9572"/>
    <cellStyle name="Normale 10 3 2 3 3" xfId="16980"/>
    <cellStyle name="Normale 10 3 2 3 4" xfId="29668"/>
    <cellStyle name="Normale 10 3 2 4" xfId="3031"/>
    <cellStyle name="Normale 10 3 2 4 2" xfId="10494"/>
    <cellStyle name="Normale 10 3 2 4 3" xfId="17902"/>
    <cellStyle name="Normale 10 3 2 4 4" xfId="25789"/>
    <cellStyle name="Normale 10 3 2 5" xfId="3964"/>
    <cellStyle name="Normale 10 3 2 5 2" xfId="11427"/>
    <cellStyle name="Normale 10 3 2 5 3" xfId="18835"/>
    <cellStyle name="Normale 10 3 2 5 4" xfId="22915"/>
    <cellStyle name="Normale 10 3 2 6" xfId="4887"/>
    <cellStyle name="Normale 10 3 2 6 2" xfId="12350"/>
    <cellStyle name="Normale 10 3 2 6 3" xfId="19758"/>
    <cellStyle name="Normale 10 3 2 6 4" xfId="27684"/>
    <cellStyle name="Normale 10 3 2 7" xfId="5815"/>
    <cellStyle name="Normale 10 3 2 7 2" xfId="13278"/>
    <cellStyle name="Normale 10 3 2 7 3" xfId="20686"/>
    <cellStyle name="Normale 10 3 2 7 4" xfId="28814"/>
    <cellStyle name="Normale 10 3 2 8" xfId="6735"/>
    <cellStyle name="Normale 10 3 2 8 2" xfId="14198"/>
    <cellStyle name="Normale 10 3 2 8 3" xfId="21606"/>
    <cellStyle name="Normale 10 3 2 8 4" xfId="25761"/>
    <cellStyle name="Normale 10 3 2 9" xfId="7674"/>
    <cellStyle name="Normale 10 3 20" xfId="35857"/>
    <cellStyle name="Normale 10 3 21" xfId="36950"/>
    <cellStyle name="Normale 10 3 3" xfId="982"/>
    <cellStyle name="Normale 10 3 3 2" xfId="8445"/>
    <cellStyle name="Normale 10 3 3 3" xfId="15853"/>
    <cellStyle name="Normale 10 3 3 4" xfId="27294"/>
    <cellStyle name="Normale 10 3 4" xfId="1635"/>
    <cellStyle name="Normale 10 3 4 2" xfId="9098"/>
    <cellStyle name="Normale 10 3 4 3" xfId="16506"/>
    <cellStyle name="Normale 10 3 4 4" xfId="29381"/>
    <cellStyle name="Normale 10 3 5" xfId="2667"/>
    <cellStyle name="Normale 10 3 5 2" xfId="10130"/>
    <cellStyle name="Normale 10 3 5 3" xfId="17538"/>
    <cellStyle name="Normale 10 3 5 4" xfId="23915"/>
    <cellStyle name="Normale 10 3 6" xfId="3784"/>
    <cellStyle name="Normale 10 3 6 2" xfId="11247"/>
    <cellStyle name="Normale 10 3 6 3" xfId="18655"/>
    <cellStyle name="Normale 10 3 6 4" xfId="26310"/>
    <cellStyle name="Normale 10 3 7" xfId="4522"/>
    <cellStyle name="Normale 10 3 7 2" xfId="11985"/>
    <cellStyle name="Normale 10 3 7 3" xfId="19393"/>
    <cellStyle name="Normale 10 3 7 4" xfId="26765"/>
    <cellStyle name="Normale 10 3 8" xfId="5580"/>
    <cellStyle name="Normale 10 3 8 2" xfId="13043"/>
    <cellStyle name="Normale 10 3 8 3" xfId="20451"/>
    <cellStyle name="Normale 10 3 8 4" xfId="25144"/>
    <cellStyle name="Normale 10 3 9" xfId="6275"/>
    <cellStyle name="Normale 10 3 9 2" xfId="13738"/>
    <cellStyle name="Normale 10 3 9 3" xfId="21146"/>
    <cellStyle name="Normale 10 3 9 4" xfId="23292"/>
    <cellStyle name="Normale 10 30" xfId="34514"/>
    <cellStyle name="Normale 10 31" xfId="36096"/>
    <cellStyle name="Normale 10 32" xfId="36368"/>
    <cellStyle name="Normale 10 4" xfId="208"/>
    <cellStyle name="Normale 10 4 10" xfId="15081"/>
    <cellStyle name="Normale 10 4 11" xfId="24559"/>
    <cellStyle name="Normale 10 4 12" xfId="29893"/>
    <cellStyle name="Normale 10 4 13" xfId="30825"/>
    <cellStyle name="Normale 10 4 14" xfId="31746"/>
    <cellStyle name="Normale 10 4 15" xfId="32671"/>
    <cellStyle name="Normale 10 4 16" xfId="33608"/>
    <cellStyle name="Normale 10 4 17" xfId="34538"/>
    <cellStyle name="Normale 10 4 18" xfId="35464"/>
    <cellStyle name="Normale 10 4 19" xfId="36390"/>
    <cellStyle name="Normale 10 4 2" xfId="1175"/>
    <cellStyle name="Normale 10 4 2 2" xfId="8638"/>
    <cellStyle name="Normale 10 4 2 3" xfId="16046"/>
    <cellStyle name="Normale 10 4 2 4" xfId="27778"/>
    <cellStyle name="Normale 10 4 20" xfId="37310"/>
    <cellStyle name="Normale 10 4 3" xfId="2106"/>
    <cellStyle name="Normale 10 4 3 2" xfId="9569"/>
    <cellStyle name="Normale 10 4 3 3" xfId="16977"/>
    <cellStyle name="Normale 10 4 3 4" xfId="26159"/>
    <cellStyle name="Normale 10 4 4" xfId="3028"/>
    <cellStyle name="Normale 10 4 4 2" xfId="10491"/>
    <cellStyle name="Normale 10 4 4 3" xfId="17899"/>
    <cellStyle name="Normale 10 4 4 4" xfId="28551"/>
    <cellStyle name="Normale 10 4 5" xfId="3961"/>
    <cellStyle name="Normale 10 4 5 2" xfId="11424"/>
    <cellStyle name="Normale 10 4 5 3" xfId="18832"/>
    <cellStyle name="Normale 10 4 5 4" xfId="25737"/>
    <cellStyle name="Normale 10 4 6" xfId="4884"/>
    <cellStyle name="Normale 10 4 6 2" xfId="12347"/>
    <cellStyle name="Normale 10 4 6 3" xfId="19755"/>
    <cellStyle name="Normale 10 4 6 4" xfId="23073"/>
    <cellStyle name="Normale 10 4 7" xfId="5812"/>
    <cellStyle name="Normale 10 4 7 2" xfId="13275"/>
    <cellStyle name="Normale 10 4 7 3" xfId="20683"/>
    <cellStyle name="Normale 10 4 7 4" xfId="24417"/>
    <cellStyle name="Normale 10 4 8" xfId="6732"/>
    <cellStyle name="Normale 10 4 8 2" xfId="14195"/>
    <cellStyle name="Normale 10 4 8 3" xfId="21603"/>
    <cellStyle name="Normale 10 4 8 4" xfId="28523"/>
    <cellStyle name="Normale 10 4 9" xfId="7671"/>
    <cellStyle name="Normale 10 5" xfId="401"/>
    <cellStyle name="Normale 10 5 10" xfId="15274"/>
    <cellStyle name="Normale 10 5 11" xfId="29665"/>
    <cellStyle name="Normale 10 5 12" xfId="30086"/>
    <cellStyle name="Normale 10 5 13" xfId="31018"/>
    <cellStyle name="Normale 10 5 14" xfId="31939"/>
    <cellStyle name="Normale 10 5 15" xfId="32863"/>
    <cellStyle name="Normale 10 5 16" xfId="33801"/>
    <cellStyle name="Normale 10 5 17" xfId="34731"/>
    <cellStyle name="Normale 10 5 18" xfId="35657"/>
    <cellStyle name="Normale 10 5 19" xfId="36583"/>
    <cellStyle name="Normale 10 5 2" xfId="1368"/>
    <cellStyle name="Normale 10 5 2 2" xfId="8831"/>
    <cellStyle name="Normale 10 5 2 3" xfId="16239"/>
    <cellStyle name="Normale 10 5 2 4" xfId="26972"/>
    <cellStyle name="Normale 10 5 20" xfId="37502"/>
    <cellStyle name="Normale 10 5 3" xfId="2299"/>
    <cellStyle name="Normale 10 5 3 2" xfId="9762"/>
    <cellStyle name="Normale 10 5 3 3" xfId="17170"/>
    <cellStyle name="Normale 10 5 3 4" xfId="24170"/>
    <cellStyle name="Normale 10 5 4" xfId="3221"/>
    <cellStyle name="Normale 10 5 4 2" xfId="10684"/>
    <cellStyle name="Normale 10 5 4 3" xfId="18092"/>
    <cellStyle name="Normale 10 5 4 4" xfId="27491"/>
    <cellStyle name="Normale 10 5 5" xfId="4154"/>
    <cellStyle name="Normale 10 5 5 2" xfId="11617"/>
    <cellStyle name="Normale 10 5 5 3" xfId="19025"/>
    <cellStyle name="Normale 10 5 5 4" xfId="24734"/>
    <cellStyle name="Normale 10 5 6" xfId="5077"/>
    <cellStyle name="Normale 10 5 6 2" xfId="12540"/>
    <cellStyle name="Normale 10 5 6 3" xfId="19948"/>
    <cellStyle name="Normale 10 5 6 4" xfId="29630"/>
    <cellStyle name="Normale 10 5 7" xfId="6005"/>
    <cellStyle name="Normale 10 5 7 2" xfId="13468"/>
    <cellStyle name="Normale 10 5 7 3" xfId="20876"/>
    <cellStyle name="Normale 10 5 7 4" xfId="29616"/>
    <cellStyle name="Normale 10 5 8" xfId="6924"/>
    <cellStyle name="Normale 10 5 8 2" xfId="14387"/>
    <cellStyle name="Normale 10 5 8 3" xfId="21795"/>
    <cellStyle name="Normale 10 5 8 4" xfId="28385"/>
    <cellStyle name="Normale 10 5 9" xfId="7864"/>
    <cellStyle name="Normale 10 6" xfId="444"/>
    <cellStyle name="Normale 10 6 10" xfId="15317"/>
    <cellStyle name="Normale 10 6 11" xfId="26603"/>
    <cellStyle name="Normale 10 6 12" xfId="30129"/>
    <cellStyle name="Normale 10 6 13" xfId="31061"/>
    <cellStyle name="Normale 10 6 14" xfId="31982"/>
    <cellStyle name="Normale 10 6 15" xfId="32906"/>
    <cellStyle name="Normale 10 6 16" xfId="33844"/>
    <cellStyle name="Normale 10 6 17" xfId="34774"/>
    <cellStyle name="Normale 10 6 18" xfId="35700"/>
    <cellStyle name="Normale 10 6 19" xfId="36626"/>
    <cellStyle name="Normale 10 6 2" xfId="1411"/>
    <cellStyle name="Normale 10 6 2 2" xfId="8874"/>
    <cellStyle name="Normale 10 6 2 3" xfId="16282"/>
    <cellStyle name="Normale 10 6 2 4" xfId="23609"/>
    <cellStyle name="Normale 10 6 20" xfId="37545"/>
    <cellStyle name="Normale 10 6 3" xfId="2342"/>
    <cellStyle name="Normale 10 6 3 2" xfId="9805"/>
    <cellStyle name="Normale 10 6 3 3" xfId="17213"/>
    <cellStyle name="Normale 10 6 3 4" xfId="28369"/>
    <cellStyle name="Normale 10 6 4" xfId="3264"/>
    <cellStyle name="Normale 10 6 4 2" xfId="10727"/>
    <cellStyle name="Normale 10 6 4 3" xfId="18135"/>
    <cellStyle name="Normale 10 6 4 4" xfId="26718"/>
    <cellStyle name="Normale 10 6 5" xfId="4197"/>
    <cellStyle name="Normale 10 6 5 2" xfId="11660"/>
    <cellStyle name="Normale 10 6 5 3" xfId="19068"/>
    <cellStyle name="Normale 10 6 5 4" xfId="28133"/>
    <cellStyle name="Normale 10 6 6" xfId="5120"/>
    <cellStyle name="Normale 10 6 6 2" xfId="12583"/>
    <cellStyle name="Normale 10 6 6 3" xfId="19991"/>
    <cellStyle name="Normale 10 6 6 4" xfId="26082"/>
    <cellStyle name="Normale 10 6 7" xfId="6048"/>
    <cellStyle name="Normale 10 6 7 2" xfId="13511"/>
    <cellStyle name="Normale 10 6 7 3" xfId="20919"/>
    <cellStyle name="Normale 10 6 7 4" xfId="26566"/>
    <cellStyle name="Normale 10 6 8" xfId="6967"/>
    <cellStyle name="Normale 10 6 8 2" xfId="14430"/>
    <cellStyle name="Normale 10 6 8 3" xfId="21838"/>
    <cellStyle name="Normale 10 6 8 4" xfId="27650"/>
    <cellStyle name="Normale 10 6 9" xfId="7907"/>
    <cellStyle name="Normale 10 7" xfId="492"/>
    <cellStyle name="Normale 10 7 10" xfId="15365"/>
    <cellStyle name="Normale 10 7 11" xfId="25469"/>
    <cellStyle name="Normale 10 7 12" xfId="30177"/>
    <cellStyle name="Normale 10 7 13" xfId="31109"/>
    <cellStyle name="Normale 10 7 14" xfId="32030"/>
    <cellStyle name="Normale 10 7 15" xfId="32953"/>
    <cellStyle name="Normale 10 7 16" xfId="33892"/>
    <cellStyle name="Normale 10 7 17" xfId="34822"/>
    <cellStyle name="Normale 10 7 18" xfId="35748"/>
    <cellStyle name="Normale 10 7 19" xfId="36674"/>
    <cellStyle name="Normale 10 7 2" xfId="1459"/>
    <cellStyle name="Normale 10 7 2 2" xfId="8922"/>
    <cellStyle name="Normale 10 7 2 3" xfId="16330"/>
    <cellStyle name="Normale 10 7 2 4" xfId="29347"/>
    <cellStyle name="Normale 10 7 20" xfId="37592"/>
    <cellStyle name="Normale 10 7 3" xfId="2390"/>
    <cellStyle name="Normale 10 7 3 2" xfId="9853"/>
    <cellStyle name="Normale 10 7 3 3" xfId="17261"/>
    <cellStyle name="Normale 10 7 3 4" xfId="27987"/>
    <cellStyle name="Normale 10 7 4" xfId="3312"/>
    <cellStyle name="Normale 10 7 4 2" xfId="10775"/>
    <cellStyle name="Normale 10 7 4 3" xfId="18183"/>
    <cellStyle name="Normale 10 7 4 4" xfId="28730"/>
    <cellStyle name="Normale 10 7 5" xfId="4245"/>
    <cellStyle name="Normale 10 7 5 2" xfId="11708"/>
    <cellStyle name="Normale 10 7 5 3" xfId="19116"/>
    <cellStyle name="Normale 10 7 5 4" xfId="29641"/>
    <cellStyle name="Normale 10 7 6" xfId="5168"/>
    <cellStyle name="Normale 10 7 6 2" xfId="12631"/>
    <cellStyle name="Normale 10 7 6 3" xfId="20039"/>
    <cellStyle name="Normale 10 7 6 4" xfId="24774"/>
    <cellStyle name="Normale 10 7 7" xfId="6096"/>
    <cellStyle name="Normale 10 7 7 2" xfId="13559"/>
    <cellStyle name="Normale 10 7 7 3" xfId="20967"/>
    <cellStyle name="Normale 10 7 7 4" xfId="25326"/>
    <cellStyle name="Normale 10 7 8" xfId="7014"/>
    <cellStyle name="Normale 10 7 8 2" xfId="14477"/>
    <cellStyle name="Normale 10 7 8 3" xfId="21885"/>
    <cellStyle name="Normale 10 7 8 4" xfId="28744"/>
    <cellStyle name="Normale 10 7 9" xfId="7955"/>
    <cellStyle name="Normale 10 8" xfId="547"/>
    <cellStyle name="Normale 10 8 10" xfId="15420"/>
    <cellStyle name="Normale 10 8 11" xfId="27782"/>
    <cellStyle name="Normale 10 8 12" xfId="30230"/>
    <cellStyle name="Normale 10 8 13" xfId="31164"/>
    <cellStyle name="Normale 10 8 14" xfId="32083"/>
    <cellStyle name="Normale 10 8 15" xfId="33004"/>
    <cellStyle name="Normale 10 8 16" xfId="33947"/>
    <cellStyle name="Normale 10 8 17" xfId="34877"/>
    <cellStyle name="Normale 10 8 18" xfId="35803"/>
    <cellStyle name="Normale 10 8 19" xfId="36729"/>
    <cellStyle name="Normale 10 8 2" xfId="1514"/>
    <cellStyle name="Normale 10 8 2 2" xfId="8977"/>
    <cellStyle name="Normale 10 8 2 3" xfId="16385"/>
    <cellStyle name="Normale 10 8 2 4" xfId="22849"/>
    <cellStyle name="Normale 10 8 20" xfId="37643"/>
    <cellStyle name="Normale 10 8 3" xfId="2445"/>
    <cellStyle name="Normale 10 8 3 2" xfId="9908"/>
    <cellStyle name="Normale 10 8 3 3" xfId="17316"/>
    <cellStyle name="Normale 10 8 3 4" xfId="29517"/>
    <cellStyle name="Normale 10 8 4" xfId="3365"/>
    <cellStyle name="Normale 10 8 4 2" xfId="10828"/>
    <cellStyle name="Normale 10 8 4 3" xfId="18236"/>
    <cellStyle name="Normale 10 8 4 4" xfId="29601"/>
    <cellStyle name="Normale 10 8 5" xfId="4300"/>
    <cellStyle name="Normale 10 8 5 2" xfId="11763"/>
    <cellStyle name="Normale 10 8 5 3" xfId="19171"/>
    <cellStyle name="Normale 10 8 5 4" xfId="27433"/>
    <cellStyle name="Normale 10 8 6" xfId="5221"/>
    <cellStyle name="Normale 10 8 6 2" xfId="12684"/>
    <cellStyle name="Normale 10 8 6 3" xfId="20092"/>
    <cellStyle name="Normale 10 8 6 4" xfId="27428"/>
    <cellStyle name="Normale 10 8 7" xfId="6151"/>
    <cellStyle name="Normale 10 8 7 2" xfId="13614"/>
    <cellStyle name="Normale 10 8 7 3" xfId="21022"/>
    <cellStyle name="Normale 10 8 7 4" xfId="27639"/>
    <cellStyle name="Normale 10 8 8" xfId="7065"/>
    <cellStyle name="Normale 10 8 8 2" xfId="14528"/>
    <cellStyle name="Normale 10 8 8 3" xfId="21936"/>
    <cellStyle name="Normale 10 8 8 4" xfId="25531"/>
    <cellStyle name="Normale 10 8 9" xfId="8010"/>
    <cellStyle name="Normale 10 9" xfId="592"/>
    <cellStyle name="Normale 10 9 10" xfId="15465"/>
    <cellStyle name="Normale 10 9 11" xfId="27456"/>
    <cellStyle name="Normale 10 9 12" xfId="30275"/>
    <cellStyle name="Normale 10 9 13" xfId="31209"/>
    <cellStyle name="Normale 10 9 14" xfId="32128"/>
    <cellStyle name="Normale 10 9 15" xfId="33049"/>
    <cellStyle name="Normale 10 9 16" xfId="33992"/>
    <cellStyle name="Normale 10 9 17" xfId="34922"/>
    <cellStyle name="Normale 10 9 18" xfId="35848"/>
    <cellStyle name="Normale 10 9 19" xfId="36774"/>
    <cellStyle name="Normale 10 9 2" xfId="1559"/>
    <cellStyle name="Normale 10 9 2 2" xfId="9022"/>
    <cellStyle name="Normale 10 9 2 3" xfId="16430"/>
    <cellStyle name="Normale 10 9 2 4" xfId="24526"/>
    <cellStyle name="Normale 10 9 20" xfId="37688"/>
    <cellStyle name="Normale 10 9 3" xfId="2490"/>
    <cellStyle name="Normale 10 9 3 2" xfId="9953"/>
    <cellStyle name="Normale 10 9 3 3" xfId="17361"/>
    <cellStyle name="Normale 10 9 3 4" xfId="24644"/>
    <cellStyle name="Normale 10 9 4" xfId="3410"/>
    <cellStyle name="Normale 10 9 4 2" xfId="10873"/>
    <cellStyle name="Normale 10 9 4 3" xfId="18281"/>
    <cellStyle name="Normale 10 9 4 4" xfId="24478"/>
    <cellStyle name="Normale 10 9 5" xfId="4345"/>
    <cellStyle name="Normale 10 9 5 2" xfId="11808"/>
    <cellStyle name="Normale 10 9 5 3" xfId="19216"/>
    <cellStyle name="Normale 10 9 5 4" xfId="22417"/>
    <cellStyle name="Normale 10 9 6" xfId="5266"/>
    <cellStyle name="Normale 10 9 6 2" xfId="12729"/>
    <cellStyle name="Normale 10 9 6 3" xfId="20137"/>
    <cellStyle name="Normale 10 9 6 4" xfId="22394"/>
    <cellStyle name="Normale 10 9 7" xfId="6196"/>
    <cellStyle name="Normale 10 9 7 2" xfId="13659"/>
    <cellStyle name="Normale 10 9 7 3" xfId="21067"/>
    <cellStyle name="Normale 10 9 7 4" xfId="22774"/>
    <cellStyle name="Normale 10 9 8" xfId="7110"/>
    <cellStyle name="Normale 10 9 8 2" xfId="14573"/>
    <cellStyle name="Normale 10 9 8 3" xfId="21981"/>
    <cellStyle name="Normale 10 9 8 4" xfId="15785"/>
    <cellStyle name="Normale 10 9 9" xfId="8055"/>
    <cellStyle name="Normale 11" xfId="9"/>
    <cellStyle name="Normale 11 10" xfId="686"/>
    <cellStyle name="Normale 11 10 10" xfId="15557"/>
    <cellStyle name="Normale 11 10 11" xfId="29597"/>
    <cellStyle name="Normale 11 10 12" xfId="30360"/>
    <cellStyle name="Normale 11 10 13" xfId="31301"/>
    <cellStyle name="Normale 11 10 14" xfId="32214"/>
    <cellStyle name="Normale 11 10 15" xfId="33132"/>
    <cellStyle name="Normale 11 10 16" xfId="34084"/>
    <cellStyle name="Normale 11 10 17" xfId="35016"/>
    <cellStyle name="Normale 11 10 18" xfId="35942"/>
    <cellStyle name="Normale 11 10 19" xfId="36867"/>
    <cellStyle name="Normale 11 10 2" xfId="1651"/>
    <cellStyle name="Normale 11 10 2 2" xfId="9114"/>
    <cellStyle name="Normale 11 10 2 3" xfId="16522"/>
    <cellStyle name="Normale 11 10 2 4" xfId="29279"/>
    <cellStyle name="Normale 11 10 20" xfId="37771"/>
    <cellStyle name="Normale 11 10 3" xfId="2584"/>
    <cellStyle name="Normale 11 10 3 2" xfId="10047"/>
    <cellStyle name="Normale 11 10 3 3" xfId="17455"/>
    <cellStyle name="Normale 11 10 3 4" xfId="26795"/>
    <cellStyle name="Normale 11 10 4" xfId="3500"/>
    <cellStyle name="Normale 11 10 4 2" xfId="10963"/>
    <cellStyle name="Normale 11 10 4 3" xfId="18371"/>
    <cellStyle name="Normale 11 10 4 4" xfId="22440"/>
    <cellStyle name="Normale 11 10 5" xfId="4439"/>
    <cellStyle name="Normale 11 10 5 2" xfId="11902"/>
    <cellStyle name="Normale 11 10 5 3" xfId="19310"/>
    <cellStyle name="Normale 11 10 5 4" xfId="27686"/>
    <cellStyle name="Normale 11 10 6" xfId="5355"/>
    <cellStyle name="Normale 11 10 6 2" xfId="12818"/>
    <cellStyle name="Normale 11 10 6 3" xfId="20226"/>
    <cellStyle name="Normale 11 10 6 4" xfId="29256"/>
    <cellStyle name="Normale 11 10 7" xfId="6288"/>
    <cellStyle name="Normale 11 10 7 2" xfId="13751"/>
    <cellStyle name="Normale 11 10 7 3" xfId="21159"/>
    <cellStyle name="Normale 11 10 7 4" xfId="26829"/>
    <cellStyle name="Normale 11 10 8" xfId="7193"/>
    <cellStyle name="Normale 11 10 8 2" xfId="14656"/>
    <cellStyle name="Normale 11 10 8 3" xfId="22064"/>
    <cellStyle name="Normale 11 10 8 4" xfId="22762"/>
    <cellStyle name="Normale 11 10 9" xfId="8149"/>
    <cellStyle name="Normale 11 11" xfId="746"/>
    <cellStyle name="Normale 11 11 10" xfId="15617"/>
    <cellStyle name="Normale 11 11 11" xfId="28489"/>
    <cellStyle name="Normale 11 11 12" xfId="30420"/>
    <cellStyle name="Normale 11 11 13" xfId="31361"/>
    <cellStyle name="Normale 11 11 14" xfId="32274"/>
    <cellStyle name="Normale 11 11 15" xfId="33191"/>
    <cellStyle name="Normale 11 11 16" xfId="34144"/>
    <cellStyle name="Normale 11 11 17" xfId="35076"/>
    <cellStyle name="Normale 11 11 18" xfId="36002"/>
    <cellStyle name="Normale 11 11 19" xfId="36927"/>
    <cellStyle name="Normale 11 11 2" xfId="1711"/>
    <cellStyle name="Normale 11 11 2 2" xfId="9174"/>
    <cellStyle name="Normale 11 11 2 3" xfId="16582"/>
    <cellStyle name="Normale 11 11 2 4" xfId="25436"/>
    <cellStyle name="Normale 11 11 20" xfId="37830"/>
    <cellStyle name="Normale 11 11 3" xfId="2644"/>
    <cellStyle name="Normale 11 11 3 2" xfId="10107"/>
    <cellStyle name="Normale 11 11 3 3" xfId="17515"/>
    <cellStyle name="Normale 11 11 3 4" xfId="23131"/>
    <cellStyle name="Normale 11 11 4" xfId="3560"/>
    <cellStyle name="Normale 11 11 4 2" xfId="11023"/>
    <cellStyle name="Normale 11 11 4 3" xfId="18431"/>
    <cellStyle name="Normale 11 11 4 4" xfId="26789"/>
    <cellStyle name="Normale 11 11 5" xfId="4499"/>
    <cellStyle name="Normale 11 11 5 2" xfId="11962"/>
    <cellStyle name="Normale 11 11 5 3" xfId="19370"/>
    <cellStyle name="Normale 11 11 5 4" xfId="26034"/>
    <cellStyle name="Normale 11 11 6" xfId="5415"/>
    <cellStyle name="Normale 11 11 6 2" xfId="12878"/>
    <cellStyle name="Normale 11 11 6 3" xfId="20286"/>
    <cellStyle name="Normale 11 11 6 4" xfId="25341"/>
    <cellStyle name="Normale 11 11 7" xfId="6348"/>
    <cellStyle name="Normale 11 11 7 2" xfId="13811"/>
    <cellStyle name="Normale 11 11 7 3" xfId="21219"/>
    <cellStyle name="Normale 11 11 7 4" xfId="23198"/>
    <cellStyle name="Normale 11 11 8" xfId="7252"/>
    <cellStyle name="Normale 11 11 8 2" xfId="14715"/>
    <cellStyle name="Normale 11 11 8 3" xfId="22123"/>
    <cellStyle name="Normale 11 11 8 4" xfId="26041"/>
    <cellStyle name="Normale 11 11 9" xfId="8209"/>
    <cellStyle name="Normale 11 12" xfId="802"/>
    <cellStyle name="Normale 11 12 10" xfId="15673"/>
    <cellStyle name="Normale 11 12 11" xfId="26905"/>
    <cellStyle name="Normale 11 12 12" xfId="30474"/>
    <cellStyle name="Normale 11 12 13" xfId="31417"/>
    <cellStyle name="Normale 11 12 14" xfId="32329"/>
    <cellStyle name="Normale 11 12 15" xfId="33245"/>
    <cellStyle name="Normale 11 12 16" xfId="34200"/>
    <cellStyle name="Normale 11 12 17" xfId="35132"/>
    <cellStyle name="Normale 11 12 18" xfId="36058"/>
    <cellStyle name="Normale 11 12 19" xfId="36983"/>
    <cellStyle name="Normale 11 12 2" xfId="1767"/>
    <cellStyle name="Normale 11 12 2 2" xfId="9230"/>
    <cellStyle name="Normale 11 12 2 3" xfId="16638"/>
    <cellStyle name="Normale 11 12 2 4" xfId="25797"/>
    <cellStyle name="Normale 11 12 20" xfId="37884"/>
    <cellStyle name="Normale 11 12 3" xfId="2700"/>
    <cellStyle name="Normale 11 12 3 2" xfId="10163"/>
    <cellStyle name="Normale 11 12 3 3" xfId="17571"/>
    <cellStyle name="Normale 11 12 3 4" xfId="28654"/>
    <cellStyle name="Normale 11 12 4" xfId="3615"/>
    <cellStyle name="Normale 11 12 4 2" xfId="11078"/>
    <cellStyle name="Normale 11 12 4 3" xfId="18486"/>
    <cellStyle name="Normale 11 12 4 4" xfId="27223"/>
    <cellStyle name="Normale 11 12 5" xfId="4555"/>
    <cellStyle name="Normale 11 12 5 2" xfId="12018"/>
    <cellStyle name="Normale 11 12 5 3" xfId="19426"/>
    <cellStyle name="Normale 11 12 5 4" xfId="24187"/>
    <cellStyle name="Normale 11 12 6" xfId="5470"/>
    <cellStyle name="Normale 11 12 6 2" xfId="12933"/>
    <cellStyle name="Normale 11 12 6 3" xfId="20341"/>
    <cellStyle name="Normale 11 12 6 4" xfId="26706"/>
    <cellStyle name="Normale 11 12 7" xfId="6404"/>
    <cellStyle name="Normale 11 12 7 2" xfId="13867"/>
    <cellStyle name="Normale 11 12 7 3" xfId="21275"/>
    <cellStyle name="Normale 11 12 7 4" xfId="28724"/>
    <cellStyle name="Normale 11 12 8" xfId="7306"/>
    <cellStyle name="Normale 11 12 8 2" xfId="14769"/>
    <cellStyle name="Normale 11 12 8 3" xfId="22177"/>
    <cellStyle name="Normale 11 12 8 4" xfId="29333"/>
    <cellStyle name="Normale 11 12 9" xfId="8265"/>
    <cellStyle name="Normale 11 13" xfId="888"/>
    <cellStyle name="Normale 11 13 10" xfId="15759"/>
    <cellStyle name="Normale 11 13 11" xfId="26610"/>
    <cellStyle name="Normale 11 13 12" xfId="30557"/>
    <cellStyle name="Normale 11 13 13" xfId="31503"/>
    <cellStyle name="Normale 11 13 14" xfId="32414"/>
    <cellStyle name="Normale 11 13 15" xfId="33326"/>
    <cellStyle name="Normale 11 13 16" xfId="34286"/>
    <cellStyle name="Normale 11 13 17" xfId="35218"/>
    <cellStyle name="Normale 11 13 18" xfId="36144"/>
    <cellStyle name="Normale 11 13 19" xfId="37069"/>
    <cellStyle name="Normale 11 13 2" xfId="1853"/>
    <cellStyle name="Normale 11 13 2 2" xfId="9316"/>
    <cellStyle name="Normale 11 13 2 3" xfId="16724"/>
    <cellStyle name="Normale 11 13 2 4" xfId="24516"/>
    <cellStyle name="Normale 11 13 20" xfId="37965"/>
    <cellStyle name="Normale 11 13 3" xfId="2786"/>
    <cellStyle name="Normale 11 13 3 2" xfId="10249"/>
    <cellStyle name="Normale 11 13 3 3" xfId="17657"/>
    <cellStyle name="Normale 11 13 3 4" xfId="22796"/>
    <cellStyle name="Normale 11 13 4" xfId="3700"/>
    <cellStyle name="Normale 11 13 4 2" xfId="11163"/>
    <cellStyle name="Normale 11 13 4 3" xfId="18571"/>
    <cellStyle name="Normale 11 13 4 4" xfId="23011"/>
    <cellStyle name="Normale 11 13 5" xfId="4641"/>
    <cellStyle name="Normale 11 13 5 2" xfId="12104"/>
    <cellStyle name="Normale 11 13 5 3" xfId="19512"/>
    <cellStyle name="Normale 11 13 5 4" xfId="25645"/>
    <cellStyle name="Normale 11 13 6" xfId="5555"/>
    <cellStyle name="Normale 11 13 6 2" xfId="13018"/>
    <cellStyle name="Normale 11 13 6 3" xfId="20426"/>
    <cellStyle name="Normale 11 13 6 4" xfId="26264"/>
    <cellStyle name="Normale 11 13 7" xfId="6490"/>
    <cellStyle name="Normale 11 13 7 2" xfId="13953"/>
    <cellStyle name="Normale 11 13 7 3" xfId="21361"/>
    <cellStyle name="Normale 11 13 7 4" xfId="22818"/>
    <cellStyle name="Normale 11 13 8" xfId="7387"/>
    <cellStyle name="Normale 11 13 8 2" xfId="14850"/>
    <cellStyle name="Normale 11 13 8 3" xfId="22258"/>
    <cellStyle name="Normale 11 13 8 4" xfId="26844"/>
    <cellStyle name="Normale 11 13 9" xfId="8351"/>
    <cellStyle name="Normale 11 14" xfId="983"/>
    <cellStyle name="Normale 11 14 2" xfId="8446"/>
    <cellStyle name="Normale 11 14 3" xfId="15854"/>
    <cellStyle name="Normale 11 14 4" xfId="26384"/>
    <cellStyle name="Normale 11 15" xfId="1578"/>
    <cellStyle name="Normale 11 15 2" xfId="9041"/>
    <cellStyle name="Normale 11 15 3" xfId="16449"/>
    <cellStyle name="Normale 11 15 4" xfId="28922"/>
    <cellStyle name="Normale 11 16" xfId="2570"/>
    <cellStyle name="Normale 11 16 2" xfId="10033"/>
    <cellStyle name="Normale 11 16 3" xfId="17441"/>
    <cellStyle name="Normale 11 16 4" xfId="25093"/>
    <cellStyle name="Normale 11 17" xfId="3726"/>
    <cellStyle name="Normale 11 17 2" xfId="11189"/>
    <cellStyle name="Normale 11 17 3" xfId="18597"/>
    <cellStyle name="Normale 11 17 4" xfId="28360"/>
    <cellStyle name="Normale 11 18" xfId="4425"/>
    <cellStyle name="Normale 11 18 2" xfId="11888"/>
    <cellStyle name="Normale 11 18 3" xfId="19296"/>
    <cellStyle name="Normale 11 18 4" xfId="25991"/>
    <cellStyle name="Normale 11 19" xfId="5641"/>
    <cellStyle name="Normale 11 19 2" xfId="13104"/>
    <cellStyle name="Normale 11 19 3" xfId="20512"/>
    <cellStyle name="Normale 11 19 4" xfId="24007"/>
    <cellStyle name="Normale 11 2" xfId="10"/>
    <cellStyle name="Normale 11 2 10" xfId="6148"/>
    <cellStyle name="Normale 11 2 10 2" xfId="13611"/>
    <cellStyle name="Normale 11 2 10 3" xfId="21019"/>
    <cellStyle name="Normale 11 2 10 4" xfId="23030"/>
    <cellStyle name="Normale 11 2 11" xfId="7476"/>
    <cellStyle name="Normale 11 2 12" xfId="8064"/>
    <cellStyle name="Normale 11 2 13" xfId="23784"/>
    <cellStyle name="Normale 11 2 14" xfId="29704"/>
    <cellStyle name="Normale 11 2 15" xfId="29892"/>
    <cellStyle name="Normale 11 2 16" xfId="31116"/>
    <cellStyle name="Normale 11 2 17" xfId="32436"/>
    <cellStyle name="Normale 11 2 18" xfId="33415"/>
    <cellStyle name="Normale 11 2 19" xfId="34068"/>
    <cellStyle name="Normale 11 2 2" xfId="11"/>
    <cellStyle name="Normale 11 2 2 10" xfId="7477"/>
    <cellStyle name="Normale 11 2 2 11" xfId="8007"/>
    <cellStyle name="Normale 11 2 2 12" xfId="22813"/>
    <cellStyle name="Normale 11 2 2 13" xfId="29705"/>
    <cellStyle name="Normale 11 2 2 14" xfId="29698"/>
    <cellStyle name="Normale 11 2 2 15" xfId="30641"/>
    <cellStyle name="Normale 11 2 2 16" xfId="32366"/>
    <cellStyle name="Normale 11 2 2 17" xfId="33416"/>
    <cellStyle name="Normale 11 2 2 18" xfId="34011"/>
    <cellStyle name="Normale 11 2 2 19" xfId="34874"/>
    <cellStyle name="Normale 11 2 2 2" xfId="214"/>
    <cellStyle name="Normale 11 2 2 2 10" xfId="15087"/>
    <cellStyle name="Normale 11 2 2 2 11" xfId="26209"/>
    <cellStyle name="Normale 11 2 2 2 12" xfId="29899"/>
    <cellStyle name="Normale 11 2 2 2 13" xfId="30831"/>
    <cellStyle name="Normale 11 2 2 2 14" xfId="31752"/>
    <cellStyle name="Normale 11 2 2 2 15" xfId="32677"/>
    <cellStyle name="Normale 11 2 2 2 16" xfId="33614"/>
    <cellStyle name="Normale 11 2 2 2 17" xfId="34544"/>
    <cellStyle name="Normale 11 2 2 2 18" xfId="35470"/>
    <cellStyle name="Normale 11 2 2 2 19" xfId="36396"/>
    <cellStyle name="Normale 11 2 2 2 2" xfId="1181"/>
    <cellStyle name="Normale 11 2 2 2 2 2" xfId="8644"/>
    <cellStyle name="Normale 11 2 2 2 2 3" xfId="16052"/>
    <cellStyle name="Normale 11 2 2 2 2 4" xfId="29525"/>
    <cellStyle name="Normale 11 2 2 2 20" xfId="37316"/>
    <cellStyle name="Normale 11 2 2 2 3" xfId="2112"/>
    <cellStyle name="Normale 11 2 2 2 3 2" xfId="9575"/>
    <cellStyle name="Normale 11 2 2 2 3 3" xfId="16983"/>
    <cellStyle name="Normale 11 2 2 2 3 4" xfId="26953"/>
    <cellStyle name="Normale 11 2 2 2 4" xfId="3034"/>
    <cellStyle name="Normale 11 2 2 2 4 2" xfId="10497"/>
    <cellStyle name="Normale 11 2 2 2 4 3" xfId="17905"/>
    <cellStyle name="Normale 11 2 2 2 4 4" xfId="22448"/>
    <cellStyle name="Normale 11 2 2 2 5" xfId="3967"/>
    <cellStyle name="Normale 11 2 2 2 5 2" xfId="11430"/>
    <cellStyle name="Normale 11 2 2 2 5 3" xfId="18838"/>
    <cellStyle name="Normale 11 2 2 2 5 4" xfId="27519"/>
    <cellStyle name="Normale 11 2 2 2 6" xfId="4890"/>
    <cellStyle name="Normale 11 2 2 2 6 2" xfId="12353"/>
    <cellStyle name="Normale 11 2 2 2 6 3" xfId="19761"/>
    <cellStyle name="Normale 11 2 2 2 6 4" xfId="24937"/>
    <cellStyle name="Normale 11 2 2 2 7" xfId="5818"/>
    <cellStyle name="Normale 11 2 2 2 7 2" xfId="13281"/>
    <cellStyle name="Normale 11 2 2 2 7 3" xfId="20689"/>
    <cellStyle name="Normale 11 2 2 2 7 4" xfId="26065"/>
    <cellStyle name="Normale 11 2 2 2 8" xfId="6738"/>
    <cellStyle name="Normale 11 2 2 2 8 2" xfId="14201"/>
    <cellStyle name="Normale 11 2 2 2 8 3" xfId="21609"/>
    <cellStyle name="Normale 11 2 2 2 8 4" xfId="22993"/>
    <cellStyle name="Normale 11 2 2 2 9" xfId="7677"/>
    <cellStyle name="Normale 11 2 2 20" xfId="35303"/>
    <cellStyle name="Normale 11 2 2 21" xfId="36726"/>
    <cellStyle name="Normale 11 2 2 3" xfId="985"/>
    <cellStyle name="Normale 11 2 2 3 2" xfId="8448"/>
    <cellStyle name="Normale 11 2 2 3 3" xfId="15856"/>
    <cellStyle name="Normale 11 2 2 3 4" xfId="24541"/>
    <cellStyle name="Normale 11 2 2 4" xfId="976"/>
    <cellStyle name="Normale 11 2 2 4 2" xfId="8439"/>
    <cellStyle name="Normale 11 2 2 4 3" xfId="15847"/>
    <cellStyle name="Normale 11 2 2 4 4" xfId="25265"/>
    <cellStyle name="Normale 11 2 2 5" xfId="2442"/>
    <cellStyle name="Normale 11 2 2 5 2" xfId="9905"/>
    <cellStyle name="Normale 11 2 2 5 3" xfId="17313"/>
    <cellStyle name="Normale 11 2 2 5 4" xfId="25025"/>
    <cellStyle name="Normale 11 2 2 6" xfId="3783"/>
    <cellStyle name="Normale 11 2 2 6 2" xfId="11246"/>
    <cellStyle name="Normale 11 2 2 6 3" xfId="18654"/>
    <cellStyle name="Normale 11 2 2 6 4" xfId="27220"/>
    <cellStyle name="Normale 11 2 2 7" xfId="4297"/>
    <cellStyle name="Normale 11 2 2 7 2" xfId="11760"/>
    <cellStyle name="Normale 11 2 2 7 3" xfId="19168"/>
    <cellStyle name="Normale 11 2 2 7 4" xfId="22831"/>
    <cellStyle name="Normale 11 2 2 8" xfId="5581"/>
    <cellStyle name="Normale 11 2 2 8 2" xfId="13044"/>
    <cellStyle name="Normale 11 2 2 8 3" xfId="20452"/>
    <cellStyle name="Normale 11 2 2 8 4" xfId="24225"/>
    <cellStyle name="Normale 11 2 2 9" xfId="6103"/>
    <cellStyle name="Normale 11 2 2 9 2" xfId="13566"/>
    <cellStyle name="Normale 11 2 2 9 3" xfId="20974"/>
    <cellStyle name="Normale 11 2 2 9 4" xfId="26882"/>
    <cellStyle name="Normale 11 2 20" xfId="34931"/>
    <cellStyle name="Normale 11 2 21" xfId="35755"/>
    <cellStyle name="Normale 11 2 22" xfId="36783"/>
    <cellStyle name="Normale 11 2 3" xfId="213"/>
    <cellStyle name="Normale 11 2 3 10" xfId="15086"/>
    <cellStyle name="Normale 11 2 3 11" xfId="27121"/>
    <cellStyle name="Normale 11 2 3 12" xfId="29898"/>
    <cellStyle name="Normale 11 2 3 13" xfId="30830"/>
    <cellStyle name="Normale 11 2 3 14" xfId="31751"/>
    <cellStyle name="Normale 11 2 3 15" xfId="32676"/>
    <cellStyle name="Normale 11 2 3 16" xfId="33613"/>
    <cellStyle name="Normale 11 2 3 17" xfId="34543"/>
    <cellStyle name="Normale 11 2 3 18" xfId="35469"/>
    <cellStyle name="Normale 11 2 3 19" xfId="36395"/>
    <cellStyle name="Normale 11 2 3 2" xfId="1180"/>
    <cellStyle name="Normale 11 2 3 2 2" xfId="8643"/>
    <cellStyle name="Normale 11 2 3 2 3" xfId="16051"/>
    <cellStyle name="Normale 11 2 3 2 4" xfId="23096"/>
    <cellStyle name="Normale 11 2 3 20" xfId="37315"/>
    <cellStyle name="Normale 11 2 3 3" xfId="2111"/>
    <cellStyle name="Normale 11 2 3 3 2" xfId="9574"/>
    <cellStyle name="Normale 11 2 3 3 3" xfId="16982"/>
    <cellStyle name="Normale 11 2 3 3 4" xfId="27856"/>
    <cellStyle name="Normale 11 2 3 4" xfId="3033"/>
    <cellStyle name="Normale 11 2 3 4 2" xfId="10496"/>
    <cellStyle name="Normale 11 2 3 4 3" xfId="17904"/>
    <cellStyle name="Normale 11 2 3 4 4" xfId="23952"/>
    <cellStyle name="Normale 11 2 3 5" xfId="3966"/>
    <cellStyle name="Normale 11 2 3 5 2" xfId="11429"/>
    <cellStyle name="Normale 11 2 3 5 3" xfId="18837"/>
    <cellStyle name="Normale 11 2 3 5 4" xfId="28445"/>
    <cellStyle name="Normale 11 2 3 6" xfId="4889"/>
    <cellStyle name="Normale 11 2 3 6 2" xfId="12352"/>
    <cellStyle name="Normale 11 2 3 6 3" xfId="19760"/>
    <cellStyle name="Normale 11 2 3 6 4" xfId="25848"/>
    <cellStyle name="Normale 11 2 3 7" xfId="5817"/>
    <cellStyle name="Normale 11 2 3 7 2" xfId="13280"/>
    <cellStyle name="Normale 11 2 3 7 3" xfId="20688"/>
    <cellStyle name="Normale 11 2 3 7 4" xfId="26983"/>
    <cellStyle name="Normale 11 2 3 8" xfId="6737"/>
    <cellStyle name="Normale 11 2 3 8 2" xfId="14200"/>
    <cellStyle name="Normale 11 2 3 8 3" xfId="21608"/>
    <cellStyle name="Normale 11 2 3 8 4" xfId="23924"/>
    <cellStyle name="Normale 11 2 3 9" xfId="7676"/>
    <cellStyle name="Normale 11 2 4" xfId="984"/>
    <cellStyle name="Normale 11 2 4 2" xfId="8447"/>
    <cellStyle name="Normale 11 2 4 3" xfId="15855"/>
    <cellStyle name="Normale 11 2 4 4" xfId="25457"/>
    <cellStyle name="Normale 11 2 5" xfId="992"/>
    <cellStyle name="Normale 11 2 5 2" xfId="8455"/>
    <cellStyle name="Normale 11 2 5 3" xfId="15863"/>
    <cellStyle name="Normale 11 2 5 4" xfId="26186"/>
    <cellStyle name="Normale 11 2 6" xfId="2499"/>
    <cellStyle name="Normale 11 2 6 2" xfId="9962"/>
    <cellStyle name="Normale 11 2 6 3" xfId="17370"/>
    <cellStyle name="Normale 11 2 6 4" xfId="23675"/>
    <cellStyle name="Normale 11 2 7" xfId="3653"/>
    <cellStyle name="Normale 11 2 7 2" xfId="11116"/>
    <cellStyle name="Normale 11 2 7 3" xfId="18524"/>
    <cellStyle name="Normale 11 2 7 4" xfId="27956"/>
    <cellStyle name="Normale 11 2 8" xfId="4354"/>
    <cellStyle name="Normale 11 2 8 2" xfId="11817"/>
    <cellStyle name="Normale 11 2 8 3" xfId="19225"/>
    <cellStyle name="Normale 11 2 8 4" xfId="29037"/>
    <cellStyle name="Normale 11 2 9" xfId="5639"/>
    <cellStyle name="Normale 11 2 9 2" xfId="13102"/>
    <cellStyle name="Normale 11 2 9 3" xfId="20510"/>
    <cellStyle name="Normale 11 2 9 4" xfId="25843"/>
    <cellStyle name="Normale 11 20" xfId="6205"/>
    <cellStyle name="Normale 11 20 2" xfId="13668"/>
    <cellStyle name="Normale 11 20 3" xfId="21076"/>
    <cellStyle name="Normale 11 20 4" xfId="29158"/>
    <cellStyle name="Normale 11 21" xfId="7475"/>
    <cellStyle name="Normale 11 22" xfId="8135"/>
    <cellStyle name="Normale 11 23" xfId="24707"/>
    <cellStyle name="Normale 11 24" xfId="29703"/>
    <cellStyle name="Normale 11 25" xfId="30085"/>
    <cellStyle name="Normale 11 26" xfId="31161"/>
    <cellStyle name="Normale 11 27" xfId="32496"/>
    <cellStyle name="Normale 11 28" xfId="33414"/>
    <cellStyle name="Normale 11 29" xfId="33424"/>
    <cellStyle name="Normale 11 3" xfId="12"/>
    <cellStyle name="Normale 11 3 10" xfId="7478"/>
    <cellStyle name="Normale 11 3 11" xfId="7962"/>
    <cellStyle name="Normale 11 3 12" xfId="29244"/>
    <cellStyle name="Normale 11 3 13" xfId="29706"/>
    <cellStyle name="Normale 11 3 14" xfId="30547"/>
    <cellStyle name="Normale 11 3 15" xfId="31285"/>
    <cellStyle name="Normale 11 3 16" xfId="32296"/>
    <cellStyle name="Normale 11 3 17" xfId="33417"/>
    <cellStyle name="Normale 11 3 18" xfId="33423"/>
    <cellStyle name="Normale 11 3 19" xfId="34829"/>
    <cellStyle name="Normale 11 3 2" xfId="215"/>
    <cellStyle name="Normale 11 3 2 10" xfId="15088"/>
    <cellStyle name="Normale 11 3 2 11" xfId="25284"/>
    <cellStyle name="Normale 11 3 2 12" xfId="29900"/>
    <cellStyle name="Normale 11 3 2 13" xfId="30832"/>
    <cellStyle name="Normale 11 3 2 14" xfId="31753"/>
    <cellStyle name="Normale 11 3 2 15" xfId="32678"/>
    <cellStyle name="Normale 11 3 2 16" xfId="33615"/>
    <cellStyle name="Normale 11 3 2 17" xfId="34545"/>
    <cellStyle name="Normale 11 3 2 18" xfId="35471"/>
    <cellStyle name="Normale 11 3 2 19" xfId="36397"/>
    <cellStyle name="Normale 11 3 2 2" xfId="1182"/>
    <cellStyle name="Normale 11 3 2 2 2" xfId="8645"/>
    <cellStyle name="Normale 11 3 2 2 3" xfId="16053"/>
    <cellStyle name="Normale 11 3 2 2 4" xfId="28634"/>
    <cellStyle name="Normale 11 3 2 20" xfId="37317"/>
    <cellStyle name="Normale 11 3 2 3" xfId="2113"/>
    <cellStyle name="Normale 11 3 2 3 2" xfId="9576"/>
    <cellStyle name="Normale 11 3 2 3 3" xfId="16984"/>
    <cellStyle name="Normale 11 3 2 3 4" xfId="26020"/>
    <cellStyle name="Normale 11 3 2 4" xfId="3035"/>
    <cellStyle name="Normale 11 3 2 4 2" xfId="10498"/>
    <cellStyle name="Normale 11 3 2 4 3" xfId="17906"/>
    <cellStyle name="Normale 11 3 2 4 4" xfId="28879"/>
    <cellStyle name="Normale 11 3 2 5" xfId="3968"/>
    <cellStyle name="Normale 11 3 2 5 2" xfId="11431"/>
    <cellStyle name="Normale 11 3 2 5 3" xfId="18839"/>
    <cellStyle name="Normale 11 3 2 5 4" xfId="26614"/>
    <cellStyle name="Normale 11 3 2 6" xfId="4891"/>
    <cellStyle name="Normale 11 3 2 6 2" xfId="12354"/>
    <cellStyle name="Normale 11 3 2 6 3" xfId="19762"/>
    <cellStyle name="Normale 11 3 2 6 4" xfId="24012"/>
    <cellStyle name="Normale 11 3 2 7" xfId="5819"/>
    <cellStyle name="Normale 11 3 2 7 2" xfId="13282"/>
    <cellStyle name="Normale 11 3 2 7 3" xfId="20690"/>
    <cellStyle name="Normale 11 3 2 7 4" xfId="25141"/>
    <cellStyle name="Normale 11 3 2 8" xfId="6739"/>
    <cellStyle name="Normale 11 3 2 8 2" xfId="14202"/>
    <cellStyle name="Normale 11 3 2 8 3" xfId="21610"/>
    <cellStyle name="Normale 11 3 2 8 4" xfId="29422"/>
    <cellStyle name="Normale 11 3 2 9" xfId="7678"/>
    <cellStyle name="Normale 11 3 20" xfId="35925"/>
    <cellStyle name="Normale 11 3 21" xfId="36681"/>
    <cellStyle name="Normale 11 3 3" xfId="986"/>
    <cellStyle name="Normale 11 3 3 2" xfId="8449"/>
    <cellStyle name="Normale 11 3 3 3" xfId="15857"/>
    <cellStyle name="Normale 11 3 3 4" xfId="23620"/>
    <cellStyle name="Normale 11 3 4" xfId="1938"/>
    <cellStyle name="Normale 11 3 4 2" xfId="9401"/>
    <cellStyle name="Normale 11 3 4 3" xfId="16809"/>
    <cellStyle name="Normale 11 3 4 4" xfId="23022"/>
    <cellStyle name="Normale 11 3 5" xfId="2397"/>
    <cellStyle name="Normale 11 3 5 2" xfId="9860"/>
    <cellStyle name="Normale 11 3 5 3" xfId="17268"/>
    <cellStyle name="Normale 11 3 5 4" xfId="29088"/>
    <cellStyle name="Normale 11 3 6" xfId="3722"/>
    <cellStyle name="Normale 11 3 6 2" xfId="11185"/>
    <cellStyle name="Normale 11 3 6 3" xfId="18593"/>
    <cellStyle name="Normale 11 3 6 4" xfId="24736"/>
    <cellStyle name="Normale 11 3 7" xfId="4252"/>
    <cellStyle name="Normale 11 3 7 2" xfId="11715"/>
    <cellStyle name="Normale 11 3 7 3" xfId="19123"/>
    <cellStyle name="Normale 11 3 7 4" xfId="23146"/>
    <cellStyle name="Normale 11 3 8" xfId="5508"/>
    <cellStyle name="Normale 11 3 8 2" xfId="12971"/>
    <cellStyle name="Normale 11 3 8 3" xfId="20379"/>
    <cellStyle name="Normale 11 3 8 4" xfId="25543"/>
    <cellStyle name="Normale 11 3 9" xfId="5284"/>
    <cellStyle name="Normale 11 3 9 2" xfId="12747"/>
    <cellStyle name="Normale 11 3 9 3" xfId="20155"/>
    <cellStyle name="Normale 11 3 9 4" xfId="26996"/>
    <cellStyle name="Normale 11 30" xfId="35002"/>
    <cellStyle name="Normale 11 31" xfId="35800"/>
    <cellStyle name="Normale 11 32" xfId="36853"/>
    <cellStyle name="Normale 11 4" xfId="212"/>
    <cellStyle name="Normale 11 4 10" xfId="15085"/>
    <cellStyle name="Normale 11 4 11" xfId="28043"/>
    <cellStyle name="Normale 11 4 12" xfId="29897"/>
    <cellStyle name="Normale 11 4 13" xfId="30829"/>
    <cellStyle name="Normale 11 4 14" xfId="31750"/>
    <cellStyle name="Normale 11 4 15" xfId="32675"/>
    <cellStyle name="Normale 11 4 16" xfId="33612"/>
    <cellStyle name="Normale 11 4 17" xfId="34542"/>
    <cellStyle name="Normale 11 4 18" xfId="35468"/>
    <cellStyle name="Normale 11 4 19" xfId="36394"/>
    <cellStyle name="Normale 11 4 2" xfId="1179"/>
    <cellStyle name="Normale 11 4 2 2" xfId="8642"/>
    <cellStyle name="Normale 11 4 2 3" xfId="16050"/>
    <cellStyle name="Normale 11 4 2 4" xfId="24107"/>
    <cellStyle name="Normale 11 4 20" xfId="37314"/>
    <cellStyle name="Normale 11 4 3" xfId="2110"/>
    <cellStyle name="Normale 11 4 3 2" xfId="9573"/>
    <cellStyle name="Normale 11 4 3 3" xfId="16981"/>
    <cellStyle name="Normale 11 4 3 4" xfId="28783"/>
    <cellStyle name="Normale 11 4 4" xfId="3032"/>
    <cellStyle name="Normale 11 4 4 2" xfId="10495"/>
    <cellStyle name="Normale 11 4 4 3" xfId="17903"/>
    <cellStyle name="Normale 11 4 4 4" xfId="24877"/>
    <cellStyle name="Normale 11 4 5" xfId="3965"/>
    <cellStyle name="Normale 11 4 5 2" xfId="11428"/>
    <cellStyle name="Normale 11 4 5 3" xfId="18836"/>
    <cellStyle name="Normale 11 4 5 4" xfId="29344"/>
    <cellStyle name="Normale 11 4 6" xfId="4888"/>
    <cellStyle name="Normale 11 4 6 2" xfId="12351"/>
    <cellStyle name="Normale 11 4 6 3" xfId="19759"/>
    <cellStyle name="Normale 11 4 6 4" xfId="26781"/>
    <cellStyle name="Normale 11 4 7" xfId="5816"/>
    <cellStyle name="Normale 11 4 7 2" xfId="13279"/>
    <cellStyle name="Normale 11 4 7 3" xfId="20687"/>
    <cellStyle name="Normale 11 4 7 4" xfId="27901"/>
    <cellStyle name="Normale 11 4 8" xfId="6736"/>
    <cellStyle name="Normale 11 4 8 2" xfId="14199"/>
    <cellStyle name="Normale 11 4 8 3" xfId="21607"/>
    <cellStyle name="Normale 11 4 8 4" xfId="24849"/>
    <cellStyle name="Normale 11 4 9" xfId="7675"/>
    <cellStyle name="Normale 11 5" xfId="402"/>
    <cellStyle name="Normale 11 5 10" xfId="15275"/>
    <cellStyle name="Normale 11 5 11" xfId="28780"/>
    <cellStyle name="Normale 11 5 12" xfId="30087"/>
    <cellStyle name="Normale 11 5 13" xfId="31019"/>
    <cellStyle name="Normale 11 5 14" xfId="31940"/>
    <cellStyle name="Normale 11 5 15" xfId="32864"/>
    <cellStyle name="Normale 11 5 16" xfId="33802"/>
    <cellStyle name="Normale 11 5 17" xfId="34732"/>
    <cellStyle name="Normale 11 5 18" xfId="35658"/>
    <cellStyle name="Normale 11 5 19" xfId="36584"/>
    <cellStyle name="Normale 11 5 2" xfId="1369"/>
    <cellStyle name="Normale 11 5 2 2" xfId="8832"/>
    <cellStyle name="Normale 11 5 2 3" xfId="16240"/>
    <cellStyle name="Normale 11 5 2 4" xfId="26039"/>
    <cellStyle name="Normale 11 5 20" xfId="37503"/>
    <cellStyle name="Normale 11 5 3" xfId="2300"/>
    <cellStyle name="Normale 11 5 3 2" xfId="9763"/>
    <cellStyle name="Normale 11 5 3 3" xfId="17171"/>
    <cellStyle name="Normale 11 5 3 4" xfId="23158"/>
    <cellStyle name="Normale 11 5 4" xfId="3222"/>
    <cellStyle name="Normale 11 5 4 2" xfId="10685"/>
    <cellStyle name="Normale 11 5 4 3" xfId="18093"/>
    <cellStyle name="Normale 11 5 4 4" xfId="26584"/>
    <cellStyle name="Normale 11 5 5" xfId="4155"/>
    <cellStyle name="Normale 11 5 5 2" xfId="11618"/>
    <cellStyle name="Normale 11 5 5 3" xfId="19026"/>
    <cellStyle name="Normale 11 5 5 4" xfId="23811"/>
    <cellStyle name="Normale 11 5 6" xfId="5078"/>
    <cellStyle name="Normale 11 5 6 2" xfId="12541"/>
    <cellStyle name="Normale 11 5 6 3" xfId="19949"/>
    <cellStyle name="Normale 11 5 6 4" xfId="28742"/>
    <cellStyle name="Normale 11 5 7" xfId="6006"/>
    <cellStyle name="Normale 11 5 7 2" xfId="13469"/>
    <cellStyle name="Normale 11 5 7 3" xfId="20877"/>
    <cellStyle name="Normale 11 5 7 4" xfId="28728"/>
    <cellStyle name="Normale 11 5 8" xfId="6925"/>
    <cellStyle name="Normale 11 5 8 2" xfId="14388"/>
    <cellStyle name="Normale 11 5 8 3" xfId="21796"/>
    <cellStyle name="Normale 11 5 8 4" xfId="27460"/>
    <cellStyle name="Normale 11 5 9" xfId="7865"/>
    <cellStyle name="Normale 11 6" xfId="443"/>
    <cellStyle name="Normale 11 6 10" xfId="15316"/>
    <cellStyle name="Normale 11 6 11" xfId="27510"/>
    <cellStyle name="Normale 11 6 12" xfId="30128"/>
    <cellStyle name="Normale 11 6 13" xfId="31060"/>
    <cellStyle name="Normale 11 6 14" xfId="31981"/>
    <cellStyle name="Normale 11 6 15" xfId="32905"/>
    <cellStyle name="Normale 11 6 16" xfId="33843"/>
    <cellStyle name="Normale 11 6 17" xfId="34773"/>
    <cellStyle name="Normale 11 6 18" xfId="35699"/>
    <cellStyle name="Normale 11 6 19" xfId="36625"/>
    <cellStyle name="Normale 11 6 2" xfId="1410"/>
    <cellStyle name="Normale 11 6 2 2" xfId="8873"/>
    <cellStyle name="Normale 11 6 2 3" xfId="16281"/>
    <cellStyle name="Normale 11 6 2 4" xfId="24529"/>
    <cellStyle name="Normale 11 6 20" xfId="37544"/>
    <cellStyle name="Normale 11 6 3" xfId="2341"/>
    <cellStyle name="Normale 11 6 3 2" xfId="9804"/>
    <cellStyle name="Normale 11 6 3 3" xfId="17212"/>
    <cellStyle name="Normale 11 6 3 4" xfId="29274"/>
    <cellStyle name="Normale 11 6 4" xfId="3263"/>
    <cellStyle name="Normale 11 6 4 2" xfId="10726"/>
    <cellStyle name="Normale 11 6 4 3" xfId="18134"/>
    <cellStyle name="Normale 11 6 4 4" xfId="27622"/>
    <cellStyle name="Normale 11 6 5" xfId="4196"/>
    <cellStyle name="Normale 11 6 5 2" xfId="11659"/>
    <cellStyle name="Normale 11 6 5 3" xfId="19067"/>
    <cellStyle name="Normale 11 6 5 4" xfId="29043"/>
    <cellStyle name="Normale 11 6 6" xfId="5119"/>
    <cellStyle name="Normale 11 6 6 2" xfId="12582"/>
    <cellStyle name="Normale 11 6 6 3" xfId="19990"/>
    <cellStyle name="Normale 11 6 6 4" xfId="27000"/>
    <cellStyle name="Normale 11 6 7" xfId="6047"/>
    <cellStyle name="Normale 11 6 7 2" xfId="13510"/>
    <cellStyle name="Normale 11 6 7 3" xfId="20918"/>
    <cellStyle name="Normale 11 6 7 4" xfId="27473"/>
    <cellStyle name="Normale 11 6 8" xfId="6966"/>
    <cellStyle name="Normale 11 6 8 2" xfId="14429"/>
    <cellStyle name="Normale 11 6 8 3" xfId="21837"/>
    <cellStyle name="Normale 11 6 8 4" xfId="28576"/>
    <cellStyle name="Normale 11 6 9" xfId="7906"/>
    <cellStyle name="Normale 11 7" xfId="491"/>
    <cellStyle name="Normale 11 7 10" xfId="15364"/>
    <cellStyle name="Normale 11 7 11" xfId="26396"/>
    <cellStyle name="Normale 11 7 12" xfId="30176"/>
    <cellStyle name="Normale 11 7 13" xfId="31108"/>
    <cellStyle name="Normale 11 7 14" xfId="32029"/>
    <cellStyle name="Normale 11 7 15" xfId="32952"/>
    <cellStyle name="Normale 11 7 16" xfId="33891"/>
    <cellStyle name="Normale 11 7 17" xfId="34821"/>
    <cellStyle name="Normale 11 7 18" xfId="35747"/>
    <cellStyle name="Normale 11 7 19" xfId="36673"/>
    <cellStyle name="Normale 11 7 2" xfId="1458"/>
    <cellStyle name="Normale 11 7 2 2" xfId="8921"/>
    <cellStyle name="Normale 11 7 2 3" xfId="16329"/>
    <cellStyle name="Normale 11 7 2 4" xfId="22918"/>
    <cellStyle name="Normale 11 7 20" xfId="37591"/>
    <cellStyle name="Normale 11 7 3" xfId="2389"/>
    <cellStyle name="Normale 11 7 3 2" xfId="9852"/>
    <cellStyle name="Normale 11 7 3 3" xfId="17260"/>
    <cellStyle name="Normale 11 7 3 4" xfId="28899"/>
    <cellStyle name="Normale 11 7 4" xfId="3311"/>
    <cellStyle name="Normale 11 7 4 2" xfId="10774"/>
    <cellStyle name="Normale 11 7 4 3" xfId="18182"/>
    <cellStyle name="Normale 11 7 4 4" xfId="29618"/>
    <cellStyle name="Normale 11 7 5" xfId="4244"/>
    <cellStyle name="Normale 11 7 5 2" xfId="11707"/>
    <cellStyle name="Normale 11 7 5 3" xfId="19115"/>
    <cellStyle name="Normale 11 7 5 4" xfId="23211"/>
    <cellStyle name="Normale 11 7 6" xfId="5167"/>
    <cellStyle name="Normale 11 7 6 2" xfId="12630"/>
    <cellStyle name="Normale 11 7 6 3" xfId="20038"/>
    <cellStyle name="Normale 11 7 6 4" xfId="25686"/>
    <cellStyle name="Normale 11 7 7" xfId="6095"/>
    <cellStyle name="Normale 11 7 7 2" xfId="13558"/>
    <cellStyle name="Normale 11 7 7 3" xfId="20966"/>
    <cellStyle name="Normale 11 7 7 4" xfId="26253"/>
    <cellStyle name="Normale 11 7 8" xfId="7013"/>
    <cellStyle name="Normale 11 7 8 2" xfId="14476"/>
    <cellStyle name="Normale 11 7 8 3" xfId="21884"/>
    <cellStyle name="Normale 11 7 8 4" xfId="29631"/>
    <cellStyle name="Normale 11 7 9" xfId="7954"/>
    <cellStyle name="Normale 11 8" xfId="548"/>
    <cellStyle name="Normale 11 8 10" xfId="15421"/>
    <cellStyle name="Normale 11 8 11" xfId="26880"/>
    <cellStyle name="Normale 11 8 12" xfId="30231"/>
    <cellStyle name="Normale 11 8 13" xfId="31165"/>
    <cellStyle name="Normale 11 8 14" xfId="32084"/>
    <cellStyle name="Normale 11 8 15" xfId="33005"/>
    <cellStyle name="Normale 11 8 16" xfId="33948"/>
    <cellStyle name="Normale 11 8 17" xfId="34878"/>
    <cellStyle name="Normale 11 8 18" xfId="35804"/>
    <cellStyle name="Normale 11 8 19" xfId="36730"/>
    <cellStyle name="Normale 11 8 2" xfId="1515"/>
    <cellStyle name="Normale 11 8 2 2" xfId="8978"/>
    <cellStyle name="Normale 11 8 2 3" xfId="16386"/>
    <cellStyle name="Normale 11 8 2 4" xfId="29280"/>
    <cellStyle name="Normale 11 8 20" xfId="37644"/>
    <cellStyle name="Normale 11 8 3" xfId="2446"/>
    <cellStyle name="Normale 11 8 3 2" xfId="9909"/>
    <cellStyle name="Normale 11 8 3 3" xfId="17317"/>
    <cellStyle name="Normale 11 8 3 4" xfId="28626"/>
    <cellStyle name="Normale 11 8 4" xfId="3366"/>
    <cellStyle name="Normale 11 8 4 2" xfId="10829"/>
    <cellStyle name="Normale 11 8 4 3" xfId="18237"/>
    <cellStyle name="Normale 11 8 4 4" xfId="28713"/>
    <cellStyle name="Normale 11 8 5" xfId="4301"/>
    <cellStyle name="Normale 11 8 5 2" xfId="11764"/>
    <cellStyle name="Normale 11 8 5 3" xfId="19172"/>
    <cellStyle name="Normale 11 8 5 4" xfId="26525"/>
    <cellStyle name="Normale 11 8 6" xfId="5222"/>
    <cellStyle name="Normale 11 8 6 2" xfId="12685"/>
    <cellStyle name="Normale 11 8 6 3" xfId="20093"/>
    <cellStyle name="Normale 11 8 6 4" xfId="26520"/>
    <cellStyle name="Normale 11 8 7" xfId="6152"/>
    <cellStyle name="Normale 11 8 7 2" xfId="13615"/>
    <cellStyle name="Normale 11 8 7 3" xfId="21023"/>
    <cellStyle name="Normale 11 8 7 4" xfId="26735"/>
    <cellStyle name="Normale 11 8 8" xfId="7066"/>
    <cellStyle name="Normale 11 8 8 2" xfId="14529"/>
    <cellStyle name="Normale 11 8 8 3" xfId="21937"/>
    <cellStyle name="Normale 11 8 8 4" xfId="24614"/>
    <cellStyle name="Normale 11 8 9" xfId="8011"/>
    <cellStyle name="Normale 11 9" xfId="591"/>
    <cellStyle name="Normale 11 9 10" xfId="15464"/>
    <cellStyle name="Normale 11 9 11" xfId="28380"/>
    <cellStyle name="Normale 11 9 12" xfId="30274"/>
    <cellStyle name="Normale 11 9 13" xfId="31208"/>
    <cellStyle name="Normale 11 9 14" xfId="32127"/>
    <cellStyle name="Normale 11 9 15" xfId="33048"/>
    <cellStyle name="Normale 11 9 16" xfId="33991"/>
    <cellStyle name="Normale 11 9 17" xfId="34921"/>
    <cellStyle name="Normale 11 9 18" xfId="35847"/>
    <cellStyle name="Normale 11 9 19" xfId="36773"/>
    <cellStyle name="Normale 11 9 2" xfId="1558"/>
    <cellStyle name="Normale 11 9 2 2" xfId="9021"/>
    <cellStyle name="Normale 11 9 2 3" xfId="16429"/>
    <cellStyle name="Normale 11 9 2 4" xfId="25442"/>
    <cellStyle name="Normale 11 9 20" xfId="37687"/>
    <cellStyle name="Normale 11 9 3" xfId="2489"/>
    <cellStyle name="Normale 11 9 3 2" xfId="9952"/>
    <cellStyle name="Normale 11 9 3 3" xfId="17360"/>
    <cellStyle name="Normale 11 9 3 4" xfId="25561"/>
    <cellStyle name="Normale 11 9 4" xfId="3409"/>
    <cellStyle name="Normale 11 9 4 2" xfId="10872"/>
    <cellStyle name="Normale 11 9 4 3" xfId="18280"/>
    <cellStyle name="Normale 11 9 4 4" xfId="25394"/>
    <cellStyle name="Normale 11 9 5" xfId="4344"/>
    <cellStyle name="Normale 11 9 5 2" xfId="11807"/>
    <cellStyle name="Normale 11 9 5 3" xfId="19215"/>
    <cellStyle name="Normale 11 9 5 4" xfId="22420"/>
    <cellStyle name="Normale 11 9 6" xfId="5265"/>
    <cellStyle name="Normale 11 9 6 2" xfId="12728"/>
    <cellStyle name="Normale 11 9 6 3" xfId="20136"/>
    <cellStyle name="Normale 11 9 6 4" xfId="22397"/>
    <cellStyle name="Normale 11 9 7" xfId="6195"/>
    <cellStyle name="Normale 11 9 7 2" xfId="13658"/>
    <cellStyle name="Normale 11 9 7 3" xfId="21066"/>
    <cellStyle name="Normale 11 9 7 4" xfId="23746"/>
    <cellStyle name="Normale 11 9 8" xfId="7109"/>
    <cellStyle name="Normale 11 9 8 2" xfId="14572"/>
    <cellStyle name="Normale 11 9 8 3" xfId="21980"/>
    <cellStyle name="Normale 11 9 8 4" xfId="15843"/>
    <cellStyle name="Normale 11 9 9" xfId="8054"/>
    <cellStyle name="Normale 12" xfId="13"/>
    <cellStyle name="Normale 13" xfId="14"/>
    <cellStyle name="Normale 13 10" xfId="6216"/>
    <cellStyle name="Normale 13 10 2" xfId="13679"/>
    <cellStyle name="Normale 13 10 3" xfId="21087"/>
    <cellStyle name="Normale 13 10 4" xfId="26246"/>
    <cellStyle name="Normale 13 11" xfId="7480"/>
    <cellStyle name="Normale 13 12" xfId="8132"/>
    <cellStyle name="Normale 13 13" xfId="27415"/>
    <cellStyle name="Normale 13 14" xfId="29708"/>
    <cellStyle name="Normale 13 15" xfId="30409"/>
    <cellStyle name="Normale 13 16" xfId="30640"/>
    <cellStyle name="Normale 13 17" xfId="32200"/>
    <cellStyle name="Normale 13 18" xfId="33419"/>
    <cellStyle name="Normale 13 19" xfId="34374"/>
    <cellStyle name="Normale 13 2" xfId="15"/>
    <cellStyle name="Normale 13 2 10" xfId="7481"/>
    <cellStyle name="Normale 13 2 11" xfId="8075"/>
    <cellStyle name="Normale 13 2 12" xfId="26506"/>
    <cellStyle name="Normale 13 2 13" xfId="29709"/>
    <cellStyle name="Normale 13 2 14" xfId="30637"/>
    <cellStyle name="Normale 13 2 15" xfId="29707"/>
    <cellStyle name="Normale 13 2 16" xfId="32146"/>
    <cellStyle name="Normale 13 2 17" xfId="33420"/>
    <cellStyle name="Normale 13 2 18" xfId="34371"/>
    <cellStyle name="Normale 13 2 19" xfId="34942"/>
    <cellStyle name="Normale 13 2 2" xfId="217"/>
    <cellStyle name="Normale 13 2 2 10" xfId="15090"/>
    <cellStyle name="Normale 13 2 2 11" xfId="29672"/>
    <cellStyle name="Normale 13 2 2 12" xfId="29902"/>
    <cellStyle name="Normale 13 2 2 13" xfId="30834"/>
    <cellStyle name="Normale 13 2 2 14" xfId="31755"/>
    <cellStyle name="Normale 13 2 2 15" xfId="32680"/>
    <cellStyle name="Normale 13 2 2 16" xfId="33617"/>
    <cellStyle name="Normale 13 2 2 17" xfId="34547"/>
    <cellStyle name="Normale 13 2 2 18" xfId="35473"/>
    <cellStyle name="Normale 13 2 2 19" xfId="36399"/>
    <cellStyle name="Normale 13 2 2 2" xfId="1184"/>
    <cellStyle name="Normale 13 2 2 2 2" xfId="8647"/>
    <cellStyle name="Normale 13 2 2 2 3" xfId="16055"/>
    <cellStyle name="Normale 13 2 2 2 4" xfId="26804"/>
    <cellStyle name="Normale 13 2 2 20" xfId="37319"/>
    <cellStyle name="Normale 13 2 2 3" xfId="2115"/>
    <cellStyle name="Normale 13 2 2 3 2" xfId="9578"/>
    <cellStyle name="Normale 13 2 2 3 3" xfId="16986"/>
    <cellStyle name="Normale 13 2 2 3 4" xfId="24184"/>
    <cellStyle name="Normale 13 2 2 4" xfId="3037"/>
    <cellStyle name="Normale 13 2 2 4 2" xfId="10500"/>
    <cellStyle name="Normale 13 2 2 4 3" xfId="17908"/>
    <cellStyle name="Normale 13 2 2 4 4" xfId="27047"/>
    <cellStyle name="Normale 13 2 2 5" xfId="3970"/>
    <cellStyle name="Normale 13 2 2 5 2" xfId="11433"/>
    <cellStyle name="Normale 13 2 2 5 3" xfId="18841"/>
    <cellStyle name="Normale 13 2 2 5 4" xfId="24770"/>
    <cellStyle name="Normale 13 2 2 6" xfId="4893"/>
    <cellStyle name="Normale 13 2 2 6 2" xfId="12356"/>
    <cellStyle name="Normale 13 2 2 6 3" xfId="19764"/>
    <cellStyle name="Normale 13 2 2 6 4" xfId="29433"/>
    <cellStyle name="Normale 13 2 2 7" xfId="5821"/>
    <cellStyle name="Normale 13 2 2 7 2" xfId="13284"/>
    <cellStyle name="Normale 13 2 2 7 3" xfId="20692"/>
    <cellStyle name="Normale 13 2 2 7 4" xfId="29669"/>
    <cellStyle name="Normale 13 2 2 8" xfId="6741"/>
    <cellStyle name="Normale 13 2 2 8 2" xfId="14204"/>
    <cellStyle name="Normale 13 2 2 8 3" xfId="21612"/>
    <cellStyle name="Normale 13 2 2 8 4" xfId="27602"/>
    <cellStyle name="Normale 13 2 2 9" xfId="7680"/>
    <cellStyle name="Normale 13 2 20" xfId="34531"/>
    <cellStyle name="Normale 13 2 21" xfId="36793"/>
    <cellStyle name="Normale 13 2 3" xfId="989"/>
    <cellStyle name="Normale 13 2 3 2" xfId="8452"/>
    <cellStyle name="Normale 13 2 3 3" xfId="15860"/>
    <cellStyle name="Normale 13 2 3 4" xfId="28935"/>
    <cellStyle name="Normale 13 2 4" xfId="1937"/>
    <cellStyle name="Normale 13 2 4 2" xfId="9400"/>
    <cellStyle name="Normale 13 2 4 3" xfId="16808"/>
    <cellStyle name="Normale 13 2 4 4" xfId="24030"/>
    <cellStyle name="Normale 13 2 5" xfId="2510"/>
    <cellStyle name="Normale 13 2 5 2" xfId="9973"/>
    <cellStyle name="Normale 13 2 5 3" xfId="17381"/>
    <cellStyle name="Normale 13 2 5 4" xfId="27066"/>
    <cellStyle name="Normale 13 2 6" xfId="3484"/>
    <cellStyle name="Normale 13 2 6 2" xfId="10947"/>
    <cellStyle name="Normale 13 2 6 3" xfId="18355"/>
    <cellStyle name="Normale 13 2 6 4" xfId="28874"/>
    <cellStyle name="Normale 13 2 7" xfId="4365"/>
    <cellStyle name="Normale 13 2 7 2" xfId="11828"/>
    <cellStyle name="Normale 13 2 7 3" xfId="19236"/>
    <cellStyle name="Normale 13 2 7 4" xfId="25177"/>
    <cellStyle name="Normale 13 2 8" xfId="5507"/>
    <cellStyle name="Normale 13 2 8 2" xfId="12970"/>
    <cellStyle name="Normale 13 2 8 3" xfId="20378"/>
    <cellStyle name="Normale 13 2 8 4" xfId="26471"/>
    <cellStyle name="Normale 13 2 9" xfId="5338"/>
    <cellStyle name="Normale 13 2 9 2" xfId="12801"/>
    <cellStyle name="Normale 13 2 9 3" xfId="20209"/>
    <cellStyle name="Normale 13 2 9 4" xfId="22929"/>
    <cellStyle name="Normale 13 20" xfId="34999"/>
    <cellStyle name="Normale 13 21" xfId="35306"/>
    <cellStyle name="Normale 13 22" xfId="36850"/>
    <cellStyle name="Normale 13 3" xfId="216"/>
    <cellStyle name="Normale 13 3 10" xfId="15089"/>
    <cellStyle name="Normale 13 3 11" xfId="23240"/>
    <cellStyle name="Normale 13 3 12" xfId="29901"/>
    <cellStyle name="Normale 13 3 13" xfId="30833"/>
    <cellStyle name="Normale 13 3 14" xfId="31754"/>
    <cellStyle name="Normale 13 3 15" xfId="32679"/>
    <cellStyle name="Normale 13 3 16" xfId="33616"/>
    <cellStyle name="Normale 13 3 17" xfId="34546"/>
    <cellStyle name="Normale 13 3 18" xfId="35472"/>
    <cellStyle name="Normale 13 3 19" xfId="36398"/>
    <cellStyle name="Normale 13 3 2" xfId="1183"/>
    <cellStyle name="Normale 13 3 2 2" xfId="8646"/>
    <cellStyle name="Normale 13 3 2 3" xfId="16054"/>
    <cellStyle name="Normale 13 3 2 4" xfId="27707"/>
    <cellStyle name="Normale 13 3 20" xfId="37318"/>
    <cellStyle name="Normale 13 3 3" xfId="2114"/>
    <cellStyle name="Normale 13 3 3 2" xfId="9577"/>
    <cellStyle name="Normale 13 3 3 3" xfId="16985"/>
    <cellStyle name="Normale 13 3 3 4" xfId="25110"/>
    <cellStyle name="Normale 13 3 4" xfId="3036"/>
    <cellStyle name="Normale 13 3 4 2" xfId="10499"/>
    <cellStyle name="Normale 13 3 4 3" xfId="17907"/>
    <cellStyle name="Normale 13 3 4 4" xfId="27966"/>
    <cellStyle name="Normale 13 3 5" xfId="3969"/>
    <cellStyle name="Normale 13 3 5 2" xfId="11432"/>
    <cellStyle name="Normale 13 3 5 3" xfId="18840"/>
    <cellStyle name="Normale 13 3 5 4" xfId="25682"/>
    <cellStyle name="Normale 13 3 6" xfId="4892"/>
    <cellStyle name="Normale 13 3 6 2" xfId="12355"/>
    <cellStyle name="Normale 13 3 6 3" xfId="19763"/>
    <cellStyle name="Normale 13 3 6 4" xfId="23004"/>
    <cellStyle name="Normale 13 3 7" xfId="5820"/>
    <cellStyle name="Normale 13 3 7 2" xfId="13283"/>
    <cellStyle name="Normale 13 3 7 3" xfId="20691"/>
    <cellStyle name="Normale 13 3 7 4" xfId="23237"/>
    <cellStyle name="Normale 13 3 8" xfId="6740"/>
    <cellStyle name="Normale 13 3 8 2" xfId="14203"/>
    <cellStyle name="Normale 13 3 8 3" xfId="21611"/>
    <cellStyle name="Normale 13 3 8 4" xfId="28528"/>
    <cellStyle name="Normale 13 3 9" xfId="7679"/>
    <cellStyle name="Normale 13 4" xfId="988"/>
    <cellStyle name="Normale 13 4 2" xfId="8451"/>
    <cellStyle name="Normale 13 4 3" xfId="15859"/>
    <cellStyle name="Normale 13 4 4" xfId="22504"/>
    <cellStyle name="Normale 13 5" xfId="1939"/>
    <cellStyle name="Normale 13 5 2" xfId="9402"/>
    <cellStyle name="Normale 13 5 3" xfId="16810"/>
    <cellStyle name="Normale 13 5 4" xfId="29451"/>
    <cellStyle name="Normale 13 6" xfId="2567"/>
    <cellStyle name="Normale 13 6 2" xfId="10030"/>
    <cellStyle name="Normale 13 6 3" xfId="17438"/>
    <cellStyle name="Normale 13 6 4" xfId="27839"/>
    <cellStyle name="Normale 13 7" xfId="3582"/>
    <cellStyle name="Normale 13 7 2" xfId="11045"/>
    <cellStyle name="Normale 13 7 3" xfId="18453"/>
    <cellStyle name="Normale 13 7 4" xfId="28413"/>
    <cellStyle name="Normale 13 8" xfId="4422"/>
    <cellStyle name="Normale 13 8 2" xfId="11885"/>
    <cellStyle name="Normale 13 8 3" xfId="19293"/>
    <cellStyle name="Normale 13 8 4" xfId="28754"/>
    <cellStyle name="Normale 13 9" xfId="5577"/>
    <cellStyle name="Normale 13 9 2" xfId="13040"/>
    <cellStyle name="Normale 13 9 3" xfId="20448"/>
    <cellStyle name="Normale 13 9 4" xfId="27904"/>
    <cellStyle name="Normale 14" xfId="16"/>
    <cellStyle name="Normale 14 2" xfId="613"/>
    <cellStyle name="Normale 14 3" xfId="667"/>
    <cellStyle name="Normale 15" xfId="17"/>
    <cellStyle name="Normale 15 10" xfId="6576"/>
    <cellStyle name="Normale 15 10 2" xfId="14039"/>
    <cellStyle name="Normale 15 10 3" xfId="21447"/>
    <cellStyle name="Normale 15 10 4" xfId="23739"/>
    <cellStyle name="Normale 15 11" xfId="7483"/>
    <cellStyle name="Normale 15 12" xfId="7468"/>
    <cellStyle name="Normale 15 13" xfId="24662"/>
    <cellStyle name="Normale 15 14" xfId="29711"/>
    <cellStyle name="Normale 15 15" xfId="30639"/>
    <cellStyle name="Normale 15 16" xfId="31587"/>
    <cellStyle name="Normale 15 17" xfId="31228"/>
    <cellStyle name="Normale 15 18" xfId="33422"/>
    <cellStyle name="Normale 15 19" xfId="34372"/>
    <cellStyle name="Normale 15 2" xfId="218"/>
    <cellStyle name="Normale 15 2 10" xfId="15091"/>
    <cellStyle name="Normale 15 2 11" xfId="28787"/>
    <cellStyle name="Normale 15 2 12" xfId="29903"/>
    <cellStyle name="Normale 15 2 13" xfId="30835"/>
    <cellStyle name="Normale 15 2 14" xfId="31756"/>
    <cellStyle name="Normale 15 2 15" xfId="32681"/>
    <cellStyle name="Normale 15 2 16" xfId="33618"/>
    <cellStyle name="Normale 15 2 17" xfId="34548"/>
    <cellStyle name="Normale 15 2 18" xfId="35474"/>
    <cellStyle name="Normale 15 2 19" xfId="36400"/>
    <cellStyle name="Normale 15 2 2" xfId="1185"/>
    <cellStyle name="Normale 15 2 2 2" xfId="8648"/>
    <cellStyle name="Normale 15 2 2 3" xfId="16056"/>
    <cellStyle name="Normale 15 2 2 4" xfId="25871"/>
    <cellStyle name="Normale 15 2 20" xfId="37320"/>
    <cellStyle name="Normale 15 2 3" xfId="2116"/>
    <cellStyle name="Normale 15 2 3 2" xfId="9579"/>
    <cellStyle name="Normale 15 2 3 3" xfId="16987"/>
    <cellStyle name="Normale 15 2 3 4" xfId="23173"/>
    <cellStyle name="Normale 15 2 4" xfId="3038"/>
    <cellStyle name="Normale 15 2 4 2" xfId="10501"/>
    <cellStyle name="Normale 15 2 4 3" xfId="17909"/>
    <cellStyle name="Normale 15 2 4 4" xfId="26129"/>
    <cellStyle name="Normale 15 2 5" xfId="3971"/>
    <cellStyle name="Normale 15 2 5 2" xfId="11434"/>
    <cellStyle name="Normale 15 2 5 3" xfId="18842"/>
    <cellStyle name="Normale 15 2 5 4" xfId="23846"/>
    <cellStyle name="Normale 15 2 6" xfId="4894"/>
    <cellStyle name="Normale 15 2 6 2" xfId="12357"/>
    <cellStyle name="Normale 15 2 6 3" xfId="19765"/>
    <cellStyle name="Normale 15 2 6 4" xfId="28539"/>
    <cellStyle name="Normale 15 2 7" xfId="5822"/>
    <cellStyle name="Normale 15 2 7 2" xfId="13285"/>
    <cellStyle name="Normale 15 2 7 3" xfId="20693"/>
    <cellStyle name="Normale 15 2 7 4" xfId="28784"/>
    <cellStyle name="Normale 15 2 8" xfId="6742"/>
    <cellStyle name="Normale 15 2 8 2" xfId="14205"/>
    <cellStyle name="Normale 15 2 8 3" xfId="21613"/>
    <cellStyle name="Normale 15 2 8 4" xfId="26698"/>
    <cellStyle name="Normale 15 2 9" xfId="7681"/>
    <cellStyle name="Normale 15 20" xfId="33585"/>
    <cellStyle name="Normale 15 21" xfId="36228"/>
    <cellStyle name="Normale 15 22" xfId="35862"/>
    <cellStyle name="Normale 15 3" xfId="668"/>
    <cellStyle name="Normale 15 4" xfId="991"/>
    <cellStyle name="Normale 15 4 2" xfId="8454"/>
    <cellStyle name="Normale 15 4 3" xfId="15862"/>
    <cellStyle name="Normale 15 4 4" xfId="27104"/>
    <cellStyle name="Normale 15 5" xfId="1806"/>
    <cellStyle name="Normale 15 5 2" xfId="9269"/>
    <cellStyle name="Normale 15 5 3" xfId="16677"/>
    <cellStyle name="Normale 15 5 4" xfId="23727"/>
    <cellStyle name="Normale 15 6" xfId="1734"/>
    <cellStyle name="Normale 15 6 2" xfId="9197"/>
    <cellStyle name="Normale 15 6 3" xfId="16605"/>
    <cellStyle name="Normale 15 6 4" xfId="26166"/>
    <cellStyle name="Normale 15 7" xfId="3429"/>
    <cellStyle name="Normale 15 7 2" xfId="10892"/>
    <cellStyle name="Normale 15 7 3" xfId="18300"/>
    <cellStyle name="Normale 15 7 4" xfId="28875"/>
    <cellStyle name="Normale 15 8" xfId="3428"/>
    <cellStyle name="Normale 15 8 2" xfId="10891"/>
    <cellStyle name="Normale 15 8 3" xfId="18299"/>
    <cellStyle name="Normale 15 8 4" xfId="22444"/>
    <cellStyle name="Normale 15 9" xfId="5339"/>
    <cellStyle name="Normale 15 9 2" xfId="12802"/>
    <cellStyle name="Normale 15 9 3" xfId="20210"/>
    <cellStyle name="Normale 15 9 4" xfId="29358"/>
    <cellStyle name="Normale 16 10" xfId="36229"/>
    <cellStyle name="Normale 16 11" xfId="37155"/>
    <cellStyle name="Normale 16 12" xfId="38045"/>
    <cellStyle name="Normale 16 2" xfId="768"/>
    <cellStyle name="Normale 16 3" xfId="839"/>
    <cellStyle name="Normale 16 4" xfId="910"/>
    <cellStyle name="Normale 16 5" xfId="971"/>
    <cellStyle name="Normale 16 6" xfId="31588"/>
    <cellStyle name="Normale 16 7" xfId="32500"/>
    <cellStyle name="Normale 16 8" xfId="34373"/>
    <cellStyle name="Normale 16 9" xfId="35305"/>
    <cellStyle name="Normale 17 2" xfId="841"/>
    <cellStyle name="Normale 18 2" xfId="914"/>
    <cellStyle name="Normale 18 3" xfId="972"/>
    <cellStyle name="Normale 19 2" xfId="974"/>
    <cellStyle name="Normale 2" xfId="2"/>
    <cellStyle name="Normale 2 10" xfId="913"/>
    <cellStyle name="Normale 2 11" xfId="973"/>
    <cellStyle name="Normale 2 12" xfId="3787"/>
    <cellStyle name="Normale 2 13" xfId="4728"/>
    <cellStyle name="Normale 2 14" xfId="6577"/>
    <cellStyle name="Normale 2 15" xfId="22338"/>
    <cellStyle name="Normale 2 16" xfId="29695"/>
    <cellStyle name="Normale 2 2" xfId="18"/>
    <cellStyle name="Normale 2 2 2" xfId="19"/>
    <cellStyle name="Normale 2 2 3" xfId="612"/>
    <cellStyle name="Normale 2 2 4" xfId="669"/>
    <cellStyle name="Normale 2 3" xfId="20"/>
    <cellStyle name="Normale 2 4" xfId="499"/>
    <cellStyle name="Normale 2 5" xfId="544"/>
    <cellStyle name="Normale 2 6" xfId="601"/>
    <cellStyle name="Normale 2 7" xfId="672"/>
    <cellStyle name="Normale 2 8" xfId="769"/>
    <cellStyle name="Normale 2 9" xfId="840"/>
    <cellStyle name="Normale 3" xfId="21"/>
    <cellStyle name="Normale 3 10" xfId="219"/>
    <cellStyle name="Normale 3 10 10" xfId="15092"/>
    <cellStyle name="Normale 3 10 11" xfId="27860"/>
    <cellStyle name="Normale 3 10 12" xfId="29904"/>
    <cellStyle name="Normale 3 10 13" xfId="30836"/>
    <cellStyle name="Normale 3 10 14" xfId="31757"/>
    <cellStyle name="Normale 3 10 15" xfId="32682"/>
    <cellStyle name="Normale 3 10 16" xfId="33619"/>
    <cellStyle name="Normale 3 10 17" xfId="34549"/>
    <cellStyle name="Normale 3 10 18" xfId="35475"/>
    <cellStyle name="Normale 3 10 19" xfId="36401"/>
    <cellStyle name="Normale 3 10 2" xfId="1186"/>
    <cellStyle name="Normale 3 10 2 2" xfId="8649"/>
    <cellStyle name="Normale 3 10 2 3" xfId="16057"/>
    <cellStyle name="Normale 3 10 2 4" xfId="24960"/>
    <cellStyle name="Normale 3 10 20" xfId="37321"/>
    <cellStyle name="Normale 3 10 3" xfId="2117"/>
    <cellStyle name="Normale 3 10 3 2" xfId="9580"/>
    <cellStyle name="Normale 3 10 3 3" xfId="16988"/>
    <cellStyle name="Normale 3 10 3 4" xfId="29603"/>
    <cellStyle name="Normale 3 10 4" xfId="3039"/>
    <cellStyle name="Normale 3 10 4 2" xfId="10502"/>
    <cellStyle name="Normale 3 10 4 3" xfId="17910"/>
    <cellStyle name="Normale 3 10 4 4" xfId="22943"/>
    <cellStyle name="Normale 3 10 5" xfId="3972"/>
    <cellStyle name="Normale 3 10 5 2" xfId="11435"/>
    <cellStyle name="Normale 3 10 5 3" xfId="18843"/>
    <cellStyle name="Normale 3 10 5 4" xfId="22618"/>
    <cellStyle name="Normale 3 10 6" xfId="4895"/>
    <cellStyle name="Normale 3 10 6 2" xfId="12358"/>
    <cellStyle name="Normale 3 10 6 3" xfId="19766"/>
    <cellStyle name="Normale 3 10 6 4" xfId="27613"/>
    <cellStyle name="Normale 3 10 7" xfId="5823"/>
    <cellStyle name="Normale 3 10 7 2" xfId="13286"/>
    <cellStyle name="Normale 3 10 7 3" xfId="20694"/>
    <cellStyle name="Normale 3 10 7 4" xfId="27857"/>
    <cellStyle name="Normale 3 10 8" xfId="6743"/>
    <cellStyle name="Normale 3 10 8 2" xfId="14206"/>
    <cellStyle name="Normale 3 10 8 3" xfId="21614"/>
    <cellStyle name="Normale 3 10 8 4" xfId="25766"/>
    <cellStyle name="Normale 3 10 9" xfId="7682"/>
    <cellStyle name="Normale 3 11" xfId="403"/>
    <cellStyle name="Normale 3 11 10" xfId="15276"/>
    <cellStyle name="Normale 3 11 11" xfId="27853"/>
    <cellStyle name="Normale 3 11 12" xfId="30088"/>
    <cellStyle name="Normale 3 11 13" xfId="31020"/>
    <cellStyle name="Normale 3 11 14" xfId="31941"/>
    <cellStyle name="Normale 3 11 15" xfId="32865"/>
    <cellStyle name="Normale 3 11 16" xfId="33803"/>
    <cellStyle name="Normale 3 11 17" xfId="34733"/>
    <cellStyle name="Normale 3 11 18" xfId="35659"/>
    <cellStyle name="Normale 3 11 19" xfId="36585"/>
    <cellStyle name="Normale 3 11 2" xfId="1370"/>
    <cellStyle name="Normale 3 11 2 2" xfId="8833"/>
    <cellStyle name="Normale 3 11 2 3" xfId="16241"/>
    <cellStyle name="Normale 3 11 2 4" xfId="25129"/>
    <cellStyle name="Normale 3 11 20" xfId="37504"/>
    <cellStyle name="Normale 3 11 3" xfId="2301"/>
    <cellStyle name="Normale 3 11 3 2" xfId="9764"/>
    <cellStyle name="Normale 3 11 3 3" xfId="17172"/>
    <cellStyle name="Normale 3 11 3 4" xfId="29587"/>
    <cellStyle name="Normale 3 11 4" xfId="3223"/>
    <cellStyle name="Normale 3 11 4 2" xfId="10686"/>
    <cellStyle name="Normale 3 11 4 3" xfId="18094"/>
    <cellStyle name="Normale 3 11 4 4" xfId="25654"/>
    <cellStyle name="Normale 3 11 5" xfId="4156"/>
    <cellStyle name="Normale 3 11 5 2" xfId="11619"/>
    <cellStyle name="Normale 3 11 5 3" xfId="19027"/>
    <cellStyle name="Normale 3 11 5 4" xfId="22832"/>
    <cellStyle name="Normale 3 11 6" xfId="5079"/>
    <cellStyle name="Normale 3 11 6 2" xfId="12542"/>
    <cellStyle name="Normale 3 11 6 3" xfId="19950"/>
    <cellStyle name="Normale 3 11 6 4" xfId="27815"/>
    <cellStyle name="Normale 3 11 7" xfId="6007"/>
    <cellStyle name="Normale 3 11 7 2" xfId="13470"/>
    <cellStyle name="Normale 3 11 7 3" xfId="20878"/>
    <cellStyle name="Normale 3 11 7 4" xfId="27801"/>
    <cellStyle name="Normale 3 11 8" xfId="6926"/>
    <cellStyle name="Normale 3 11 8 2" xfId="14389"/>
    <cellStyle name="Normale 3 11 8 3" xfId="21797"/>
    <cellStyle name="Normale 3 11 8 4" xfId="26553"/>
    <cellStyle name="Normale 3 11 9" xfId="7866"/>
    <cellStyle name="Normale 3 12" xfId="399"/>
    <cellStyle name="Normale 3 12 10" xfId="15272"/>
    <cellStyle name="Normale 3 12 11" xfId="23443"/>
    <cellStyle name="Normale 3 12 12" xfId="30084"/>
    <cellStyle name="Normale 3 12 13" xfId="31016"/>
    <cellStyle name="Normale 3 12 14" xfId="31937"/>
    <cellStyle name="Normale 3 12 15" xfId="32862"/>
    <cellStyle name="Normale 3 12 16" xfId="33799"/>
    <cellStyle name="Normale 3 12 17" xfId="34729"/>
    <cellStyle name="Normale 3 12 18" xfId="35655"/>
    <cellStyle name="Normale 3 12 19" xfId="36581"/>
    <cellStyle name="Normale 3 12 2" xfId="1366"/>
    <cellStyle name="Normale 3 12 2 2" xfId="8829"/>
    <cellStyle name="Normale 3 12 2 3" xfId="16237"/>
    <cellStyle name="Normale 3 12 2 4" xfId="28802"/>
    <cellStyle name="Normale 3 12 20" xfId="37501"/>
    <cellStyle name="Normale 3 12 3" xfId="2297"/>
    <cellStyle name="Normale 3 12 3 2" xfId="9760"/>
    <cellStyle name="Normale 3 12 3 3" xfId="17168"/>
    <cellStyle name="Normale 3 12 3 4" xfId="26005"/>
    <cellStyle name="Normale 3 12 4" xfId="3219"/>
    <cellStyle name="Normale 3 12 4 2" xfId="10682"/>
    <cellStyle name="Normale 3 12 4 3" xfId="18090"/>
    <cellStyle name="Normale 3 12 4 4" xfId="29317"/>
    <cellStyle name="Normale 3 12 5" xfId="4152"/>
    <cellStyle name="Normale 3 12 5 2" xfId="11615"/>
    <cellStyle name="Normale 3 12 5 3" xfId="19023"/>
    <cellStyle name="Normale 3 12 5 4" xfId="26578"/>
    <cellStyle name="Normale 3 12 6" xfId="5075"/>
    <cellStyle name="Normale 3 12 6 2" xfId="12538"/>
    <cellStyle name="Normale 3 12 6 3" xfId="19946"/>
    <cellStyle name="Normale 3 12 6 4" xfId="24204"/>
    <cellStyle name="Normale 3 12 7" xfId="6003"/>
    <cellStyle name="Normale 3 12 7 2" xfId="13466"/>
    <cellStyle name="Normale 3 12 7 3" xfId="20874"/>
    <cellStyle name="Normale 3 12 7 4" xfId="23300"/>
    <cellStyle name="Normale 3 12 8" xfId="6923"/>
    <cellStyle name="Normale 3 12 8 2" xfId="14386"/>
    <cellStyle name="Normale 3 12 8 3" xfId="21794"/>
    <cellStyle name="Normale 3 12 8 4" xfId="29287"/>
    <cellStyle name="Normale 3 12 9" xfId="7862"/>
    <cellStyle name="Normale 3 13" xfId="450"/>
    <cellStyle name="Normale 3 13 10" xfId="15323"/>
    <cellStyle name="Normale 3 13 11" xfId="28381"/>
    <cellStyle name="Normale 3 13 12" xfId="30135"/>
    <cellStyle name="Normale 3 13 13" xfId="31067"/>
    <cellStyle name="Normale 3 13 14" xfId="31988"/>
    <cellStyle name="Normale 3 13 15" xfId="32911"/>
    <cellStyle name="Normale 3 13 16" xfId="33850"/>
    <cellStyle name="Normale 3 13 17" xfId="34780"/>
    <cellStyle name="Normale 3 13 18" xfId="35706"/>
    <cellStyle name="Normale 3 13 19" xfId="36632"/>
    <cellStyle name="Normale 3 13 2" xfId="1417"/>
    <cellStyle name="Normale 3 13 2 2" xfId="8880"/>
    <cellStyle name="Normale 3 13 2 3" xfId="16288"/>
    <cellStyle name="Normale 3 13 2 4" xfId="25253"/>
    <cellStyle name="Normale 3 13 20" xfId="37550"/>
    <cellStyle name="Normale 3 13 3" xfId="2348"/>
    <cellStyle name="Normale 3 13 3 2" xfId="9811"/>
    <cellStyle name="Normale 3 13 3 3" xfId="17219"/>
    <cellStyle name="Normale 3 13 3 4" xfId="22798"/>
    <cellStyle name="Normale 3 13 4" xfId="3270"/>
    <cellStyle name="Normale 3 13 4 2" xfId="10733"/>
    <cellStyle name="Normale 3 13 4 3" xfId="18141"/>
    <cellStyle name="Normale 3 13 4 4" xfId="28473"/>
    <cellStyle name="Normale 3 13 5" xfId="4203"/>
    <cellStyle name="Normale 3 13 5 2" xfId="11666"/>
    <cellStyle name="Normale 3 13 5 3" xfId="19074"/>
    <cellStyle name="Normale 3 13 5 4" xfId="22424"/>
    <cellStyle name="Normale 3 13 6" xfId="5126"/>
    <cellStyle name="Normale 3 13 6 2" xfId="12589"/>
    <cellStyle name="Normale 3 13 6 3" xfId="19997"/>
    <cellStyle name="Normale 3 13 6 4" xfId="26962"/>
    <cellStyle name="Normale 3 13 7" xfId="6054"/>
    <cellStyle name="Normale 3 13 7 2" xfId="13517"/>
    <cellStyle name="Normale 3 13 7 3" xfId="20925"/>
    <cellStyle name="Normale 3 13 7 4" xfId="28346"/>
    <cellStyle name="Normale 3 13 8" xfId="6972"/>
    <cellStyle name="Normale 3 13 8 2" xfId="14435"/>
    <cellStyle name="Normale 3 13 8 3" xfId="21843"/>
    <cellStyle name="Normale 3 13 8 4" xfId="22990"/>
    <cellStyle name="Normale 3 13 9" xfId="7913"/>
    <cellStyle name="Normale 3 14" xfId="551"/>
    <cellStyle name="Normale 3 14 10" xfId="15424"/>
    <cellStyle name="Normale 3 14 11" xfId="24111"/>
    <cellStyle name="Normale 3 14 12" xfId="30234"/>
    <cellStyle name="Normale 3 14 13" xfId="31168"/>
    <cellStyle name="Normale 3 14 14" xfId="32087"/>
    <cellStyle name="Normale 3 14 15" xfId="33008"/>
    <cellStyle name="Normale 3 14 16" xfId="33951"/>
    <cellStyle name="Normale 3 14 17" xfId="34881"/>
    <cellStyle name="Normale 3 14 18" xfId="35807"/>
    <cellStyle name="Normale 3 14 19" xfId="36733"/>
    <cellStyle name="Normale 3 14 2" xfId="1518"/>
    <cellStyle name="Normale 3 14 2 2" xfId="8981"/>
    <cellStyle name="Normale 3 14 2 3" xfId="16389"/>
    <cellStyle name="Normale 3 14 2 4" xfId="26543"/>
    <cellStyle name="Normale 3 14 20" xfId="37647"/>
    <cellStyle name="Normale 3 14 3" xfId="2449"/>
    <cellStyle name="Normale 3 14 3 2" xfId="9912"/>
    <cellStyle name="Normale 3 14 3 3" xfId="17320"/>
    <cellStyle name="Normale 3 14 3 4" xfId="25863"/>
    <cellStyle name="Normale 3 14 4" xfId="3369"/>
    <cellStyle name="Normale 3 14 4 2" xfId="10832"/>
    <cellStyle name="Normale 3 14 4 3" xfId="18240"/>
    <cellStyle name="Normale 3 14 4 4" xfId="25950"/>
    <cellStyle name="Normale 3 14 5" xfId="4304"/>
    <cellStyle name="Normale 3 14 5 2" xfId="11767"/>
    <cellStyle name="Normale 3 14 5 3" xfId="19175"/>
    <cellStyle name="Normale 3 14 5 4" xfId="23758"/>
    <cellStyle name="Normale 3 14 6" xfId="5225"/>
    <cellStyle name="Normale 3 14 6 2" xfId="12688"/>
    <cellStyle name="Normale 3 14 6 3" xfId="20096"/>
    <cellStyle name="Normale 3 14 6 4" xfId="23753"/>
    <cellStyle name="Normale 3 14 7" xfId="6155"/>
    <cellStyle name="Normale 3 14 7 2" xfId="13618"/>
    <cellStyle name="Normale 3 14 7 3" xfId="21026"/>
    <cellStyle name="Normale 3 14 7 4" xfId="23966"/>
    <cellStyle name="Normale 3 14 8" xfId="7069"/>
    <cellStyle name="Normale 3 14 8 2" xfId="14532"/>
    <cellStyle name="Normale 3 14 8 3" xfId="21940"/>
    <cellStyle name="Normale 3 14 8 4" xfId="29149"/>
    <cellStyle name="Normale 3 14 9" xfId="8014"/>
    <cellStyle name="Normale 3 15" xfId="550"/>
    <cellStyle name="Normale 3 15 10" xfId="15423"/>
    <cellStyle name="Normale 3 15 11" xfId="25037"/>
    <cellStyle name="Normale 3 15 12" xfId="30233"/>
    <cellStyle name="Normale 3 15 13" xfId="31167"/>
    <cellStyle name="Normale 3 15 14" xfId="32086"/>
    <cellStyle name="Normale 3 15 15" xfId="33007"/>
    <cellStyle name="Normale 3 15 16" xfId="33950"/>
    <cellStyle name="Normale 3 15 17" xfId="34880"/>
    <cellStyle name="Normale 3 15 18" xfId="35806"/>
    <cellStyle name="Normale 3 15 19" xfId="36732"/>
    <cellStyle name="Normale 3 15 2" xfId="1517"/>
    <cellStyle name="Normale 3 15 2 2" xfId="8980"/>
    <cellStyle name="Normale 3 15 2 3" xfId="16388"/>
    <cellStyle name="Normale 3 15 2 4" xfId="27451"/>
    <cellStyle name="Normale 3 15 20" xfId="37646"/>
    <cellStyle name="Normale 3 15 3" xfId="2448"/>
    <cellStyle name="Normale 3 15 3 2" xfId="9911"/>
    <cellStyle name="Normale 3 15 3 3" xfId="17319"/>
    <cellStyle name="Normale 3 15 3 4" xfId="26796"/>
    <cellStyle name="Normale 3 15 4" xfId="3368"/>
    <cellStyle name="Normale 3 15 4 2" xfId="10831"/>
    <cellStyle name="Normale 3 15 4 3" xfId="18239"/>
    <cellStyle name="Normale 3 15 4 4" xfId="26884"/>
    <cellStyle name="Normale 3 15 5" xfId="4303"/>
    <cellStyle name="Normale 3 15 5 2" xfId="11766"/>
    <cellStyle name="Normale 3 15 5 3" xfId="19174"/>
    <cellStyle name="Normale 3 15 5 4" xfId="24681"/>
    <cellStyle name="Normale 3 15 6" xfId="5224"/>
    <cellStyle name="Normale 3 15 6 2" xfId="12687"/>
    <cellStyle name="Normale 3 15 6 3" xfId="20095"/>
    <cellStyle name="Normale 3 15 6 4" xfId="24676"/>
    <cellStyle name="Normale 3 15 7" xfId="6154"/>
    <cellStyle name="Normale 3 15 7 2" xfId="13617"/>
    <cellStyle name="Normale 3 15 7 3" xfId="21025"/>
    <cellStyle name="Normale 3 15 7 4" xfId="24891"/>
    <cellStyle name="Normale 3 15 8" xfId="7068"/>
    <cellStyle name="Normale 3 15 8 2" xfId="14531"/>
    <cellStyle name="Normale 3 15 8 3" xfId="21939"/>
    <cellStyle name="Normale 3 15 8 4" xfId="22719"/>
    <cellStyle name="Normale 3 15 9" xfId="8013"/>
    <cellStyle name="Normale 3 16" xfId="689"/>
    <cellStyle name="Normale 3 16 10" xfId="15560"/>
    <cellStyle name="Normale 3 16 11" xfId="26879"/>
    <cellStyle name="Normale 3 16 12" xfId="30363"/>
    <cellStyle name="Normale 3 16 13" xfId="31304"/>
    <cellStyle name="Normale 3 16 14" xfId="32217"/>
    <cellStyle name="Normale 3 16 15" xfId="33135"/>
    <cellStyle name="Normale 3 16 16" xfId="34087"/>
    <cellStyle name="Normale 3 16 17" xfId="35019"/>
    <cellStyle name="Normale 3 16 18" xfId="35945"/>
    <cellStyle name="Normale 3 16 19" xfId="36870"/>
    <cellStyle name="Normale 3 16 2" xfId="1654"/>
    <cellStyle name="Normale 3 16 2 2" xfId="9117"/>
    <cellStyle name="Normale 3 16 2 3" xfId="16525"/>
    <cellStyle name="Normale 3 16 2 4" xfId="26542"/>
    <cellStyle name="Normale 3 16 20" xfId="37774"/>
    <cellStyle name="Normale 3 16 3" xfId="2587"/>
    <cellStyle name="Normale 3 16 3 2" xfId="10050"/>
    <cellStyle name="Normale 3 16 3 3" xfId="17458"/>
    <cellStyle name="Normale 3 16 3 4" xfId="24026"/>
    <cellStyle name="Normale 3 16 4" xfId="3503"/>
    <cellStyle name="Normale 3 16 4 2" xfId="10966"/>
    <cellStyle name="Normale 3 16 4 3" xfId="18374"/>
    <cellStyle name="Normale 3 16 4 4" xfId="27040"/>
    <cellStyle name="Normale 3 16 5" xfId="4442"/>
    <cellStyle name="Normale 3 16 5 2" xfId="11905"/>
    <cellStyle name="Normale 3 16 5 3" xfId="19313"/>
    <cellStyle name="Normale 3 16 5 4" xfId="24939"/>
    <cellStyle name="Normale 3 16 6" xfId="5358"/>
    <cellStyle name="Normale 3 16 6 2" xfId="12821"/>
    <cellStyle name="Normale 3 16 6 3" xfId="20229"/>
    <cellStyle name="Normale 3 16 6 4" xfId="26519"/>
    <cellStyle name="Normale 3 16 7" xfId="6291"/>
    <cellStyle name="Normale 3 16 7 2" xfId="13754"/>
    <cellStyle name="Normale 3 16 7 3" xfId="21162"/>
    <cellStyle name="Normale 3 16 7 4" xfId="24059"/>
    <cellStyle name="Normale 3 16 8" xfId="7196"/>
    <cellStyle name="Normale 3 16 8 2" xfId="14659"/>
    <cellStyle name="Normale 3 16 8 3" xfId="22067"/>
    <cellStyle name="Normale 3 16 8 4" xfId="27360"/>
    <cellStyle name="Normale 3 16 9" xfId="8152"/>
    <cellStyle name="Normale 3 17" xfId="757"/>
    <cellStyle name="Normale 3 17 10" xfId="15628"/>
    <cellStyle name="Normale 3 17 11" xfId="25671"/>
    <cellStyle name="Normale 3 17 12" xfId="30431"/>
    <cellStyle name="Normale 3 17 13" xfId="31372"/>
    <cellStyle name="Normale 3 17 14" xfId="32285"/>
    <cellStyle name="Normale 3 17 15" xfId="33202"/>
    <cellStyle name="Normale 3 17 16" xfId="34155"/>
    <cellStyle name="Normale 3 17 17" xfId="35087"/>
    <cellStyle name="Normale 3 17 18" xfId="36013"/>
    <cellStyle name="Normale 3 17 19" xfId="36938"/>
    <cellStyle name="Normale 3 17 2" xfId="1722"/>
    <cellStyle name="Normale 3 17 2 2" xfId="9185"/>
    <cellStyle name="Normale 3 17 2 3" xfId="16593"/>
    <cellStyle name="Normale 3 17 2 4" xfId="29106"/>
    <cellStyle name="Normale 3 17 20" xfId="37841"/>
    <cellStyle name="Normale 3 17 3" xfId="2655"/>
    <cellStyle name="Normale 3 17 3 2" xfId="10118"/>
    <cellStyle name="Normale 3 17 3 3" xfId="17526"/>
    <cellStyle name="Normale 3 17 3 4" xfId="27673"/>
    <cellStyle name="Normale 3 17 4" xfId="3571"/>
    <cellStyle name="Normale 3 17 4 2" xfId="11034"/>
    <cellStyle name="Normale 3 17 4 3" xfId="18442"/>
    <cellStyle name="Normale 3 17 4 4" xfId="23948"/>
    <cellStyle name="Normale 3 17 5" xfId="4510"/>
    <cellStyle name="Normale 3 17 5 2" xfId="11973"/>
    <cellStyle name="Normale 3 17 5 3" xfId="19381"/>
    <cellStyle name="Normale 3 17 5 4" xfId="23128"/>
    <cellStyle name="Normale 3 17 6" xfId="5426"/>
    <cellStyle name="Normale 3 17 6 2" xfId="12889"/>
    <cellStyle name="Normale 3 17 6 3" xfId="20297"/>
    <cellStyle name="Normale 3 17 6 4" xfId="29011"/>
    <cellStyle name="Normale 3 17 7" xfId="6359"/>
    <cellStyle name="Normale 3 17 7 2" xfId="13822"/>
    <cellStyle name="Normale 3 17 7 3" xfId="21230"/>
    <cellStyle name="Normale 3 17 7 4" xfId="27744"/>
    <cellStyle name="Normale 3 17 8" xfId="7263"/>
    <cellStyle name="Normale 3 17 8 2" xfId="14726"/>
    <cellStyle name="Normale 3 17 8 3" xfId="22134"/>
    <cellStyle name="Normale 3 17 8 4" xfId="23461"/>
    <cellStyle name="Normale 3 17 9" xfId="8220"/>
    <cellStyle name="Normale 3 18" xfId="828"/>
    <cellStyle name="Normale 3 18 10" xfId="15699"/>
    <cellStyle name="Normale 3 18 11" xfId="24837"/>
    <cellStyle name="Normale 3 18 12" xfId="30500"/>
    <cellStyle name="Normale 3 18 13" xfId="31443"/>
    <cellStyle name="Normale 3 18 14" xfId="32355"/>
    <cellStyle name="Normale 3 18 15" xfId="33271"/>
    <cellStyle name="Normale 3 18 16" xfId="34226"/>
    <cellStyle name="Normale 3 18 17" xfId="35158"/>
    <cellStyle name="Normale 3 18 18" xfId="36084"/>
    <cellStyle name="Normale 3 18 19" xfId="37009"/>
    <cellStyle name="Normale 3 18 2" xfId="1793"/>
    <cellStyle name="Normale 3 18 2 2" xfId="9256"/>
    <cellStyle name="Normale 3 18 2 3" xfId="16664"/>
    <cellStyle name="Normale 3 18 2 4" xfId="28373"/>
    <cellStyle name="Normale 3 18 20" xfId="37910"/>
    <cellStyle name="Normale 3 18 3" xfId="2726"/>
    <cellStyle name="Normale 3 18 3 2" xfId="10189"/>
    <cellStyle name="Normale 3 18 3 3" xfId="17597"/>
    <cellStyle name="Normale 3 18 3 4" xfId="26615"/>
    <cellStyle name="Normale 3 18 4" xfId="3641"/>
    <cellStyle name="Normale 3 18 4 2" xfId="11104"/>
    <cellStyle name="Normale 3 18 4 3" xfId="18512"/>
    <cellStyle name="Normale 3 18 4 4" xfId="25195"/>
    <cellStyle name="Normale 3 18 5" xfId="4581"/>
    <cellStyle name="Normale 3 18 5 2" xfId="12044"/>
    <cellStyle name="Normale 3 18 5 3" xfId="19452"/>
    <cellStyle name="Normale 3 18 5 4" xfId="29395"/>
    <cellStyle name="Normale 3 18 6" xfId="5496"/>
    <cellStyle name="Normale 3 18 6 2" xfId="12959"/>
    <cellStyle name="Normale 3 18 6 3" xfId="20367"/>
    <cellStyle name="Normale 3 18 6 4" xfId="29255"/>
    <cellStyle name="Normale 3 18 7" xfId="6430"/>
    <cellStyle name="Normale 3 18 7 2" xfId="13893"/>
    <cellStyle name="Normale 3 18 7 3" xfId="21301"/>
    <cellStyle name="Normale 3 18 7 4" xfId="26670"/>
    <cellStyle name="Normale 3 18 8" xfId="7332"/>
    <cellStyle name="Normale 3 18 8 2" xfId="14795"/>
    <cellStyle name="Normale 3 18 8 3" xfId="22203"/>
    <cellStyle name="Normale 3 18 8 4" xfId="27361"/>
    <cellStyle name="Normale 3 18 9" xfId="8291"/>
    <cellStyle name="Normale 3 19" xfId="911"/>
    <cellStyle name="Normale 3 19 10" xfId="15782"/>
    <cellStyle name="Normale 3 19 11" xfId="26386"/>
    <cellStyle name="Normale 3 19 12" xfId="30579"/>
    <cellStyle name="Normale 3 19 13" xfId="31526"/>
    <cellStyle name="Normale 3 19 14" xfId="32437"/>
    <cellStyle name="Normale 3 19 15" xfId="33348"/>
    <cellStyle name="Normale 3 19 16" xfId="34309"/>
    <cellStyle name="Normale 3 19 17" xfId="35241"/>
    <cellStyle name="Normale 3 19 18" xfId="36167"/>
    <cellStyle name="Normale 3 19 19" xfId="37092"/>
    <cellStyle name="Normale 3 19 2" xfId="1876"/>
    <cellStyle name="Normale 3 19 2 2" xfId="9339"/>
    <cellStyle name="Normale 3 19 2 3" xfId="16747"/>
    <cellStyle name="Normale 3 19 2 4" xfId="25239"/>
    <cellStyle name="Normale 3 19 20" xfId="37987"/>
    <cellStyle name="Normale 3 19 3" xfId="2809"/>
    <cellStyle name="Normale 3 19 3 2" xfId="10272"/>
    <cellStyle name="Normale 3 19 3 3" xfId="17680"/>
    <cellStyle name="Normale 3 19 3 4" xfId="23571"/>
    <cellStyle name="Normale 3 19 4" xfId="3723"/>
    <cellStyle name="Normale 3 19 4 2" xfId="11186"/>
    <cellStyle name="Normale 3 19 4 3" xfId="18594"/>
    <cellStyle name="Normale 3 19 4 4" xfId="23813"/>
    <cellStyle name="Normale 3 19 5" xfId="4664"/>
    <cellStyle name="Normale 3 19 5 2" xfId="12127"/>
    <cellStyle name="Normale 3 19 5 3" xfId="19535"/>
    <cellStyle name="Normale 3 19 5 4" xfId="26428"/>
    <cellStyle name="Normale 3 19 6" xfId="5578"/>
    <cellStyle name="Normale 3 19 6 2" xfId="13041"/>
    <cellStyle name="Normale 3 19 6 3" xfId="20449"/>
    <cellStyle name="Normale 3 19 6 4" xfId="26986"/>
    <cellStyle name="Normale 3 19 7" xfId="6513"/>
    <cellStyle name="Normale 3 19 7 2" xfId="13976"/>
    <cellStyle name="Normale 3 19 7 3" xfId="21384"/>
    <cellStyle name="Normale 3 19 7 4" xfId="23651"/>
    <cellStyle name="Normale 3 19 8" xfId="7409"/>
    <cellStyle name="Normale 3 19 8 2" xfId="14872"/>
    <cellStyle name="Normale 3 19 8 3" xfId="22280"/>
    <cellStyle name="Normale 3 19 8 4" xfId="23195"/>
    <cellStyle name="Normale 3 19 9" xfId="8374"/>
    <cellStyle name="Normale 3 2" xfId="22"/>
    <cellStyle name="Normale 3 2 10" xfId="452"/>
    <cellStyle name="Normale 3 2 10 10" xfId="15325"/>
    <cellStyle name="Normale 3 2 10 11" xfId="26549"/>
    <cellStyle name="Normale 3 2 10 12" xfId="30137"/>
    <cellStyle name="Normale 3 2 10 13" xfId="31069"/>
    <cellStyle name="Normale 3 2 10 14" xfId="31990"/>
    <cellStyle name="Normale 3 2 10 15" xfId="32913"/>
    <cellStyle name="Normale 3 2 10 16" xfId="33852"/>
    <cellStyle name="Normale 3 2 10 17" xfId="34782"/>
    <cellStyle name="Normale 3 2 10 18" xfId="35708"/>
    <cellStyle name="Normale 3 2 10 19" xfId="36634"/>
    <cellStyle name="Normale 3 2 10 2" xfId="1419"/>
    <cellStyle name="Normale 3 2 10 2 2" xfId="8882"/>
    <cellStyle name="Normale 3 2 10 2 3" xfId="16290"/>
    <cellStyle name="Normale 3 2 10 2 4" xfId="29676"/>
    <cellStyle name="Normale 3 2 10 20" xfId="37552"/>
    <cellStyle name="Normale 3 2 10 3" xfId="2350"/>
    <cellStyle name="Normale 3 2 10 3 2" xfId="9813"/>
    <cellStyle name="Normale 3 2 10 3 3" xfId="17221"/>
    <cellStyle name="Normale 3 2 10 3 4" xfId="28322"/>
    <cellStyle name="Normale 3 2 10 4" xfId="3272"/>
    <cellStyle name="Normale 3 2 10 4 2" xfId="10735"/>
    <cellStyle name="Normale 3 2 10 4 3" xfId="18143"/>
    <cellStyle name="Normale 3 2 10 4 4" xfId="26642"/>
    <cellStyle name="Normale 3 2 10 5" xfId="4205"/>
    <cellStyle name="Normale 3 2 10 5 2" xfId="11668"/>
    <cellStyle name="Normale 3 2 10 5 3" xfId="19076"/>
    <cellStyle name="Normale 3 2 10 5 4" xfId="28852"/>
    <cellStyle name="Normale 3 2 10 6" xfId="5128"/>
    <cellStyle name="Normale 3 2 10 6 2" xfId="12591"/>
    <cellStyle name="Normale 3 2 10 6 3" xfId="19999"/>
    <cellStyle name="Normale 3 2 10 6 4" xfId="25119"/>
    <cellStyle name="Normale 3 2 10 7" xfId="6056"/>
    <cellStyle name="Normale 3 2 10 7 2" xfId="13519"/>
    <cellStyle name="Normale 3 2 10 7 3" xfId="20927"/>
    <cellStyle name="Normale 3 2 10 7 4" xfId="26514"/>
    <cellStyle name="Normale 3 2 10 8" xfId="6974"/>
    <cellStyle name="Normale 3 2 10 8 2" xfId="14437"/>
    <cellStyle name="Normale 3 2 10 8 3" xfId="21845"/>
    <cellStyle name="Normale 3 2 10 8 4" xfId="28525"/>
    <cellStyle name="Normale 3 2 10 9" xfId="7915"/>
    <cellStyle name="Normale 3 2 11" xfId="500"/>
    <cellStyle name="Normale 3 2 11 10" xfId="15373"/>
    <cellStyle name="Normale 3 2 11 11" xfId="26200"/>
    <cellStyle name="Normale 3 2 11 12" xfId="30184"/>
    <cellStyle name="Normale 3 2 11 13" xfId="31117"/>
    <cellStyle name="Normale 3 2 11 14" xfId="32037"/>
    <cellStyle name="Normale 3 2 11 15" xfId="32959"/>
    <cellStyle name="Normale 3 2 11 16" xfId="33900"/>
    <cellStyle name="Normale 3 2 11 17" xfId="34830"/>
    <cellStyle name="Normale 3 2 11 18" xfId="35756"/>
    <cellStyle name="Normale 3 2 11 19" xfId="36682"/>
    <cellStyle name="Normale 3 2 11 2" xfId="1467"/>
    <cellStyle name="Normale 3 2 11 2 2" xfId="8930"/>
    <cellStyle name="Normale 3 2 11 2 3" xfId="16338"/>
    <cellStyle name="Normale 3 2 11 2 4" xfId="29112"/>
    <cellStyle name="Normale 3 2 11 20" xfId="37598"/>
    <cellStyle name="Normale 3 2 11 3" xfId="2398"/>
    <cellStyle name="Normale 3 2 11 3 2" xfId="9861"/>
    <cellStyle name="Normale 3 2 11 3 3" xfId="17269"/>
    <cellStyle name="Normale 3 2 11 3 4" xfId="28178"/>
    <cellStyle name="Normale 3 2 11 4" xfId="3319"/>
    <cellStyle name="Normale 3 2 11 4 2" xfId="10782"/>
    <cellStyle name="Normale 3 2 11 4 3" xfId="18190"/>
    <cellStyle name="Normale 3 2 11 4 4" xfId="29552"/>
    <cellStyle name="Normale 3 2 11 5" xfId="4253"/>
    <cellStyle name="Normale 3 2 11 5 2" xfId="11716"/>
    <cellStyle name="Normale 3 2 11 5 3" xfId="19124"/>
    <cellStyle name="Normale 3 2 11 5 4" xfId="29575"/>
    <cellStyle name="Normale 3 2 11 6" xfId="5175"/>
    <cellStyle name="Normale 3 2 11 6 2" xfId="12638"/>
    <cellStyle name="Normale 3 2 11 6 3" xfId="20046"/>
    <cellStyle name="Normale 3 2 11 6 4" xfId="25348"/>
    <cellStyle name="Normale 3 2 11 7" xfId="6104"/>
    <cellStyle name="Normale 3 2 11 7 2" xfId="13567"/>
    <cellStyle name="Normale 3 2 11 7 3" xfId="20975"/>
    <cellStyle name="Normale 3 2 11 7 4" xfId="26056"/>
    <cellStyle name="Normale 3 2 11 8" xfId="7020"/>
    <cellStyle name="Normale 3 2 11 8 2" xfId="14483"/>
    <cellStyle name="Normale 3 2 11 8 3" xfId="21891"/>
    <cellStyle name="Normale 3 2 11 8 4" xfId="23125"/>
    <cellStyle name="Normale 3 2 11 9" xfId="7963"/>
    <cellStyle name="Normale 3 2 12" xfId="552"/>
    <cellStyle name="Normale 3 2 12 10" xfId="15425"/>
    <cellStyle name="Normale 3 2 12 11" xfId="23102"/>
    <cellStyle name="Normale 3 2 12 12" xfId="30235"/>
    <cellStyle name="Normale 3 2 12 13" xfId="31169"/>
    <cellStyle name="Normale 3 2 12 14" xfId="32088"/>
    <cellStyle name="Normale 3 2 12 15" xfId="33009"/>
    <cellStyle name="Normale 3 2 12 16" xfId="33952"/>
    <cellStyle name="Normale 3 2 12 17" xfId="34882"/>
    <cellStyle name="Normale 3 2 12 18" xfId="35808"/>
    <cellStyle name="Normale 3 2 12 19" xfId="36734"/>
    <cellStyle name="Normale 3 2 12 2" xfId="1519"/>
    <cellStyle name="Normale 3 2 12 2 2" xfId="8982"/>
    <cellStyle name="Normale 3 2 12 2 3" xfId="16390"/>
    <cellStyle name="Normale 3 2 12 2 4" xfId="25614"/>
    <cellStyle name="Normale 3 2 12 20" xfId="37648"/>
    <cellStyle name="Normale 3 2 12 3" xfId="2450"/>
    <cellStyle name="Normale 3 2 12 3 2" xfId="9913"/>
    <cellStyle name="Normale 3 2 12 3 3" xfId="17321"/>
    <cellStyle name="Normale 3 2 12 3 4" xfId="24952"/>
    <cellStyle name="Normale 3 2 12 4" xfId="3370"/>
    <cellStyle name="Normale 3 2 12 4 2" xfId="10833"/>
    <cellStyle name="Normale 3 2 12 4 3" xfId="18241"/>
    <cellStyle name="Normale 3 2 12 4 4" xfId="25041"/>
    <cellStyle name="Normale 3 2 12 5" xfId="4305"/>
    <cellStyle name="Normale 3 2 12 5 2" xfId="11768"/>
    <cellStyle name="Normale 3 2 12 5 3" xfId="19176"/>
    <cellStyle name="Normale 3 2 12 5 4" xfId="22786"/>
    <cellStyle name="Normale 3 2 12 6" xfId="5226"/>
    <cellStyle name="Normale 3 2 12 6 2" xfId="12689"/>
    <cellStyle name="Normale 3 2 12 6 3" xfId="20097"/>
    <cellStyle name="Normale 3 2 12 6 4" xfId="22781"/>
    <cellStyle name="Normale 3 2 12 7" xfId="6156"/>
    <cellStyle name="Normale 3 2 12 7 2" xfId="13619"/>
    <cellStyle name="Normale 3 2 12 7 3" xfId="21027"/>
    <cellStyle name="Normale 3 2 12 7 4" xfId="22987"/>
    <cellStyle name="Normale 3 2 12 8" xfId="7070"/>
    <cellStyle name="Normale 3 2 12 8 2" xfId="14533"/>
    <cellStyle name="Normale 3 2 12 8 3" xfId="21941"/>
    <cellStyle name="Normale 3 2 12 8 4" xfId="28240"/>
    <cellStyle name="Normale 3 2 12 9" xfId="8015"/>
    <cellStyle name="Normale 3 2 13" xfId="549"/>
    <cellStyle name="Normale 3 2 13 10" xfId="15422"/>
    <cellStyle name="Normale 3 2 13 11" xfId="25946"/>
    <cellStyle name="Normale 3 2 13 12" xfId="30232"/>
    <cellStyle name="Normale 3 2 13 13" xfId="31166"/>
    <cellStyle name="Normale 3 2 13 14" xfId="32085"/>
    <cellStyle name="Normale 3 2 13 15" xfId="33006"/>
    <cellStyle name="Normale 3 2 13 16" xfId="33949"/>
    <cellStyle name="Normale 3 2 13 17" xfId="34879"/>
    <cellStyle name="Normale 3 2 13 18" xfId="35805"/>
    <cellStyle name="Normale 3 2 13 19" xfId="36731"/>
    <cellStyle name="Normale 3 2 13 2" xfId="1516"/>
    <cellStyle name="Normale 3 2 13 2 2" xfId="8979"/>
    <cellStyle name="Normale 3 2 13 2 3" xfId="16387"/>
    <cellStyle name="Normale 3 2 13 2 4" xfId="28375"/>
    <cellStyle name="Normale 3 2 13 20" xfId="37645"/>
    <cellStyle name="Normale 3 2 13 3" xfId="2447"/>
    <cellStyle name="Normale 3 2 13 3 2" xfId="9910"/>
    <cellStyle name="Normale 3 2 13 3 3" xfId="17318"/>
    <cellStyle name="Normale 3 2 13 3 4" xfId="27699"/>
    <cellStyle name="Normale 3 2 13 4" xfId="3367"/>
    <cellStyle name="Normale 3 2 13 4 2" xfId="10830"/>
    <cellStyle name="Normale 3 2 13 4 3" xfId="18238"/>
    <cellStyle name="Normale 3 2 13 4 4" xfId="27786"/>
    <cellStyle name="Normale 3 2 13 5" xfId="4302"/>
    <cellStyle name="Normale 3 2 13 5 2" xfId="11765"/>
    <cellStyle name="Normale 3 2 13 5 3" xfId="19173"/>
    <cellStyle name="Normale 3 2 13 5 4" xfId="25596"/>
    <cellStyle name="Normale 3 2 13 6" xfId="5223"/>
    <cellStyle name="Normale 3 2 13 6 2" xfId="12686"/>
    <cellStyle name="Normale 3 2 13 6 3" xfId="20094"/>
    <cellStyle name="Normale 3 2 13 6 4" xfId="25591"/>
    <cellStyle name="Normale 3 2 13 7" xfId="6153"/>
    <cellStyle name="Normale 3 2 13 7 2" xfId="13616"/>
    <cellStyle name="Normale 3 2 13 7 3" xfId="21024"/>
    <cellStyle name="Normale 3 2 13 7 4" xfId="25803"/>
    <cellStyle name="Normale 3 2 13 8" xfId="7067"/>
    <cellStyle name="Normale 3 2 13 8 2" xfId="14530"/>
    <cellStyle name="Normale 3 2 13 8 3" xfId="21938"/>
    <cellStyle name="Normale 3 2 13 8 4" xfId="23692"/>
    <cellStyle name="Normale 3 2 13 9" xfId="8012"/>
    <cellStyle name="Normale 3 2 14" xfId="690"/>
    <cellStyle name="Normale 3 2 14 10" xfId="15561"/>
    <cellStyle name="Normale 3 2 14 11" xfId="25945"/>
    <cellStyle name="Normale 3 2 14 12" xfId="30364"/>
    <cellStyle name="Normale 3 2 14 13" xfId="31305"/>
    <cellStyle name="Normale 3 2 14 14" xfId="32218"/>
    <cellStyle name="Normale 3 2 14 15" xfId="33136"/>
    <cellStyle name="Normale 3 2 14 16" xfId="34088"/>
    <cellStyle name="Normale 3 2 14 17" xfId="35020"/>
    <cellStyle name="Normale 3 2 14 18" xfId="35946"/>
    <cellStyle name="Normale 3 2 14 19" xfId="36871"/>
    <cellStyle name="Normale 3 2 14 2" xfId="1655"/>
    <cellStyle name="Normale 3 2 14 2 2" xfId="9118"/>
    <cellStyle name="Normale 3 2 14 2 3" xfId="16526"/>
    <cellStyle name="Normale 3 2 14 2 4" xfId="25613"/>
    <cellStyle name="Normale 3 2 14 20" xfId="37775"/>
    <cellStyle name="Normale 3 2 14 3" xfId="2588"/>
    <cellStyle name="Normale 3 2 14 3 2" xfId="10051"/>
    <cellStyle name="Normale 3 2 14 3 3" xfId="17459"/>
    <cellStyle name="Normale 3 2 14 3 4" xfId="23018"/>
    <cellStyle name="Normale 3 2 14 4" xfId="3504"/>
    <cellStyle name="Normale 3 2 14 4 2" xfId="10967"/>
    <cellStyle name="Normale 3 2 14 4 3" xfId="18375"/>
    <cellStyle name="Normale 3 2 14 4 4" xfId="26122"/>
    <cellStyle name="Normale 3 2 14 5" xfId="4443"/>
    <cellStyle name="Normale 3 2 14 5 2" xfId="11906"/>
    <cellStyle name="Normale 3 2 14 5 3" xfId="19314"/>
    <cellStyle name="Normale 3 2 14 5 4" xfId="24014"/>
    <cellStyle name="Normale 3 2 14 6" xfId="5359"/>
    <cellStyle name="Normale 3 2 14 6 2" xfId="12822"/>
    <cellStyle name="Normale 3 2 14 6 3" xfId="20230"/>
    <cellStyle name="Normale 3 2 14 6 4" xfId="25590"/>
    <cellStyle name="Normale 3 2 14 7" xfId="6292"/>
    <cellStyle name="Normale 3 2 14 7 2" xfId="13755"/>
    <cellStyle name="Normale 3 2 14 7 3" xfId="21163"/>
    <cellStyle name="Normale 3 2 14 7 4" xfId="23052"/>
    <cellStyle name="Normale 3 2 14 8" xfId="7197"/>
    <cellStyle name="Normale 3 2 14 8 2" xfId="14660"/>
    <cellStyle name="Normale 3 2 14 8 3" xfId="22068"/>
    <cellStyle name="Normale 3 2 14 8 4" xfId="26452"/>
    <cellStyle name="Normale 3 2 14 9" xfId="8153"/>
    <cellStyle name="Normale 3 2 15" xfId="741"/>
    <cellStyle name="Normale 3 2 15 10" xfId="15612"/>
    <cellStyle name="Normale 3 2 15 11" xfId="25804"/>
    <cellStyle name="Normale 3 2 15 12" xfId="30415"/>
    <cellStyle name="Normale 3 2 15 13" xfId="31356"/>
    <cellStyle name="Normale 3 2 15 14" xfId="32269"/>
    <cellStyle name="Normale 3 2 15 15" xfId="33186"/>
    <cellStyle name="Normale 3 2 15 16" xfId="34139"/>
    <cellStyle name="Normale 3 2 15 17" xfId="35071"/>
    <cellStyle name="Normale 3 2 15 18" xfId="35997"/>
    <cellStyle name="Normale 3 2 15 19" xfId="36922"/>
    <cellStyle name="Normale 3 2 15 2" xfId="1706"/>
    <cellStyle name="Normale 3 2 15 2 2" xfId="9169"/>
    <cellStyle name="Normale 3 2 15 2 3" xfId="16577"/>
    <cellStyle name="Normale 3 2 15 2 4" xfId="22675"/>
    <cellStyle name="Normale 3 2 15 20" xfId="37825"/>
    <cellStyle name="Normale 3 2 15 3" xfId="2639"/>
    <cellStyle name="Normale 3 2 15 3 2" xfId="10102"/>
    <cellStyle name="Normale 3 2 15 3 3" xfId="17510"/>
    <cellStyle name="Normale 3 2 15 3 4" xfId="27812"/>
    <cellStyle name="Normale 3 2 15 4" xfId="3555"/>
    <cellStyle name="Normale 3 2 15 4 2" xfId="11018"/>
    <cellStyle name="Normale 3 2 15 4 3" xfId="18426"/>
    <cellStyle name="Normale 3 2 15 4 4" xfId="24092"/>
    <cellStyle name="Normale 3 2 15 5" xfId="4494"/>
    <cellStyle name="Normale 3 2 15 5 2" xfId="11957"/>
    <cellStyle name="Normale 3 2 15 5 3" xfId="19365"/>
    <cellStyle name="Normale 3 2 15 5 4" xfId="23250"/>
    <cellStyle name="Normale 3 2 15 6" xfId="5410"/>
    <cellStyle name="Normale 3 2 15 6 2" xfId="12873"/>
    <cellStyle name="Normale 3 2 15 6 3" xfId="20281"/>
    <cellStyle name="Normale 3 2 15 6 4" xfId="22580"/>
    <cellStyle name="Normale 3 2 15 7" xfId="6343"/>
    <cellStyle name="Normale 3 2 15 7 2" xfId="13806"/>
    <cellStyle name="Normale 3 2 15 7 3" xfId="21214"/>
    <cellStyle name="Normale 3 2 15 7 4" xfId="27874"/>
    <cellStyle name="Normale 3 2 15 8" xfId="7247"/>
    <cellStyle name="Normale 3 2 15 8 2" xfId="14710"/>
    <cellStyle name="Normale 3 2 15 8 3" xfId="22118"/>
    <cellStyle name="Normale 3 2 15 8 4" xfId="24379"/>
    <cellStyle name="Normale 3 2 15 9" xfId="8204"/>
    <cellStyle name="Normale 3 2 16" xfId="812"/>
    <cellStyle name="Normale 3 2 16 10" xfId="15683"/>
    <cellStyle name="Normale 3 2 16 11" xfId="24991"/>
    <cellStyle name="Normale 3 2 16 12" xfId="30484"/>
    <cellStyle name="Normale 3 2 16 13" xfId="31427"/>
    <cellStyle name="Normale 3 2 16 14" xfId="32339"/>
    <cellStyle name="Normale 3 2 16 15" xfId="33255"/>
    <cellStyle name="Normale 3 2 16 16" xfId="34210"/>
    <cellStyle name="Normale 3 2 16 17" xfId="35142"/>
    <cellStyle name="Normale 3 2 16 18" xfId="36068"/>
    <cellStyle name="Normale 3 2 16 19" xfId="36993"/>
    <cellStyle name="Normale 3 2 16 2" xfId="1777"/>
    <cellStyle name="Normale 3 2 16 2 2" xfId="9240"/>
    <cellStyle name="Normale 3 2 16 2 3" xfId="16648"/>
    <cellStyle name="Normale 3 2 16 2 4" xfId="28483"/>
    <cellStyle name="Normale 3 2 16 20" xfId="37894"/>
    <cellStyle name="Normale 3 2 16 3" xfId="2710"/>
    <cellStyle name="Normale 3 2 16 3 2" xfId="10173"/>
    <cellStyle name="Normale 3 2 16 3 3" xfId="17581"/>
    <cellStyle name="Normale 3 2 16 3 4" xfId="26753"/>
    <cellStyle name="Normale 3 2 16 4" xfId="3625"/>
    <cellStyle name="Normale 3 2 16 4 2" xfId="11088"/>
    <cellStyle name="Normale 3 2 16 4 3" xfId="18496"/>
    <cellStyle name="Normale 3 2 16 4 4" xfId="24278"/>
    <cellStyle name="Normale 3 2 16 5" xfId="4565"/>
    <cellStyle name="Normale 3 2 16 5 2" xfId="12028"/>
    <cellStyle name="Normale 3 2 16 5 3" xfId="19436"/>
    <cellStyle name="Normale 3 2 16 5 4" xfId="29541"/>
    <cellStyle name="Normale 3 2 16 6" xfId="5480"/>
    <cellStyle name="Normale 3 2 16 6 2" xfId="12943"/>
    <cellStyle name="Normale 3 2 16 6 3" xfId="20351"/>
    <cellStyle name="Normale 3 2 16 6 4" xfId="29357"/>
    <cellStyle name="Normale 3 2 16 7" xfId="6414"/>
    <cellStyle name="Normale 3 2 16 7 2" xfId="13877"/>
    <cellStyle name="Normale 3 2 16 7 3" xfId="21285"/>
    <cellStyle name="Normale 3 2 16 7 4" xfId="26825"/>
    <cellStyle name="Normale 3 2 16 8" xfId="7316"/>
    <cellStyle name="Normale 3 2 16 8 2" xfId="14779"/>
    <cellStyle name="Normale 3 2 16 8 3" xfId="22187"/>
    <cellStyle name="Normale 3 2 16 8 4" xfId="27462"/>
    <cellStyle name="Normale 3 2 16 9" xfId="8275"/>
    <cellStyle name="Normale 3 2 17" xfId="912"/>
    <cellStyle name="Normale 3 2 17 10" xfId="15783"/>
    <cellStyle name="Normale 3 2 17 11" xfId="25459"/>
    <cellStyle name="Normale 3 2 17 12" xfId="30580"/>
    <cellStyle name="Normale 3 2 17 13" xfId="31527"/>
    <cellStyle name="Normale 3 2 17 14" xfId="32438"/>
    <cellStyle name="Normale 3 2 17 15" xfId="33349"/>
    <cellStyle name="Normale 3 2 17 16" xfId="34310"/>
    <cellStyle name="Normale 3 2 17 17" xfId="35242"/>
    <cellStyle name="Normale 3 2 17 18" xfId="36168"/>
    <cellStyle name="Normale 3 2 17 19" xfId="37093"/>
    <cellStyle name="Normale 3 2 17 2" xfId="1877"/>
    <cellStyle name="Normale 3 2 17 2 2" xfId="9340"/>
    <cellStyle name="Normale 3 2 17 2 3" xfId="16748"/>
    <cellStyle name="Normale 3 2 17 2 4" xfId="24320"/>
    <cellStyle name="Normale 3 2 17 20" xfId="37988"/>
    <cellStyle name="Normale 3 2 17 3" xfId="2810"/>
    <cellStyle name="Normale 3 2 17 3 2" xfId="10273"/>
    <cellStyle name="Normale 3 2 17 3 3" xfId="17681"/>
    <cellStyle name="Normale 3 2 17 3 4" xfId="28891"/>
    <cellStyle name="Normale 3 2 17 4" xfId="3724"/>
    <cellStyle name="Normale 3 2 17 4 2" xfId="11187"/>
    <cellStyle name="Normale 3 2 17 4 3" xfId="18595"/>
    <cellStyle name="Normale 3 2 17 4 4" xfId="22834"/>
    <cellStyle name="Normale 3 2 17 5" xfId="4665"/>
    <cellStyle name="Normale 3 2 17 5 2" xfId="12128"/>
    <cellStyle name="Normale 3 2 17 5 3" xfId="19536"/>
    <cellStyle name="Normale 3 2 17 5 4" xfId="25500"/>
    <cellStyle name="Normale 3 2 17 6" xfId="5579"/>
    <cellStyle name="Normale 3 2 17 6 2" xfId="13042"/>
    <cellStyle name="Normale 3 2 17 6 3" xfId="20450"/>
    <cellStyle name="Normale 3 2 17 6 4" xfId="26068"/>
    <cellStyle name="Normale 3 2 17 7" xfId="6514"/>
    <cellStyle name="Normale 3 2 17 7 2" xfId="13977"/>
    <cellStyle name="Normale 3 2 17 7 3" xfId="21385"/>
    <cellStyle name="Normale 3 2 17 7 4" xfId="22551"/>
    <cellStyle name="Normale 3 2 17 8" xfId="7410"/>
    <cellStyle name="Normale 3 2 17 8 2" xfId="14873"/>
    <cellStyle name="Normale 3 2 17 8 3" xfId="22281"/>
    <cellStyle name="Normale 3 2 17 8 4" xfId="29625"/>
    <cellStyle name="Normale 3 2 17 9" xfId="8375"/>
    <cellStyle name="Normale 3 2 18" xfId="995"/>
    <cellStyle name="Normale 3 2 18 2" xfId="8458"/>
    <cellStyle name="Normale 3 2 18 3" xfId="15866"/>
    <cellStyle name="Normale 3 2 18 4" xfId="23428"/>
    <cellStyle name="Normale 3 2 19" xfId="1733"/>
    <cellStyle name="Normale 3 2 19 2" xfId="9196"/>
    <cellStyle name="Normale 3 2 19 3" xfId="16604"/>
    <cellStyle name="Normale 3 2 19 4" xfId="27084"/>
    <cellStyle name="Normale 3 2 2" xfId="23"/>
    <cellStyle name="Normale 3 2 2 10" xfId="501"/>
    <cellStyle name="Normale 3 2 2 10 10" xfId="15374"/>
    <cellStyle name="Normale 3 2 2 10 11" xfId="25275"/>
    <cellStyle name="Normale 3 2 2 10 12" xfId="30185"/>
    <cellStyle name="Normale 3 2 2 10 13" xfId="31118"/>
    <cellStyle name="Normale 3 2 2 10 14" xfId="32038"/>
    <cellStyle name="Normale 3 2 2 10 15" xfId="32960"/>
    <cellStyle name="Normale 3 2 2 10 16" xfId="33901"/>
    <cellStyle name="Normale 3 2 2 10 17" xfId="34831"/>
    <cellStyle name="Normale 3 2 2 10 18" xfId="35757"/>
    <cellStyle name="Normale 3 2 2 10 19" xfId="36683"/>
    <cellStyle name="Normale 3 2 2 10 2" xfId="1468"/>
    <cellStyle name="Normale 3 2 2 10 2 2" xfId="8931"/>
    <cellStyle name="Normale 3 2 2 10 2 3" xfId="16339"/>
    <cellStyle name="Normale 3 2 2 10 2 4" xfId="28202"/>
    <cellStyle name="Normale 3 2 2 10 20" xfId="37599"/>
    <cellStyle name="Normale 3 2 2 10 3" xfId="2399"/>
    <cellStyle name="Normale 3 2 2 10 3 2" xfId="9862"/>
    <cellStyle name="Normale 3 2 2 10 3 3" xfId="17270"/>
    <cellStyle name="Normale 3 2 2 10 3 4" xfId="27256"/>
    <cellStyle name="Normale 3 2 2 10 4" xfId="3320"/>
    <cellStyle name="Normale 3 2 2 10 4 2" xfId="10783"/>
    <cellStyle name="Normale 3 2 2 10 4 3" xfId="18191"/>
    <cellStyle name="Normale 3 2 2 10 4 4" xfId="28661"/>
    <cellStyle name="Normale 3 2 2 10 5" xfId="4254"/>
    <cellStyle name="Normale 3 2 2 10 5 2" xfId="11717"/>
    <cellStyle name="Normale 3 2 2 10 5 3" xfId="19125"/>
    <cellStyle name="Normale 3 2 2 10 5 4" xfId="28687"/>
    <cellStyle name="Normale 3 2 2 10 6" xfId="5176"/>
    <cellStyle name="Normale 3 2 2 10 6 2" xfId="12639"/>
    <cellStyle name="Normale 3 2 2 10 6 3" xfId="20047"/>
    <cellStyle name="Normale 3 2 2 10 6 4" xfId="24432"/>
    <cellStyle name="Normale 3 2 2 10 7" xfId="6105"/>
    <cellStyle name="Normale 3 2 2 10 7 2" xfId="13568"/>
    <cellStyle name="Normale 3 2 2 10 7 3" xfId="20976"/>
    <cellStyle name="Normale 3 2 2 10 7 4" xfId="24994"/>
    <cellStyle name="Normale 3 2 2 10 8" xfId="7021"/>
    <cellStyle name="Normale 3 2 2 10 8 2" xfId="14484"/>
    <cellStyle name="Normale 3 2 2 10 8 3" xfId="21892"/>
    <cellStyle name="Normale 3 2 2 10 8 4" xfId="29554"/>
    <cellStyle name="Normale 3 2 2 10 9" xfId="7964"/>
    <cellStyle name="Normale 3 2 2 11" xfId="553"/>
    <cellStyle name="Normale 3 2 2 11 10" xfId="15426"/>
    <cellStyle name="Normale 3 2 2 11 11" xfId="29531"/>
    <cellStyle name="Normale 3 2 2 11 12" xfId="30236"/>
    <cellStyle name="Normale 3 2 2 11 13" xfId="31170"/>
    <cellStyle name="Normale 3 2 2 11 14" xfId="32089"/>
    <cellStyle name="Normale 3 2 2 11 15" xfId="33010"/>
    <cellStyle name="Normale 3 2 2 11 16" xfId="33953"/>
    <cellStyle name="Normale 3 2 2 11 17" xfId="34883"/>
    <cellStyle name="Normale 3 2 2 11 18" xfId="35809"/>
    <cellStyle name="Normale 3 2 2 11 19" xfId="36735"/>
    <cellStyle name="Normale 3 2 2 11 2" xfId="1520"/>
    <cellStyle name="Normale 3 2 2 11 2 2" xfId="8983"/>
    <cellStyle name="Normale 3 2 2 11 2 3" xfId="16391"/>
    <cellStyle name="Normale 3 2 2 11 2 4" xfId="24699"/>
    <cellStyle name="Normale 3 2 2 11 20" xfId="37649"/>
    <cellStyle name="Normale 3 2 2 11 3" xfId="2451"/>
    <cellStyle name="Normale 3 2 2 11 3 2" xfId="9914"/>
    <cellStyle name="Normale 3 2 2 11 3 3" xfId="17322"/>
    <cellStyle name="Normale 3 2 2 11 3 4" xfId="24027"/>
    <cellStyle name="Normale 3 2 2 11 4" xfId="3371"/>
    <cellStyle name="Normale 3 2 2 11 4 2" xfId="10834"/>
    <cellStyle name="Normale 3 2 2 11 4 3" xfId="18242"/>
    <cellStyle name="Normale 3 2 2 11 4 4" xfId="24115"/>
    <cellStyle name="Normale 3 2 2 11 5" xfId="4306"/>
    <cellStyle name="Normale 3 2 2 11 5 2" xfId="11769"/>
    <cellStyle name="Normale 3 2 2 11 5 3" xfId="19177"/>
    <cellStyle name="Normale 3 2 2 11 5 4" xfId="29216"/>
    <cellStyle name="Normale 3 2 2 11 6" xfId="5227"/>
    <cellStyle name="Normale 3 2 2 11 6 2" xfId="12690"/>
    <cellStyle name="Normale 3 2 2 11 6 3" xfId="20098"/>
    <cellStyle name="Normale 3 2 2 11 6 4" xfId="29211"/>
    <cellStyle name="Normale 3 2 2 11 7" xfId="6157"/>
    <cellStyle name="Normale 3 2 2 11 7 2" xfId="13620"/>
    <cellStyle name="Normale 3 2 2 11 7 3" xfId="21028"/>
    <cellStyle name="Normale 3 2 2 11 7 4" xfId="29416"/>
    <cellStyle name="Normale 3 2 2 11 8" xfId="7071"/>
    <cellStyle name="Normale 3 2 2 11 8 2" xfId="14534"/>
    <cellStyle name="Normale 3 2 2 11 8 3" xfId="21942"/>
    <cellStyle name="Normale 3 2 2 11 8 4" xfId="27316"/>
    <cellStyle name="Normale 3 2 2 11 9" xfId="8016"/>
    <cellStyle name="Normale 3 2 2 12" xfId="545"/>
    <cellStyle name="Normale 3 2 2 12 10" xfId="15418"/>
    <cellStyle name="Normale 3 2 2 12 11" xfId="29598"/>
    <cellStyle name="Normale 3 2 2 12 12" xfId="30228"/>
    <cellStyle name="Normale 3 2 2 12 13" xfId="31162"/>
    <cellStyle name="Normale 3 2 2 12 14" xfId="32081"/>
    <cellStyle name="Normale 3 2 2 12 15" xfId="33003"/>
    <cellStyle name="Normale 3 2 2 12 16" xfId="33945"/>
    <cellStyle name="Normale 3 2 2 12 17" xfId="34875"/>
    <cellStyle name="Normale 3 2 2 12 18" xfId="35801"/>
    <cellStyle name="Normale 3 2 2 12 19" xfId="36727"/>
    <cellStyle name="Normale 3 2 2 12 2" xfId="1512"/>
    <cellStyle name="Normale 3 2 2 12 2 2" xfId="8975"/>
    <cellStyle name="Normale 3 2 2 12 2 3" xfId="16383"/>
    <cellStyle name="Normale 3 2 2 12 2 4" xfId="24751"/>
    <cellStyle name="Normale 3 2 2 12 20" xfId="37642"/>
    <cellStyle name="Normale 3 2 2 12 3" xfId="2443"/>
    <cellStyle name="Normale 3 2 2 12 3 2" xfId="9906"/>
    <cellStyle name="Normale 3 2 2 12 3 3" xfId="17314"/>
    <cellStyle name="Normale 3 2 2 12 3 4" xfId="24099"/>
    <cellStyle name="Normale 3 2 2 12 4" xfId="3363"/>
    <cellStyle name="Normale 3 2 2 12 4 2" xfId="10826"/>
    <cellStyle name="Normale 3 2 2 12 4 3" xfId="18234"/>
    <cellStyle name="Normale 3 2 2 12 4 4" xfId="24183"/>
    <cellStyle name="Normale 3 2 2 12 5" xfId="4298"/>
    <cellStyle name="Normale 3 2 2 12 5 2" xfId="11761"/>
    <cellStyle name="Normale 3 2 2 12 5 3" xfId="19169"/>
    <cellStyle name="Normale 3 2 2 12 5 4" xfId="29262"/>
    <cellStyle name="Normale 3 2 2 12 6" xfId="5219"/>
    <cellStyle name="Normale 3 2 2 12 6 2" xfId="12682"/>
    <cellStyle name="Normale 3 2 2 12 6 3" xfId="20090"/>
    <cellStyle name="Normale 3 2 2 12 6 4" xfId="29257"/>
    <cellStyle name="Normale 3 2 2 12 7" xfId="6149"/>
    <cellStyle name="Normale 3 2 2 12 7 2" xfId="13612"/>
    <cellStyle name="Normale 3 2 2 12 7 3" xfId="21020"/>
    <cellStyle name="Normale 3 2 2 12 7 4" xfId="29459"/>
    <cellStyle name="Normale 3 2 2 12 8" xfId="7064"/>
    <cellStyle name="Normale 3 2 2 12 8 2" xfId="14527"/>
    <cellStyle name="Normale 3 2 2 12 8 3" xfId="21935"/>
    <cellStyle name="Normale 3 2 2 12 8 4" xfId="26459"/>
    <cellStyle name="Normale 3 2 2 12 9" xfId="8008"/>
    <cellStyle name="Normale 3 2 2 13" xfId="691"/>
    <cellStyle name="Normale 3 2 2 13 10" xfId="15562"/>
    <cellStyle name="Normale 3 2 2 13 11" xfId="25036"/>
    <cellStyle name="Normale 3 2 2 13 12" xfId="30365"/>
    <cellStyle name="Normale 3 2 2 13 13" xfId="31306"/>
    <cellStyle name="Normale 3 2 2 13 14" xfId="32219"/>
    <cellStyle name="Normale 3 2 2 13 15" xfId="33137"/>
    <cellStyle name="Normale 3 2 2 13 16" xfId="34089"/>
    <cellStyle name="Normale 3 2 2 13 17" xfId="35021"/>
    <cellStyle name="Normale 3 2 2 13 18" xfId="35947"/>
    <cellStyle name="Normale 3 2 2 13 19" xfId="36872"/>
    <cellStyle name="Normale 3 2 2 13 2" xfId="1656"/>
    <cellStyle name="Normale 3 2 2 13 2 2" xfId="9119"/>
    <cellStyle name="Normale 3 2 2 13 2 3" xfId="16527"/>
    <cellStyle name="Normale 3 2 2 13 2 4" xfId="24698"/>
    <cellStyle name="Normale 3 2 2 13 20" xfId="37776"/>
    <cellStyle name="Normale 3 2 2 13 3" xfId="2589"/>
    <cellStyle name="Normale 3 2 2 13 3 2" xfId="10052"/>
    <cellStyle name="Normale 3 2 2 13 3 3" xfId="17460"/>
    <cellStyle name="Normale 3 2 2 13 3 4" xfId="29447"/>
    <cellStyle name="Normale 3 2 2 13 4" xfId="3505"/>
    <cellStyle name="Normale 3 2 2 13 4 2" xfId="10968"/>
    <cellStyle name="Normale 3 2 2 13 4 3" xfId="18376"/>
    <cellStyle name="Normale 3 2 2 13 4 4" xfId="25199"/>
    <cellStyle name="Normale 3 2 2 13 5" xfId="4444"/>
    <cellStyle name="Normale 3 2 2 13 5 2" xfId="11907"/>
    <cellStyle name="Normale 3 2 2 13 5 3" xfId="19315"/>
    <cellStyle name="Normale 3 2 2 13 5 4" xfId="23006"/>
    <cellStyle name="Normale 3 2 2 13 6" xfId="5360"/>
    <cellStyle name="Normale 3 2 2 13 6 2" xfId="12823"/>
    <cellStyle name="Normale 3 2 2 13 6 3" xfId="20231"/>
    <cellStyle name="Normale 3 2 2 13 6 4" xfId="24675"/>
    <cellStyle name="Normale 3 2 2 13 7" xfId="6293"/>
    <cellStyle name="Normale 3 2 2 13 7 2" xfId="13756"/>
    <cellStyle name="Normale 3 2 2 13 7 3" xfId="21164"/>
    <cellStyle name="Normale 3 2 2 13 7 4" xfId="29481"/>
    <cellStyle name="Normale 3 2 2 13 8" xfId="7198"/>
    <cellStyle name="Normale 3 2 2 13 8 2" xfId="14661"/>
    <cellStyle name="Normale 3 2 2 13 8 3" xfId="22069"/>
    <cellStyle name="Normale 3 2 2 13 8 4" xfId="25524"/>
    <cellStyle name="Normale 3 2 2 13 9" xfId="8154"/>
    <cellStyle name="Normale 3 2 2 14" xfId="752"/>
    <cellStyle name="Normale 3 2 2 14 10" xfId="15623"/>
    <cellStyle name="Normale 3 2 2 14 11" xfId="22905"/>
    <cellStyle name="Normale 3 2 2 14 12" xfId="30426"/>
    <cellStyle name="Normale 3 2 2 14 13" xfId="31367"/>
    <cellStyle name="Normale 3 2 2 14 14" xfId="32280"/>
    <cellStyle name="Normale 3 2 2 14 15" xfId="33197"/>
    <cellStyle name="Normale 3 2 2 14 16" xfId="34150"/>
    <cellStyle name="Normale 3 2 2 14 17" xfId="35082"/>
    <cellStyle name="Normale 3 2 2 14 18" xfId="36008"/>
    <cellStyle name="Normale 3 2 2 14 19" xfId="36933"/>
    <cellStyle name="Normale 3 2 2 14 2" xfId="1717"/>
    <cellStyle name="Normale 3 2 2 14 2 2" xfId="9180"/>
    <cellStyle name="Normale 3 2 2 14 2 3" xfId="16588"/>
    <cellStyle name="Normale 3 2 2 14 2 4" xfId="26168"/>
    <cellStyle name="Normale 3 2 2 14 20" xfId="37836"/>
    <cellStyle name="Normale 3 2 2 14 3" xfId="2650"/>
    <cellStyle name="Normale 3 2 2 14 3 2" xfId="10113"/>
    <cellStyle name="Normale 3 2 2 14 3 3" xfId="17521"/>
    <cellStyle name="Normale 3 2 2 14 3 4" xfId="24996"/>
    <cellStyle name="Normale 3 2 2 14 4" xfId="3566"/>
    <cellStyle name="Normale 3 2 2 14 4 2" xfId="11029"/>
    <cellStyle name="Normale 3 2 2 14 4 3" xfId="18437"/>
    <cellStyle name="Normale 3 2 2 14 4 4" xfId="28547"/>
    <cellStyle name="Normale 3 2 2 14 5" xfId="4505"/>
    <cellStyle name="Normale 3 2 2 14 5 2" xfId="11968"/>
    <cellStyle name="Normale 3 2 2 14 5 3" xfId="19376"/>
    <cellStyle name="Normale 3 2 2 14 5 4" xfId="27808"/>
    <cellStyle name="Normale 3 2 2 14 6" xfId="5421"/>
    <cellStyle name="Normale 3 2 2 14 6 2" xfId="12884"/>
    <cellStyle name="Normale 3 2 2 14 6 3" xfId="20292"/>
    <cellStyle name="Normale 3 2 2 14 6 4" xfId="26074"/>
    <cellStyle name="Normale 3 2 2 14 7" xfId="6354"/>
    <cellStyle name="Normale 3 2 2 14 7 2" xfId="13817"/>
    <cellStyle name="Normale 3 2 2 14 7 3" xfId="21225"/>
    <cellStyle name="Normale 3 2 2 14 7 4" xfId="25068"/>
    <cellStyle name="Normale 3 2 2 14 8" xfId="7258"/>
    <cellStyle name="Normale 3 2 2 14 8 2" xfId="14721"/>
    <cellStyle name="Normale 3 2 2 14 8 3" xfId="22129"/>
    <cellStyle name="Normale 3 2 2 14 8 4" xfId="28055"/>
    <cellStyle name="Normale 3 2 2 14 9" xfId="8215"/>
    <cellStyle name="Normale 3 2 2 15" xfId="823"/>
    <cellStyle name="Normale 3 2 2 15 10" xfId="15694"/>
    <cellStyle name="Normale 3 2 2 15 11" xfId="29405"/>
    <cellStyle name="Normale 3 2 2 15 12" xfId="30495"/>
    <cellStyle name="Normale 3 2 2 15 13" xfId="31438"/>
    <cellStyle name="Normale 3 2 2 15 14" xfId="32350"/>
    <cellStyle name="Normale 3 2 2 15 15" xfId="33266"/>
    <cellStyle name="Normale 3 2 2 15 16" xfId="34221"/>
    <cellStyle name="Normale 3 2 2 15 17" xfId="35153"/>
    <cellStyle name="Normale 3 2 2 15 18" xfId="36079"/>
    <cellStyle name="Normale 3 2 2 15 19" xfId="37004"/>
    <cellStyle name="Normale 3 2 2 15 2" xfId="1788"/>
    <cellStyle name="Normale 3 2 2 15 2 2" xfId="9251"/>
    <cellStyle name="Normale 3 2 2 15 2 3" xfId="16659"/>
    <cellStyle name="Normale 3 2 2 15 2 4" xfId="25663"/>
    <cellStyle name="Normale 3 2 2 15 20" xfId="37905"/>
    <cellStyle name="Normale 3 2 2 15 3" xfId="2721"/>
    <cellStyle name="Normale 3 2 2 15 3 2" xfId="10184"/>
    <cellStyle name="Normale 3 2 2 15 3 3" xfId="17592"/>
    <cellStyle name="Normale 3 2 2 15 3 4" xfId="23902"/>
    <cellStyle name="Normale 3 2 2 15 4" xfId="3636"/>
    <cellStyle name="Normale 3 2 2 15 4 2" xfId="11099"/>
    <cellStyle name="Normale 3 2 2 15 4 3" xfId="18507"/>
    <cellStyle name="Normale 3 2 2 15 4 4" xfId="22436"/>
    <cellStyle name="Normale 3 2 2 15 5" xfId="4576"/>
    <cellStyle name="Normale 3 2 2 15 5 2" xfId="12039"/>
    <cellStyle name="Normale 3 2 2 15 5 3" xfId="19447"/>
    <cellStyle name="Normale 3 2 2 15 5 4" xfId="26749"/>
    <cellStyle name="Normale 3 2 2 15 6" xfId="5491"/>
    <cellStyle name="Normale 3 2 2 15 6 2" xfId="12954"/>
    <cellStyle name="Normale 3 2 2 15 6 3" xfId="20362"/>
    <cellStyle name="Normale 3 2 2 15 6 4" xfId="26570"/>
    <cellStyle name="Normale 3 2 2 15 7" xfId="6425"/>
    <cellStyle name="Normale 3 2 2 15 7 2" xfId="13888"/>
    <cellStyle name="Normale 3 2 2 15 7 3" xfId="21296"/>
    <cellStyle name="Normale 3 2 2 15 7 4" xfId="23985"/>
    <cellStyle name="Normale 3 2 2 15 8" xfId="7327"/>
    <cellStyle name="Normale 3 2 2 15 8 2" xfId="14790"/>
    <cellStyle name="Normale 3 2 2 15 8 3" xfId="22198"/>
    <cellStyle name="Normale 3 2 2 15 8 4" xfId="24656"/>
    <cellStyle name="Normale 3 2 2 15 9" xfId="8286"/>
    <cellStyle name="Normale 3 2 2 16" xfId="899"/>
    <cellStyle name="Normale 3 2 2 16 10" xfId="15770"/>
    <cellStyle name="Normale 3 2 2 16 11" xfId="23621"/>
    <cellStyle name="Normale 3 2 2 16 12" xfId="30568"/>
    <cellStyle name="Normale 3 2 2 16 13" xfId="31514"/>
    <cellStyle name="Normale 3 2 2 16 14" xfId="32425"/>
    <cellStyle name="Normale 3 2 2 16 15" xfId="33337"/>
    <cellStyle name="Normale 3 2 2 16 16" xfId="34297"/>
    <cellStyle name="Normale 3 2 2 16 17" xfId="35229"/>
    <cellStyle name="Normale 3 2 2 16 18" xfId="36155"/>
    <cellStyle name="Normale 3 2 2 16 19" xfId="37080"/>
    <cellStyle name="Normale 3 2 2 16 2" xfId="1864"/>
    <cellStyle name="Normale 3 2 2 16 2 2" xfId="9327"/>
    <cellStyle name="Normale 3 2 2 16 2 3" xfId="16735"/>
    <cellStyle name="Normale 3 2 2 16 2 4" xfId="28192"/>
    <cellStyle name="Normale 3 2 2 16 20" xfId="37976"/>
    <cellStyle name="Normale 3 2 2 16 3" xfId="2797"/>
    <cellStyle name="Normale 3 2 2 16 3 2" xfId="10260"/>
    <cellStyle name="Normale 3 2 2 16 3 3" xfId="17668"/>
    <cellStyle name="Normale 3 2 2 16 3 4" xfId="27348"/>
    <cellStyle name="Normale 3 2 2 16 4" xfId="3711"/>
    <cellStyle name="Normale 3 2 2 16 4 2" xfId="11174"/>
    <cellStyle name="Normale 3 2 2 16 4 3" xfId="18582"/>
    <cellStyle name="Normale 3 2 2 16 4 4" xfId="27543"/>
    <cellStyle name="Normale 3 2 2 16 5" xfId="4652"/>
    <cellStyle name="Normale 3 2 2 16 5 2" xfId="12115"/>
    <cellStyle name="Normale 3 2 2 16 5 3" xfId="19523"/>
    <cellStyle name="Normale 3 2 2 16 5 4" xfId="22784"/>
    <cellStyle name="Normale 3 2 2 16 6" xfId="5566"/>
    <cellStyle name="Normale 3 2 2 16 6 2" xfId="13029"/>
    <cellStyle name="Normale 3 2 2 16 6 3" xfId="20437"/>
    <cellStyle name="Normale 3 2 2 16 6 4" xfId="22577"/>
    <cellStyle name="Normale 3 2 2 16 7" xfId="6501"/>
    <cellStyle name="Normale 3 2 2 16 7 2" xfId="13964"/>
    <cellStyle name="Normale 3 2 2 16 7 3" xfId="21372"/>
    <cellStyle name="Normale 3 2 2 16 7 4" xfId="27373"/>
    <cellStyle name="Normale 3 2 2 16 8" xfId="7398"/>
    <cellStyle name="Normale 3 2 2 16 8 2" xfId="14861"/>
    <cellStyle name="Normale 3 2 2 16 8 3" xfId="22269"/>
    <cellStyle name="Normale 3 2 2 16 8 4" xfId="24376"/>
    <cellStyle name="Normale 3 2 2 16 9" xfId="8362"/>
    <cellStyle name="Normale 3 2 2 17" xfId="996"/>
    <cellStyle name="Normale 3 2 2 17 2" xfId="8459"/>
    <cellStyle name="Normale 3 2 2 17 3" xfId="15867"/>
    <cellStyle name="Normale 3 2 2 17 4" xfId="22694"/>
    <cellStyle name="Normale 3 2 2 18" xfId="1634"/>
    <cellStyle name="Normale 3 2 2 18 2" xfId="9097"/>
    <cellStyle name="Normale 3 2 2 18 3" xfId="16505"/>
    <cellStyle name="Normale 3 2 2 18 4" xfId="22952"/>
    <cellStyle name="Normale 3 2 2 19" xfId="2811"/>
    <cellStyle name="Normale 3 2 2 19 2" xfId="10274"/>
    <cellStyle name="Normale 3 2 2 19 3" xfId="17682"/>
    <cellStyle name="Normale 3 2 2 19 4" xfId="27978"/>
    <cellStyle name="Normale 3 2 2 2" xfId="24"/>
    <cellStyle name="Normale 3 2 2 2 10" xfId="692"/>
    <cellStyle name="Normale 3 2 2 2 10 10" xfId="15563"/>
    <cellStyle name="Normale 3 2 2 2 10 11" xfId="24110"/>
    <cellStyle name="Normale 3 2 2 2 10 12" xfId="30366"/>
    <cellStyle name="Normale 3 2 2 2 10 13" xfId="31307"/>
    <cellStyle name="Normale 3 2 2 2 10 14" xfId="32220"/>
    <cellStyle name="Normale 3 2 2 2 10 15" xfId="33138"/>
    <cellStyle name="Normale 3 2 2 2 10 16" xfId="34090"/>
    <cellStyle name="Normale 3 2 2 2 10 17" xfId="35022"/>
    <cellStyle name="Normale 3 2 2 2 10 18" xfId="35948"/>
    <cellStyle name="Normale 3 2 2 2 10 19" xfId="36873"/>
    <cellStyle name="Normale 3 2 2 2 10 2" xfId="1657"/>
    <cellStyle name="Normale 3 2 2 2 10 2 2" xfId="9120"/>
    <cellStyle name="Normale 3 2 2 2 10 2 3" xfId="16528"/>
    <cellStyle name="Normale 3 2 2 2 10 2 4" xfId="23775"/>
    <cellStyle name="Normale 3 2 2 2 10 20" xfId="37777"/>
    <cellStyle name="Normale 3 2 2 2 10 3" xfId="2590"/>
    <cellStyle name="Normale 3 2 2 2 10 3 2" xfId="10053"/>
    <cellStyle name="Normale 3 2 2 2 10 3 3" xfId="17461"/>
    <cellStyle name="Normale 3 2 2 2 10 3 4" xfId="28553"/>
    <cellStyle name="Normale 3 2 2 2 10 4" xfId="3506"/>
    <cellStyle name="Normale 3 2 2 2 10 4 2" xfId="10969"/>
    <cellStyle name="Normale 3 2 2 2 10 4 3" xfId="18377"/>
    <cellStyle name="Normale 3 2 2 2 10 4 4" xfId="24280"/>
    <cellStyle name="Normale 3 2 2 2 10 5" xfId="4445"/>
    <cellStyle name="Normale 3 2 2 2 10 5 2" xfId="11908"/>
    <cellStyle name="Normale 3 2 2 2 10 5 3" xfId="19316"/>
    <cellStyle name="Normale 3 2 2 2 10 5 4" xfId="29435"/>
    <cellStyle name="Normale 3 2 2 2 10 6" xfId="5361"/>
    <cellStyle name="Normale 3 2 2 2 10 6 2" xfId="12824"/>
    <cellStyle name="Normale 3 2 2 2 10 6 3" xfId="20232"/>
    <cellStyle name="Normale 3 2 2 2 10 6 4" xfId="23752"/>
    <cellStyle name="Normale 3 2 2 2 10 7" xfId="6294"/>
    <cellStyle name="Normale 3 2 2 2 10 7 2" xfId="13757"/>
    <cellStyle name="Normale 3 2 2 2 10 7 3" xfId="21165"/>
    <cellStyle name="Normale 3 2 2 2 10 7 4" xfId="28588"/>
    <cellStyle name="Normale 3 2 2 2 10 8" xfId="7199"/>
    <cellStyle name="Normale 3 2 2 2 10 8 2" xfId="14662"/>
    <cellStyle name="Normale 3 2 2 2 10 8 3" xfId="22070"/>
    <cellStyle name="Normale 3 2 2 2 10 8 4" xfId="24607"/>
    <cellStyle name="Normale 3 2 2 2 10 9" xfId="8155"/>
    <cellStyle name="Normale 3 2 2 2 11" xfId="739"/>
    <cellStyle name="Normale 3 2 2 2 11 10" xfId="15610"/>
    <cellStyle name="Normale 3 2 2 2 11 11" xfId="27640"/>
    <cellStyle name="Normale 3 2 2 2 11 12" xfId="30413"/>
    <cellStyle name="Normale 3 2 2 2 11 13" xfId="31354"/>
    <cellStyle name="Normale 3 2 2 2 11 14" xfId="32267"/>
    <cellStyle name="Normale 3 2 2 2 11 15" xfId="33184"/>
    <cellStyle name="Normale 3 2 2 2 11 16" xfId="34137"/>
    <cellStyle name="Normale 3 2 2 2 11 17" xfId="35069"/>
    <cellStyle name="Normale 3 2 2 2 11 18" xfId="35995"/>
    <cellStyle name="Normale 3 2 2 2 11 19" xfId="36920"/>
    <cellStyle name="Normale 3 2 2 2 11 2" xfId="1704"/>
    <cellStyle name="Normale 3 2 2 2 11 2 2" xfId="9167"/>
    <cellStyle name="Normale 3 2 2 2 11 2 3" xfId="16575"/>
    <cellStyle name="Normale 3 2 2 2 11 2 4" xfId="24325"/>
    <cellStyle name="Normale 3 2 2 2 11 20" xfId="37823"/>
    <cellStyle name="Normale 3 2 2 2 11 3" xfId="2637"/>
    <cellStyle name="Normale 3 2 2 2 11 3 2" xfId="10100"/>
    <cellStyle name="Normale 3 2 2 2 11 3 3" xfId="17508"/>
    <cellStyle name="Normale 3 2 2 2 11 3 4" xfId="29627"/>
    <cellStyle name="Normale 3 2 2 2 11 4" xfId="3553"/>
    <cellStyle name="Normale 3 2 2 2 11 4 2" xfId="11016"/>
    <cellStyle name="Normale 3 2 2 2 11 4 3" xfId="18424"/>
    <cellStyle name="Normale 3 2 2 2 11 4 4" xfId="25927"/>
    <cellStyle name="Normale 3 2 2 2 11 5" xfId="4492"/>
    <cellStyle name="Normale 3 2 2 2 11 5 2" xfId="11955"/>
    <cellStyle name="Normale 3 2 2 2 11 5 3" xfId="19363"/>
    <cellStyle name="Normale 3 2 2 2 11 5 4" xfId="24254"/>
    <cellStyle name="Normale 3 2 2 2 11 6" xfId="5408"/>
    <cellStyle name="Normale 3 2 2 2 11 6 2" xfId="12871"/>
    <cellStyle name="Normale 3 2 2 2 11 6 3" xfId="20279"/>
    <cellStyle name="Normale 3 2 2 2 11 6 4" xfId="24230"/>
    <cellStyle name="Normale 3 2 2 2 11 7" xfId="6341"/>
    <cellStyle name="Normale 3 2 2 2 11 7 2" xfId="13804"/>
    <cellStyle name="Normale 3 2 2 2 11 7 3" xfId="21212"/>
    <cellStyle name="Normale 3 2 2 2 11 7 4" xfId="29686"/>
    <cellStyle name="Normale 3 2 2 2 11 8" xfId="7245"/>
    <cellStyle name="Normale 3 2 2 2 11 8 2" xfId="14708"/>
    <cellStyle name="Normale 3 2 2 2 11 8 3" xfId="22116"/>
    <cellStyle name="Normale 3 2 2 2 11 8 4" xfId="26222"/>
    <cellStyle name="Normale 3 2 2 2 11 9" xfId="8202"/>
    <cellStyle name="Normale 3 2 2 2 12" xfId="810"/>
    <cellStyle name="Normale 3 2 2 2 12 10" xfId="15681"/>
    <cellStyle name="Normale 3 2 2 2 12 11" xfId="26835"/>
    <cellStyle name="Normale 3 2 2 2 12 12" xfId="30482"/>
    <cellStyle name="Normale 3 2 2 2 12 13" xfId="31425"/>
    <cellStyle name="Normale 3 2 2 2 12 14" xfId="32337"/>
    <cellStyle name="Normale 3 2 2 2 12 15" xfId="33253"/>
    <cellStyle name="Normale 3 2 2 2 12 16" xfId="34208"/>
    <cellStyle name="Normale 3 2 2 2 12 17" xfId="35140"/>
    <cellStyle name="Normale 3 2 2 2 12 18" xfId="36066"/>
    <cellStyle name="Normale 3 2 2 2 12 19" xfId="36991"/>
    <cellStyle name="Normale 3 2 2 2 12 2" xfId="1775"/>
    <cellStyle name="Normale 3 2 2 2 12 2 2" xfId="9238"/>
    <cellStyle name="Normale 3 2 2 2 12 2 3" xfId="16646"/>
    <cellStyle name="Normale 3 2 2 2 12 2 4" xfId="22951"/>
    <cellStyle name="Normale 3 2 2 2 12 20" xfId="37892"/>
    <cellStyle name="Normale 3 2 2 2 12 3" xfId="2708"/>
    <cellStyle name="Normale 3 2 2 2 12 3 2" xfId="10171"/>
    <cellStyle name="Normale 3 2 2 2 12 3 3" xfId="17579"/>
    <cellStyle name="Normale 3 2 2 2 12 3 4" xfId="28583"/>
    <cellStyle name="Normale 3 2 2 2 12 4" xfId="3623"/>
    <cellStyle name="Normale 3 2 2 2 12 4 2" xfId="11086"/>
    <cellStyle name="Normale 3 2 2 2 12 4 3" xfId="18494"/>
    <cellStyle name="Normale 3 2 2 2 12 4 4" xfId="26120"/>
    <cellStyle name="Normale 3 2 2 2 12 5" xfId="4563"/>
    <cellStyle name="Normale 3 2 2 2 12 5 2" xfId="12026"/>
    <cellStyle name="Normale 3 2 2 2 12 5 3" xfId="19434"/>
    <cellStyle name="Normale 3 2 2 2 12 5 4" xfId="24121"/>
    <cellStyle name="Normale 3 2 2 2 12 6" xfId="5478"/>
    <cellStyle name="Normale 3 2 2 2 12 6 2" xfId="12941"/>
    <cellStyle name="Normale 3 2 2 2 12 6 3" xfId="20349"/>
    <cellStyle name="Normale 3 2 2 2 12 6 4" xfId="26067"/>
    <cellStyle name="Normale 3 2 2 2 12 7" xfId="6412"/>
    <cellStyle name="Normale 3 2 2 2 12 7 2" xfId="13875"/>
    <cellStyle name="Normale 3 2 2 2 12 7 3" xfId="21283"/>
    <cellStyle name="Normale 3 2 2 2 12 7 4" xfId="28655"/>
    <cellStyle name="Normale 3 2 2 2 12 8" xfId="7314"/>
    <cellStyle name="Normale 3 2 2 2 12 8 2" xfId="14777"/>
    <cellStyle name="Normale 3 2 2 2 12 8 3" xfId="22185"/>
    <cellStyle name="Normale 3 2 2 2 12 8 4" xfId="29288"/>
    <cellStyle name="Normale 3 2 2 2 12 9" xfId="8273"/>
    <cellStyle name="Normale 3 2 2 2 13" xfId="883"/>
    <cellStyle name="Normale 3 2 2 2 13 10" xfId="15754"/>
    <cellStyle name="Normale 3 2 2 2 13 11" xfId="23898"/>
    <cellStyle name="Normale 3 2 2 2 13 12" xfId="30552"/>
    <cellStyle name="Normale 3 2 2 2 13 13" xfId="31498"/>
    <cellStyle name="Normale 3 2 2 2 13 14" xfId="32409"/>
    <cellStyle name="Normale 3 2 2 2 13 15" xfId="33321"/>
    <cellStyle name="Normale 3 2 2 2 13 16" xfId="34281"/>
    <cellStyle name="Normale 3 2 2 2 13 17" xfId="35213"/>
    <cellStyle name="Normale 3 2 2 2 13 18" xfId="36139"/>
    <cellStyle name="Normale 3 2 2 2 13 19" xfId="37064"/>
    <cellStyle name="Normale 3 2 2 2 13 2" xfId="1848"/>
    <cellStyle name="Normale 3 2 2 2 13 2 2" xfId="9311"/>
    <cellStyle name="Normale 3 2 2 2 13 2 3" xfId="16719"/>
    <cellStyle name="Normale 3 2 2 2 13 2 4" xfId="29101"/>
    <cellStyle name="Normale 3 2 2 2 13 20" xfId="37960"/>
    <cellStyle name="Normale 3 2 2 2 13 3" xfId="2781"/>
    <cellStyle name="Normale 3 2 2 2 13 3 2" xfId="10244"/>
    <cellStyle name="Normale 3 2 2 2 13 3 3" xfId="17652"/>
    <cellStyle name="Normale 3 2 2 2 13 3 4" xfId="27443"/>
    <cellStyle name="Normale 3 2 2 2 13 4" xfId="3695"/>
    <cellStyle name="Normale 3 2 2 2 13 4 2" xfId="11158"/>
    <cellStyle name="Normale 3 2 2 2 13 4 3" xfId="18566"/>
    <cellStyle name="Normale 3 2 2 2 13 4 4" xfId="27691"/>
    <cellStyle name="Normale 3 2 2 2 13 5" xfId="4636"/>
    <cellStyle name="Normale 3 2 2 2 13 5 2" xfId="12099"/>
    <cellStyle name="Normale 3 2 2 2 13 5 3" xfId="19507"/>
    <cellStyle name="Normale 3 2 2 2 13 5 4" xfId="22879"/>
    <cellStyle name="Normale 3 2 2 2 13 6" xfId="5550"/>
    <cellStyle name="Normale 3 2 2 2 13 6 2" xfId="13013"/>
    <cellStyle name="Normale 3 2 2 2 13 6 3" xfId="20421"/>
    <cellStyle name="Normale 3 2 2 2 13 6 4" xfId="23310"/>
    <cellStyle name="Normale 3 2 2 2 13 7" xfId="6485"/>
    <cellStyle name="Normale 3 2 2 2 13 7 2" xfId="13948"/>
    <cellStyle name="Normale 3 2 2 2 13 7 3" xfId="21356"/>
    <cellStyle name="Normale 3 2 2 2 13 7 4" xfId="27471"/>
    <cellStyle name="Normale 3 2 2 2 13 8" xfId="7382"/>
    <cellStyle name="Normale 3 2 2 2 13 8 2" xfId="14845"/>
    <cellStyle name="Normale 3 2 2 2 13 8 3" xfId="22253"/>
    <cellStyle name="Normale 3 2 2 2 13 8 4" xfId="25291"/>
    <cellStyle name="Normale 3 2 2 2 13 9" xfId="8346"/>
    <cellStyle name="Normale 3 2 2 2 14" xfId="997"/>
    <cellStyle name="Normale 3 2 2 2 14 2" xfId="8460"/>
    <cellStyle name="Normale 3 2 2 2 14 3" xfId="15868"/>
    <cellStyle name="Normale 3 2 2 2 14 4" xfId="29124"/>
    <cellStyle name="Normale 3 2 2 2 15" xfId="1633"/>
    <cellStyle name="Normale 3 2 2 2 15 2" xfId="9096"/>
    <cellStyle name="Normale 3 2 2 2 15 3" xfId="16504"/>
    <cellStyle name="Normale 3 2 2 2 15 4" xfId="23961"/>
    <cellStyle name="Normale 3 2 2 2 16" xfId="2739"/>
    <cellStyle name="Normale 3 2 2 2 16 2" xfId="10202"/>
    <cellStyle name="Normale 3 2 2 2 16 3" xfId="17610"/>
    <cellStyle name="Normale 3 2 2 2 16 4" xfId="27980"/>
    <cellStyle name="Normale 3 2 2 2 17" xfId="3364"/>
    <cellStyle name="Normale 3 2 2 2 17 2" xfId="10827"/>
    <cellStyle name="Normale 3 2 2 2 17 3" xfId="18235"/>
    <cellStyle name="Normale 3 2 2 2 17 4" xfId="23171"/>
    <cellStyle name="Normale 3 2 2 2 18" xfId="4667"/>
    <cellStyle name="Normale 3 2 2 2 18 2" xfId="12130"/>
    <cellStyle name="Normale 3 2 2 2 18 3" xfId="19538"/>
    <cellStyle name="Normale 3 2 2 2 18 4" xfId="23662"/>
    <cellStyle name="Normale 3 2 2 2 19" xfId="5353"/>
    <cellStyle name="Normale 3 2 2 2 19 2" xfId="12816"/>
    <cellStyle name="Normale 3 2 2 2 19 3" xfId="20224"/>
    <cellStyle name="Normale 3 2 2 2 19 4" xfId="23804"/>
    <cellStyle name="Normale 3 2 2 2 2" xfId="25"/>
    <cellStyle name="Normale 3 2 2 2 2 10" xfId="6443"/>
    <cellStyle name="Normale 3 2 2 2 2 10 2" xfId="13906"/>
    <cellStyle name="Normale 3 2 2 2 2 10 3" xfId="21314"/>
    <cellStyle name="Normale 3 2 2 2 2 10 4" xfId="28985"/>
    <cellStyle name="Normale 3 2 2 2 2 11" xfId="7490"/>
    <cellStyle name="Normale 3 2 2 2 2 12" xfId="8435"/>
    <cellStyle name="Normale 3 2 2 2 2 13" xfId="25532"/>
    <cellStyle name="Normale 3 2 2 2 2 14" xfId="29716"/>
    <cellStyle name="Normale 3 2 2 2 2 15" xfId="30646"/>
    <cellStyle name="Normale 3 2 2 2 2 16" xfId="31525"/>
    <cellStyle name="Normale 3 2 2 2 2 17" xfId="31938"/>
    <cellStyle name="Normale 3 2 2 2 2 18" xfId="33429"/>
    <cellStyle name="Normale 3 2 2 2 2 19" xfId="34166"/>
    <cellStyle name="Normale 3 2 2 2 2 2" xfId="26"/>
    <cellStyle name="Normale 3 2 2 2 2 2 10" xfId="7491"/>
    <cellStyle name="Normale 3 2 2 2 2 2 11" xfId="8377"/>
    <cellStyle name="Normale 3 2 2 2 2 2 12" xfId="24615"/>
    <cellStyle name="Normale 3 2 2 2 2 2 13" xfId="29717"/>
    <cellStyle name="Normale 3 2 2 2 2 2 14" xfId="30647"/>
    <cellStyle name="Normale 3 2 2 2 2 2 15" xfId="31454"/>
    <cellStyle name="Normale 3 2 2 2 2 2 16" xfId="31745"/>
    <cellStyle name="Normale 3 2 2 2 2 2 17" xfId="33430"/>
    <cellStyle name="Normale 3 2 2 2 2 2 18" xfId="34067"/>
    <cellStyle name="Normale 3 2 2 2 2 2 19" xfId="35301"/>
    <cellStyle name="Normale 3 2 2 2 2 2 2" xfId="224"/>
    <cellStyle name="Normale 3 2 2 2 2 2 2 10" xfId="15097"/>
    <cellStyle name="Normale 3 2 2 2 2 2 2 11" xfId="23178"/>
    <cellStyle name="Normale 3 2 2 2 2 2 2 12" xfId="29909"/>
    <cellStyle name="Normale 3 2 2 2 2 2 2 13" xfId="30841"/>
    <cellStyle name="Normale 3 2 2 2 2 2 2 14" xfId="31762"/>
    <cellStyle name="Normale 3 2 2 2 2 2 2 15" xfId="32687"/>
    <cellStyle name="Normale 3 2 2 2 2 2 2 16" xfId="33624"/>
    <cellStyle name="Normale 3 2 2 2 2 2 2 17" xfId="34554"/>
    <cellStyle name="Normale 3 2 2 2 2 2 2 18" xfId="35480"/>
    <cellStyle name="Normale 3 2 2 2 2 2 2 19" xfId="36406"/>
    <cellStyle name="Normale 3 2 2 2 2 2 2 2" xfId="1191"/>
    <cellStyle name="Normale 3 2 2 2 2 2 2 2 2" xfId="8654"/>
    <cellStyle name="Normale 3 2 2 2 2 2 2 2 3" xfId="16062"/>
    <cellStyle name="Normale 3 2 2 2 2 2 2 2 4" xfId="27636"/>
    <cellStyle name="Normale 3 2 2 2 2 2 2 20" xfId="37326"/>
    <cellStyle name="Normale 3 2 2 2 2 2 2 3" xfId="2122"/>
    <cellStyle name="Normale 3 2 2 2 2 2 2 3 2" xfId="9585"/>
    <cellStyle name="Normale 3 2 2 2 2 2 2 3 3" xfId="16993"/>
    <cellStyle name="Normale 3 2 2 2 2 2 2 3 4" xfId="25043"/>
    <cellStyle name="Normale 3 2 2 2 2 2 2 4" xfId="3044"/>
    <cellStyle name="Normale 3 2 2 2 2 2 2 4 2" xfId="10507"/>
    <cellStyle name="Normale 3 2 2 2 2 2 2 4 3" xfId="17915"/>
    <cellStyle name="Normale 3 2 2 2 2 2 2 4 4" xfId="25712"/>
    <cellStyle name="Normale 3 2 2 2 2 2 2 5" xfId="3977"/>
    <cellStyle name="Normale 3 2 2 2 2 2 2 5 2" xfId="11440"/>
    <cellStyle name="Normale 3 2 2 2 2 2 2 5 3" xfId="18848"/>
    <cellStyle name="Normale 3 2 2 2 2 2 2 5 4" xfId="25379"/>
    <cellStyle name="Normale 3 2 2 2 2 2 2 6" xfId="4900"/>
    <cellStyle name="Normale 3 2 2 2 2 2 2 6 2" xfId="12363"/>
    <cellStyle name="Normale 3 2 2 2 2 2 2 6 3" xfId="19771"/>
    <cellStyle name="Normale 3 2 2 2 2 2 2 6 4" xfId="22931"/>
    <cellStyle name="Normale 3 2 2 2 2 2 2 7" xfId="5828"/>
    <cellStyle name="Normale 3 2 2 2 2 2 2 7 2" xfId="13291"/>
    <cellStyle name="Normale 3 2 2 2 2 2 2 7 3" xfId="20699"/>
    <cellStyle name="Normale 3 2 2 2 2 2 2 7 4" xfId="23175"/>
    <cellStyle name="Normale 3 2 2 2 2 2 2 8" xfId="6748"/>
    <cellStyle name="Normale 3 2 2 2 2 2 2 8 2" xfId="14211"/>
    <cellStyle name="Normale 3 2 2 2 2 2 2 8 3" xfId="21619"/>
    <cellStyle name="Normale 3 2 2 2 2 2 2 8 4" xfId="26211"/>
    <cellStyle name="Normale 3 2 2 2 2 2 2 9" xfId="7687"/>
    <cellStyle name="Normale 3 2 2 2 2 2 20" xfId="36095"/>
    <cellStyle name="Normale 3 2 2 2 2 2 21" xfId="37152"/>
    <cellStyle name="Normale 3 2 2 2 2 2 3" xfId="999"/>
    <cellStyle name="Normale 3 2 2 2 2 2 3 2" xfId="8462"/>
    <cellStyle name="Normale 3 2 2 2 2 2 3 3" xfId="15870"/>
    <cellStyle name="Normale 3 2 2 2 2 2 3 4" xfId="27292"/>
    <cellStyle name="Normale 3 2 2 2 2 2 4" xfId="990"/>
    <cellStyle name="Normale 3 2 2 2 2 2 4 2" xfId="8453"/>
    <cellStyle name="Normale 3 2 2 2 2 2 4 3" xfId="15861"/>
    <cellStyle name="Normale 3 2 2 2 2 2 4 4" xfId="28023"/>
    <cellStyle name="Normale 3 2 2 2 2 2 5" xfId="2808"/>
    <cellStyle name="Normale 3 2 2 2 2 2 5 2" xfId="10271"/>
    <cellStyle name="Normale 3 2 2 2 2 2 5 3" xfId="17679"/>
    <cellStyle name="Normale 3 2 2 2 2 2 5 4" xfId="24491"/>
    <cellStyle name="Normale 3 2 2 2 2 2 6" xfId="3269"/>
    <cellStyle name="Normale 3 2 2 2 2 2 6 2" xfId="10732"/>
    <cellStyle name="Normale 3 2 2 2 2 2 6 3" xfId="18140"/>
    <cellStyle name="Normale 3 2 2 2 2 2 6 4" xfId="29370"/>
    <cellStyle name="Normale 3 2 2 2 2 2 7" xfId="4724"/>
    <cellStyle name="Normale 3 2 2 2 2 2 7 2" xfId="12187"/>
    <cellStyle name="Normale 3 2 2 2 2 2 7 3" xfId="19595"/>
    <cellStyle name="Normale 3 2 2 2 2 2 7 4" xfId="22410"/>
    <cellStyle name="Normale 3 2 2 2 2 2 8" xfId="5220"/>
    <cellStyle name="Normale 3 2 2 2 2 2 8 2" xfId="12683"/>
    <cellStyle name="Normale 3 2 2 2 2 2 8 3" xfId="20091"/>
    <cellStyle name="Normale 3 2 2 2 2 2 8 4" xfId="28352"/>
    <cellStyle name="Normale 3 2 2 2 2 2 9" xfId="6573"/>
    <cellStyle name="Normale 3 2 2 2 2 2 9 2" xfId="14036"/>
    <cellStyle name="Normale 3 2 2 2 2 2 9 3" xfId="21444"/>
    <cellStyle name="Normale 3 2 2 2 2 2 9 4" xfId="26620"/>
    <cellStyle name="Normale 3 2 2 2 2 20" xfId="35171"/>
    <cellStyle name="Normale 3 2 2 2 2 21" xfId="36166"/>
    <cellStyle name="Normale 3 2 2 2 2 22" xfId="37022"/>
    <cellStyle name="Normale 3 2 2 2 2 3" xfId="223"/>
    <cellStyle name="Normale 3 2 2 2 2 3 10" xfId="15096"/>
    <cellStyle name="Normale 3 2 2 2 2 3 11" xfId="24188"/>
    <cellStyle name="Normale 3 2 2 2 2 3 12" xfId="29908"/>
    <cellStyle name="Normale 3 2 2 2 2 3 13" xfId="30840"/>
    <cellStyle name="Normale 3 2 2 2 2 3 14" xfId="31761"/>
    <cellStyle name="Normale 3 2 2 2 2 3 15" xfId="32686"/>
    <cellStyle name="Normale 3 2 2 2 2 3 16" xfId="33623"/>
    <cellStyle name="Normale 3 2 2 2 2 3 17" xfId="34553"/>
    <cellStyle name="Normale 3 2 2 2 2 3 18" xfId="35479"/>
    <cellStyle name="Normale 3 2 2 2 2 3 19" xfId="36405"/>
    <cellStyle name="Normale 3 2 2 2 2 3 2" xfId="1190"/>
    <cellStyle name="Normale 3 2 2 2 2 3 2 2" xfId="8653"/>
    <cellStyle name="Normale 3 2 2 2 2 3 2 3" xfId="16061"/>
    <cellStyle name="Normale 3 2 2 2 2 3 2 4" xfId="28562"/>
    <cellStyle name="Normale 3 2 2 2 2 3 20" xfId="37325"/>
    <cellStyle name="Normale 3 2 2 2 2 3 3" xfId="2121"/>
    <cellStyle name="Normale 3 2 2 2 2 3 3 2" xfId="9584"/>
    <cellStyle name="Normale 3 2 2 2 2 3 3 3" xfId="16992"/>
    <cellStyle name="Normale 3 2 2 2 2 3 3 4" xfId="25952"/>
    <cellStyle name="Normale 3 2 2 2 2 3 4" xfId="3043"/>
    <cellStyle name="Normale 3 2 2 2 2 3 4 2" xfId="10506"/>
    <cellStyle name="Normale 3 2 2 2 2 3 4 3" xfId="17914"/>
    <cellStyle name="Normale 3 2 2 2 2 3 4 4" xfId="26644"/>
    <cellStyle name="Normale 3 2 2 2 2 3 5" xfId="3976"/>
    <cellStyle name="Normale 3 2 2 2 2 3 5 2" xfId="11439"/>
    <cellStyle name="Normale 3 2 2 2 2 3 5 3" xfId="18847"/>
    <cellStyle name="Normale 3 2 2 2 2 3 5 4" xfId="26306"/>
    <cellStyle name="Normale 3 2 2 2 2 3 6" xfId="4899"/>
    <cellStyle name="Normale 3 2 2 2 2 3 6 2" xfId="12362"/>
    <cellStyle name="Normale 3 2 2 2 2 3 6 3" xfId="19770"/>
    <cellStyle name="Normale 3 2 2 2 2 3 6 4" xfId="23940"/>
    <cellStyle name="Normale 3 2 2 2 2 3 7" xfId="5827"/>
    <cellStyle name="Normale 3 2 2 2 2 3 7 2" xfId="13290"/>
    <cellStyle name="Normale 3 2 2 2 2 3 7 3" xfId="20698"/>
    <cellStyle name="Normale 3 2 2 2 2 3 7 4" xfId="24185"/>
    <cellStyle name="Normale 3 2 2 2 2 3 8" xfId="6747"/>
    <cellStyle name="Normale 3 2 2 2 2 3 8 2" xfId="14210"/>
    <cellStyle name="Normale 3 2 2 2 2 3 8 3" xfId="21618"/>
    <cellStyle name="Normale 3 2 2 2 2 3 8 4" xfId="28805"/>
    <cellStyle name="Normale 3 2 2 2 2 3 9" xfId="7686"/>
    <cellStyle name="Normale 3 2 2 2 2 4" xfId="998"/>
    <cellStyle name="Normale 3 2 2 2 2 4 2" xfId="8461"/>
    <cellStyle name="Normale 3 2 2 2 2 4 3" xfId="15869"/>
    <cellStyle name="Normale 3 2 2 2 2 4 4" xfId="28214"/>
    <cellStyle name="Normale 3 2 2 2 2 5" xfId="1579"/>
    <cellStyle name="Normale 3 2 2 2 2 5 2" xfId="9042"/>
    <cellStyle name="Normale 3 2 2 2 2 5 3" xfId="16450"/>
    <cellStyle name="Normale 3 2 2 2 2 5 4" xfId="28009"/>
    <cellStyle name="Normale 3 2 2 2 2 6" xfId="2868"/>
    <cellStyle name="Normale 3 2 2 2 2 6 2" xfId="10331"/>
    <cellStyle name="Normale 3 2 2 2 2 6 3" xfId="17739"/>
    <cellStyle name="Normale 3 2 2 2 2 6 4" xfId="28765"/>
    <cellStyle name="Normale 3 2 2 2 2 7" xfId="3317"/>
    <cellStyle name="Normale 3 2 2 2 2 7 2" xfId="10780"/>
    <cellStyle name="Normale 3 2 2 2 2 7 3" xfId="18188"/>
    <cellStyle name="Normale 3 2 2 2 2 7 4" xfId="24132"/>
    <cellStyle name="Normale 3 2 2 2 2 8" xfId="4594"/>
    <cellStyle name="Normale 3 2 2 2 2 8 2" xfId="12057"/>
    <cellStyle name="Normale 3 2 2 2 2 8 3" xfId="19465"/>
    <cellStyle name="Normale 3 2 2 2 2 8 4" xfId="24767"/>
    <cellStyle name="Normale 3 2 2 2 2 9" xfId="5271"/>
    <cellStyle name="Normale 3 2 2 2 2 9 2" xfId="12734"/>
    <cellStyle name="Normale 3 2 2 2 2 9 3" xfId="20142"/>
    <cellStyle name="Normale 3 2 2 2 2 9 4" xfId="25153"/>
    <cellStyle name="Normale 3 2 2 2 20" xfId="6516"/>
    <cellStyle name="Normale 3 2 2 2 20 2" xfId="13979"/>
    <cellStyle name="Normale 3 2 2 2 20 3" xfId="21387"/>
    <cellStyle name="Normale 3 2 2 2 20 4" xfId="28071"/>
    <cellStyle name="Normale 3 2 2 2 21" xfId="7489"/>
    <cellStyle name="Normale 3 2 2 2 22" xfId="8437"/>
    <cellStyle name="Normale 3 2 2 2 23" xfId="26460"/>
    <cellStyle name="Normale 3 2 2 2 24" xfId="29715"/>
    <cellStyle name="Normale 3 2 2 2 25" xfId="30645"/>
    <cellStyle name="Normale 3 2 2 2 26" xfId="31585"/>
    <cellStyle name="Normale 3 2 2 2 27" xfId="31987"/>
    <cellStyle name="Normale 3 2 2 2 28" xfId="33428"/>
    <cellStyle name="Normale 3 2 2 2 29" xfId="34237"/>
    <cellStyle name="Normale 3 2 2 2 3" xfId="27"/>
    <cellStyle name="Normale 3 2 2 2 3 10" xfId="7492"/>
    <cellStyle name="Normale 3 2 2 2 3 11" xfId="8304"/>
    <cellStyle name="Normale 3 2 2 2 3 12" xfId="23693"/>
    <cellStyle name="Normale 3 2 2 2 3 13" xfId="29718"/>
    <cellStyle name="Normale 3 2 2 2 3 14" xfId="30648"/>
    <cellStyle name="Normale 3 2 2 2 3 15" xfId="31383"/>
    <cellStyle name="Normale 3 2 2 2 3 16" xfId="30802"/>
    <cellStyle name="Normale 3 2 2 2 3 17" xfId="33431"/>
    <cellStyle name="Normale 3 2 2 2 3 18" xfId="34066"/>
    <cellStyle name="Normale 3 2 2 2 3 19" xfId="35240"/>
    <cellStyle name="Normale 3 2 2 2 3 2" xfId="225"/>
    <cellStyle name="Normale 3 2 2 2 3 2 10" xfId="15098"/>
    <cellStyle name="Normale 3 2 2 2 3 2 11" xfId="29608"/>
    <cellStyle name="Normale 3 2 2 2 3 2 12" xfId="29910"/>
    <cellStyle name="Normale 3 2 2 2 3 2 13" xfId="30842"/>
    <cellStyle name="Normale 3 2 2 2 3 2 14" xfId="31763"/>
    <cellStyle name="Normale 3 2 2 2 3 2 15" xfId="32688"/>
    <cellStyle name="Normale 3 2 2 2 3 2 16" xfId="33625"/>
    <cellStyle name="Normale 3 2 2 2 3 2 17" xfId="34555"/>
    <cellStyle name="Normale 3 2 2 2 3 2 18" xfId="35481"/>
    <cellStyle name="Normale 3 2 2 2 3 2 19" xfId="36407"/>
    <cellStyle name="Normale 3 2 2 2 3 2 2" xfId="1192"/>
    <cellStyle name="Normale 3 2 2 2 3 2 2 2" xfId="8655"/>
    <cellStyle name="Normale 3 2 2 2 3 2 2 3" xfId="16063"/>
    <cellStyle name="Normale 3 2 2 2 3 2 2 4" xfId="26732"/>
    <cellStyle name="Normale 3 2 2 2 3 2 20" xfId="37327"/>
    <cellStyle name="Normale 3 2 2 2 3 2 3" xfId="2123"/>
    <cellStyle name="Normale 3 2 2 2 3 2 3 2" xfId="9586"/>
    <cellStyle name="Normale 3 2 2 2 3 2 3 3" xfId="16994"/>
    <cellStyle name="Normale 3 2 2 2 3 2 3 4" xfId="24117"/>
    <cellStyle name="Normale 3 2 2 2 3 2 4" xfId="3045"/>
    <cellStyle name="Normale 3 2 2 2 3 2 4 2" xfId="10508"/>
    <cellStyle name="Normale 3 2 2 2 3 2 4 3" xfId="17916"/>
    <cellStyle name="Normale 3 2 2 2 3 2 4 4" xfId="24800"/>
    <cellStyle name="Normale 3 2 2 2 3 2 5" xfId="3978"/>
    <cellStyle name="Normale 3 2 2 2 3 2 5 2" xfId="11441"/>
    <cellStyle name="Normale 3 2 2 2 3 2 5 3" xfId="18849"/>
    <cellStyle name="Normale 3 2 2 2 3 2 5 4" xfId="24463"/>
    <cellStyle name="Normale 3 2 2 2 3 2 6" xfId="4901"/>
    <cellStyle name="Normale 3 2 2 2 3 2 6 2" xfId="12364"/>
    <cellStyle name="Normale 3 2 2 2 3 2 6 3" xfId="19772"/>
    <cellStyle name="Normale 3 2 2 2 3 2 6 4" xfId="29360"/>
    <cellStyle name="Normale 3 2 2 2 3 2 7" xfId="5829"/>
    <cellStyle name="Normale 3 2 2 2 3 2 7 2" xfId="13292"/>
    <cellStyle name="Normale 3 2 2 2 3 2 7 3" xfId="20700"/>
    <cellStyle name="Normale 3 2 2 2 3 2 7 4" xfId="29605"/>
    <cellStyle name="Normale 3 2 2 2 3 2 8" xfId="6749"/>
    <cellStyle name="Normale 3 2 2 2 3 2 8 2" xfId="14212"/>
    <cellStyle name="Normale 3 2 2 2 3 2 8 3" xfId="21620"/>
    <cellStyle name="Normale 3 2 2 2 3 2 8 4" xfId="26975"/>
    <cellStyle name="Normale 3 2 2 2 3 2 9" xfId="7688"/>
    <cellStyle name="Normale 3 2 2 2 3 20" xfId="36024"/>
    <cellStyle name="Normale 3 2 2 2 3 21" xfId="37091"/>
    <cellStyle name="Normale 3 2 2 2 3 3" xfId="1000"/>
    <cellStyle name="Normale 3 2 2 2 3 3 2" xfId="8463"/>
    <cellStyle name="Normale 3 2 2 2 3 3 3" xfId="15871"/>
    <cellStyle name="Normale 3 2 2 2 3 3 4" xfId="26382"/>
    <cellStyle name="Normale 3 2 2 2 3 4" xfId="987"/>
    <cellStyle name="Normale 3 2 2 2 3 4 2" xfId="8450"/>
    <cellStyle name="Normale 3 2 2 2 3 4 3" xfId="15858"/>
    <cellStyle name="Normale 3 2 2 2 3 4 4" xfId="22507"/>
    <cellStyle name="Normale 3 2 2 2 3 5" xfId="2737"/>
    <cellStyle name="Normale 3 2 2 2 3 5 2" xfId="10200"/>
    <cellStyle name="Normale 3 2 2 2 3 5 3" xfId="17608"/>
    <cellStyle name="Normale 3 2 2 2 3 5 4" xfId="23575"/>
    <cellStyle name="Normale 3 2 2 2 3 6" xfId="3220"/>
    <cellStyle name="Normale 3 2 2 2 3 6 2" xfId="10683"/>
    <cellStyle name="Normale 3 2 2 2 3 6 3" xfId="18091"/>
    <cellStyle name="Normale 3 2 2 2 3 6 4" xfId="28416"/>
    <cellStyle name="Normale 3 2 2 2 3 7" xfId="4663"/>
    <cellStyle name="Normale 3 2 2 2 3 7 2" xfId="12126"/>
    <cellStyle name="Normale 3 2 2 2 3 7 3" xfId="19534"/>
    <cellStyle name="Normale 3 2 2 2 3 7 4" xfId="27336"/>
    <cellStyle name="Normale 3 2 2 2 3 8" xfId="5173"/>
    <cellStyle name="Normale 3 2 2 2 3 8 2" xfId="12636"/>
    <cellStyle name="Normale 3 2 2 2 3 8 3" xfId="20044"/>
    <cellStyle name="Normale 3 2 2 2 3 8 4" xfId="27185"/>
    <cellStyle name="Normale 3 2 2 2 3 9" xfId="6512"/>
    <cellStyle name="Normale 3 2 2 2 3 9 2" xfId="13975"/>
    <cellStyle name="Normale 3 2 2 2 3 9 3" xfId="21383"/>
    <cellStyle name="Normale 3 2 2 2 3 9 4" xfId="24573"/>
    <cellStyle name="Normale 3 2 2 2 30" xfId="35244"/>
    <cellStyle name="Normale 3 2 2 2 31" xfId="36226"/>
    <cellStyle name="Normale 3 2 2 2 32" xfId="37095"/>
    <cellStyle name="Normale 3 2 2 2 4" xfId="222"/>
    <cellStyle name="Normale 3 2 2 2 4 10" xfId="15095"/>
    <cellStyle name="Normale 3 2 2 2 4 11" xfId="25114"/>
    <cellStyle name="Normale 3 2 2 2 4 12" xfId="29907"/>
    <cellStyle name="Normale 3 2 2 2 4 13" xfId="30839"/>
    <cellStyle name="Normale 3 2 2 2 4 14" xfId="31760"/>
    <cellStyle name="Normale 3 2 2 2 4 15" xfId="32685"/>
    <cellStyle name="Normale 3 2 2 2 4 16" xfId="33622"/>
    <cellStyle name="Normale 3 2 2 2 4 17" xfId="34552"/>
    <cellStyle name="Normale 3 2 2 2 4 18" xfId="35478"/>
    <cellStyle name="Normale 3 2 2 2 4 19" xfId="36404"/>
    <cellStyle name="Normale 3 2 2 2 4 2" xfId="1189"/>
    <cellStyle name="Normale 3 2 2 2 4 2 2" xfId="8652"/>
    <cellStyle name="Normale 3 2 2 2 4 2 3" xfId="16060"/>
    <cellStyle name="Normale 3 2 2 2 4 2 4" xfId="29456"/>
    <cellStyle name="Normale 3 2 2 2 4 20" xfId="37324"/>
    <cellStyle name="Normale 3 2 2 2 4 3" xfId="2120"/>
    <cellStyle name="Normale 3 2 2 2 4 3 2" xfId="9583"/>
    <cellStyle name="Normale 3 2 2 2 4 3 3" xfId="16991"/>
    <cellStyle name="Normale 3 2 2 2 4 3 4" xfId="26886"/>
    <cellStyle name="Normale 3 2 2 2 4 4" xfId="3042"/>
    <cellStyle name="Normale 3 2 2 2 4 4 2" xfId="10505"/>
    <cellStyle name="Normale 3 2 2 2 4 4 3" xfId="17913"/>
    <cellStyle name="Normale 3 2 2 2 4 4 4" xfId="27548"/>
    <cellStyle name="Normale 3 2 2 2 4 5" xfId="3975"/>
    <cellStyle name="Normale 3 2 2 2 4 5 2" xfId="11438"/>
    <cellStyle name="Normale 3 2 2 2 4 5 3" xfId="18846"/>
    <cellStyle name="Normale 3 2 2 2 4 5 4" xfId="27216"/>
    <cellStyle name="Normale 3 2 2 2 4 6" xfId="4898"/>
    <cellStyle name="Normale 3 2 2 2 4 6 2" xfId="12361"/>
    <cellStyle name="Normale 3 2 2 2 4 6 3" xfId="19769"/>
    <cellStyle name="Normale 3 2 2 2 4 6 4" xfId="24865"/>
    <cellStyle name="Normale 3 2 2 2 4 7" xfId="5826"/>
    <cellStyle name="Normale 3 2 2 2 4 7 2" xfId="13289"/>
    <cellStyle name="Normale 3 2 2 2 4 7 3" xfId="20697"/>
    <cellStyle name="Normale 3 2 2 2 4 7 4" xfId="25111"/>
    <cellStyle name="Normale 3 2 2 2 4 8" xfId="6746"/>
    <cellStyle name="Normale 3 2 2 2 4 8 2" xfId="14209"/>
    <cellStyle name="Normale 3 2 2 2 4 8 3" xfId="21617"/>
    <cellStyle name="Normale 3 2 2 2 4 8 4" xfId="22353"/>
    <cellStyle name="Normale 3 2 2 2 4 9" xfId="7685"/>
    <cellStyle name="Normale 3 2 2 2 5" xfId="406"/>
    <cellStyle name="Normale 3 2 2 2 5 10" xfId="15279"/>
    <cellStyle name="Normale 3 2 2 2 5 11" xfId="25107"/>
    <cellStyle name="Normale 3 2 2 2 5 12" xfId="30091"/>
    <cellStyle name="Normale 3 2 2 2 5 13" xfId="31023"/>
    <cellStyle name="Normale 3 2 2 2 5 14" xfId="31944"/>
    <cellStyle name="Normale 3 2 2 2 5 15" xfId="32868"/>
    <cellStyle name="Normale 3 2 2 2 5 16" xfId="33806"/>
    <cellStyle name="Normale 3 2 2 2 5 17" xfId="34736"/>
    <cellStyle name="Normale 3 2 2 2 5 18" xfId="35662"/>
    <cellStyle name="Normale 3 2 2 2 5 19" xfId="36588"/>
    <cellStyle name="Normale 3 2 2 2 5 2" xfId="1373"/>
    <cellStyle name="Normale 3 2 2 2 5 2 2" xfId="8836"/>
    <cellStyle name="Normale 3 2 2 2 5 2 3" xfId="16244"/>
    <cellStyle name="Normale 3 2 2 2 5 2 4" xfId="29629"/>
    <cellStyle name="Normale 3 2 2 2 5 20" xfId="37507"/>
    <cellStyle name="Normale 3 2 2 2 5 3" xfId="2304"/>
    <cellStyle name="Normale 3 2 2 2 5 3 2" xfId="9767"/>
    <cellStyle name="Normale 3 2 2 2 5 3 3" xfId="17175"/>
    <cellStyle name="Normale 3 2 2 2 5 3 4" xfId="26869"/>
    <cellStyle name="Normale 3 2 2 2 5 4" xfId="3226"/>
    <cellStyle name="Normale 3 2 2 2 5 4 2" xfId="10689"/>
    <cellStyle name="Normale 3 2 2 2 5 4 3" xfId="18097"/>
    <cellStyle name="Normale 3 2 2 2 5 4 4" xfId="22838"/>
    <cellStyle name="Normale 3 2 2 2 5 5" xfId="4159"/>
    <cellStyle name="Normale 3 2 2 2 5 5 2" xfId="11622"/>
    <cellStyle name="Normale 3 2 2 2 5 5 3" xfId="19030"/>
    <cellStyle name="Normale 3 2 2 2 5 5 4" xfId="27434"/>
    <cellStyle name="Normale 3 2 2 2 5 6" xfId="5082"/>
    <cellStyle name="Normale 3 2 2 2 5 6 2" xfId="12545"/>
    <cellStyle name="Normale 3 2 2 2 5 6 3" xfId="19953"/>
    <cellStyle name="Normale 3 2 2 2 5 6 4" xfId="25070"/>
    <cellStyle name="Normale 3 2 2 2 5 7" xfId="6010"/>
    <cellStyle name="Normale 3 2 2 2 5 7 2" xfId="13473"/>
    <cellStyle name="Normale 3 2 2 2 5 7 3" xfId="20881"/>
    <cellStyle name="Normale 3 2 2 2 5 7 4" xfId="25056"/>
    <cellStyle name="Normale 3 2 2 2 5 8" xfId="6929"/>
    <cellStyle name="Normale 3 2 2 2 5 8 2" xfId="14392"/>
    <cellStyle name="Normale 3 2 2 2 5 8 3" xfId="21800"/>
    <cellStyle name="Normale 3 2 2 2 5 8 4" xfId="23786"/>
    <cellStyle name="Normale 3 2 2 2 5 9" xfId="7869"/>
    <cellStyle name="Normale 3 2 2 2 6" xfId="454"/>
    <cellStyle name="Normale 3 2 2 2 6 10" xfId="15327"/>
    <cellStyle name="Normale 3 2 2 2 6 11" xfId="24705"/>
    <cellStyle name="Normale 3 2 2 2 6 12" xfId="30139"/>
    <cellStyle name="Normale 3 2 2 2 6 13" xfId="31071"/>
    <cellStyle name="Normale 3 2 2 2 6 14" xfId="31992"/>
    <cellStyle name="Normale 3 2 2 2 6 15" xfId="32915"/>
    <cellStyle name="Normale 3 2 2 2 6 16" xfId="33854"/>
    <cellStyle name="Normale 3 2 2 2 6 17" xfId="34784"/>
    <cellStyle name="Normale 3 2 2 2 6 18" xfId="35710"/>
    <cellStyle name="Normale 3 2 2 2 6 19" xfId="36636"/>
    <cellStyle name="Normale 3 2 2 2 6 2" xfId="1421"/>
    <cellStyle name="Normale 3 2 2 2 6 2 2" xfId="8884"/>
    <cellStyle name="Normale 3 2 2 2 6 2 3" xfId="16292"/>
    <cellStyle name="Normale 3 2 2 2 6 2 4" xfId="27864"/>
    <cellStyle name="Normale 3 2 2 2 6 20" xfId="37554"/>
    <cellStyle name="Normale 3 2 2 2 6 3" xfId="2352"/>
    <cellStyle name="Normale 3 2 2 2 6 3 2" xfId="9815"/>
    <cellStyle name="Normale 3 2 2 2 6 3 3" xfId="17223"/>
    <cellStyle name="Normale 3 2 2 2 6 3 4" xfId="26490"/>
    <cellStyle name="Normale 3 2 2 2 6 4" xfId="3274"/>
    <cellStyle name="Normale 3 2 2 2 6 4 2" xfId="10737"/>
    <cellStyle name="Normale 3 2 2 2 6 4 3" xfId="18145"/>
    <cellStyle name="Normale 3 2 2 2 6 4 4" xfId="24798"/>
    <cellStyle name="Normale 3 2 2 2 6 5" xfId="4207"/>
    <cellStyle name="Normale 3 2 2 2 6 5 2" xfId="11670"/>
    <cellStyle name="Normale 3 2 2 2 6 5 3" xfId="19078"/>
    <cellStyle name="Normale 3 2 2 2 6 5 4" xfId="27021"/>
    <cellStyle name="Normale 3 2 2 2 6 6" xfId="5130"/>
    <cellStyle name="Normale 3 2 2 2 6 6 2" xfId="12593"/>
    <cellStyle name="Normale 3 2 2 2 6 6 3" xfId="20001"/>
    <cellStyle name="Normale 3 2 2 2 6 6 4" xfId="23184"/>
    <cellStyle name="Normale 3 2 2 2 6 7" xfId="6058"/>
    <cellStyle name="Normale 3 2 2 2 6 7 2" xfId="13521"/>
    <cellStyle name="Normale 3 2 2 2 6 7 3" xfId="20929"/>
    <cellStyle name="Normale 3 2 2 2 6 7 4" xfId="24670"/>
    <cellStyle name="Normale 3 2 2 2 6 8" xfId="6976"/>
    <cellStyle name="Normale 3 2 2 2 6 8 2" xfId="14439"/>
    <cellStyle name="Normale 3 2 2 2 6 8 3" xfId="21847"/>
    <cellStyle name="Normale 3 2 2 2 6 8 4" xfId="26695"/>
    <cellStyle name="Normale 3 2 2 2 6 9" xfId="7917"/>
    <cellStyle name="Normale 3 2 2 2 7" xfId="502"/>
    <cellStyle name="Normale 3 2 2 2 7 10" xfId="15375"/>
    <cellStyle name="Normale 3 2 2 2 7 11" xfId="24357"/>
    <cellStyle name="Normale 3 2 2 2 7 12" xfId="30186"/>
    <cellStyle name="Normale 3 2 2 2 7 13" xfId="31119"/>
    <cellStyle name="Normale 3 2 2 2 7 14" xfId="32039"/>
    <cellStyle name="Normale 3 2 2 2 7 15" xfId="32961"/>
    <cellStyle name="Normale 3 2 2 2 7 16" xfId="33902"/>
    <cellStyle name="Normale 3 2 2 2 7 17" xfId="34832"/>
    <cellStyle name="Normale 3 2 2 2 7 18" xfId="35758"/>
    <cellStyle name="Normale 3 2 2 2 7 19" xfId="36684"/>
    <cellStyle name="Normale 3 2 2 2 7 2" xfId="1469"/>
    <cellStyle name="Normale 3 2 2 2 7 2 2" xfId="8932"/>
    <cellStyle name="Normale 3 2 2 2 7 2 3" xfId="16340"/>
    <cellStyle name="Normale 3 2 2 2 7 2 4" xfId="27280"/>
    <cellStyle name="Normale 3 2 2 2 7 20" xfId="37600"/>
    <cellStyle name="Normale 3 2 2 2 7 3" xfId="2400"/>
    <cellStyle name="Normale 3 2 2 2 7 3 2" xfId="9863"/>
    <cellStyle name="Normale 3 2 2 2 7 3 3" xfId="17271"/>
    <cellStyle name="Normale 3 2 2 2 7 3 4" xfId="26346"/>
    <cellStyle name="Normale 3 2 2 2 7 4" xfId="3321"/>
    <cellStyle name="Normale 3 2 2 2 7 4 2" xfId="10784"/>
    <cellStyle name="Normale 3 2 2 2 7 4 3" xfId="18192"/>
    <cellStyle name="Normale 3 2 2 2 7 4 4" xfId="27734"/>
    <cellStyle name="Normale 3 2 2 2 7 5" xfId="4255"/>
    <cellStyle name="Normale 3 2 2 2 7 5 2" xfId="11718"/>
    <cellStyle name="Normale 3 2 2 2 7 5 3" xfId="19126"/>
    <cellStyle name="Normale 3 2 2 2 7 5 4" xfId="27760"/>
    <cellStyle name="Normale 3 2 2 2 7 6" xfId="5177"/>
    <cellStyle name="Normale 3 2 2 2 7 6 2" xfId="12640"/>
    <cellStyle name="Normale 3 2 2 2 7 6 3" xfId="20048"/>
    <cellStyle name="Normale 3 2 2 2 7 6 4" xfId="23513"/>
    <cellStyle name="Normale 3 2 2 2 7 7" xfId="6106"/>
    <cellStyle name="Normale 3 2 2 2 7 7 2" xfId="13569"/>
    <cellStyle name="Normale 3 2 2 2 7 7 3" xfId="20977"/>
    <cellStyle name="Normale 3 2 2 2 7 7 4" xfId="24213"/>
    <cellStyle name="Normale 3 2 2 2 7 8" xfId="7022"/>
    <cellStyle name="Normale 3 2 2 2 7 8 2" xfId="14485"/>
    <cellStyle name="Normale 3 2 2 2 7 8 3" xfId="21893"/>
    <cellStyle name="Normale 3 2 2 2 7 8 4" xfId="28663"/>
    <cellStyle name="Normale 3 2 2 2 7 9" xfId="7965"/>
    <cellStyle name="Normale 3 2 2 2 8" xfId="554"/>
    <cellStyle name="Normale 3 2 2 2 8 10" xfId="15427"/>
    <cellStyle name="Normale 3 2 2 2 8 11" xfId="28640"/>
    <cellStyle name="Normale 3 2 2 2 8 12" xfId="30237"/>
    <cellStyle name="Normale 3 2 2 2 8 13" xfId="31171"/>
    <cellStyle name="Normale 3 2 2 2 8 14" xfId="32090"/>
    <cellStyle name="Normale 3 2 2 2 8 15" xfId="33011"/>
    <cellStyle name="Normale 3 2 2 2 8 16" xfId="33954"/>
    <cellStyle name="Normale 3 2 2 2 8 17" xfId="34884"/>
    <cellStyle name="Normale 3 2 2 2 8 18" xfId="35810"/>
    <cellStyle name="Normale 3 2 2 2 8 19" xfId="36736"/>
    <cellStyle name="Normale 3 2 2 2 8 2" xfId="1521"/>
    <cellStyle name="Normale 3 2 2 2 8 2 2" xfId="8984"/>
    <cellStyle name="Normale 3 2 2 2 8 2 3" xfId="16392"/>
    <cellStyle name="Normale 3 2 2 2 8 2 4" xfId="23776"/>
    <cellStyle name="Normale 3 2 2 2 8 20" xfId="37650"/>
    <cellStyle name="Normale 3 2 2 2 8 3" xfId="2452"/>
    <cellStyle name="Normale 3 2 2 2 8 3 2" xfId="9915"/>
    <cellStyle name="Normale 3 2 2 2 8 3 3" xfId="17323"/>
    <cellStyle name="Normale 3 2 2 2 8 3 4" xfId="23019"/>
    <cellStyle name="Normale 3 2 2 2 8 4" xfId="3372"/>
    <cellStyle name="Normale 3 2 2 2 8 4 2" xfId="10835"/>
    <cellStyle name="Normale 3 2 2 2 8 4 3" xfId="18243"/>
    <cellStyle name="Normale 3 2 2 2 8 4 4" xfId="23106"/>
    <cellStyle name="Normale 3 2 2 2 8 5" xfId="4307"/>
    <cellStyle name="Normale 3 2 2 2 8 5 2" xfId="11770"/>
    <cellStyle name="Normale 3 2 2 2 8 5 3" xfId="19178"/>
    <cellStyle name="Normale 3 2 2 2 8 5 4" xfId="28310"/>
    <cellStyle name="Normale 3 2 2 2 8 6" xfId="5228"/>
    <cellStyle name="Normale 3 2 2 2 8 6 2" xfId="12691"/>
    <cellStyle name="Normale 3 2 2 2 8 6 3" xfId="20099"/>
    <cellStyle name="Normale 3 2 2 2 8 6 4" xfId="28305"/>
    <cellStyle name="Normale 3 2 2 2 8 7" xfId="6158"/>
    <cellStyle name="Normale 3 2 2 2 8 7 2" xfId="13621"/>
    <cellStyle name="Normale 3 2 2 2 8 7 3" xfId="21029"/>
    <cellStyle name="Normale 3 2 2 2 8 7 4" xfId="28522"/>
    <cellStyle name="Normale 3 2 2 2 8 8" xfId="7072"/>
    <cellStyle name="Normale 3 2 2 2 8 8 2" xfId="14535"/>
    <cellStyle name="Normale 3 2 2 2 8 8 3" xfId="21943"/>
    <cellStyle name="Normale 3 2 2 2 8 8 4" xfId="26408"/>
    <cellStyle name="Normale 3 2 2 2 8 9" xfId="8017"/>
    <cellStyle name="Normale 3 2 2 2 9" xfId="614"/>
    <cellStyle name="Normale 3 2 2 2 9 10" xfId="15486"/>
    <cellStyle name="Normale 3 2 2 2 9 11" xfId="29131"/>
    <cellStyle name="Normale 3 2 2 2 9 12" xfId="30293"/>
    <cellStyle name="Normale 3 2 2 2 9 13" xfId="31230"/>
    <cellStyle name="Normale 3 2 2 2 9 14" xfId="32147"/>
    <cellStyle name="Normale 3 2 2 2 9 15" xfId="33066"/>
    <cellStyle name="Normale 3 2 2 2 9 16" xfId="34013"/>
    <cellStyle name="Normale 3 2 2 2 9 17" xfId="34944"/>
    <cellStyle name="Normale 3 2 2 2 9 18" xfId="35870"/>
    <cellStyle name="Normale 3 2 2 2 9 19" xfId="36795"/>
    <cellStyle name="Normale 3 2 2 2 9 2" xfId="1580"/>
    <cellStyle name="Normale 3 2 2 2 9 2 2" xfId="9043"/>
    <cellStyle name="Normale 3 2 2 2 9 2 3" xfId="16451"/>
    <cellStyle name="Normale 3 2 2 2 9 2 4" xfId="27090"/>
    <cellStyle name="Normale 3 2 2 2 9 20" xfId="37705"/>
    <cellStyle name="Normale 3 2 2 2 9 3" xfId="2512"/>
    <cellStyle name="Normale 3 2 2 2 9 3 2" xfId="9975"/>
    <cellStyle name="Normale 3 2 2 2 9 3 3" xfId="17383"/>
    <cellStyle name="Normale 3 2 2 2 9 3 4" xfId="25225"/>
    <cellStyle name="Normale 3 2 2 2 9 4" xfId="3430"/>
    <cellStyle name="Normale 3 2 2 2 9 4 2" xfId="10893"/>
    <cellStyle name="Normale 3 2 2 2 9 4 3" xfId="18301"/>
    <cellStyle name="Normale 3 2 2 2 9 4 4" xfId="27962"/>
    <cellStyle name="Normale 3 2 2 2 9 5" xfId="4367"/>
    <cellStyle name="Normale 3 2 2 2 9 5 2" xfId="11830"/>
    <cellStyle name="Normale 3 2 2 2 9 5 3" xfId="19238"/>
    <cellStyle name="Normale 3 2 2 2 9 5 4" xfId="23342"/>
    <cellStyle name="Normale 3 2 2 2 9 6" xfId="5285"/>
    <cellStyle name="Normale 3 2 2 2 9 6 2" xfId="12748"/>
    <cellStyle name="Normale 3 2 2 2 9 6 3" xfId="20156"/>
    <cellStyle name="Normale 3 2 2 2 9 6 4" xfId="26078"/>
    <cellStyle name="Normale 3 2 2 2 9 7" xfId="6218"/>
    <cellStyle name="Normale 3 2 2 2 9 7 2" xfId="13681"/>
    <cellStyle name="Normale 3 2 2 2 9 7 3" xfId="21089"/>
    <cellStyle name="Normale 3 2 2 2 9 7 4" xfId="24403"/>
    <cellStyle name="Normale 3 2 2 2 9 8" xfId="7127"/>
    <cellStyle name="Normale 3 2 2 2 9 8 2" xfId="14590"/>
    <cellStyle name="Normale 3 2 2 2 9 8 3" xfId="21998"/>
    <cellStyle name="Normale 3 2 2 2 9 8 4" xfId="26227"/>
    <cellStyle name="Normale 3 2 2 2 9 9" xfId="8077"/>
    <cellStyle name="Normale 3 2 2 20" xfId="3415"/>
    <cellStyle name="Normale 3 2 2 20 2" xfId="10878"/>
    <cellStyle name="Normale 3 2 2 20 3" xfId="18286"/>
    <cellStyle name="Normale 3 2 2 20 4" xfId="26126"/>
    <cellStyle name="Normale 3 2 2 21" xfId="4725"/>
    <cellStyle name="Normale 3 2 2 21 2" xfId="12188"/>
    <cellStyle name="Normale 3 2 2 21 3" xfId="19596"/>
    <cellStyle name="Normale 3 2 2 21 4" xfId="28841"/>
    <cellStyle name="Normale 3 2 2 22" xfId="3955"/>
    <cellStyle name="Normale 3 2 2 22 2" xfId="11418"/>
    <cellStyle name="Normale 3 2 2 22 3" xfId="18826"/>
    <cellStyle name="Normale 3 2 2 22 4" xfId="23983"/>
    <cellStyle name="Normale 3 2 2 23" xfId="6574"/>
    <cellStyle name="Normale 3 2 2 23 2" xfId="14037"/>
    <cellStyle name="Normale 3 2 2 23 3" xfId="21445"/>
    <cellStyle name="Normale 3 2 2 23 4" xfId="25808"/>
    <cellStyle name="Normale 3 2 2 24" xfId="7488"/>
    <cellStyle name="Normale 3 2 2 25" xfId="8376"/>
    <cellStyle name="Normale 3 2 2 26" xfId="27368"/>
    <cellStyle name="Normale 3 2 2 27" xfId="29714"/>
    <cellStyle name="Normale 3 2 2 28" xfId="30644"/>
    <cellStyle name="Normale 3 2 2 29" xfId="31456"/>
    <cellStyle name="Normale 3 2 2 3" xfId="28"/>
    <cellStyle name="Normale 3 2 2 3 10" xfId="693"/>
    <cellStyle name="Normale 3 2 2 3 10 10" xfId="15564"/>
    <cellStyle name="Normale 3 2 2 3 10 11" xfId="23101"/>
    <cellStyle name="Normale 3 2 2 3 10 12" xfId="30367"/>
    <cellStyle name="Normale 3 2 2 3 10 13" xfId="31308"/>
    <cellStyle name="Normale 3 2 2 3 10 14" xfId="32221"/>
    <cellStyle name="Normale 3 2 2 3 10 15" xfId="33139"/>
    <cellStyle name="Normale 3 2 2 3 10 16" xfId="34091"/>
    <cellStyle name="Normale 3 2 2 3 10 17" xfId="35023"/>
    <cellStyle name="Normale 3 2 2 3 10 18" xfId="35949"/>
    <cellStyle name="Normale 3 2 2 3 10 19" xfId="36874"/>
    <cellStyle name="Normale 3 2 2 3 10 2" xfId="1658"/>
    <cellStyle name="Normale 3 2 2 3 10 2 2" xfId="9121"/>
    <cellStyle name="Normale 3 2 2 3 10 2 3" xfId="16529"/>
    <cellStyle name="Normale 3 2 2 3 10 2 4" xfId="22803"/>
    <cellStyle name="Normale 3 2 2 3 10 20" xfId="37778"/>
    <cellStyle name="Normale 3 2 2 3 10 3" xfId="2591"/>
    <cellStyle name="Normale 3 2 2 3 10 3 2" xfId="10054"/>
    <cellStyle name="Normale 3 2 2 3 10 3 3" xfId="17462"/>
    <cellStyle name="Normale 3 2 2 3 10 3 4" xfId="27627"/>
    <cellStyle name="Normale 3 2 2 3 10 4" xfId="3507"/>
    <cellStyle name="Normale 3 2 2 3 10 4 2" xfId="10970"/>
    <cellStyle name="Normale 3 2 2 3 10 4 3" xfId="18378"/>
    <cellStyle name="Normale 3 2 2 3 10 4 4" xfId="23364"/>
    <cellStyle name="Normale 3 2 2 3 10 5" xfId="4446"/>
    <cellStyle name="Normale 3 2 2 3 10 5 2" xfId="11909"/>
    <cellStyle name="Normale 3 2 2 3 10 5 3" xfId="19317"/>
    <cellStyle name="Normale 3 2 2 3 10 5 4" xfId="28541"/>
    <cellStyle name="Normale 3 2 2 3 10 6" xfId="5362"/>
    <cellStyle name="Normale 3 2 2 3 10 6 2" xfId="12825"/>
    <cellStyle name="Normale 3 2 2 3 10 6 3" xfId="20233"/>
    <cellStyle name="Normale 3 2 2 3 10 6 4" xfId="22780"/>
    <cellStyle name="Normale 3 2 2 3 10 7" xfId="6295"/>
    <cellStyle name="Normale 3 2 2 3 10 7 2" xfId="13758"/>
    <cellStyle name="Normale 3 2 2 3 10 7 3" xfId="21166"/>
    <cellStyle name="Normale 3 2 2 3 10 7 4" xfId="27662"/>
    <cellStyle name="Normale 3 2 2 3 10 8" xfId="7200"/>
    <cellStyle name="Normale 3 2 2 3 10 8 2" xfId="14663"/>
    <cellStyle name="Normale 3 2 2 3 10 8 3" xfId="22071"/>
    <cellStyle name="Normale 3 2 2 3 10 8 4" xfId="23686"/>
    <cellStyle name="Normale 3 2 2 3 10 9" xfId="8156"/>
    <cellStyle name="Normale 3 2 2 3 11" xfId="688"/>
    <cellStyle name="Normale 3 2 2 3 11 10" xfId="15559"/>
    <cellStyle name="Normale 3 2 2 3 11 11" xfId="27781"/>
    <cellStyle name="Normale 3 2 2 3 11 12" xfId="30362"/>
    <cellStyle name="Normale 3 2 2 3 11 13" xfId="31303"/>
    <cellStyle name="Normale 3 2 2 3 11 14" xfId="32216"/>
    <cellStyle name="Normale 3 2 2 3 11 15" xfId="33134"/>
    <cellStyle name="Normale 3 2 2 3 11 16" xfId="34086"/>
    <cellStyle name="Normale 3 2 2 3 11 17" xfId="35018"/>
    <cellStyle name="Normale 3 2 2 3 11 18" xfId="35944"/>
    <cellStyle name="Normale 3 2 2 3 11 19" xfId="36869"/>
    <cellStyle name="Normale 3 2 2 3 11 2" xfId="1653"/>
    <cellStyle name="Normale 3 2 2 3 11 2 2" xfId="9116"/>
    <cellStyle name="Normale 3 2 2 3 11 2 3" xfId="16524"/>
    <cellStyle name="Normale 3 2 2 3 11 2 4" xfId="27450"/>
    <cellStyle name="Normale 3 2 2 3 11 20" xfId="37773"/>
    <cellStyle name="Normale 3 2 2 3 11 3" xfId="2586"/>
    <cellStyle name="Normale 3 2 2 3 11 3 2" xfId="10049"/>
    <cellStyle name="Normale 3 2 2 3 11 3 3" xfId="17457"/>
    <cellStyle name="Normale 3 2 2 3 11 3 4" xfId="24951"/>
    <cellStyle name="Normale 3 2 2 3 11 4" xfId="3502"/>
    <cellStyle name="Normale 3 2 2 3 11 4 2" xfId="10965"/>
    <cellStyle name="Normale 3 2 2 3 11 4 3" xfId="18373"/>
    <cellStyle name="Normale 3 2 2 3 11 4 4" xfId="27959"/>
    <cellStyle name="Normale 3 2 2 3 11 5" xfId="4441"/>
    <cellStyle name="Normale 3 2 2 3 11 5 2" xfId="11904"/>
    <cellStyle name="Normale 3 2 2 3 11 5 3" xfId="19312"/>
    <cellStyle name="Normale 3 2 2 3 11 5 4" xfId="25850"/>
    <cellStyle name="Normale 3 2 2 3 11 6" xfId="5357"/>
    <cellStyle name="Normale 3 2 2 3 11 6 2" xfId="12820"/>
    <cellStyle name="Normale 3 2 2 3 11 6 3" xfId="20228"/>
    <cellStyle name="Normale 3 2 2 3 11 6 4" xfId="27427"/>
    <cellStyle name="Normale 3 2 2 3 11 7" xfId="6290"/>
    <cellStyle name="Normale 3 2 2 3 11 7 2" xfId="13753"/>
    <cellStyle name="Normale 3 2 2 3 11 7 3" xfId="21161"/>
    <cellStyle name="Normale 3 2 2 3 11 7 4" xfId="24985"/>
    <cellStyle name="Normale 3 2 2 3 11 8" xfId="7195"/>
    <cellStyle name="Normale 3 2 2 3 11 8 2" xfId="14658"/>
    <cellStyle name="Normale 3 2 2 3 11 8 3" xfId="22066"/>
    <cellStyle name="Normale 3 2 2 3 11 8 4" xfId="28284"/>
    <cellStyle name="Normale 3 2 2 3 11 9" xfId="8151"/>
    <cellStyle name="Normale 3 2 2 3 12" xfId="729"/>
    <cellStyle name="Normale 3 2 2 3 12 10" xfId="15600"/>
    <cellStyle name="Normale 3 2 2 3 12 11" xfId="29529"/>
    <cellStyle name="Normale 3 2 2 3 12 12" xfId="30403"/>
    <cellStyle name="Normale 3 2 2 3 12 13" xfId="31344"/>
    <cellStyle name="Normale 3 2 2 3 12 14" xfId="32257"/>
    <cellStyle name="Normale 3 2 2 3 12 15" xfId="33175"/>
    <cellStyle name="Normale 3 2 2 3 12 16" xfId="34127"/>
    <cellStyle name="Normale 3 2 2 3 12 17" xfId="35059"/>
    <cellStyle name="Normale 3 2 2 3 12 18" xfId="35985"/>
    <cellStyle name="Normale 3 2 2 3 12 19" xfId="36910"/>
    <cellStyle name="Normale 3 2 2 3 12 2" xfId="1694"/>
    <cellStyle name="Normale 3 2 2 3 12 2 2" xfId="9157"/>
    <cellStyle name="Normale 3 2 2 3 12 2 3" xfId="16565"/>
    <cellStyle name="Normale 3 2 2 3 12 2 4" xfId="25438"/>
    <cellStyle name="Normale 3 2 2 3 12 20" xfId="37814"/>
    <cellStyle name="Normale 3 2 2 3 12 3" xfId="2627"/>
    <cellStyle name="Normale 3 2 2 3 12 3 2" xfId="10090"/>
    <cellStyle name="Normale 3 2 2 3 12 3 3" xfId="17498"/>
    <cellStyle name="Normale 3 2 2 3 12 3 4" xfId="23386"/>
    <cellStyle name="Normale 3 2 2 3 12 4" xfId="3543"/>
    <cellStyle name="Normale 3 2 2 3 12 4 2" xfId="11006"/>
    <cellStyle name="Normale 3 2 2 3 12 4 3" xfId="18414"/>
    <cellStyle name="Normale 3 2 2 3 12 4 4" xfId="27833"/>
    <cellStyle name="Normale 3 2 2 3 12 5" xfId="4482"/>
    <cellStyle name="Normale 3 2 2 3 12 5 2" xfId="11945"/>
    <cellStyle name="Normale 3 2 2 3 12 5 3" xfId="19353"/>
    <cellStyle name="Normale 3 2 2 3 12 5 4" xfId="24576"/>
    <cellStyle name="Normale 3 2 2 3 12 6" xfId="5398"/>
    <cellStyle name="Normale 3 2 2 3 12 6 2" xfId="12861"/>
    <cellStyle name="Normale 3 2 2 3 12 6 3" xfId="20269"/>
    <cellStyle name="Normale 3 2 2 3 12 6 4" xfId="25343"/>
    <cellStyle name="Normale 3 2 2 3 12 7" xfId="6331"/>
    <cellStyle name="Normale 3 2 2 3 12 7 2" xfId="13794"/>
    <cellStyle name="Normale 3 2 2 3 12 7 3" xfId="21202"/>
    <cellStyle name="Normale 3 2 2 3 12 7 4" xfId="28972"/>
    <cellStyle name="Normale 3 2 2 3 12 8" xfId="7236"/>
    <cellStyle name="Normale 3 2 2 3 12 8 2" xfId="14699"/>
    <cellStyle name="Normale 3 2 2 3 12 8 3" xfId="22107"/>
    <cellStyle name="Normale 3 2 2 3 12 8 4" xfId="26608"/>
    <cellStyle name="Normale 3 2 2 3 12 9" xfId="8192"/>
    <cellStyle name="Normale 3 2 2 3 13" xfId="894"/>
    <cellStyle name="Normale 3 2 2 3 13 10" xfId="15765"/>
    <cellStyle name="Normale 3 2 2 3 13 11" xfId="28217"/>
    <cellStyle name="Normale 3 2 2 3 13 12" xfId="30563"/>
    <cellStyle name="Normale 3 2 2 3 13 13" xfId="31509"/>
    <cellStyle name="Normale 3 2 2 3 13 14" xfId="32420"/>
    <cellStyle name="Normale 3 2 2 3 13 15" xfId="33332"/>
    <cellStyle name="Normale 3 2 2 3 13 16" xfId="34292"/>
    <cellStyle name="Normale 3 2 2 3 13 17" xfId="35224"/>
    <cellStyle name="Normale 3 2 2 3 13 18" xfId="36150"/>
    <cellStyle name="Normale 3 2 2 3 13 19" xfId="37075"/>
    <cellStyle name="Normale 3 2 2 3 13 2" xfId="1859"/>
    <cellStyle name="Normale 3 2 2 3 13 2 2" xfId="9322"/>
    <cellStyle name="Normale 3 2 2 3 13 2 3" xfId="16730"/>
    <cellStyle name="Normale 3 2 2 3 13 2 4" xfId="25241"/>
    <cellStyle name="Normale 3 2 2 3 13 20" xfId="37971"/>
    <cellStyle name="Normale 3 2 2 3 13 3" xfId="2792"/>
    <cellStyle name="Normale 3 2 2 3 13 3 2" xfId="10255"/>
    <cellStyle name="Normale 3 2 2 3 13 3 3" xfId="17663"/>
    <cellStyle name="Normale 3 2 2 3 13 3 4" xfId="24643"/>
    <cellStyle name="Normale 3 2 2 3 13 4" xfId="3706"/>
    <cellStyle name="Normale 3 2 2 3 13 4 2" xfId="11169"/>
    <cellStyle name="Normale 3 2 2 3 13 4 3" xfId="18577"/>
    <cellStyle name="Normale 3 2 2 3 13 4 4" xfId="24872"/>
    <cellStyle name="Normale 3 2 2 3 13 5" xfId="4647"/>
    <cellStyle name="Normale 3 2 2 3 13 5 2" xfId="12110"/>
    <cellStyle name="Normale 3 2 2 3 13 5 3" xfId="19518"/>
    <cellStyle name="Normale 3 2 2 3 13 5 4" xfId="27431"/>
    <cellStyle name="Normale 3 2 2 3 13 6" xfId="5561"/>
    <cellStyle name="Normale 3 2 2 3 13 6 2" xfId="13024"/>
    <cellStyle name="Normale 3 2 2 3 13 6 3" xfId="20432"/>
    <cellStyle name="Normale 3 2 2 3 13 6 4" xfId="26988"/>
    <cellStyle name="Normale 3 2 2 3 13 7" xfId="6496"/>
    <cellStyle name="Normale 3 2 2 3 13 7 2" xfId="13959"/>
    <cellStyle name="Normale 3 2 2 3 13 7 3" xfId="21367"/>
    <cellStyle name="Normale 3 2 2 3 13 7 4" xfId="24668"/>
    <cellStyle name="Normale 3 2 2 3 13 8" xfId="7393"/>
    <cellStyle name="Normale 3 2 2 3 13 8 2" xfId="14856"/>
    <cellStyle name="Normale 3 2 2 3 13 8 3" xfId="22264"/>
    <cellStyle name="Normale 3 2 2 3 13 8 4" xfId="28961"/>
    <cellStyle name="Normale 3 2 2 3 13 9" xfId="8357"/>
    <cellStyle name="Normale 3 2 2 3 14" xfId="1001"/>
    <cellStyle name="Normale 3 2 2 3 14 2" xfId="8464"/>
    <cellStyle name="Normale 3 2 2 3 14 3" xfId="15872"/>
    <cellStyle name="Normale 3 2 2 3 14 4" xfId="25455"/>
    <cellStyle name="Normale 3 2 2 3 15" xfId="975"/>
    <cellStyle name="Normale 3 2 2 3 15 2" xfId="8438"/>
    <cellStyle name="Normale 3 2 2 3 15 3" xfId="15846"/>
    <cellStyle name="Normale 3 2 2 3 15 4" xfId="26188"/>
    <cellStyle name="Normale 3 2 2 3 16" xfId="2666"/>
    <cellStyle name="Normale 3 2 2 3 16 2" xfId="10129"/>
    <cellStyle name="Normale 3 2 2 3 16 3" xfId="17537"/>
    <cellStyle name="Normale 3 2 2 3 16 4" xfId="24840"/>
    <cellStyle name="Normale 3 2 2 3 17" xfId="3027"/>
    <cellStyle name="Normale 3 2 2 3 17 2" xfId="10490"/>
    <cellStyle name="Normale 3 2 2 3 17 3" xfId="17898"/>
    <cellStyle name="Normale 3 2 2 3 17 4" xfId="29445"/>
    <cellStyle name="Normale 3 2 2 3 18" xfId="4592"/>
    <cellStyle name="Normale 3 2 2 3 18 2" xfId="12055"/>
    <cellStyle name="Normale 3 2 2 3 18 3" xfId="19463"/>
    <cellStyle name="Normale 3 2 2 3 18 4" xfId="26611"/>
    <cellStyle name="Normale 3 2 2 3 19" xfId="5125"/>
    <cellStyle name="Normale 3 2 2 3 19 2" xfId="12588"/>
    <cellStyle name="Normale 3 2 2 3 19 3" xfId="19996"/>
    <cellStyle name="Normale 3 2 2 3 19 4" xfId="27865"/>
    <cellStyle name="Normale 3 2 2 3 2" xfId="29"/>
    <cellStyle name="Normale 3 2 2 3 2 10" xfId="6370"/>
    <cellStyle name="Normale 3 2 2 3 2 10 2" xfId="13833"/>
    <cellStyle name="Normale 3 2 2 3 2 10 3" xfId="21241"/>
    <cellStyle name="Normale 3 2 2 3 2 10 4" xfId="24926"/>
    <cellStyle name="Normale 3 2 2 3 2 11" xfId="7494"/>
    <cellStyle name="Normale 3 2 2 3 2 12" xfId="8373"/>
    <cellStyle name="Normale 3 2 2 3 2 13" xfId="29145"/>
    <cellStyle name="Normale 3 2 2 3 2 14" xfId="29720"/>
    <cellStyle name="Normale 3 2 2 3 2 15" xfId="30650"/>
    <cellStyle name="Normale 3 2 2 3 2 16" xfId="31283"/>
    <cellStyle name="Normale 3 2 2 3 2 17" xfId="32360"/>
    <cellStyle name="Normale 3 2 2 3 2 18" xfId="33433"/>
    <cellStyle name="Normale 3 2 2 3 2 19" xfId="33421"/>
    <cellStyle name="Normale 3 2 2 3 2 2" xfId="30"/>
    <cellStyle name="Normale 3 2 2 3 2 2 10" xfId="7495"/>
    <cellStyle name="Normale 3 2 2 3 2 2 11" xfId="8302"/>
    <cellStyle name="Normale 3 2 2 3 2 2 12" xfId="28236"/>
    <cellStyle name="Normale 3 2 2 3 2 2 13" xfId="29721"/>
    <cellStyle name="Normale 3 2 2 3 2 2 14" xfId="30651"/>
    <cellStyle name="Normale 3 2 2 3 2 2 15" xfId="31229"/>
    <cellStyle name="Normale 3 2 2 3 2 2 16" xfId="32263"/>
    <cellStyle name="Normale 3 2 2 3 2 2 17" xfId="33434"/>
    <cellStyle name="Normale 3 2 2 3 2 2 18" xfId="33418"/>
    <cellStyle name="Normale 3 2 2 3 2 2 19" xfId="34998"/>
    <cellStyle name="Normale 3 2 2 3 2 2 2" xfId="228"/>
    <cellStyle name="Normale 3 2 2 3 2 2 2 10" xfId="15101"/>
    <cellStyle name="Normale 3 2 2 3 2 2 2 11" xfId="26891"/>
    <cellStyle name="Normale 3 2 2 3 2 2 2 12" xfId="29913"/>
    <cellStyle name="Normale 3 2 2 3 2 2 2 13" xfId="30845"/>
    <cellStyle name="Normale 3 2 2 3 2 2 2 14" xfId="31766"/>
    <cellStyle name="Normale 3 2 2 3 2 2 2 15" xfId="32691"/>
    <cellStyle name="Normale 3 2 2 3 2 2 2 16" xfId="33628"/>
    <cellStyle name="Normale 3 2 2 3 2 2 2 17" xfId="34558"/>
    <cellStyle name="Normale 3 2 2 3 2 2 2 18" xfId="35484"/>
    <cellStyle name="Normale 3 2 2 3 2 2 2 19" xfId="36410"/>
    <cellStyle name="Normale 3 2 2 3 2 2 2 2" xfId="1195"/>
    <cellStyle name="Normale 3 2 2 3 2 2 2 2 2" xfId="8658"/>
    <cellStyle name="Normale 3 2 2 3 2 2 2 2 3" xfId="16066"/>
    <cellStyle name="Normale 3 2 2 3 2 2 2 2 4" xfId="23963"/>
    <cellStyle name="Normale 3 2 2 3 2 2 2 20" xfId="37330"/>
    <cellStyle name="Normale 3 2 2 3 2 2 2 3" xfId="2126"/>
    <cellStyle name="Normale 3 2 2 3 2 2 2 3 2" xfId="9589"/>
    <cellStyle name="Normale 3 2 2 3 2 2 2 3 3" xfId="16997"/>
    <cellStyle name="Normale 3 2 2 3 2 2 2 3 4" xfId="28646"/>
    <cellStyle name="Normale 3 2 2 3 2 2 2 4" xfId="3048"/>
    <cellStyle name="Normale 3 2 2 3 2 2 2 4 2" xfId="10511"/>
    <cellStyle name="Normale 3 2 2 3 2 2 2 4 3" xfId="17919"/>
    <cellStyle name="Normale 3 2 2 3 2 2 2 4 4" xfId="29318"/>
    <cellStyle name="Normale 3 2 2 3 2 2 2 5" xfId="3981"/>
    <cellStyle name="Normale 3 2 2 3 2 2 2 5 2" xfId="11444"/>
    <cellStyle name="Normale 3 2 2 3 2 2 2 5 3" xfId="18852"/>
    <cellStyle name="Normale 3 2 2 3 2 2 2 5 4" xfId="27948"/>
    <cellStyle name="Normale 3 2 2 3 2 2 2 6" xfId="4904"/>
    <cellStyle name="Normale 3 2 2 3 2 2 2 6 2" xfId="12367"/>
    <cellStyle name="Normale 3 2 2 3 2 2 2 6 3" xfId="19775"/>
    <cellStyle name="Normale 3 2 2 3 2 2 2 6 4" xfId="26632"/>
    <cellStyle name="Normale 3 2 2 3 2 2 2 7" xfId="5832"/>
    <cellStyle name="Normale 3 2 2 3 2 2 2 7 2" xfId="13295"/>
    <cellStyle name="Normale 3 2 2 3 2 2 2 7 3" xfId="20703"/>
    <cellStyle name="Normale 3 2 2 3 2 2 2 7 4" xfId="26888"/>
    <cellStyle name="Normale 3 2 2 3 2 2 2 8" xfId="6752"/>
    <cellStyle name="Normale 3 2 2 3 2 2 2 8 2" xfId="14215"/>
    <cellStyle name="Normale 3 2 2 3 2 2 2 8 3" xfId="21623"/>
    <cellStyle name="Normale 3 2 2 3 2 2 2 8 4" xfId="29349"/>
    <cellStyle name="Normale 3 2 2 3 2 2 2 9" xfId="7691"/>
    <cellStyle name="Normale 3 2 2 3 2 2 20" xfId="35869"/>
    <cellStyle name="Normale 3 2 2 3 2 2 21" xfId="36849"/>
    <cellStyle name="Normale 3 2 2 3 2 2 3" xfId="1003"/>
    <cellStyle name="Normale 3 2 2 3 2 2 3 2" xfId="8466"/>
    <cellStyle name="Normale 3 2 2 3 2 2 3 3" xfId="15874"/>
    <cellStyle name="Normale 3 2 2 3 2 2 3 4" xfId="23618"/>
    <cellStyle name="Normale 3 2 2 3 2 2 4" xfId="1564"/>
    <cellStyle name="Normale 3 2 2 3 2 2 4 2" xfId="9027"/>
    <cellStyle name="Normale 3 2 2 3 2 2 4 3" xfId="16435"/>
    <cellStyle name="Normale 3 2 2 3 2 2 4 4" xfId="28008"/>
    <cellStyle name="Normale 3 2 2 3 2 2 5" xfId="2565"/>
    <cellStyle name="Normale 3 2 2 3 2 2 5 2" xfId="10028"/>
    <cellStyle name="Normale 3 2 2 3 2 2 5 3" xfId="17436"/>
    <cellStyle name="Normale 3 2 2 3 2 2 5 4" xfId="29651"/>
    <cellStyle name="Normale 3 2 2 3 2 2 6" xfId="3690"/>
    <cellStyle name="Normale 3 2 2 3 2 2 6 2" xfId="11153"/>
    <cellStyle name="Normale 3 2 2 3 2 2 6 3" xfId="18561"/>
    <cellStyle name="Normale 3 2 2 3 2 2 6 4" xfId="25017"/>
    <cellStyle name="Normale 3 2 2 3 2 2 7" xfId="4421"/>
    <cellStyle name="Normale 3 2 2 3 2 2 7 2" xfId="11884"/>
    <cellStyle name="Normale 3 2 2 3 2 2 7 3" xfId="19292"/>
    <cellStyle name="Normale 3 2 2 3 2 2 7 4" xfId="29639"/>
    <cellStyle name="Normale 3 2 2 3 2 2 8" xfId="4883"/>
    <cellStyle name="Normale 3 2 2 3 2 2 8 2" xfId="12346"/>
    <cellStyle name="Normale 3 2 2 3 2 2 8 3" xfId="19754"/>
    <cellStyle name="Normale 3 2 2 3 2 2 8 4" xfId="24084"/>
    <cellStyle name="Normale 3 2 2 3 2 2 9" xfId="6272"/>
    <cellStyle name="Normale 3 2 2 3 2 2 9 2" xfId="13735"/>
    <cellStyle name="Normale 3 2 2 3 2 2 9 3" xfId="21143"/>
    <cellStyle name="Normale 3 2 2 3 2 2 9 4" xfId="26051"/>
    <cellStyle name="Normale 3 2 2 3 2 20" xfId="35098"/>
    <cellStyle name="Normale 3 2 2 3 2 21" xfId="35923"/>
    <cellStyle name="Normale 3 2 2 3 2 22" xfId="36949"/>
    <cellStyle name="Normale 3 2 2 3 2 3" xfId="227"/>
    <cellStyle name="Normale 3 2 2 3 2 3 10" xfId="15100"/>
    <cellStyle name="Normale 3 2 2 3 2 3 11" xfId="27793"/>
    <cellStyle name="Normale 3 2 2 3 2 3 12" xfId="29912"/>
    <cellStyle name="Normale 3 2 2 3 2 3 13" xfId="30844"/>
    <cellStyle name="Normale 3 2 2 3 2 3 14" xfId="31765"/>
    <cellStyle name="Normale 3 2 2 3 2 3 15" xfId="32690"/>
    <cellStyle name="Normale 3 2 2 3 2 3 16" xfId="33627"/>
    <cellStyle name="Normale 3 2 2 3 2 3 17" xfId="34557"/>
    <cellStyle name="Normale 3 2 2 3 2 3 18" xfId="35483"/>
    <cellStyle name="Normale 3 2 2 3 2 3 19" xfId="36409"/>
    <cellStyle name="Normale 3 2 2 3 2 3 2" xfId="1194"/>
    <cellStyle name="Normale 3 2 2 3 2 3 2 2" xfId="8657"/>
    <cellStyle name="Normale 3 2 2 3 2 3 2 3" xfId="16065"/>
    <cellStyle name="Normale 3 2 2 3 2 3 2 4" xfId="24888"/>
    <cellStyle name="Normale 3 2 2 3 2 3 20" xfId="37329"/>
    <cellStyle name="Normale 3 2 2 3 2 3 3" xfId="2125"/>
    <cellStyle name="Normale 3 2 2 3 2 3 3 2" xfId="9588"/>
    <cellStyle name="Normale 3 2 2 3 2 3 3 3" xfId="16996"/>
    <cellStyle name="Normale 3 2 2 3 2 3 3 4" xfId="29537"/>
    <cellStyle name="Normale 3 2 2 3 2 3 4" xfId="3047"/>
    <cellStyle name="Normale 3 2 2 3 2 3 4 2" xfId="10510"/>
    <cellStyle name="Normale 3 2 2 3 2 3 4 3" xfId="17918"/>
    <cellStyle name="Normale 3 2 2 3 2 3 4 4" xfId="22889"/>
    <cellStyle name="Normale 3 2 2 3 2 3 5" xfId="3980"/>
    <cellStyle name="Normale 3 2 2 3 2 3 5 2" xfId="11443"/>
    <cellStyle name="Normale 3 2 2 3 2 3 5 3" xfId="18851"/>
    <cellStyle name="Normale 3 2 2 3 2 3 5 4" xfId="28861"/>
    <cellStyle name="Normale 3 2 2 3 2 3 6" xfId="4903"/>
    <cellStyle name="Normale 3 2 2 3 2 3 6 2" xfId="12366"/>
    <cellStyle name="Normale 3 2 2 3 2 3 6 3" xfId="19774"/>
    <cellStyle name="Normale 3 2 2 3 2 3 6 4" xfId="27536"/>
    <cellStyle name="Normale 3 2 2 3 2 3 7" xfId="5831"/>
    <cellStyle name="Normale 3 2 2 3 2 3 7 2" xfId="13294"/>
    <cellStyle name="Normale 3 2 2 3 2 3 7 3" xfId="20702"/>
    <cellStyle name="Normale 3 2 2 3 2 3 7 4" xfId="27790"/>
    <cellStyle name="Normale 3 2 2 3 2 3 8" xfId="6751"/>
    <cellStyle name="Normale 3 2 2 3 2 3 8 2" xfId="14214"/>
    <cellStyle name="Normale 3 2 2 3 2 3 8 3" xfId="21622"/>
    <cellStyle name="Normale 3 2 2 3 2 3 8 4" xfId="22920"/>
    <cellStyle name="Normale 3 2 2 3 2 3 9" xfId="7690"/>
    <cellStyle name="Normale 3 2 2 3 2 4" xfId="1002"/>
    <cellStyle name="Normale 3 2 2 3 2 4 2" xfId="8465"/>
    <cellStyle name="Normale 3 2 2 3 2 4 3" xfId="15873"/>
    <cellStyle name="Normale 3 2 2 3 2 4 4" xfId="24539"/>
    <cellStyle name="Normale 3 2 2 3 2 5" xfId="1649"/>
    <cellStyle name="Normale 3 2 2 3 2 5 2" xfId="9112"/>
    <cellStyle name="Normale 3 2 2 3 2 5 3" xfId="16520"/>
    <cellStyle name="Normale 3 2 2 3 2 5 4" xfId="23827"/>
    <cellStyle name="Normale 3 2 2 3 2 6" xfId="2566"/>
    <cellStyle name="Normale 3 2 2 3 2 6 2" xfId="10029"/>
    <cellStyle name="Normale 3 2 2 3 2 6 3" xfId="17437"/>
    <cellStyle name="Normale 3 2 2 3 2 6 4" xfId="28766"/>
    <cellStyle name="Normale 3 2 2 3 2 7" xfId="2504"/>
    <cellStyle name="Normale 3 2 2 3 2 7 2" xfId="9967"/>
    <cellStyle name="Normale 3 2 2 3 2 7 3" xfId="17375"/>
    <cellStyle name="Normale 3 2 2 3 2 7 4" xfId="26341"/>
    <cellStyle name="Normale 3 2 2 3 2 8" xfId="4521"/>
    <cellStyle name="Normale 3 2 2 3 2 8 2" xfId="11984"/>
    <cellStyle name="Normale 3 2 2 3 2 8 3" xfId="19392"/>
    <cellStyle name="Normale 3 2 2 3 2 8 4" xfId="27669"/>
    <cellStyle name="Normale 3 2 2 3 2 9" xfId="5076"/>
    <cellStyle name="Normale 3 2 2 3 2 9 2" xfId="12539"/>
    <cellStyle name="Normale 3 2 2 3 2 9 3" xfId="19947"/>
    <cellStyle name="Normale 3 2 2 3 2 9 4" xfId="23200"/>
    <cellStyle name="Normale 3 2 2 3 20" xfId="6441"/>
    <cellStyle name="Normale 3 2 2 3 20 2" xfId="13904"/>
    <cellStyle name="Normale 3 2 2 3 20 3" xfId="21312"/>
    <cellStyle name="Normale 3 2 2 3 20 4" xfId="23848"/>
    <cellStyle name="Normale 3 2 2 3 21" xfId="7493"/>
    <cellStyle name="Normale 3 2 2 3 22" xfId="8434"/>
    <cellStyle name="Normale 3 2 2 3 23" xfId="22715"/>
    <cellStyle name="Normale 3 2 2 3 24" xfId="29719"/>
    <cellStyle name="Normale 3 2 2 3 25" xfId="30649"/>
    <cellStyle name="Normale 3 2 2 3 26" xfId="31284"/>
    <cellStyle name="Normale 3 2 2 3 27" xfId="32404"/>
    <cellStyle name="Normale 3 2 2 3 28" xfId="33432"/>
    <cellStyle name="Normale 3 2 2 3 29" xfId="34012"/>
    <cellStyle name="Normale 3 2 2 3 3" xfId="31"/>
    <cellStyle name="Normale 3 2 2 3 3 10" xfId="7496"/>
    <cellStyle name="Normale 3 2 2 3 3 11" xfId="8231"/>
    <cellStyle name="Normale 3 2 2 3 3 12" xfId="27312"/>
    <cellStyle name="Normale 3 2 2 3 3 13" xfId="29722"/>
    <cellStyle name="Normale 3 2 2 3 3 14" xfId="30652"/>
    <cellStyle name="Normale 3 2 2 3 3 15" xfId="30638"/>
    <cellStyle name="Normale 3 2 2 3 3 16" xfId="32501"/>
    <cellStyle name="Normale 3 2 2 3 3 17" xfId="33435"/>
    <cellStyle name="Normale 3 2 2 3 3 18" xfId="33406"/>
    <cellStyle name="Normale 3 2 2 3 3 19" xfId="34997"/>
    <cellStyle name="Normale 3 2 2 3 3 2" xfId="229"/>
    <cellStyle name="Normale 3 2 2 3 3 2 10" xfId="15102"/>
    <cellStyle name="Normale 3 2 2 3 3 2 11" xfId="25957"/>
    <cellStyle name="Normale 3 2 2 3 3 2 12" xfId="29914"/>
    <cellStyle name="Normale 3 2 2 3 3 2 13" xfId="30846"/>
    <cellStyle name="Normale 3 2 2 3 3 2 14" xfId="31767"/>
    <cellStyle name="Normale 3 2 2 3 3 2 15" xfId="32692"/>
    <cellStyle name="Normale 3 2 2 3 3 2 16" xfId="33629"/>
    <cellStyle name="Normale 3 2 2 3 3 2 17" xfId="34559"/>
    <cellStyle name="Normale 3 2 2 3 3 2 18" xfId="35485"/>
    <cellStyle name="Normale 3 2 2 3 3 2 19" xfId="36411"/>
    <cellStyle name="Normale 3 2 2 3 3 2 2" xfId="1196"/>
    <cellStyle name="Normale 3 2 2 3 3 2 2 2" xfId="8659"/>
    <cellStyle name="Normale 3 2 2 3 3 2 2 3" xfId="16067"/>
    <cellStyle name="Normale 3 2 2 3 3 2 2 4" xfId="22954"/>
    <cellStyle name="Normale 3 2 2 3 3 2 20" xfId="37331"/>
    <cellStyle name="Normale 3 2 2 3 3 2 3" xfId="2127"/>
    <cellStyle name="Normale 3 2 2 3 3 2 3 2" xfId="9590"/>
    <cellStyle name="Normale 3 2 2 3 3 2 3 3" xfId="16998"/>
    <cellStyle name="Normale 3 2 2 3 3 2 3 4" xfId="27719"/>
    <cellStyle name="Normale 3 2 2 3 3 2 4" xfId="3049"/>
    <cellStyle name="Normale 3 2 2 3 3 2 4 2" xfId="10512"/>
    <cellStyle name="Normale 3 2 2 3 3 2 4 3" xfId="17920"/>
    <cellStyle name="Normale 3 2 2 3 3 2 4 4" xfId="28417"/>
    <cellStyle name="Normale 3 2 2 3 3 2 5" xfId="3982"/>
    <cellStyle name="Normale 3 2 2 3 3 2 5 2" xfId="11445"/>
    <cellStyle name="Normale 3 2 2 3 3 2 5 3" xfId="18853"/>
    <cellStyle name="Normale 3 2 2 3 3 2 5 4" xfId="27029"/>
    <cellStyle name="Normale 3 2 2 3 3 2 6" xfId="4905"/>
    <cellStyle name="Normale 3 2 2 3 3 2 6 2" xfId="12368"/>
    <cellStyle name="Normale 3 2 2 3 3 2 6 3" xfId="19776"/>
    <cellStyle name="Normale 3 2 2 3 3 2 6 4" xfId="25700"/>
    <cellStyle name="Normale 3 2 2 3 3 2 7" xfId="5833"/>
    <cellStyle name="Normale 3 2 2 3 3 2 7 2" xfId="13296"/>
    <cellStyle name="Normale 3 2 2 3 3 2 7 3" xfId="20704"/>
    <cellStyle name="Normale 3 2 2 3 3 2 7 4" xfId="25954"/>
    <cellStyle name="Normale 3 2 2 3 3 2 8" xfId="6753"/>
    <cellStyle name="Normale 3 2 2 3 3 2 8 2" xfId="14216"/>
    <cellStyle name="Normale 3 2 2 3 3 2 8 3" xfId="21624"/>
    <cellStyle name="Normale 3 2 2 3 3 2 8 4" xfId="28452"/>
    <cellStyle name="Normale 3 2 2 3 3 2 9" xfId="7692"/>
    <cellStyle name="Normale 3 2 2 3 3 20" xfId="34370"/>
    <cellStyle name="Normale 3 2 2 3 3 21" xfId="36848"/>
    <cellStyle name="Normale 3 2 2 3 3 3" xfId="1004"/>
    <cellStyle name="Normale 3 2 2 3 3 3 2" xfId="8467"/>
    <cellStyle name="Normale 3 2 2 3 3 3 3" xfId="15875"/>
    <cellStyle name="Normale 3 2 2 3 3 3 4" xfId="28937"/>
    <cellStyle name="Normale 3 2 2 3 3 4" xfId="1513"/>
    <cellStyle name="Normale 3 2 2 3 3 4 2" xfId="8976"/>
    <cellStyle name="Normale 3 2 2 3 3 4 3" xfId="16384"/>
    <cellStyle name="Normale 3 2 2 3 3 4 4" xfId="23828"/>
    <cellStyle name="Normale 3 2 2 3 3 5" xfId="2511"/>
    <cellStyle name="Normale 3 2 2 3 3 5 2" xfId="9974"/>
    <cellStyle name="Normale 3 2 2 3 3 5 3" xfId="17382"/>
    <cellStyle name="Normale 3 2 2 3 3 5 4" xfId="26148"/>
    <cellStyle name="Normale 3 2 2 3 3 6" xfId="3646"/>
    <cellStyle name="Normale 3 2 2 3 3 6 2" xfId="11109"/>
    <cellStyle name="Normale 3 2 2 3 3 6 3" xfId="18517"/>
    <cellStyle name="Normale 3 2 2 3 3 6 4" xfId="28146"/>
    <cellStyle name="Normale 3 2 2 3 3 7" xfId="4420"/>
    <cellStyle name="Normale 3 2 2 3 3 7 2" xfId="11883"/>
    <cellStyle name="Normale 3 2 2 3 3 7 3" xfId="19291"/>
    <cellStyle name="Normale 3 2 2 3 3 7 4" xfId="23209"/>
    <cellStyle name="Normale 3 2 2 3 3 8" xfId="4359"/>
    <cellStyle name="Normale 3 2 2 3 3 8 2" xfId="11822"/>
    <cellStyle name="Normale 3 2 2 3 3 8 3" xfId="19230"/>
    <cellStyle name="Normale 3 2 2 3 3 8 4" xfId="24452"/>
    <cellStyle name="Normale 3 2 2 3 3 9" xfId="6271"/>
    <cellStyle name="Normale 3 2 2 3 3 9 2" xfId="13734"/>
    <cellStyle name="Normale 3 2 2 3 3 9 3" xfId="21142"/>
    <cellStyle name="Normale 3 2 2 3 3 9 4" xfId="26505"/>
    <cellStyle name="Normale 3 2 2 3 30" xfId="35169"/>
    <cellStyle name="Normale 3 2 2 3 31" xfId="35924"/>
    <cellStyle name="Normale 3 2 2 3 32" xfId="37020"/>
    <cellStyle name="Normale 3 2 2 3 4" xfId="226"/>
    <cellStyle name="Normale 3 2 2 3 4 10" xfId="15099"/>
    <cellStyle name="Normale 3 2 2 3 4 11" xfId="28720"/>
    <cellStyle name="Normale 3 2 2 3 4 12" xfId="29911"/>
    <cellStyle name="Normale 3 2 2 3 4 13" xfId="30843"/>
    <cellStyle name="Normale 3 2 2 3 4 14" xfId="31764"/>
    <cellStyle name="Normale 3 2 2 3 4 15" xfId="32689"/>
    <cellStyle name="Normale 3 2 2 3 4 16" xfId="33626"/>
    <cellStyle name="Normale 3 2 2 3 4 17" xfId="34556"/>
    <cellStyle name="Normale 3 2 2 3 4 18" xfId="35482"/>
    <cellStyle name="Normale 3 2 2 3 4 19" xfId="36408"/>
    <cellStyle name="Normale 3 2 2 3 4 2" xfId="1193"/>
    <cellStyle name="Normale 3 2 2 3 4 2 2" xfId="8656"/>
    <cellStyle name="Normale 3 2 2 3 4 2 3" xfId="16064"/>
    <cellStyle name="Normale 3 2 2 3 4 2 4" xfId="25800"/>
    <cellStyle name="Normale 3 2 2 3 4 20" xfId="37328"/>
    <cellStyle name="Normale 3 2 2 3 4 3" xfId="2124"/>
    <cellStyle name="Normale 3 2 2 3 4 3 2" xfId="9587"/>
    <cellStyle name="Normale 3 2 2 3 4 3 3" xfId="16995"/>
    <cellStyle name="Normale 3 2 2 3 4 3 4" xfId="23108"/>
    <cellStyle name="Normale 3 2 2 3 4 4" xfId="3046"/>
    <cellStyle name="Normale 3 2 2 3 4 4 2" xfId="10509"/>
    <cellStyle name="Normale 3 2 2 3 4 4 3" xfId="17917"/>
    <cellStyle name="Normale 3 2 2 3 4 4 4" xfId="23876"/>
    <cellStyle name="Normale 3 2 2 3 4 5" xfId="3979"/>
    <cellStyle name="Normale 3 2 2 3 4 5 2" xfId="11442"/>
    <cellStyle name="Normale 3 2 2 3 4 5 3" xfId="18850"/>
    <cellStyle name="Normale 3 2 2 3 4 5 4" xfId="23544"/>
    <cellStyle name="Normale 3 2 2 3 4 6" xfId="4902"/>
    <cellStyle name="Normale 3 2 2 3 4 6 2" xfId="12365"/>
    <cellStyle name="Normale 3 2 2 3 4 6 3" xfId="19773"/>
    <cellStyle name="Normale 3 2 2 3 4 6 4" xfId="28463"/>
    <cellStyle name="Normale 3 2 2 3 4 7" xfId="5830"/>
    <cellStyle name="Normale 3 2 2 3 4 7 2" xfId="13293"/>
    <cellStyle name="Normale 3 2 2 3 4 7 3" xfId="20701"/>
    <cellStyle name="Normale 3 2 2 3 4 7 4" xfId="28717"/>
    <cellStyle name="Normale 3 2 2 3 4 8" xfId="6750"/>
    <cellStyle name="Normale 3 2 2 3 4 8 2" xfId="14213"/>
    <cellStyle name="Normale 3 2 2 3 4 8 3" xfId="21621"/>
    <cellStyle name="Normale 3 2 2 3 4 8 4" xfId="25675"/>
    <cellStyle name="Normale 3 2 2 3 4 9" xfId="7689"/>
    <cellStyle name="Normale 3 2 2 3 5" xfId="407"/>
    <cellStyle name="Normale 3 2 2 3 5 10" xfId="15280"/>
    <cellStyle name="Normale 3 2 2 3 5 11" xfId="24181"/>
    <cellStyle name="Normale 3 2 2 3 5 12" xfId="30092"/>
    <cellStyle name="Normale 3 2 2 3 5 13" xfId="31024"/>
    <cellStyle name="Normale 3 2 2 3 5 14" xfId="31945"/>
    <cellStyle name="Normale 3 2 2 3 5 15" xfId="32869"/>
    <cellStyle name="Normale 3 2 2 3 5 16" xfId="33807"/>
    <cellStyle name="Normale 3 2 2 3 5 17" xfId="34737"/>
    <cellStyle name="Normale 3 2 2 3 5 18" xfId="35663"/>
    <cellStyle name="Normale 3 2 2 3 5 19" xfId="36589"/>
    <cellStyle name="Normale 3 2 2 3 5 2" xfId="1374"/>
    <cellStyle name="Normale 3 2 2 3 5 2 2" xfId="8837"/>
    <cellStyle name="Normale 3 2 2 3 5 2 3" xfId="16245"/>
    <cellStyle name="Normale 3 2 2 3 5 2 4" xfId="28741"/>
    <cellStyle name="Normale 3 2 2 3 5 20" xfId="37508"/>
    <cellStyle name="Normale 3 2 2 3 5 3" xfId="2305"/>
    <cellStyle name="Normale 3 2 2 3 5 3 2" xfId="9768"/>
    <cellStyle name="Normale 3 2 2 3 5 3 3" xfId="17176"/>
    <cellStyle name="Normale 3 2 2 3 5 3 4" xfId="25935"/>
    <cellStyle name="Normale 3 2 2 3 5 4" xfId="3227"/>
    <cellStyle name="Normale 3 2 2 3 5 4 2" xfId="10690"/>
    <cellStyle name="Normale 3 2 2 3 5 4 3" xfId="18098"/>
    <cellStyle name="Normale 3 2 2 3 5 4 4" xfId="29269"/>
    <cellStyle name="Normale 3 2 2 3 5 5" xfId="4160"/>
    <cellStyle name="Normale 3 2 2 3 5 5 2" xfId="11623"/>
    <cellStyle name="Normale 3 2 2 3 5 5 3" xfId="19031"/>
    <cellStyle name="Normale 3 2 2 3 5 5 4" xfId="26526"/>
    <cellStyle name="Normale 3 2 2 3 5 6" xfId="5083"/>
    <cellStyle name="Normale 3 2 2 3 5 6 2" xfId="12546"/>
    <cellStyle name="Normale 3 2 2 3 5 6 3" xfId="19954"/>
    <cellStyle name="Normale 3 2 2 3 5 6 4" xfId="24144"/>
    <cellStyle name="Normale 3 2 2 3 5 7" xfId="6011"/>
    <cellStyle name="Normale 3 2 2 3 5 7 2" xfId="13474"/>
    <cellStyle name="Normale 3 2 2 3 5 7 3" xfId="20882"/>
    <cellStyle name="Normale 3 2 2 3 5 7 4" xfId="24130"/>
    <cellStyle name="Normale 3 2 2 3 5 8" xfId="6930"/>
    <cellStyle name="Normale 3 2 2 3 5 8 2" xfId="14393"/>
    <cellStyle name="Normale 3 2 2 3 5 8 3" xfId="21801"/>
    <cellStyle name="Normale 3 2 2 3 5 8 4" xfId="22865"/>
    <cellStyle name="Normale 3 2 2 3 5 9" xfId="7870"/>
    <cellStyle name="Normale 3 2 2 3 6" xfId="455"/>
    <cellStyle name="Normale 3 2 2 3 6 10" xfId="15328"/>
    <cellStyle name="Normale 3 2 2 3 6 11" xfId="23782"/>
    <cellStyle name="Normale 3 2 2 3 6 12" xfId="30140"/>
    <cellStyle name="Normale 3 2 2 3 6 13" xfId="31072"/>
    <cellStyle name="Normale 3 2 2 3 6 14" xfId="31993"/>
    <cellStyle name="Normale 3 2 2 3 6 15" xfId="32916"/>
    <cellStyle name="Normale 3 2 2 3 6 16" xfId="33855"/>
    <cellStyle name="Normale 3 2 2 3 6 17" xfId="34785"/>
    <cellStyle name="Normale 3 2 2 3 6 18" xfId="35711"/>
    <cellStyle name="Normale 3 2 2 3 6 19" xfId="36637"/>
    <cellStyle name="Normale 3 2 2 3 6 2" xfId="1422"/>
    <cellStyle name="Normale 3 2 2 3 6 2 2" xfId="8885"/>
    <cellStyle name="Normale 3 2 2 3 6 2 3" xfId="16293"/>
    <cellStyle name="Normale 3 2 2 3 6 2 4" xfId="26961"/>
    <cellStyle name="Normale 3 2 2 3 6 20" xfId="37555"/>
    <cellStyle name="Normale 3 2 2 3 6 3" xfId="2353"/>
    <cellStyle name="Normale 3 2 2 3 6 3 2" xfId="9816"/>
    <cellStyle name="Normale 3 2 2 3 6 3 3" xfId="17224"/>
    <cellStyle name="Normale 3 2 2 3 6 3 4" xfId="25562"/>
    <cellStyle name="Normale 3 2 2 3 6 4" xfId="3275"/>
    <cellStyle name="Normale 3 2 2 3 6 4 2" xfId="10738"/>
    <cellStyle name="Normale 3 2 2 3 6 4 3" xfId="18146"/>
    <cellStyle name="Normale 3 2 2 3 6 4 4" xfId="23874"/>
    <cellStyle name="Normale 3 2 2 3 6 5" xfId="4208"/>
    <cellStyle name="Normale 3 2 2 3 6 5 2" xfId="11671"/>
    <cellStyle name="Normale 3 2 2 3 6 5 3" xfId="19079"/>
    <cellStyle name="Normale 3 2 2 3 6 5 4" xfId="26103"/>
    <cellStyle name="Normale 3 2 2 3 6 6" xfId="5131"/>
    <cellStyle name="Normale 3 2 2 3 6 6 2" xfId="12594"/>
    <cellStyle name="Normale 3 2 2 3 6 6 3" xfId="20002"/>
    <cellStyle name="Normale 3 2 2 3 6 6 4" xfId="29614"/>
    <cellStyle name="Normale 3 2 2 3 6 7" xfId="6059"/>
    <cellStyle name="Normale 3 2 2 3 6 7 2" xfId="13522"/>
    <cellStyle name="Normale 3 2 2 3 6 7 3" xfId="20930"/>
    <cellStyle name="Normale 3 2 2 3 6 7 4" xfId="23747"/>
    <cellStyle name="Normale 3 2 2 3 6 8" xfId="6977"/>
    <cellStyle name="Normale 3 2 2 3 6 8 2" xfId="14440"/>
    <cellStyle name="Normale 3 2 2 3 6 8 3" xfId="21848"/>
    <cellStyle name="Normale 3 2 2 3 6 8 4" xfId="25763"/>
    <cellStyle name="Normale 3 2 2 3 6 9" xfId="7918"/>
    <cellStyle name="Normale 3 2 2 3 7" xfId="503"/>
    <cellStyle name="Normale 3 2 2 3 7 10" xfId="15376"/>
    <cellStyle name="Normale 3 2 2 3 7 11" xfId="23440"/>
    <cellStyle name="Normale 3 2 2 3 7 12" xfId="30187"/>
    <cellStyle name="Normale 3 2 2 3 7 13" xfId="31120"/>
    <cellStyle name="Normale 3 2 2 3 7 14" xfId="32040"/>
    <cellStyle name="Normale 3 2 2 3 7 15" xfId="32962"/>
    <cellStyle name="Normale 3 2 2 3 7 16" xfId="33903"/>
    <cellStyle name="Normale 3 2 2 3 7 17" xfId="34833"/>
    <cellStyle name="Normale 3 2 2 3 7 18" xfId="35759"/>
    <cellStyle name="Normale 3 2 2 3 7 19" xfId="36685"/>
    <cellStyle name="Normale 3 2 2 3 7 2" xfId="1470"/>
    <cellStyle name="Normale 3 2 2 3 7 2 2" xfId="8933"/>
    <cellStyle name="Normale 3 2 2 3 7 2 3" xfId="16341"/>
    <cellStyle name="Normale 3 2 2 3 7 2 4" xfId="26370"/>
    <cellStyle name="Normale 3 2 2 3 7 20" xfId="37601"/>
    <cellStyle name="Normale 3 2 2 3 7 3" xfId="2401"/>
    <cellStyle name="Normale 3 2 2 3 7 3 2" xfId="9864"/>
    <cellStyle name="Normale 3 2 2 3 7 3 3" xfId="17272"/>
    <cellStyle name="Normale 3 2 2 3 7 3 4" xfId="25419"/>
    <cellStyle name="Normale 3 2 2 3 7 4" xfId="3322"/>
    <cellStyle name="Normale 3 2 2 3 7 4 2" xfId="10785"/>
    <cellStyle name="Normale 3 2 2 3 7 4 3" xfId="18193"/>
    <cellStyle name="Normale 3 2 2 3 7 4 4" xfId="26831"/>
    <cellStyle name="Normale 3 2 2 3 7 5" xfId="4256"/>
    <cellStyle name="Normale 3 2 2 3 7 5 2" xfId="11719"/>
    <cellStyle name="Normale 3 2 2 3 7 5 3" xfId="19127"/>
    <cellStyle name="Normale 3 2 2 3 7 5 4" xfId="26857"/>
    <cellStyle name="Normale 3 2 2 3 7 6" xfId="5178"/>
    <cellStyle name="Normale 3 2 2 3 7 6 2" xfId="12641"/>
    <cellStyle name="Normale 3 2 2 3 7 6 3" xfId="20049"/>
    <cellStyle name="Normale 3 2 2 3 7 6 4" xfId="28830"/>
    <cellStyle name="Normale 3 2 2 3 7 7" xfId="6107"/>
    <cellStyle name="Normale 3 2 2 3 7 7 2" xfId="13570"/>
    <cellStyle name="Normale 3 2 2 3 7 7 3" xfId="20978"/>
    <cellStyle name="Normale 3 2 2 3 7 7 4" xfId="23297"/>
    <cellStyle name="Normale 3 2 2 3 7 8" xfId="7023"/>
    <cellStyle name="Normale 3 2 2 3 7 8 2" xfId="14486"/>
    <cellStyle name="Normale 3 2 2 3 7 8 3" xfId="21894"/>
    <cellStyle name="Normale 3 2 2 3 7 8 4" xfId="27736"/>
    <cellStyle name="Normale 3 2 2 3 7 9" xfId="7966"/>
    <cellStyle name="Normale 3 2 2 3 8" xfId="555"/>
    <cellStyle name="Normale 3 2 2 3 8 10" xfId="15428"/>
    <cellStyle name="Normale 3 2 2 3 8 11" xfId="27713"/>
    <cellStyle name="Normale 3 2 2 3 8 12" xfId="30238"/>
    <cellStyle name="Normale 3 2 2 3 8 13" xfId="31172"/>
    <cellStyle name="Normale 3 2 2 3 8 14" xfId="32091"/>
    <cellStyle name="Normale 3 2 2 3 8 15" xfId="33012"/>
    <cellStyle name="Normale 3 2 2 3 8 16" xfId="33955"/>
    <cellStyle name="Normale 3 2 2 3 8 17" xfId="34885"/>
    <cellStyle name="Normale 3 2 2 3 8 18" xfId="35811"/>
    <cellStyle name="Normale 3 2 2 3 8 19" xfId="36737"/>
    <cellStyle name="Normale 3 2 2 3 8 2" xfId="1522"/>
    <cellStyle name="Normale 3 2 2 3 8 2 2" xfId="8985"/>
    <cellStyle name="Normale 3 2 2 3 8 2 3" xfId="16393"/>
    <cellStyle name="Normale 3 2 2 3 8 2 4" xfId="22804"/>
    <cellStyle name="Normale 3 2 2 3 8 20" xfId="37651"/>
    <cellStyle name="Normale 3 2 2 3 8 3" xfId="2453"/>
    <cellStyle name="Normale 3 2 2 3 8 3 2" xfId="9916"/>
    <cellStyle name="Normale 3 2 2 3 8 3 3" xfId="17324"/>
    <cellStyle name="Normale 3 2 2 3 8 3 4" xfId="29448"/>
    <cellStyle name="Normale 3 2 2 3 8 4" xfId="3373"/>
    <cellStyle name="Normale 3 2 2 3 8 4 2" xfId="10836"/>
    <cellStyle name="Normale 3 2 2 3 8 4 3" xfId="18244"/>
    <cellStyle name="Normale 3 2 2 3 8 4 4" xfId="29535"/>
    <cellStyle name="Normale 3 2 2 3 8 5" xfId="4308"/>
    <cellStyle name="Normale 3 2 2 3 8 5 2" xfId="11771"/>
    <cellStyle name="Normale 3 2 2 3 8 5 3" xfId="19179"/>
    <cellStyle name="Normale 3 2 2 3 8 5 4" xfId="27386"/>
    <cellStyle name="Normale 3 2 2 3 8 6" xfId="5229"/>
    <cellStyle name="Normale 3 2 2 3 8 6 2" xfId="12692"/>
    <cellStyle name="Normale 3 2 2 3 8 6 3" xfId="20100"/>
    <cellStyle name="Normale 3 2 2 3 8 6 4" xfId="27381"/>
    <cellStyle name="Normale 3 2 2 3 8 7" xfId="6159"/>
    <cellStyle name="Normale 3 2 2 3 8 7 2" xfId="13622"/>
    <cellStyle name="Normale 3 2 2 3 8 7 3" xfId="21030"/>
    <cellStyle name="Normale 3 2 2 3 8 7 4" xfId="27596"/>
    <cellStyle name="Normale 3 2 2 3 8 8" xfId="7073"/>
    <cellStyle name="Normale 3 2 2 3 8 8 2" xfId="14536"/>
    <cellStyle name="Normale 3 2 2 3 8 8 3" xfId="21944"/>
    <cellStyle name="Normale 3 2 2 3 8 8 4" xfId="25480"/>
    <cellStyle name="Normale 3 2 2 3 8 9" xfId="8018"/>
    <cellStyle name="Normale 3 2 2 3 9" xfId="615"/>
    <cellStyle name="Normale 3 2 2 3 9 10" xfId="15487"/>
    <cellStyle name="Normale 3 2 2 3 9 11" xfId="28221"/>
    <cellStyle name="Normale 3 2 2 3 9 12" xfId="30294"/>
    <cellStyle name="Normale 3 2 2 3 9 13" xfId="31231"/>
    <cellStyle name="Normale 3 2 2 3 9 14" xfId="32148"/>
    <cellStyle name="Normale 3 2 2 3 9 15" xfId="33067"/>
    <cellStyle name="Normale 3 2 2 3 9 16" xfId="34014"/>
    <cellStyle name="Normale 3 2 2 3 9 17" xfId="34945"/>
    <cellStyle name="Normale 3 2 2 3 9 18" xfId="35871"/>
    <cellStyle name="Normale 3 2 2 3 9 19" xfId="36796"/>
    <cellStyle name="Normale 3 2 2 3 9 2" xfId="1581"/>
    <cellStyle name="Normale 3 2 2 3 9 2 2" xfId="9044"/>
    <cellStyle name="Normale 3 2 2 3 9 2 3" xfId="16452"/>
    <cellStyle name="Normale 3 2 2 3 9 2 4" xfId="26172"/>
    <cellStyle name="Normale 3 2 2 3 9 20" xfId="37706"/>
    <cellStyle name="Normale 3 2 2 3 9 3" xfId="2513"/>
    <cellStyle name="Normale 3 2 2 3 9 3 2" xfId="9976"/>
    <cellStyle name="Normale 3 2 2 3 9 3 3" xfId="17384"/>
    <cellStyle name="Normale 3 2 2 3 9 3 4" xfId="24306"/>
    <cellStyle name="Normale 3 2 2 3 9 4" xfId="3431"/>
    <cellStyle name="Normale 3 2 2 3 9 4 2" xfId="10894"/>
    <cellStyle name="Normale 3 2 2 3 9 4 3" xfId="18302"/>
    <cellStyle name="Normale 3 2 2 3 9 4 4" xfId="27043"/>
    <cellStyle name="Normale 3 2 2 3 9 5" xfId="4368"/>
    <cellStyle name="Normale 3 2 2 3 9 5 2" xfId="11831"/>
    <cellStyle name="Normale 3 2 2 3 9 5 3" xfId="19239"/>
    <cellStyle name="Normale 3 2 2 3 9 5 4" xfId="22608"/>
    <cellStyle name="Normale 3 2 2 3 9 6" xfId="5286"/>
    <cellStyle name="Normale 3 2 2 3 9 6 2" xfId="12749"/>
    <cellStyle name="Normale 3 2 2 3 9 6 3" xfId="20157"/>
    <cellStyle name="Normale 3 2 2 3 9 6 4" xfId="25154"/>
    <cellStyle name="Normale 3 2 2 3 9 7" xfId="6219"/>
    <cellStyle name="Normale 3 2 2 3 9 7 2" xfId="13682"/>
    <cellStyle name="Normale 3 2 2 3 9 7 3" xfId="21090"/>
    <cellStyle name="Normale 3 2 2 3 9 7 4" xfId="23484"/>
    <cellStyle name="Normale 3 2 2 3 9 8" xfId="7128"/>
    <cellStyle name="Normale 3 2 2 3 9 8 2" xfId="14591"/>
    <cellStyle name="Normale 3 2 2 3 9 8 3" xfId="21999"/>
    <cellStyle name="Normale 3 2 2 3 9 8 4" xfId="25300"/>
    <cellStyle name="Normale 3 2 2 3 9 9" xfId="8078"/>
    <cellStyle name="Normale 3 2 2 30" xfId="32035"/>
    <cellStyle name="Normale 3 2 2 31" xfId="33427"/>
    <cellStyle name="Normale 3 2 2 32" xfId="34308"/>
    <cellStyle name="Normale 3 2 2 33" xfId="35302"/>
    <cellStyle name="Normale 3 2 2 34" xfId="36097"/>
    <cellStyle name="Normale 3 2 2 35" xfId="37153"/>
    <cellStyle name="Normale 3 2 2 4" xfId="32"/>
    <cellStyle name="Normale 3 2 2 4 10" xfId="694"/>
    <cellStyle name="Normale 3 2 2 4 10 10" xfId="15565"/>
    <cellStyle name="Normale 3 2 2 4 10 11" xfId="29530"/>
    <cellStyle name="Normale 3 2 2 4 10 12" xfId="30368"/>
    <cellStyle name="Normale 3 2 2 4 10 13" xfId="31309"/>
    <cellStyle name="Normale 3 2 2 4 10 14" xfId="32222"/>
    <cellStyle name="Normale 3 2 2 4 10 15" xfId="33140"/>
    <cellStyle name="Normale 3 2 2 4 10 16" xfId="34092"/>
    <cellStyle name="Normale 3 2 2 4 10 17" xfId="35024"/>
    <cellStyle name="Normale 3 2 2 4 10 18" xfId="35950"/>
    <cellStyle name="Normale 3 2 2 4 10 19" xfId="36875"/>
    <cellStyle name="Normale 3 2 2 4 10 2" xfId="1659"/>
    <cellStyle name="Normale 3 2 2 4 10 2 2" xfId="9122"/>
    <cellStyle name="Normale 3 2 2 4 10 2 3" xfId="16530"/>
    <cellStyle name="Normale 3 2 2 4 10 2 4" xfId="29233"/>
    <cellStyle name="Normale 3 2 2 4 10 20" xfId="37779"/>
    <cellStyle name="Normale 3 2 2 4 10 3" xfId="2592"/>
    <cellStyle name="Normale 3 2 2 4 10 3 2" xfId="10055"/>
    <cellStyle name="Normale 3 2 2 4 10 3 3" xfId="17463"/>
    <cellStyle name="Normale 3 2 2 4 10 3 4" xfId="26723"/>
    <cellStyle name="Normale 3 2 2 4 10 4" xfId="3508"/>
    <cellStyle name="Normale 3 2 2 4 10 4 2" xfId="10971"/>
    <cellStyle name="Normale 3 2 2 4 10 4 3" xfId="18379"/>
    <cellStyle name="Normale 3 2 2 4 10 4 4" xfId="22630"/>
    <cellStyle name="Normale 3 2 2 4 10 5" xfId="4447"/>
    <cellStyle name="Normale 3 2 2 4 10 5 2" xfId="11910"/>
    <cellStyle name="Normale 3 2 2 4 10 5 3" xfId="19318"/>
    <cellStyle name="Normale 3 2 2 4 10 5 4" xfId="27615"/>
    <cellStyle name="Normale 3 2 2 4 10 6" xfId="5363"/>
    <cellStyle name="Normale 3 2 2 4 10 6 2" xfId="12826"/>
    <cellStyle name="Normale 3 2 2 4 10 6 3" xfId="20234"/>
    <cellStyle name="Normale 3 2 2 4 10 6 4" xfId="29210"/>
    <cellStyle name="Normale 3 2 2 4 10 7" xfId="6296"/>
    <cellStyle name="Normale 3 2 2 4 10 7 2" xfId="13759"/>
    <cellStyle name="Normale 3 2 2 4 10 7 3" xfId="21167"/>
    <cellStyle name="Normale 3 2 2 4 10 7 4" xfId="26758"/>
    <cellStyle name="Normale 3 2 2 4 10 8" xfId="7201"/>
    <cellStyle name="Normale 3 2 2 4 10 8 2" xfId="14664"/>
    <cellStyle name="Normale 3 2 2 4 10 8 3" xfId="22072"/>
    <cellStyle name="Normale 3 2 2 4 10 8 4" xfId="22721"/>
    <cellStyle name="Normale 3 2 2 4 10 9" xfId="8157"/>
    <cellStyle name="Normale 3 2 2 4 11" xfId="754"/>
    <cellStyle name="Normale 3 2 2 4 11 10" xfId="15625"/>
    <cellStyle name="Normale 3 2 2 4 11 11" xfId="28433"/>
    <cellStyle name="Normale 3 2 2 4 11 12" xfId="30428"/>
    <cellStyle name="Normale 3 2 2 4 11 13" xfId="31369"/>
    <cellStyle name="Normale 3 2 2 4 11 14" xfId="32282"/>
    <cellStyle name="Normale 3 2 2 4 11 15" xfId="33199"/>
    <cellStyle name="Normale 3 2 2 4 11 16" xfId="34152"/>
    <cellStyle name="Normale 3 2 2 4 11 17" xfId="35084"/>
    <cellStyle name="Normale 3 2 2 4 11 18" xfId="36010"/>
    <cellStyle name="Normale 3 2 2 4 11 19" xfId="36935"/>
    <cellStyle name="Normale 3 2 2 4 11 2" xfId="1719"/>
    <cellStyle name="Normale 3 2 2 4 11 2 2" xfId="9182"/>
    <cellStyle name="Normale 3 2 2 4 11 2 3" xfId="16590"/>
    <cellStyle name="Normale 3 2 2 4 11 2 4" xfId="24326"/>
    <cellStyle name="Normale 3 2 2 4 11 20" xfId="37838"/>
    <cellStyle name="Normale 3 2 2 4 11 3" xfId="2652"/>
    <cellStyle name="Normale 3 2 2 4 11 3 2" xfId="10115"/>
    <cellStyle name="Normale 3 2 2 4 11 3 3" xfId="17523"/>
    <cellStyle name="Normale 3 2 2 4 11 3 4" xfId="23063"/>
    <cellStyle name="Normale 3 2 2 4 11 4" xfId="3568"/>
    <cellStyle name="Normale 3 2 2 4 11 4 2" xfId="11031"/>
    <cellStyle name="Normale 3 2 2 4 11 4 3" xfId="18439"/>
    <cellStyle name="Normale 3 2 2 4 11 4 4" xfId="26717"/>
    <cellStyle name="Normale 3 2 2 4 11 5" xfId="4507"/>
    <cellStyle name="Normale 3 2 2 4 11 5 2" xfId="11970"/>
    <cellStyle name="Normale 3 2 2 4 11 5 3" xfId="19378"/>
    <cellStyle name="Normale 3 2 2 4 11 5 4" xfId="25972"/>
    <cellStyle name="Normale 3 2 2 4 11 6" xfId="5423"/>
    <cellStyle name="Normale 3 2 2 4 11 6 2" xfId="12886"/>
    <cellStyle name="Normale 3 2 2 4 11 6 3" xfId="20294"/>
    <cellStyle name="Normale 3 2 2 4 11 6 4" xfId="24231"/>
    <cellStyle name="Normale 3 2 2 4 11 7" xfId="6356"/>
    <cellStyle name="Normale 3 2 2 4 11 7 2" xfId="13819"/>
    <cellStyle name="Normale 3 2 2 4 11 7 3" xfId="21227"/>
    <cellStyle name="Normale 3 2 2 4 11 7 4" xfId="23132"/>
    <cellStyle name="Normale 3 2 2 4 11 8" xfId="7260"/>
    <cellStyle name="Normale 3 2 2 4 11 8 2" xfId="14723"/>
    <cellStyle name="Normale 3 2 2 4 11 8 3" xfId="22131"/>
    <cellStyle name="Normale 3 2 2 4 11 8 4" xfId="26223"/>
    <cellStyle name="Normale 3 2 2 4 11 9" xfId="8217"/>
    <cellStyle name="Normale 3 2 2 4 12" xfId="825"/>
    <cellStyle name="Normale 3 2 2 4 12 10" xfId="15696"/>
    <cellStyle name="Normale 3 2 2 4 12 11" xfId="27584"/>
    <cellStyle name="Normale 3 2 2 4 12 12" xfId="30497"/>
    <cellStyle name="Normale 3 2 2 4 12 13" xfId="31440"/>
    <cellStyle name="Normale 3 2 2 4 12 14" xfId="32352"/>
    <cellStyle name="Normale 3 2 2 4 12 15" xfId="33268"/>
    <cellStyle name="Normale 3 2 2 4 12 16" xfId="34223"/>
    <cellStyle name="Normale 3 2 2 4 12 17" xfId="35155"/>
    <cellStyle name="Normale 3 2 2 4 12 18" xfId="36081"/>
    <cellStyle name="Normale 3 2 2 4 12 19" xfId="37006"/>
    <cellStyle name="Normale 3 2 2 4 12 2" xfId="1790"/>
    <cellStyle name="Normale 3 2 2 4 12 2 2" xfId="9253"/>
    <cellStyle name="Normale 3 2 2 4 12 2 3" xfId="16661"/>
    <cellStyle name="Normale 3 2 2 4 12 2 4" xfId="23826"/>
    <cellStyle name="Normale 3 2 2 4 12 20" xfId="37907"/>
    <cellStyle name="Normale 3 2 2 4 12 3" xfId="2723"/>
    <cellStyle name="Normale 3 2 2 4 12 3 2" xfId="10186"/>
    <cellStyle name="Normale 3 2 2 4 12 3 3" xfId="17594"/>
    <cellStyle name="Normale 3 2 2 4 12 3 4" xfId="29345"/>
    <cellStyle name="Normale 3 2 2 4 12 4" xfId="3638"/>
    <cellStyle name="Normale 3 2 2 4 12 4 2" xfId="11101"/>
    <cellStyle name="Normale 3 2 2 4 12 4 3" xfId="18509"/>
    <cellStyle name="Normale 3 2 2 4 12 4 4" xfId="27955"/>
    <cellStyle name="Normale 3 2 2 4 12 5" xfId="4578"/>
    <cellStyle name="Normale 3 2 2 4 12 5 2" xfId="12041"/>
    <cellStyle name="Normale 3 2 2 4 12 5 3" xfId="19449"/>
    <cellStyle name="Normale 3 2 2 4 12 5 4" xfId="24905"/>
    <cellStyle name="Normale 3 2 2 4 12 6" xfId="5493"/>
    <cellStyle name="Normale 3 2 2 4 12 6 2" xfId="12956"/>
    <cellStyle name="Normale 3 2 2 4 12 6 3" xfId="20364"/>
    <cellStyle name="Normale 3 2 2 4 12 6 4" xfId="24726"/>
    <cellStyle name="Normale 3 2 2 4 12 7" xfId="6427"/>
    <cellStyle name="Normale 3 2 2 4 12 7 2" xfId="13890"/>
    <cellStyle name="Normale 3 2 2 4 12 7 3" xfId="21298"/>
    <cellStyle name="Normale 3 2 2 4 12 7 4" xfId="29399"/>
    <cellStyle name="Normale 3 2 2 4 12 8" xfId="7329"/>
    <cellStyle name="Normale 3 2 2 4 12 8 2" xfId="14792"/>
    <cellStyle name="Normale 3 2 2 4 12 8 3" xfId="22200"/>
    <cellStyle name="Normale 3 2 2 4 12 8 4" xfId="22763"/>
    <cellStyle name="Normale 3 2 2 4 12 9" xfId="8288"/>
    <cellStyle name="Normale 3 2 2 4 13" xfId="881"/>
    <cellStyle name="Normale 3 2 2 4 13 10" xfId="15752"/>
    <cellStyle name="Normale 3 2 2 4 13 11" xfId="25734"/>
    <cellStyle name="Normale 3 2 2 4 13 12" xfId="30550"/>
    <cellStyle name="Normale 3 2 2 4 13 13" xfId="31496"/>
    <cellStyle name="Normale 3 2 2 4 13 14" xfId="32407"/>
    <cellStyle name="Normale 3 2 2 4 13 15" xfId="33319"/>
    <cellStyle name="Normale 3 2 2 4 13 16" xfId="34279"/>
    <cellStyle name="Normale 3 2 2 4 13 17" xfId="35211"/>
    <cellStyle name="Normale 3 2 2 4 13 18" xfId="36137"/>
    <cellStyle name="Normale 3 2 2 4 13 19" xfId="37062"/>
    <cellStyle name="Normale 3 2 2 4 13 2" xfId="1846"/>
    <cellStyle name="Normale 3 2 2 4 13 2 2" xfId="9309"/>
    <cellStyle name="Normale 3 2 2 4 13 2 3" xfId="16717"/>
    <cellStyle name="Normale 3 2 2 4 13 2 4" xfId="23405"/>
    <cellStyle name="Normale 3 2 2 4 13 20" xfId="37958"/>
    <cellStyle name="Normale 3 2 2 4 13 3" xfId="2779"/>
    <cellStyle name="Normale 3 2 2 4 13 3 2" xfId="10242"/>
    <cellStyle name="Normale 3 2 2 4 13 3 3" xfId="17650"/>
    <cellStyle name="Normale 3 2 2 4 13 3 4" xfId="29272"/>
    <cellStyle name="Normale 3 2 2 4 13 4" xfId="3693"/>
    <cellStyle name="Normale 3 2 2 4 13 4 2" xfId="11156"/>
    <cellStyle name="Normale 3 2 2 4 13 4 3" xfId="18564"/>
    <cellStyle name="Normale 3 2 2 4 13 4 4" xfId="29509"/>
    <cellStyle name="Normale 3 2 2 4 13 5" xfId="4634"/>
    <cellStyle name="Normale 3 2 2 4 13 5 2" xfId="12097"/>
    <cellStyle name="Normale 3 2 2 4 13 5 3" xfId="19505"/>
    <cellStyle name="Normale 3 2 2 4 13 5 4" xfId="24790"/>
    <cellStyle name="Normale 3 2 2 4 13 6" xfId="5548"/>
    <cellStyle name="Normale 3 2 2 4 13 6 2" xfId="13011"/>
    <cellStyle name="Normale 3 2 2 4 13 6 3" xfId="20419"/>
    <cellStyle name="Normale 3 2 2 4 13 6 4" xfId="25145"/>
    <cellStyle name="Normale 3 2 2 4 13 7" xfId="6483"/>
    <cellStyle name="Normale 3 2 2 4 13 7 2" xfId="13946"/>
    <cellStyle name="Normale 3 2 2 4 13 7 3" xfId="21354"/>
    <cellStyle name="Normale 3 2 2 4 13 7 4" xfId="29297"/>
    <cellStyle name="Normale 3 2 2 4 13 8" xfId="7380"/>
    <cellStyle name="Normale 3 2 2 4 13 8 2" xfId="14843"/>
    <cellStyle name="Normale 3 2 2 4 13 8 3" xfId="22251"/>
    <cellStyle name="Normale 3 2 2 4 13 8 4" xfId="27128"/>
    <cellStyle name="Normale 3 2 2 4 13 9" xfId="8344"/>
    <cellStyle name="Normale 3 2 2 4 14" xfId="1005"/>
    <cellStyle name="Normale 3 2 2 4 14 2" xfId="8468"/>
    <cellStyle name="Normale 3 2 2 4 14 3" xfId="15876"/>
    <cellStyle name="Normale 3 2 2 4 14 4" xfId="28024"/>
    <cellStyle name="Normale 3 2 2 4 15" xfId="1464"/>
    <cellStyle name="Normale 3 2 2 4 15 2" xfId="8927"/>
    <cellStyle name="Normale 3 2 2 4 15 3" xfId="16335"/>
    <cellStyle name="Normale 3 2 2 4 15 4" xfId="24773"/>
    <cellStyle name="Normale 3 2 2 4 16" xfId="1879"/>
    <cellStyle name="Normale 3 2 2 4 16 2" xfId="9342"/>
    <cellStyle name="Normale 3 2 2 4 16 3" xfId="16750"/>
    <cellStyle name="Normale 3 2 2 4 16 4" xfId="23226"/>
    <cellStyle name="Normale 3 2 2 4 17" xfId="3549"/>
    <cellStyle name="Normale 3 2 2 4 17 2" xfId="11012"/>
    <cellStyle name="Normale 3 2 2 4 17 3" xfId="18420"/>
    <cellStyle name="Normale 3 2 2 4 17 4" xfId="29579"/>
    <cellStyle name="Normale 3 2 2 4 18" xfId="4366"/>
    <cellStyle name="Normale 3 2 2 4 18 2" xfId="11829"/>
    <cellStyle name="Normale 3 2 2 4 18 3" xfId="19237"/>
    <cellStyle name="Normale 3 2 2 4 18 4" xfId="24258"/>
    <cellStyle name="Normale 3 2 2 4 19" xfId="5545"/>
    <cellStyle name="Normale 3 2 2 4 19 2" xfId="13008"/>
    <cellStyle name="Normale 3 2 2 4 19 3" xfId="20416"/>
    <cellStyle name="Normale 3 2 2 4 19 4" xfId="27905"/>
    <cellStyle name="Normale 3 2 2 4 2" xfId="33"/>
    <cellStyle name="Normale 3 2 2 4 2 10" xfId="5437"/>
    <cellStyle name="Normale 3 2 2 4 2 10 2" xfId="12900"/>
    <cellStyle name="Normale 3 2 2 4 2 10 3" xfId="20308"/>
    <cellStyle name="Normale 3 2 2 4 2 10 4" xfId="26990"/>
    <cellStyle name="Normale 3 2 2 4 2 11" xfId="7498"/>
    <cellStyle name="Normale 3 2 2 4 2 12" xfId="8130"/>
    <cellStyle name="Normale 3 2 2 4 2 13" xfId="25476"/>
    <cellStyle name="Normale 3 2 2 4 2 14" xfId="29724"/>
    <cellStyle name="Normale 3 2 2 4 2 15" xfId="30654"/>
    <cellStyle name="Normale 3 2 2 4 2 16" xfId="29710"/>
    <cellStyle name="Normale 3 2 2 4 2 17" xfId="32503"/>
    <cellStyle name="Normale 3 2 2 4 2 18" xfId="33437"/>
    <cellStyle name="Normale 3 2 2 4 2 19" xfId="33997"/>
    <cellStyle name="Normale 3 2 2 4 2 2" xfId="34"/>
    <cellStyle name="Normale 3 2 2 4 2 2 10" xfId="7499"/>
    <cellStyle name="Normale 3 2 2 4 2 2 11" xfId="8076"/>
    <cellStyle name="Normale 3 2 2 4 2 2 12" xfId="24560"/>
    <cellStyle name="Normale 3 2 2 4 2 2 13" xfId="29725"/>
    <cellStyle name="Normale 3 2 2 4 2 2 14" xfId="30655"/>
    <cellStyle name="Normale 3 2 2 4 2 2 15" xfId="31299"/>
    <cellStyle name="Normale 3 2 2 4 2 2 16" xfId="32504"/>
    <cellStyle name="Normale 3 2 2 4 2 2 17" xfId="33438"/>
    <cellStyle name="Normale 3 2 2 4 2 2 18" xfId="33946"/>
    <cellStyle name="Normale 3 2 2 4 2 2 19" xfId="33407"/>
    <cellStyle name="Normale 3 2 2 4 2 2 2" xfId="232"/>
    <cellStyle name="Normale 3 2 2 4 2 2 2 10" xfId="15105"/>
    <cellStyle name="Normale 3 2 2 4 2 2 2 11" xfId="23113"/>
    <cellStyle name="Normale 3 2 2 4 2 2 2 12" xfId="29917"/>
    <cellStyle name="Normale 3 2 2 4 2 2 2 13" xfId="30849"/>
    <cellStyle name="Normale 3 2 2 4 2 2 2 14" xfId="31770"/>
    <cellStyle name="Normale 3 2 2 4 2 2 2 15" xfId="32695"/>
    <cellStyle name="Normale 3 2 2 4 2 2 2 16" xfId="33632"/>
    <cellStyle name="Normale 3 2 2 4 2 2 2 17" xfId="34562"/>
    <cellStyle name="Normale 3 2 2 4 2 2 2 18" xfId="35488"/>
    <cellStyle name="Normale 3 2 2 4 2 2 2 19" xfId="36414"/>
    <cellStyle name="Normale 3 2 2 4 2 2 2 2" xfId="1199"/>
    <cellStyle name="Normale 3 2 2 4 2 2 2 2 2" xfId="8662"/>
    <cellStyle name="Normale 3 2 2 4 2 2 2 2 3" xfId="16070"/>
    <cellStyle name="Normale 3 2 2 4 2 2 2 2 4" xfId="27559"/>
    <cellStyle name="Normale 3 2 2 4 2 2 2 20" xfId="37334"/>
    <cellStyle name="Normale 3 2 2 4 2 2 2 3" xfId="2130"/>
    <cellStyle name="Normale 3 2 2 4 2 2 2 3 2" xfId="9593"/>
    <cellStyle name="Normale 3 2 2 4 2 2 2 3 3" xfId="17001"/>
    <cellStyle name="Normale 3 2 2 4 2 2 2 3 4" xfId="24972"/>
    <cellStyle name="Normale 3 2 2 4 2 2 2 4" xfId="3052"/>
    <cellStyle name="Normale 3 2 2 4 2 2 2 4 2" xfId="10515"/>
    <cellStyle name="Normale 3 2 2 4 2 2 2 4 3" xfId="17923"/>
    <cellStyle name="Normale 3 2 2 4 2 2 2 4 4" xfId="25655"/>
    <cellStyle name="Normale 3 2 2 4 2 2 2 5" xfId="3985"/>
    <cellStyle name="Normale 3 2 2 4 2 2 2 5 2" xfId="11448"/>
    <cellStyle name="Normale 3 2 2 4 2 2 2 5 3" xfId="18856"/>
    <cellStyle name="Normale 3 2 2 4 2 2 2 5 4" xfId="24269"/>
    <cellStyle name="Normale 3 2 2 4 2 2 2 6" xfId="4908"/>
    <cellStyle name="Normale 3 2 2 4 2 2 2 6 2" xfId="12371"/>
    <cellStyle name="Normale 3 2 2 4 2 2 2 6 3" xfId="19779"/>
    <cellStyle name="Normale 3 2 2 4 2 2 2 6 4" xfId="22877"/>
    <cellStyle name="Normale 3 2 2 4 2 2 2 7" xfId="5836"/>
    <cellStyle name="Normale 3 2 2 4 2 2 2 7 2" xfId="13299"/>
    <cellStyle name="Normale 3 2 2 4 2 2 2 7 3" xfId="20707"/>
    <cellStyle name="Normale 3 2 2 4 2 2 2 7 4" xfId="23110"/>
    <cellStyle name="Normale 3 2 2 4 2 2 2 8" xfId="6756"/>
    <cellStyle name="Normale 3 2 2 4 2 2 2 8 2" xfId="14219"/>
    <cellStyle name="Normale 3 2 2 4 2 2 2 8 3" xfId="21627"/>
    <cellStyle name="Normale 3 2 2 4 2 2 2 8 4" xfId="25689"/>
    <cellStyle name="Normale 3 2 2 4 2 2 2 9" xfId="7695"/>
    <cellStyle name="Normale 3 2 2 4 2 2 20" xfId="35940"/>
    <cellStyle name="Normale 3 2 2 4 2 2 21" xfId="35868"/>
    <cellStyle name="Normale 3 2 2 4 2 2 3" xfId="1007"/>
    <cellStyle name="Normale 3 2 2 4 2 2 3 2" xfId="8470"/>
    <cellStyle name="Normale 3 2 2 4 2 2 3 3" xfId="15878"/>
    <cellStyle name="Normale 3 2 2 4 2 2 3 4" xfId="26187"/>
    <cellStyle name="Normale 3 2 2 4 2 2 4" xfId="1367"/>
    <cellStyle name="Normale 3 2 2 4 2 2 4 2" xfId="8830"/>
    <cellStyle name="Normale 3 2 2 4 2 2 4 3" xfId="16238"/>
    <cellStyle name="Normale 3 2 2 4 2 2 4 4" xfId="27875"/>
    <cellStyle name="Normale 3 2 2 4 2 2 5" xfId="1805"/>
    <cellStyle name="Normale 3 2 2 4 2 2 5 2" xfId="9268"/>
    <cellStyle name="Normale 3 2 2 4 2 2 5 3" xfId="16676"/>
    <cellStyle name="Normale 3 2 2 4 2 2 5 4" xfId="24649"/>
    <cellStyle name="Normale 3 2 2 4 2 2 6" xfId="3789"/>
    <cellStyle name="Normale 3 2 2 4 2 2 6 2" xfId="11252"/>
    <cellStyle name="Normale 3 2 2 4 2 2 6 3" xfId="18660"/>
    <cellStyle name="Normale 3 2 2 4 2 2 6 4" xfId="27952"/>
    <cellStyle name="Normale 3 2 2 4 2 2 7" xfId="3652"/>
    <cellStyle name="Normale 3 2 2 4 2 2 7 2" xfId="11115"/>
    <cellStyle name="Normale 3 2 2 4 2 2 7 3" xfId="18523"/>
    <cellStyle name="Normale 3 2 2 4 2 2 7 4" xfId="28869"/>
    <cellStyle name="Normale 3 2 2 4 2 2 8" xfId="5404"/>
    <cellStyle name="Normale 3 2 2 4 2 2 8 2" xfId="12867"/>
    <cellStyle name="Normale 3 2 2 4 2 2 8 3" xfId="20275"/>
    <cellStyle name="Normale 3 2 2 4 2 2 8 4" xfId="27909"/>
    <cellStyle name="Normale 3 2 2 4 2 2 9" xfId="5638"/>
    <cellStyle name="Normale 3 2 2 4 2 2 9 2" xfId="13101"/>
    <cellStyle name="Normale 3 2 2 4 2 2 9 3" xfId="20509"/>
    <cellStyle name="Normale 3 2 2 4 2 2 9 4" xfId="26776"/>
    <cellStyle name="Normale 3 2 2 4 2 20" xfId="34311"/>
    <cellStyle name="Normale 3 2 2 4 2 21" xfId="34532"/>
    <cellStyle name="Normale 3 2 2 4 2 22" xfId="36230"/>
    <cellStyle name="Normale 3 2 2 4 2 3" xfId="231"/>
    <cellStyle name="Normale 3 2 2 4 2 3 10" xfId="15104"/>
    <cellStyle name="Normale 3 2 2 4 2 3 11" xfId="24122"/>
    <cellStyle name="Normale 3 2 2 4 2 3 12" xfId="29916"/>
    <cellStyle name="Normale 3 2 2 4 2 3 13" xfId="30848"/>
    <cellStyle name="Normale 3 2 2 4 2 3 14" xfId="31769"/>
    <cellStyle name="Normale 3 2 2 4 2 3 15" xfId="32694"/>
    <cellStyle name="Normale 3 2 2 4 2 3 16" xfId="33631"/>
    <cellStyle name="Normale 3 2 2 4 2 3 17" xfId="34561"/>
    <cellStyle name="Normale 3 2 2 4 2 3 18" xfId="35487"/>
    <cellStyle name="Normale 3 2 2 4 2 3 19" xfId="36413"/>
    <cellStyle name="Normale 3 2 2 4 2 3 2" xfId="1198"/>
    <cellStyle name="Normale 3 2 2 4 2 3 2 2" xfId="8661"/>
    <cellStyle name="Normale 3 2 2 4 2 3 2 3" xfId="16069"/>
    <cellStyle name="Normale 3 2 2 4 2 3 2 4" xfId="28486"/>
    <cellStyle name="Normale 3 2 2 4 2 3 20" xfId="37333"/>
    <cellStyle name="Normale 3 2 2 4 2 3 3" xfId="2129"/>
    <cellStyle name="Normale 3 2 2 4 2 3 3 2" xfId="9592"/>
    <cellStyle name="Normale 3 2 2 4 2 3 3 3" xfId="17000"/>
    <cellStyle name="Normale 3 2 2 4 2 3 3 4" xfId="25883"/>
    <cellStyle name="Normale 3 2 2 4 2 3 4" xfId="3051"/>
    <cellStyle name="Normale 3 2 2 4 2 3 4 2" xfId="10514"/>
    <cellStyle name="Normale 3 2 2 4 2 3 4 3" xfId="17922"/>
    <cellStyle name="Normale 3 2 2 4 2 3 4 4" xfId="26585"/>
    <cellStyle name="Normale 3 2 2 4 2 3 5" xfId="3984"/>
    <cellStyle name="Normale 3 2 2 4 2 3 5 2" xfId="11447"/>
    <cellStyle name="Normale 3 2 2 4 2 3 5 3" xfId="18855"/>
    <cellStyle name="Normale 3 2 2 4 2 3 5 4" xfId="25188"/>
    <cellStyle name="Normale 3 2 2 4 2 3 6" xfId="4907"/>
    <cellStyle name="Normale 3 2 2 4 2 3 6 2" xfId="12370"/>
    <cellStyle name="Normale 3 2 2 4 2 3 6 3" xfId="19778"/>
    <cellStyle name="Normale 3 2 2 4 2 3 6 4" xfId="23864"/>
    <cellStyle name="Normale 3 2 2 4 2 3 7" xfId="5835"/>
    <cellStyle name="Normale 3 2 2 4 2 3 7 2" xfId="13298"/>
    <cellStyle name="Normale 3 2 2 4 2 3 7 3" xfId="20706"/>
    <cellStyle name="Normale 3 2 2 4 2 3 7 4" xfId="24119"/>
    <cellStyle name="Normale 3 2 2 4 2 3 8" xfId="6755"/>
    <cellStyle name="Normale 3 2 2 4 2 3 8 2" xfId="14218"/>
    <cellStyle name="Normale 3 2 2 4 2 3 8 3" xfId="21626"/>
    <cellStyle name="Normale 3 2 2 4 2 3 8 4" xfId="26621"/>
    <cellStyle name="Normale 3 2 2 4 2 3 9" xfId="7694"/>
    <cellStyle name="Normale 3 2 2 4 2 4" xfId="1006"/>
    <cellStyle name="Normale 3 2 2 4 2 4 2" xfId="8469"/>
    <cellStyle name="Normale 3 2 2 4 2 4 3" xfId="15877"/>
    <cellStyle name="Normale 3 2 2 4 2 4 4" xfId="27105"/>
    <cellStyle name="Normale 3 2 2 4 2 5" xfId="1416"/>
    <cellStyle name="Normale 3 2 2 4 2 5 2" xfId="8879"/>
    <cellStyle name="Normale 3 2 2 4 2 5 3" xfId="16287"/>
    <cellStyle name="Normale 3 2 2 4 2 5 4" xfId="26176"/>
    <cellStyle name="Normale 3 2 2 4 2 6" xfId="1878"/>
    <cellStyle name="Normale 3 2 2 4 2 6 2" xfId="9341"/>
    <cellStyle name="Normale 3 2 2 4 2 6 3" xfId="16749"/>
    <cellStyle name="Normale 3 2 2 4 2 6 4" xfId="23404"/>
    <cellStyle name="Normale 3 2 2 4 2 7" xfId="3788"/>
    <cellStyle name="Normale 3 2 2 4 2 7 2" xfId="11251"/>
    <cellStyle name="Normale 3 2 2 4 2 7 3" xfId="18659"/>
    <cellStyle name="Normale 3 2 2 4 2 7 4" xfId="28865"/>
    <cellStyle name="Normale 3 2 2 4 2 8" xfId="3483"/>
    <cellStyle name="Normale 3 2 2 4 2 8 2" xfId="10946"/>
    <cellStyle name="Normale 3 2 2 4 2 8 3" xfId="18354"/>
    <cellStyle name="Normale 3 2 2 4 2 8 4" xfId="23554"/>
    <cellStyle name="Normale 3 2 2 4 2 9" xfId="5501"/>
    <cellStyle name="Normale 3 2 2 4 2 9 2" xfId="12964"/>
    <cellStyle name="Normale 3 2 2 4 2 9 3" xfId="20372"/>
    <cellStyle name="Normale 3 2 2 4 2 9 4" xfId="24674"/>
    <cellStyle name="Normale 3 2 2 4 20" xfId="6217"/>
    <cellStyle name="Normale 3 2 2 4 20 2" xfId="13680"/>
    <cellStyle name="Normale 3 2 2 4 20 3" xfId="21088"/>
    <cellStyle name="Normale 3 2 2 4 20 4" xfId="25319"/>
    <cellStyle name="Normale 3 2 2 4 21" xfId="7497"/>
    <cellStyle name="Normale 3 2 2 4 22" xfId="8131"/>
    <cellStyle name="Normale 3 2 2 4 23" xfId="26404"/>
    <cellStyle name="Normale 3 2 2 4 24" xfId="29723"/>
    <cellStyle name="Normale 3 2 2 4 25" xfId="30653"/>
    <cellStyle name="Normale 3 2 2 4 26" xfId="30505"/>
    <cellStyle name="Normale 3 2 2 4 27" xfId="32502"/>
    <cellStyle name="Normale 3 2 2 4 28" xfId="33436"/>
    <cellStyle name="Normale 3 2 2 4 29" xfId="34082"/>
    <cellStyle name="Normale 3 2 2 4 3" xfId="35"/>
    <cellStyle name="Normale 3 2 2 4 3 10" xfId="7500"/>
    <cellStyle name="Normale 3 2 2 4 3 11" xfId="7482"/>
    <cellStyle name="Normale 3 2 2 4 3 12" xfId="23638"/>
    <cellStyle name="Normale 3 2 2 4 3 13" xfId="29726"/>
    <cellStyle name="Normale 3 2 2 4 3 14" xfId="30656"/>
    <cellStyle name="Normale 3 2 2 4 3 15" xfId="31214"/>
    <cellStyle name="Normale 3 2 2 4 3 16" xfId="32505"/>
    <cellStyle name="Normale 3 2 2 4 3 17" xfId="33439"/>
    <cellStyle name="Normale 3 2 2 4 3 18" xfId="33897"/>
    <cellStyle name="Normale 3 2 2 4 3 19" xfId="33586"/>
    <cellStyle name="Normale 3 2 2 4 3 2" xfId="233"/>
    <cellStyle name="Normale 3 2 2 4 3 2 10" xfId="15106"/>
    <cellStyle name="Normale 3 2 2 4 3 2 11" xfId="29542"/>
    <cellStyle name="Normale 3 2 2 4 3 2 12" xfId="29918"/>
    <cellStyle name="Normale 3 2 2 4 3 2 13" xfId="30850"/>
    <cellStyle name="Normale 3 2 2 4 3 2 14" xfId="31771"/>
    <cellStyle name="Normale 3 2 2 4 3 2 15" xfId="32696"/>
    <cellStyle name="Normale 3 2 2 4 3 2 16" xfId="33633"/>
    <cellStyle name="Normale 3 2 2 4 3 2 17" xfId="34563"/>
    <cellStyle name="Normale 3 2 2 4 3 2 18" xfId="35489"/>
    <cellStyle name="Normale 3 2 2 4 3 2 19" xfId="36415"/>
    <cellStyle name="Normale 3 2 2 4 3 2 2" xfId="1200"/>
    <cellStyle name="Normale 3 2 2 4 3 2 2 2" xfId="8663"/>
    <cellStyle name="Normale 3 2 2 4 3 2 2 3" xfId="16071"/>
    <cellStyle name="Normale 3 2 2 4 3 2 2 4" xfId="26654"/>
    <cellStyle name="Normale 3 2 2 4 3 2 20" xfId="37335"/>
    <cellStyle name="Normale 3 2 2 4 3 2 3" xfId="2131"/>
    <cellStyle name="Normale 3 2 2 4 3 2 3 2" xfId="9594"/>
    <cellStyle name="Normale 3 2 2 4 3 2 3 3" xfId="17002"/>
    <cellStyle name="Normale 3 2 2 4 3 2 3 4" xfId="24046"/>
    <cellStyle name="Normale 3 2 2 4 3 2 4" xfId="3053"/>
    <cellStyle name="Normale 3 2 2 4 3 2 4 2" xfId="10516"/>
    <cellStyle name="Normale 3 2 2 4 3 2 4 3" xfId="17924"/>
    <cellStyle name="Normale 3 2 2 4 3 2 4 4" xfId="24741"/>
    <cellStyle name="Normale 3 2 2 4 3 2 5" xfId="3986"/>
    <cellStyle name="Normale 3 2 2 4 3 2 5 2" xfId="11449"/>
    <cellStyle name="Normale 3 2 2 4 3 2 5 3" xfId="18857"/>
    <cellStyle name="Normale 3 2 2 4 3 2 5 4" xfId="23353"/>
    <cellStyle name="Normale 3 2 2 4 3 2 6" xfId="4909"/>
    <cellStyle name="Normale 3 2 2 4 3 2 6 2" xfId="12372"/>
    <cellStyle name="Normale 3 2 2 4 3 2 6 3" xfId="19780"/>
    <cellStyle name="Normale 3 2 2 4 3 2 6 4" xfId="29306"/>
    <cellStyle name="Normale 3 2 2 4 3 2 7" xfId="5837"/>
    <cellStyle name="Normale 3 2 2 4 3 2 7 2" xfId="13300"/>
    <cellStyle name="Normale 3 2 2 4 3 2 7 3" xfId="20708"/>
    <cellStyle name="Normale 3 2 2 4 3 2 7 4" xfId="29539"/>
    <cellStyle name="Normale 3 2 2 4 3 2 8" xfId="6757"/>
    <cellStyle name="Normale 3 2 2 4 3 2 8 2" xfId="14220"/>
    <cellStyle name="Normale 3 2 2 4 3 2 8 3" xfId="21628"/>
    <cellStyle name="Normale 3 2 2 4 3 2 8 4" xfId="24777"/>
    <cellStyle name="Normale 3 2 2 4 3 2 9" xfId="7696"/>
    <cellStyle name="Normale 3 2 2 4 3 20" xfId="35853"/>
    <cellStyle name="Normale 3 2 2 4 3 21" xfId="35933"/>
    <cellStyle name="Normale 3 2 2 4 3 3" xfId="1008"/>
    <cellStyle name="Normale 3 2 2 4 3 3 2" xfId="8471"/>
    <cellStyle name="Normale 3 2 2 4 3 3 3" xfId="15879"/>
    <cellStyle name="Normale 3 2 2 4 3 3 4" xfId="25264"/>
    <cellStyle name="Normale 3 2 2 4 3 4" xfId="1174"/>
    <cellStyle name="Normale 3 2 2 4 3 4 2" xfId="8637"/>
    <cellStyle name="Normale 3 2 2 4 3 4 3" xfId="16045"/>
    <cellStyle name="Normale 3 2 2 4 3 4 4" xfId="28706"/>
    <cellStyle name="Normale 3 2 2 4 3 5" xfId="2582"/>
    <cellStyle name="Normale 3 2 2 4 3 5 2" xfId="10045"/>
    <cellStyle name="Normale 3 2 2 4 3 5 3" xfId="17453"/>
    <cellStyle name="Normale 3 2 2 4 3 5 4" xfId="28625"/>
    <cellStyle name="Normale 3 2 2 4 3 6" xfId="3790"/>
    <cellStyle name="Normale 3 2 2 4 3 6 2" xfId="11253"/>
    <cellStyle name="Normale 3 2 2 4 3 6 3" xfId="18661"/>
    <cellStyle name="Normale 3 2 2 4 3 6 4" xfId="27033"/>
    <cellStyle name="Normale 3 2 2 4 3 7" xfId="3485"/>
    <cellStyle name="Normale 3 2 2 4 3 7 2" xfId="10948"/>
    <cellStyle name="Normale 3 2 2 4 3 7 3" xfId="18356"/>
    <cellStyle name="Normale 3 2 2 4 3 7 4" xfId="27961"/>
    <cellStyle name="Normale 3 2 2 4 3 8" xfId="5644"/>
    <cellStyle name="Normale 3 2 2 4 3 8 2" xfId="13107"/>
    <cellStyle name="Normale 3 2 2 4 3 8 3" xfId="20515"/>
    <cellStyle name="Normale 3 2 2 4 3 8 4" xfId="28534"/>
    <cellStyle name="Normale 3 2 2 4 3 9" xfId="5340"/>
    <cellStyle name="Normale 3 2 2 4 3 9 2" xfId="12803"/>
    <cellStyle name="Normale 3 2 2 4 3 9 3" xfId="20211"/>
    <cellStyle name="Normale 3 2 2 4 3 9 4" xfId="28461"/>
    <cellStyle name="Normale 3 2 2 4 30" xfId="34943"/>
    <cellStyle name="Normale 3 2 2 4 31" xfId="34312"/>
    <cellStyle name="Normale 3 2 2 4 32" xfId="36794"/>
    <cellStyle name="Normale 3 2 2 4 4" xfId="230"/>
    <cellStyle name="Normale 3 2 2 4 4 10" xfId="15103"/>
    <cellStyle name="Normale 3 2 2 4 4 11" xfId="25048"/>
    <cellStyle name="Normale 3 2 2 4 4 12" xfId="29915"/>
    <cellStyle name="Normale 3 2 2 4 4 13" xfId="30847"/>
    <cellStyle name="Normale 3 2 2 4 4 14" xfId="31768"/>
    <cellStyle name="Normale 3 2 2 4 4 15" xfId="32693"/>
    <cellStyle name="Normale 3 2 2 4 4 16" xfId="33630"/>
    <cellStyle name="Normale 3 2 2 4 4 17" xfId="34560"/>
    <cellStyle name="Normale 3 2 2 4 4 18" xfId="35486"/>
    <cellStyle name="Normale 3 2 2 4 4 19" xfId="36412"/>
    <cellStyle name="Normale 3 2 2 4 4 2" xfId="1197"/>
    <cellStyle name="Normale 3 2 2 4 4 2 2" xfId="8660"/>
    <cellStyle name="Normale 3 2 2 4 4 2 3" xfId="16068"/>
    <cellStyle name="Normale 3 2 2 4 4 2 4" xfId="29383"/>
    <cellStyle name="Normale 3 2 2 4 4 20" xfId="37332"/>
    <cellStyle name="Normale 3 2 2 4 4 3" xfId="2128"/>
    <cellStyle name="Normale 3 2 2 4 4 3 2" xfId="9591"/>
    <cellStyle name="Normale 3 2 2 4 4 3 3" xfId="16999"/>
    <cellStyle name="Normale 3 2 2 4 4 3 4" xfId="26816"/>
    <cellStyle name="Normale 3 2 2 4 4 4" xfId="3050"/>
    <cellStyle name="Normale 3 2 2 4 4 4 2" xfId="10513"/>
    <cellStyle name="Normale 3 2 2 4 4 4 3" xfId="17921"/>
    <cellStyle name="Normale 3 2 2 4 4 4 4" xfId="27492"/>
    <cellStyle name="Normale 3 2 2 4 4 5" xfId="3983"/>
    <cellStyle name="Normale 3 2 2 4 4 5 2" xfId="11446"/>
    <cellStyle name="Normale 3 2 2 4 4 5 3" xfId="18854"/>
    <cellStyle name="Normale 3 2 2 4 4 5 4" xfId="26111"/>
    <cellStyle name="Normale 3 2 2 4 4 6" xfId="4906"/>
    <cellStyle name="Normale 3 2 2 4 4 6 2" xfId="12369"/>
    <cellStyle name="Normale 3 2 2 4 4 6 3" xfId="19777"/>
    <cellStyle name="Normale 3 2 2 4 4 6 4" xfId="24788"/>
    <cellStyle name="Normale 3 2 2 4 4 7" xfId="5834"/>
    <cellStyle name="Normale 3 2 2 4 4 7 2" xfId="13297"/>
    <cellStyle name="Normale 3 2 2 4 4 7 3" xfId="20705"/>
    <cellStyle name="Normale 3 2 2 4 4 7 4" xfId="25045"/>
    <cellStyle name="Normale 3 2 2 4 4 8" xfId="6754"/>
    <cellStyle name="Normale 3 2 2 4 4 8 2" xfId="14217"/>
    <cellStyle name="Normale 3 2 2 4 4 8 3" xfId="21625"/>
    <cellStyle name="Normale 3 2 2 4 4 8 4" xfId="27525"/>
    <cellStyle name="Normale 3 2 2 4 4 9" xfId="7693"/>
    <cellStyle name="Normale 3 2 2 4 5" xfId="408"/>
    <cellStyle name="Normale 3 2 2 4 5 10" xfId="15281"/>
    <cellStyle name="Normale 3 2 2 4 5 11" xfId="23169"/>
    <cellStyle name="Normale 3 2 2 4 5 12" xfId="30093"/>
    <cellStyle name="Normale 3 2 2 4 5 13" xfId="31025"/>
    <cellStyle name="Normale 3 2 2 4 5 14" xfId="31946"/>
    <cellStyle name="Normale 3 2 2 4 5 15" xfId="32870"/>
    <cellStyle name="Normale 3 2 2 4 5 16" xfId="33808"/>
    <cellStyle name="Normale 3 2 2 4 5 17" xfId="34738"/>
    <cellStyle name="Normale 3 2 2 4 5 18" xfId="35664"/>
    <cellStyle name="Normale 3 2 2 4 5 19" xfId="36590"/>
    <cellStyle name="Normale 3 2 2 4 5 2" xfId="1375"/>
    <cellStyle name="Normale 3 2 2 4 5 2 2" xfId="8838"/>
    <cellStyle name="Normale 3 2 2 4 5 2 3" xfId="16246"/>
    <cellStyle name="Normale 3 2 2 4 5 2 4" xfId="27814"/>
    <cellStyle name="Normale 3 2 2 4 5 20" xfId="37509"/>
    <cellStyle name="Normale 3 2 2 4 5 3" xfId="2306"/>
    <cellStyle name="Normale 3 2 2 4 5 3 2" xfId="9769"/>
    <cellStyle name="Normale 3 2 2 4 5 3 3" xfId="17177"/>
    <cellStyle name="Normale 3 2 2 4 5 3 4" xfId="25026"/>
    <cellStyle name="Normale 3 2 2 4 5 4" xfId="3228"/>
    <cellStyle name="Normale 3 2 2 4 5 4 2" xfId="10691"/>
    <cellStyle name="Normale 3 2 2 4 5 4 3" xfId="18099"/>
    <cellStyle name="Normale 3 2 2 4 5 4 4" xfId="28364"/>
    <cellStyle name="Normale 3 2 2 4 5 5" xfId="4161"/>
    <cellStyle name="Normale 3 2 2 4 5 5 2" xfId="11624"/>
    <cellStyle name="Normale 3 2 2 4 5 5 3" xfId="19032"/>
    <cellStyle name="Normale 3 2 2 4 5 5 4" xfId="25597"/>
    <cellStyle name="Normale 3 2 2 4 5 6" xfId="5084"/>
    <cellStyle name="Normale 3 2 2 4 5 6 2" xfId="12547"/>
    <cellStyle name="Normale 3 2 2 4 5 6 3" xfId="19955"/>
    <cellStyle name="Normale 3 2 2 4 5 6 4" xfId="23134"/>
    <cellStyle name="Normale 3 2 2 4 5 7" xfId="6012"/>
    <cellStyle name="Normale 3 2 2 4 5 7 2" xfId="13475"/>
    <cellStyle name="Normale 3 2 2 4 5 7 3" xfId="20883"/>
    <cellStyle name="Normale 3 2 2 4 5 7 4" xfId="23035"/>
    <cellStyle name="Normale 3 2 2 4 5 8" xfId="6931"/>
    <cellStyle name="Normale 3 2 2 4 5 8 2" xfId="14394"/>
    <cellStyle name="Normale 3 2 2 4 5 8 3" xfId="21802"/>
    <cellStyle name="Normale 3 2 2 4 5 8 4" xfId="29294"/>
    <cellStyle name="Normale 3 2 2 4 5 9" xfId="7871"/>
    <cellStyle name="Normale 3 2 2 4 6" xfId="456"/>
    <cellStyle name="Normale 3 2 2 4 6 10" xfId="15329"/>
    <cellStyle name="Normale 3 2 2 4 6 11" xfId="22811"/>
    <cellStyle name="Normale 3 2 2 4 6 12" xfId="30141"/>
    <cellStyle name="Normale 3 2 2 4 6 13" xfId="31073"/>
    <cellStyle name="Normale 3 2 2 4 6 14" xfId="31994"/>
    <cellStyle name="Normale 3 2 2 4 6 15" xfId="32917"/>
    <cellStyle name="Normale 3 2 2 4 6 16" xfId="33856"/>
    <cellStyle name="Normale 3 2 2 4 6 17" xfId="34786"/>
    <cellStyle name="Normale 3 2 2 4 6 18" xfId="35712"/>
    <cellStyle name="Normale 3 2 2 4 6 19" xfId="36638"/>
    <cellStyle name="Normale 3 2 2 4 6 2" xfId="1423"/>
    <cellStyle name="Normale 3 2 2 4 6 2 2" xfId="8886"/>
    <cellStyle name="Normale 3 2 2 4 6 2 3" xfId="16294"/>
    <cellStyle name="Normale 3 2 2 4 6 2 4" xfId="26028"/>
    <cellStyle name="Normale 3 2 2 4 6 20" xfId="37556"/>
    <cellStyle name="Normale 3 2 2 4 6 3" xfId="2354"/>
    <cellStyle name="Normale 3 2 2 4 6 3 2" xfId="9817"/>
    <cellStyle name="Normale 3 2 2 4 6 3 3" xfId="17225"/>
    <cellStyle name="Normale 3 2 2 4 6 3 4" xfId="24645"/>
    <cellStyle name="Normale 3 2 2 4 6 4" xfId="3276"/>
    <cellStyle name="Normale 3 2 2 4 6 4 2" xfId="10739"/>
    <cellStyle name="Normale 3 2 2 4 6 4 3" xfId="18147"/>
    <cellStyle name="Normale 3 2 2 4 6 4 4" xfId="22887"/>
    <cellStyle name="Normale 3 2 2 4 6 5" xfId="4209"/>
    <cellStyle name="Normale 3 2 2 4 6 5 2" xfId="11672"/>
    <cellStyle name="Normale 3 2 2 4 6 5 3" xfId="19080"/>
    <cellStyle name="Normale 3 2 2 4 6 5 4" xfId="25180"/>
    <cellStyle name="Normale 3 2 2 4 6 6" xfId="5132"/>
    <cellStyle name="Normale 3 2 2 4 6 6 2" xfId="12595"/>
    <cellStyle name="Normale 3 2 2 4 6 6 3" xfId="20003"/>
    <cellStyle name="Normale 3 2 2 4 6 6 4" xfId="28726"/>
    <cellStyle name="Normale 3 2 2 4 6 7" xfId="6060"/>
    <cellStyle name="Normale 3 2 2 4 6 7 2" xfId="13523"/>
    <cellStyle name="Normale 3 2 2 4 6 7 3" xfId="20931"/>
    <cellStyle name="Normale 3 2 2 4 6 7 4" xfId="22775"/>
    <cellStyle name="Normale 3 2 2 4 6 8" xfId="6978"/>
    <cellStyle name="Normale 3 2 2 4 6 8 2" xfId="14441"/>
    <cellStyle name="Normale 3 2 2 4 6 8 3" xfId="21849"/>
    <cellStyle name="Normale 3 2 2 4 6 8 4" xfId="24851"/>
    <cellStyle name="Normale 3 2 2 4 6 9" xfId="7919"/>
    <cellStyle name="Normale 3 2 2 4 7" xfId="504"/>
    <cellStyle name="Normale 3 2 2 4 7 10" xfId="15377"/>
    <cellStyle name="Normale 3 2 2 4 7 11" xfId="22705"/>
    <cellStyle name="Normale 3 2 2 4 7 12" xfId="30188"/>
    <cellStyle name="Normale 3 2 2 4 7 13" xfId="31121"/>
    <cellStyle name="Normale 3 2 2 4 7 14" xfId="32041"/>
    <cellStyle name="Normale 3 2 2 4 7 15" xfId="32963"/>
    <cellStyle name="Normale 3 2 2 4 7 16" xfId="33904"/>
    <cellStyle name="Normale 3 2 2 4 7 17" xfId="34834"/>
    <cellStyle name="Normale 3 2 2 4 7 18" xfId="35760"/>
    <cellStyle name="Normale 3 2 2 4 7 19" xfId="36686"/>
    <cellStyle name="Normale 3 2 2 4 7 2" xfId="1471"/>
    <cellStyle name="Normale 3 2 2 4 7 2 2" xfId="8934"/>
    <cellStyle name="Normale 3 2 2 4 7 2 3" xfId="16342"/>
    <cellStyle name="Normale 3 2 2 4 7 2 4" xfId="25443"/>
    <cellStyle name="Normale 3 2 2 4 7 20" xfId="37602"/>
    <cellStyle name="Normale 3 2 2 4 7 3" xfId="2402"/>
    <cellStyle name="Normale 3 2 2 4 7 3 2" xfId="9865"/>
    <cellStyle name="Normale 3 2 2 4 7 3 3" xfId="17273"/>
    <cellStyle name="Normale 3 2 2 4 7 3 4" xfId="24503"/>
    <cellStyle name="Normale 3 2 2 4 7 4" xfId="3323"/>
    <cellStyle name="Normale 3 2 2 4 7 4 2" xfId="10786"/>
    <cellStyle name="Normale 3 2 2 4 7 4 3" xfId="18194"/>
    <cellStyle name="Normale 3 2 2 4 7 4 4" xfId="25898"/>
    <cellStyle name="Normale 3 2 2 4 7 5" xfId="4257"/>
    <cellStyle name="Normale 3 2 2 4 7 5 2" xfId="11720"/>
    <cellStyle name="Normale 3 2 2 4 7 5 3" xfId="19128"/>
    <cellStyle name="Normale 3 2 2 4 7 5 4" xfId="25923"/>
    <cellStyle name="Normale 3 2 2 4 7 6" xfId="5179"/>
    <cellStyle name="Normale 3 2 2 4 7 6 2" xfId="12642"/>
    <cellStyle name="Normale 3 2 2 4 7 6 3" xfId="20050"/>
    <cellStyle name="Normale 3 2 2 4 7 6 4" xfId="27917"/>
    <cellStyle name="Normale 3 2 2 4 7 7" xfId="6108"/>
    <cellStyle name="Normale 3 2 2 4 7 7 2" xfId="13571"/>
    <cellStyle name="Normale 3 2 2 4 7 7 3" xfId="20979"/>
    <cellStyle name="Normale 3 2 2 4 7 7 4" xfId="22563"/>
    <cellStyle name="Normale 3 2 2 4 7 8" xfId="7024"/>
    <cellStyle name="Normale 3 2 2 4 7 8 2" xfId="14487"/>
    <cellStyle name="Normale 3 2 2 4 7 8 3" xfId="21895"/>
    <cellStyle name="Normale 3 2 2 4 7 8 4" xfId="26833"/>
    <cellStyle name="Normale 3 2 2 4 7 9" xfId="7967"/>
    <cellStyle name="Normale 3 2 2 4 8" xfId="556"/>
    <cellStyle name="Normale 3 2 2 4 8 10" xfId="15429"/>
    <cellStyle name="Normale 3 2 2 4 8 11" xfId="26810"/>
    <cellStyle name="Normale 3 2 2 4 8 12" xfId="30239"/>
    <cellStyle name="Normale 3 2 2 4 8 13" xfId="31173"/>
    <cellStyle name="Normale 3 2 2 4 8 14" xfId="32092"/>
    <cellStyle name="Normale 3 2 2 4 8 15" xfId="33013"/>
    <cellStyle name="Normale 3 2 2 4 8 16" xfId="33956"/>
    <cellStyle name="Normale 3 2 2 4 8 17" xfId="34886"/>
    <cellStyle name="Normale 3 2 2 4 8 18" xfId="35812"/>
    <cellStyle name="Normale 3 2 2 4 8 19" xfId="36738"/>
    <cellStyle name="Normale 3 2 2 4 8 2" xfId="1523"/>
    <cellStyle name="Normale 3 2 2 4 8 2 2" xfId="8986"/>
    <cellStyle name="Normale 3 2 2 4 8 2 3" xfId="16394"/>
    <cellStyle name="Normale 3 2 2 4 8 2 4" xfId="29234"/>
    <cellStyle name="Normale 3 2 2 4 8 20" xfId="37652"/>
    <cellStyle name="Normale 3 2 2 4 8 3" xfId="2454"/>
    <cellStyle name="Normale 3 2 2 4 8 3 2" xfId="9917"/>
    <cellStyle name="Normale 3 2 2 4 8 3 3" xfId="17325"/>
    <cellStyle name="Normale 3 2 2 4 8 3 4" xfId="28554"/>
    <cellStyle name="Normale 3 2 2 4 8 4" xfId="3374"/>
    <cellStyle name="Normale 3 2 2 4 8 4 2" xfId="10837"/>
    <cellStyle name="Normale 3 2 2 4 8 4 3" xfId="18245"/>
    <cellStyle name="Normale 3 2 2 4 8 4 4" xfId="28644"/>
    <cellStyle name="Normale 3 2 2 4 8 5" xfId="4309"/>
    <cellStyle name="Normale 3 2 2 4 8 5 2" xfId="11772"/>
    <cellStyle name="Normale 3 2 2 4 8 5 3" xfId="19180"/>
    <cellStyle name="Normale 3 2 2 4 8 5 4" xfId="26478"/>
    <cellStyle name="Normale 3 2 2 4 8 6" xfId="5230"/>
    <cellStyle name="Normale 3 2 2 4 8 6 2" xfId="12693"/>
    <cellStyle name="Normale 3 2 2 4 8 6 3" xfId="20101"/>
    <cellStyle name="Normale 3 2 2 4 8 6 4" xfId="26473"/>
    <cellStyle name="Normale 3 2 2 4 8 7" xfId="6160"/>
    <cellStyle name="Normale 3 2 2 4 8 7 2" xfId="13623"/>
    <cellStyle name="Normale 3 2 2 4 8 7 3" xfId="21031"/>
    <cellStyle name="Normale 3 2 2 4 8 7 4" xfId="26692"/>
    <cellStyle name="Normale 3 2 2 4 8 8" xfId="7074"/>
    <cellStyle name="Normale 3 2 2 4 8 8 2" xfId="14537"/>
    <cellStyle name="Normale 3 2 2 4 8 8 3" xfId="21945"/>
    <cellStyle name="Normale 3 2 2 4 8 8 4" xfId="24564"/>
    <cellStyle name="Normale 3 2 2 4 8 9" xfId="8019"/>
    <cellStyle name="Normale 3 2 2 4 9" xfId="616"/>
    <cellStyle name="Normale 3 2 2 4 9 10" xfId="15488"/>
    <cellStyle name="Normale 3 2 2 4 9 11" xfId="27297"/>
    <cellStyle name="Normale 3 2 2 4 9 12" xfId="30295"/>
    <cellStyle name="Normale 3 2 2 4 9 13" xfId="31232"/>
    <cellStyle name="Normale 3 2 2 4 9 14" xfId="32149"/>
    <cellStyle name="Normale 3 2 2 4 9 15" xfId="33068"/>
    <cellStyle name="Normale 3 2 2 4 9 16" xfId="34015"/>
    <cellStyle name="Normale 3 2 2 4 9 17" xfId="34946"/>
    <cellStyle name="Normale 3 2 2 4 9 18" xfId="35872"/>
    <cellStyle name="Normale 3 2 2 4 9 19" xfId="36797"/>
    <cellStyle name="Normale 3 2 2 4 9 2" xfId="1582"/>
    <cellStyle name="Normale 3 2 2 4 9 2 2" xfId="9045"/>
    <cellStyle name="Normale 3 2 2 4 9 2 3" xfId="16453"/>
    <cellStyle name="Normale 3 2 2 4 9 2 4" xfId="25249"/>
    <cellStyle name="Normale 3 2 2 4 9 20" xfId="37707"/>
    <cellStyle name="Normale 3 2 2 4 9 3" xfId="2514"/>
    <cellStyle name="Normale 3 2 2 4 9 3 2" xfId="9977"/>
    <cellStyle name="Normale 3 2 2 4 9 3 3" xfId="17385"/>
    <cellStyle name="Normale 3 2 2 4 9 3 4" xfId="23390"/>
    <cellStyle name="Normale 3 2 2 4 9 4" xfId="3432"/>
    <cellStyle name="Normale 3 2 2 4 9 4 2" xfId="10895"/>
    <cellStyle name="Normale 3 2 2 4 9 4 3" xfId="18303"/>
    <cellStyle name="Normale 3 2 2 4 9 4 4" xfId="26125"/>
    <cellStyle name="Normale 3 2 2 4 9 5" xfId="4369"/>
    <cellStyle name="Normale 3 2 2 4 9 5 2" xfId="11832"/>
    <cellStyle name="Normale 3 2 2 4 9 5 3" xfId="19240"/>
    <cellStyle name="Normale 3 2 2 4 9 5 4" xfId="29038"/>
    <cellStyle name="Normale 3 2 2 4 9 6" xfId="5287"/>
    <cellStyle name="Normale 3 2 2 4 9 6 2" xfId="12750"/>
    <cellStyle name="Normale 3 2 2 4 9 6 3" xfId="20158"/>
    <cellStyle name="Normale 3 2 2 4 9 6 4" xfId="24235"/>
    <cellStyle name="Normale 3 2 2 4 9 7" xfId="6220"/>
    <cellStyle name="Normale 3 2 2 4 9 7 2" xfId="13683"/>
    <cellStyle name="Normale 3 2 2 4 9 7 3" xfId="21091"/>
    <cellStyle name="Normale 3 2 2 4 9 7 4" xfId="28048"/>
    <cellStyle name="Normale 3 2 2 4 9 8" xfId="7129"/>
    <cellStyle name="Normale 3 2 2 4 9 8 2" xfId="14592"/>
    <cellStyle name="Normale 3 2 2 4 9 8 3" xfId="22000"/>
    <cellStyle name="Normale 3 2 2 4 9 8 4" xfId="24384"/>
    <cellStyle name="Normale 3 2 2 4 9 9" xfId="8079"/>
    <cellStyle name="Normale 3 2 2 5" xfId="36"/>
    <cellStyle name="Normale 3 2 2 5 10" xfId="1009"/>
    <cellStyle name="Normale 3 2 2 5 10 2" xfId="8472"/>
    <cellStyle name="Normale 3 2 2 5 10 3" xfId="15880"/>
    <cellStyle name="Normale 3 2 2 5 10 4" xfId="24345"/>
    <cellStyle name="Normale 3 2 2 5 11" xfId="978"/>
    <cellStyle name="Normale 3 2 2 5 11 2" xfId="8441"/>
    <cellStyle name="Normale 3 2 2 5 11 3" xfId="15849"/>
    <cellStyle name="Normale 3 2 2 5 11 4" xfId="23430"/>
    <cellStyle name="Normale 3 2 2 5 12" xfId="2495"/>
    <cellStyle name="Normale 3 2 2 5 12 2" xfId="9958"/>
    <cellStyle name="Normale 3 2 2 5 12 3" xfId="17366"/>
    <cellStyle name="Normale 3 2 2 5 12 4" xfId="27349"/>
    <cellStyle name="Normale 3 2 2 5 13" xfId="3791"/>
    <cellStyle name="Normale 3 2 2 5 13 2" xfId="11254"/>
    <cellStyle name="Normale 3 2 2 5 13 3" xfId="18662"/>
    <cellStyle name="Normale 3 2 2 5 13 4" xfId="26115"/>
    <cellStyle name="Normale 3 2 2 5 14" xfId="4437"/>
    <cellStyle name="Normale 3 2 2 5 14 2" xfId="11900"/>
    <cellStyle name="Normale 3 2 2 5 14 3" xfId="19308"/>
    <cellStyle name="Normale 3 2 2 5 14 4" xfId="29504"/>
    <cellStyle name="Normale 3 2 2 5 15" xfId="5645"/>
    <cellStyle name="Normale 3 2 2 5 15 2" xfId="13108"/>
    <cellStyle name="Normale 3 2 2 5 15 3" xfId="20516"/>
    <cellStyle name="Normale 3 2 2 5 15 4" xfId="27608"/>
    <cellStyle name="Normale 3 2 2 5 16" xfId="6286"/>
    <cellStyle name="Normale 3 2 2 5 16 2" xfId="13749"/>
    <cellStyle name="Normale 3 2 2 5 16 3" xfId="21157"/>
    <cellStyle name="Normale 3 2 2 5 16 4" xfId="28659"/>
    <cellStyle name="Normale 3 2 2 5 17" xfId="7501"/>
    <cellStyle name="Normale 3 2 2 5 18" xfId="7479"/>
    <cellStyle name="Normale 3 2 2 5 19" xfId="28958"/>
    <cellStyle name="Normale 3 2 2 5 2" xfId="37"/>
    <cellStyle name="Normale 3 2 2 5 2 10" xfId="7502"/>
    <cellStyle name="Normale 3 2 2 5 2 11" xfId="7467"/>
    <cellStyle name="Normale 3 2 2 5 2 12" xfId="28047"/>
    <cellStyle name="Normale 3 2 2 5 2 13" xfId="29728"/>
    <cellStyle name="Normale 3 2 2 5 2 14" xfId="30658"/>
    <cellStyle name="Normale 3 2 2 5 2 15" xfId="31114"/>
    <cellStyle name="Normale 3 2 2 5 2 16" xfId="32507"/>
    <cellStyle name="Normale 3 2 2 5 2 17" xfId="33441"/>
    <cellStyle name="Normale 3 2 2 5 2 18" xfId="33800"/>
    <cellStyle name="Normale 3 2 2 5 2 19" xfId="34927"/>
    <cellStyle name="Normale 3 2 2 5 2 2" xfId="235"/>
    <cellStyle name="Normale 3 2 2 5 2 2 10" xfId="15108"/>
    <cellStyle name="Normale 3 2 2 5 2 2 11" xfId="27724"/>
    <cellStyle name="Normale 3 2 2 5 2 2 12" xfId="29920"/>
    <cellStyle name="Normale 3 2 2 5 2 2 13" xfId="30852"/>
    <cellStyle name="Normale 3 2 2 5 2 2 14" xfId="31773"/>
    <cellStyle name="Normale 3 2 2 5 2 2 15" xfId="32698"/>
    <cellStyle name="Normale 3 2 2 5 2 2 16" xfId="33635"/>
    <cellStyle name="Normale 3 2 2 5 2 2 17" xfId="34565"/>
    <cellStyle name="Normale 3 2 2 5 2 2 18" xfId="35491"/>
    <cellStyle name="Normale 3 2 2 5 2 2 19" xfId="36417"/>
    <cellStyle name="Normale 3 2 2 5 2 2 2" xfId="1202"/>
    <cellStyle name="Normale 3 2 2 5 2 2 2 2" xfId="8665"/>
    <cellStyle name="Normale 3 2 2 5 2 2 2 3" xfId="16073"/>
    <cellStyle name="Normale 3 2 2 5 2 2 2 4" xfId="24811"/>
    <cellStyle name="Normale 3 2 2 5 2 2 20" xfId="37337"/>
    <cellStyle name="Normale 3 2 2 5 2 2 3" xfId="2133"/>
    <cellStyle name="Normale 3 2 2 5 2 2 3 2" xfId="9596"/>
    <cellStyle name="Normale 3 2 2 5 2 2 3 3" xfId="17004"/>
    <cellStyle name="Normale 3 2 2 5 2 2 3 4" xfId="29468"/>
    <cellStyle name="Normale 3 2 2 5 2 2 4" xfId="3055"/>
    <cellStyle name="Normale 3 2 2 5 2 2 4 2" xfId="10518"/>
    <cellStyle name="Normale 3 2 2 5 2 2 4 3" xfId="17926"/>
    <cellStyle name="Normale 3 2 2 5 2 2 4 4" xfId="22839"/>
    <cellStyle name="Normale 3 2 2 5 2 2 5" xfId="3988"/>
    <cellStyle name="Normale 3 2 2 5 2 2 5 2" xfId="11451"/>
    <cellStyle name="Normale 3 2 2 5 2 2 5 3" xfId="18859"/>
    <cellStyle name="Normale 3 2 2 5 2 2 5 4" xfId="29049"/>
    <cellStyle name="Normale 3 2 2 5 2 2 6" xfId="4911"/>
    <cellStyle name="Normale 3 2 2 5 2 2 6 2" xfId="12374"/>
    <cellStyle name="Normale 3 2 2 5 2 2 6 3" xfId="19782"/>
    <cellStyle name="Normale 3 2 2 5 2 2 6 4" xfId="27480"/>
    <cellStyle name="Normale 3 2 2 5 2 2 7" xfId="5839"/>
    <cellStyle name="Normale 3 2 2 5 2 2 7 2" xfId="13302"/>
    <cellStyle name="Normale 3 2 2 5 2 2 7 3" xfId="20710"/>
    <cellStyle name="Normale 3 2 2 5 2 2 7 4" xfId="27721"/>
    <cellStyle name="Normale 3 2 2 5 2 2 8" xfId="6759"/>
    <cellStyle name="Normale 3 2 2 5 2 2 8 2" xfId="14222"/>
    <cellStyle name="Normale 3 2 2 5 2 2 8 3" xfId="21630"/>
    <cellStyle name="Normale 3 2 2 5 2 2 8 4" xfId="22866"/>
    <cellStyle name="Normale 3 2 2 5 2 2 9" xfId="7698"/>
    <cellStyle name="Normale 3 2 2 5 2 20" xfId="35753"/>
    <cellStyle name="Normale 3 2 2 5 2 21" xfId="36779"/>
    <cellStyle name="Normale 3 2 2 5 2 3" xfId="1010"/>
    <cellStyle name="Normale 3 2 2 5 2 3 2" xfId="8473"/>
    <cellStyle name="Normale 3 2 2 5 2 3 3" xfId="15881"/>
    <cellStyle name="Normale 3 2 2 5 2 3 4" xfId="23429"/>
    <cellStyle name="Normale 3 2 2 5 2 4" xfId="1843"/>
    <cellStyle name="Normale 3 2 2 5 2 4 2" xfId="9306"/>
    <cellStyle name="Normale 3 2 2 5 2 4 3" xfId="16714"/>
    <cellStyle name="Normale 3 2 2 5 2 4 4" xfId="26163"/>
    <cellStyle name="Normale 3 2 2 5 2 5" xfId="2444"/>
    <cellStyle name="Normale 3 2 2 5 2 5 2" xfId="9907"/>
    <cellStyle name="Normale 3 2 2 5 2 5 3" xfId="17315"/>
    <cellStyle name="Normale 3 2 2 5 2 5 4" xfId="23088"/>
    <cellStyle name="Normale 3 2 2 5 2 6" xfId="3792"/>
    <cellStyle name="Normale 3 2 2 5 2 6 2" xfId="11255"/>
    <cellStyle name="Normale 3 2 2 5 2 6 3" xfId="18663"/>
    <cellStyle name="Normale 3 2 2 5 2 6 4" xfId="25192"/>
    <cellStyle name="Normale 3 2 2 5 2 7" xfId="4350"/>
    <cellStyle name="Normale 3 2 2 5 2 7 2" xfId="11813"/>
    <cellStyle name="Normale 3 2 2 5 2 7 3" xfId="19221"/>
    <cellStyle name="Normale 3 2 2 5 2 7 4" xfId="25176"/>
    <cellStyle name="Normale 3 2 2 5 2 8" xfId="5646"/>
    <cellStyle name="Normale 3 2 2 5 2 8 2" xfId="13109"/>
    <cellStyle name="Normale 3 2 2 5 2 8 3" xfId="20517"/>
    <cellStyle name="Normale 3 2 2 5 2 8 4" xfId="26704"/>
    <cellStyle name="Normale 3 2 2 5 2 9" xfId="6201"/>
    <cellStyle name="Normale 3 2 2 5 2 9 2" xfId="13664"/>
    <cellStyle name="Normale 3 2 2 5 2 9 3" xfId="21072"/>
    <cellStyle name="Normale 3 2 2 5 2 9 4" xfId="25538"/>
    <cellStyle name="Normale 3 2 2 5 20" xfId="29727"/>
    <cellStyle name="Normale 3 2 2 5 21" xfId="30657"/>
    <cellStyle name="Normale 3 2 2 5 22" xfId="31163"/>
    <cellStyle name="Normale 3 2 2 5 23" xfId="32506"/>
    <cellStyle name="Normale 3 2 2 5 24" xfId="33440"/>
    <cellStyle name="Normale 3 2 2 5 25" xfId="33849"/>
    <cellStyle name="Normale 3 2 2 5 26" xfId="35014"/>
    <cellStyle name="Normale 3 2 2 5 27" xfId="35802"/>
    <cellStyle name="Normale 3 2 2 5 28" xfId="36865"/>
    <cellStyle name="Normale 3 2 2 5 3" xfId="234"/>
    <cellStyle name="Normale 3 2 2 5 3 10" xfId="15107"/>
    <cellStyle name="Normale 3 2 2 5 3 11" xfId="28651"/>
    <cellStyle name="Normale 3 2 2 5 3 12" xfId="29919"/>
    <cellStyle name="Normale 3 2 2 5 3 13" xfId="30851"/>
    <cellStyle name="Normale 3 2 2 5 3 14" xfId="31772"/>
    <cellStyle name="Normale 3 2 2 5 3 15" xfId="32697"/>
    <cellStyle name="Normale 3 2 2 5 3 16" xfId="33634"/>
    <cellStyle name="Normale 3 2 2 5 3 17" xfId="34564"/>
    <cellStyle name="Normale 3 2 2 5 3 18" xfId="35490"/>
    <cellStyle name="Normale 3 2 2 5 3 19" xfId="36416"/>
    <cellStyle name="Normale 3 2 2 5 3 2" xfId="1201"/>
    <cellStyle name="Normale 3 2 2 5 3 2 2" xfId="8664"/>
    <cellStyle name="Normale 3 2 2 5 3 2 3" xfId="16072"/>
    <cellStyle name="Normale 3 2 2 5 3 2 4" xfId="25723"/>
    <cellStyle name="Normale 3 2 2 5 3 20" xfId="37336"/>
    <cellStyle name="Normale 3 2 2 5 3 3" xfId="2132"/>
    <cellStyle name="Normale 3 2 2 5 3 3 2" xfId="9595"/>
    <cellStyle name="Normale 3 2 2 5 3 3 3" xfId="17003"/>
    <cellStyle name="Normale 3 2 2 5 3 3 4" xfId="23039"/>
    <cellStyle name="Normale 3 2 2 5 3 4" xfId="3054"/>
    <cellStyle name="Normale 3 2 2 5 3 4 2" xfId="10517"/>
    <cellStyle name="Normale 3 2 2 5 3 4 3" xfId="17925"/>
    <cellStyle name="Normale 3 2 2 5 3 4 4" xfId="23818"/>
    <cellStyle name="Normale 3 2 2 5 3 5" xfId="3987"/>
    <cellStyle name="Normale 3 2 2 5 3 5 2" xfId="11450"/>
    <cellStyle name="Normale 3 2 2 5 3 5 3" xfId="18858"/>
    <cellStyle name="Normale 3 2 2 5 3 5 4" xfId="22619"/>
    <cellStyle name="Normale 3 2 2 5 3 6" xfId="4910"/>
    <cellStyle name="Normale 3 2 2 5 3 6 2" xfId="12373"/>
    <cellStyle name="Normale 3 2 2 5 3 6 3" xfId="19781"/>
    <cellStyle name="Normale 3 2 2 5 3 6 4" xfId="28405"/>
    <cellStyle name="Normale 3 2 2 5 3 7" xfId="5838"/>
    <cellStyle name="Normale 3 2 2 5 3 7 2" xfId="13301"/>
    <cellStyle name="Normale 3 2 2 5 3 7 3" xfId="20709"/>
    <cellStyle name="Normale 3 2 2 5 3 7 4" xfId="28648"/>
    <cellStyle name="Normale 3 2 2 5 3 8" xfId="6758"/>
    <cellStyle name="Normale 3 2 2 5 3 8 2" xfId="14221"/>
    <cellStyle name="Normale 3 2 2 5 3 8 3" xfId="21629"/>
    <cellStyle name="Normale 3 2 2 5 3 8 4" xfId="23853"/>
    <cellStyle name="Normale 3 2 2 5 3 9" xfId="7697"/>
    <cellStyle name="Normale 3 2 2 5 4" xfId="609"/>
    <cellStyle name="Normale 3 2 2 5 4 10" xfId="15481"/>
    <cellStyle name="Normale 3 2 2 5 4 11" xfId="26455"/>
    <cellStyle name="Normale 3 2 2 5 4 12" xfId="30290"/>
    <cellStyle name="Normale 3 2 2 5 4 13" xfId="31225"/>
    <cellStyle name="Normale 3 2 2 5 4 14" xfId="32143"/>
    <cellStyle name="Normale 3 2 2 5 4 15" xfId="33063"/>
    <cellStyle name="Normale 3 2 2 5 4 16" xfId="34008"/>
    <cellStyle name="Normale 3 2 2 5 4 17" xfId="34939"/>
    <cellStyle name="Normale 3 2 2 5 4 18" xfId="35865"/>
    <cellStyle name="Normale 3 2 2 5 4 19" xfId="36790"/>
    <cellStyle name="Normale 3 2 2 5 4 2" xfId="1575"/>
    <cellStyle name="Normale 3 2 2 5 4 2 2" xfId="9038"/>
    <cellStyle name="Normale 3 2 2 5 4 2 3" xfId="16446"/>
    <cellStyle name="Normale 3 2 2 5 4 2 4" xfId="25440"/>
    <cellStyle name="Normale 3 2 2 5 4 20" xfId="37702"/>
    <cellStyle name="Normale 3 2 2 5 4 3" xfId="2507"/>
    <cellStyle name="Normale 3 2 2 5 4 3 2" xfId="9970"/>
    <cellStyle name="Normale 3 2 2 5 4 3 3" xfId="17378"/>
    <cellStyle name="Normale 3 2 2 5 4 3 4" xfId="23578"/>
    <cellStyle name="Normale 3 2 2 5 4 4" xfId="3425"/>
    <cellStyle name="Normale 3 2 2 5 4 4 2" xfId="10888"/>
    <cellStyle name="Normale 3 2 2 5 4 4 3" xfId="18296"/>
    <cellStyle name="Normale 3 2 2 5 4 4 4" xfId="24479"/>
    <cellStyle name="Normale 3 2 2 5 4 5" xfId="4362"/>
    <cellStyle name="Normale 3 2 2 5 4 5 2" xfId="11825"/>
    <cellStyle name="Normale 3 2 2 5 4 5 3" xfId="19233"/>
    <cellStyle name="Normale 3 2 2 5 4 5 4" xfId="27937"/>
    <cellStyle name="Normale 3 2 2 5 4 6" xfId="5281"/>
    <cellStyle name="Normale 3 2 2 5 4 6 2" xfId="12744"/>
    <cellStyle name="Normale 3 2 2 5 4 6 3" xfId="20152"/>
    <cellStyle name="Normale 3 2 2 5 4 6 4" xfId="23510"/>
    <cellStyle name="Normale 3 2 2 5 4 7" xfId="6213"/>
    <cellStyle name="Normale 3 2 2 5 4 7 2" xfId="13676"/>
    <cellStyle name="Normale 3 2 2 5 4 7 3" xfId="21084"/>
    <cellStyle name="Normale 3 2 2 5 4 7 4" xfId="28988"/>
    <cellStyle name="Normale 3 2 2 5 4 8" xfId="7124"/>
    <cellStyle name="Normale 3 2 2 5 4 8 2" xfId="14587"/>
    <cellStyle name="Normale 3 2 2 5 4 8 3" xfId="21995"/>
    <cellStyle name="Normale 3 2 2 5 4 8 4" xfId="28969"/>
    <cellStyle name="Normale 3 2 2 5 4 9" xfId="8072"/>
    <cellStyle name="Normale 3 2 2 5 5" xfId="664"/>
    <cellStyle name="Normale 3 2 2 5 5 10" xfId="15536"/>
    <cellStyle name="Normale 3 2 2 5 5 11" xfId="26391"/>
    <cellStyle name="Normale 3 2 2 5 5 12" xfId="30343"/>
    <cellStyle name="Normale 3 2 2 5 5 13" xfId="31280"/>
    <cellStyle name="Normale 3 2 2 5 5 14" xfId="32197"/>
    <cellStyle name="Normale 3 2 2 5 5 15" xfId="33116"/>
    <cellStyle name="Normale 3 2 2 5 5 16" xfId="34063"/>
    <cellStyle name="Normale 3 2 2 5 5 17" xfId="34994"/>
    <cellStyle name="Normale 3 2 2 5 5 18" xfId="35920"/>
    <cellStyle name="Normale 3 2 2 5 5 19" xfId="36845"/>
    <cellStyle name="Normale 3 2 2 5 5 2" xfId="1630"/>
    <cellStyle name="Normale 3 2 2 5 5 2 2" xfId="9093"/>
    <cellStyle name="Normale 3 2 2 5 5 2 3" xfId="16501"/>
    <cellStyle name="Normale 3 2 2 5 5 2 4" xfId="26730"/>
    <cellStyle name="Normale 3 2 2 5 5 20" xfId="37755"/>
    <cellStyle name="Normale 3 2 2 5 5 3" xfId="2562"/>
    <cellStyle name="Normale 3 2 2 5 5 3 2" xfId="10025"/>
    <cellStyle name="Normale 3 2 2 5 5 3 3" xfId="17433"/>
    <cellStyle name="Normale 3 2 2 5 5 3 4" xfId="24303"/>
    <cellStyle name="Normale 3 2 2 5 5 4" xfId="3480"/>
    <cellStyle name="Normale 3 2 2 5 5 4 2" xfId="10943"/>
    <cellStyle name="Normale 3 2 2 5 5 4 3" xfId="18351"/>
    <cellStyle name="Normale 3 2 2 5 5 4 4" xfId="26317"/>
    <cellStyle name="Normale 3 2 2 5 5 5" xfId="4417"/>
    <cellStyle name="Normale 3 2 2 5 5 5 2" xfId="11880"/>
    <cellStyle name="Normale 3 2 2 5 5 5 3" xfId="19288"/>
    <cellStyle name="Normale 3 2 2 5 5 5 4" xfId="25174"/>
    <cellStyle name="Normale 3 2 2 5 5 6" xfId="5335"/>
    <cellStyle name="Normale 3 2 2 5 5 6 2" xfId="12798"/>
    <cellStyle name="Normale 3 2 2 5 5 6 3" xfId="20206"/>
    <cellStyle name="Normale 3 2 2 5 5 6 4" xfId="25775"/>
    <cellStyle name="Normale 3 2 2 5 5 7" xfId="6268"/>
    <cellStyle name="Normale 3 2 2 5 5 7 2" xfId="13731"/>
    <cellStyle name="Normale 3 2 2 5 5 7 3" xfId="21139"/>
    <cellStyle name="Normale 3 2 2 5 5 7 4" xfId="22370"/>
    <cellStyle name="Normale 3 2 2 5 5 8" xfId="7177"/>
    <cellStyle name="Normale 3 2 2 5 5 8 2" xfId="14640"/>
    <cellStyle name="Normale 3 2 2 5 5 8 3" xfId="22048"/>
    <cellStyle name="Normale 3 2 2 5 5 8 4" xfId="22860"/>
    <cellStyle name="Normale 3 2 2 5 5 9" xfId="8127"/>
    <cellStyle name="Normale 3 2 2 5 6" xfId="749"/>
    <cellStyle name="Normale 3 2 2 5 6 10" xfId="15620"/>
    <cellStyle name="Normale 3 2 2 5 6 11" xfId="25726"/>
    <cellStyle name="Normale 3 2 2 5 6 12" xfId="30423"/>
    <cellStyle name="Normale 3 2 2 5 6 13" xfId="31364"/>
    <cellStyle name="Normale 3 2 2 5 6 14" xfId="32277"/>
    <cellStyle name="Normale 3 2 2 5 6 15" xfId="33194"/>
    <cellStyle name="Normale 3 2 2 5 6 16" xfId="34147"/>
    <cellStyle name="Normale 3 2 2 5 6 17" xfId="35079"/>
    <cellStyle name="Normale 3 2 2 5 6 18" xfId="36005"/>
    <cellStyle name="Normale 3 2 2 5 6 19" xfId="36930"/>
    <cellStyle name="Normale 3 2 2 5 6 2" xfId="1714"/>
    <cellStyle name="Normale 3 2 2 5 6 2 2" xfId="9177"/>
    <cellStyle name="Normale 3 2 2 5 6 2 3" xfId="16585"/>
    <cellStyle name="Normale 3 2 2 5 6 2 4" xfId="28918"/>
    <cellStyle name="Normale 3 2 2 5 6 20" xfId="37833"/>
    <cellStyle name="Normale 3 2 2 5 6 3" xfId="2647"/>
    <cellStyle name="Normale 3 2 2 5 6 3 2" xfId="10110"/>
    <cellStyle name="Normale 3 2 2 5 6 3 3" xfId="17518"/>
    <cellStyle name="Normale 3 2 2 5 6 3 4" xfId="27743"/>
    <cellStyle name="Normale 3 2 2 5 6 4" xfId="3563"/>
    <cellStyle name="Normale 3 2 2 5 6 4 2" xfId="11026"/>
    <cellStyle name="Normale 3 2 2 5 6 4 3" xfId="18434"/>
    <cellStyle name="Normale 3 2 2 5 6 4 4" xfId="24020"/>
    <cellStyle name="Normale 3 2 2 5 6 5" xfId="4502"/>
    <cellStyle name="Normale 3 2 2 5 6 5 2" xfId="11965"/>
    <cellStyle name="Normale 3 2 2 5 6 5 3" xfId="19373"/>
    <cellStyle name="Normale 3 2 2 5 6 5 4" xfId="23193"/>
    <cellStyle name="Normale 3 2 2 5 6 6" xfId="5418"/>
    <cellStyle name="Normale 3 2 2 5 6 6 2" xfId="12881"/>
    <cellStyle name="Normale 3 2 2 5 6 6 3" xfId="20289"/>
    <cellStyle name="Normale 3 2 2 5 6 6 4" xfId="28823"/>
    <cellStyle name="Normale 3 2 2 5 6 7" xfId="6351"/>
    <cellStyle name="Normale 3 2 2 5 6 7 2" xfId="13814"/>
    <cellStyle name="Normale 3 2 2 5 6 7 3" xfId="21222"/>
    <cellStyle name="Normale 3 2 2 5 6 7 4" xfId="27813"/>
    <cellStyle name="Normale 3 2 2 5 6 8" xfId="7255"/>
    <cellStyle name="Normale 3 2 2 5 6 8 2" xfId="14718"/>
    <cellStyle name="Normale 3 2 2 5 6 8 3" xfId="22126"/>
    <cellStyle name="Normale 3 2 2 5 6 8 4" xfId="23266"/>
    <cellStyle name="Normale 3 2 2 5 6 9" xfId="8212"/>
    <cellStyle name="Normale 3 2 2 5 7" xfId="820"/>
    <cellStyle name="Normale 3 2 2 5 7 10" xfId="15691"/>
    <cellStyle name="Normale 3 2 2 5 7 11" xfId="24920"/>
    <cellStyle name="Normale 3 2 2 5 7 12" xfId="30492"/>
    <cellStyle name="Normale 3 2 2 5 7 13" xfId="31435"/>
    <cellStyle name="Normale 3 2 2 5 7 14" xfId="32347"/>
    <cellStyle name="Normale 3 2 2 5 7 15" xfId="33263"/>
    <cellStyle name="Normale 3 2 2 5 7 16" xfId="34218"/>
    <cellStyle name="Normale 3 2 2 5 7 17" xfId="35150"/>
    <cellStyle name="Normale 3 2 2 5 7 18" xfId="36076"/>
    <cellStyle name="Normale 3 2 2 5 7 19" xfId="37001"/>
    <cellStyle name="Normale 3 2 2 5 7 2" xfId="1785"/>
    <cellStyle name="Normale 3 2 2 5 7 2 2" xfId="9248"/>
    <cellStyle name="Normale 3 2 2 5 7 2 3" xfId="16656"/>
    <cellStyle name="Normale 3 2 2 5 7 2 4" xfId="28425"/>
    <cellStyle name="Normale 3 2 2 5 7 20" xfId="37902"/>
    <cellStyle name="Normale 3 2 2 5 7 3" xfId="2718"/>
    <cellStyle name="Normale 3 2 2 5 7 3 2" xfId="10181"/>
    <cellStyle name="Normale 3 2 2 5 7 3 3" xfId="17589"/>
    <cellStyle name="Normale 3 2 2 5 7 3 4" xfId="26669"/>
    <cellStyle name="Normale 3 2 2 5 7 4" xfId="3633"/>
    <cellStyle name="Normale 3 2 2 5 7 4 2" xfId="11096"/>
    <cellStyle name="Normale 3 2 2 5 7 4 3" xfId="18504"/>
    <cellStyle name="Normale 3 2 2 5 7 4 4" xfId="24473"/>
    <cellStyle name="Normale 3 2 2 5 7 5" xfId="4573"/>
    <cellStyle name="Normale 3 2 2 5 7 5 2" xfId="12036"/>
    <cellStyle name="Normale 3 2 2 5 7 5 3" xfId="19444"/>
    <cellStyle name="Normale 3 2 2 5 7 5 4" xfId="29472"/>
    <cellStyle name="Normale 3 2 2 5 7 6" xfId="5488"/>
    <cellStyle name="Normale 3 2 2 5 7 6 2" xfId="12951"/>
    <cellStyle name="Normale 3 2 2 5 7 6 3" xfId="20359"/>
    <cellStyle name="Normale 3 2 2 5 7 6 4" xfId="29303"/>
    <cellStyle name="Normale 3 2 2 5 7 7" xfId="6422"/>
    <cellStyle name="Normale 3 2 2 5 7 7 2" xfId="13885"/>
    <cellStyle name="Normale 3 2 2 5 7 7 3" xfId="21293"/>
    <cellStyle name="Normale 3 2 2 5 7 7 4" xfId="26754"/>
    <cellStyle name="Normale 3 2 2 5 7 8" xfId="7324"/>
    <cellStyle name="Normale 3 2 2 5 7 8 2" xfId="14787"/>
    <cellStyle name="Normale 3 2 2 5 7 8 3" xfId="22195"/>
    <cellStyle name="Normale 3 2 2 5 7 8 4" xfId="27409"/>
    <cellStyle name="Normale 3 2 2 5 7 9" xfId="8283"/>
    <cellStyle name="Normale 3 2 2 5 8" xfId="891"/>
    <cellStyle name="Normale 3 2 2 5 8 10" xfId="15762"/>
    <cellStyle name="Normale 3 2 2 5 8 11" xfId="23843"/>
    <cellStyle name="Normale 3 2 2 5 8 12" xfId="30560"/>
    <cellStyle name="Normale 3 2 2 5 8 13" xfId="31506"/>
    <cellStyle name="Normale 3 2 2 5 8 14" xfId="32417"/>
    <cellStyle name="Normale 3 2 2 5 8 15" xfId="33329"/>
    <cellStyle name="Normale 3 2 2 5 8 16" xfId="34289"/>
    <cellStyle name="Normale 3 2 2 5 8 17" xfId="35221"/>
    <cellStyle name="Normale 3 2 2 5 8 18" xfId="36147"/>
    <cellStyle name="Normale 3 2 2 5 8 19" xfId="37072"/>
    <cellStyle name="Normale 3 2 2 5 8 2" xfId="1856"/>
    <cellStyle name="Normale 3 2 2 5 8 2 2" xfId="9319"/>
    <cellStyle name="Normale 3 2 2 5 8 2 3" xfId="16727"/>
    <cellStyle name="Normale 3 2 2 5 8 2 4" xfId="28001"/>
    <cellStyle name="Normale 3 2 2 5 8 20" xfId="37968"/>
    <cellStyle name="Normale 3 2 2 5 8 3" xfId="2789"/>
    <cellStyle name="Normale 3 2 2 5 8 3 2" xfId="10252"/>
    <cellStyle name="Normale 3 2 2 5 8 3 3" xfId="17660"/>
    <cellStyle name="Normale 3 2 2 5 8 3 4" xfId="27396"/>
    <cellStyle name="Normale 3 2 2 5 8 4" xfId="3703"/>
    <cellStyle name="Normale 3 2 2 5 8 4 2" xfId="11166"/>
    <cellStyle name="Normale 3 2 2 5 8 4 3" xfId="18574"/>
    <cellStyle name="Normale 3 2 2 5 8 4 4" xfId="27620"/>
    <cellStyle name="Normale 3 2 2 5 8 5" xfId="4644"/>
    <cellStyle name="Normale 3 2 2 5 8 5 2" xfId="12107"/>
    <cellStyle name="Normale 3 2 2 5 8 5 3" xfId="19515"/>
    <cellStyle name="Normale 3 2 2 5 8 5 4" xfId="22829"/>
    <cellStyle name="Normale 3 2 2 5 8 6" xfId="5558"/>
    <cellStyle name="Normale 3 2 2 5 8 6 2" xfId="13021"/>
    <cellStyle name="Normale 3 2 2 5 8 6 3" xfId="20429"/>
    <cellStyle name="Normale 3 2 2 5 8 6 4" xfId="23502"/>
    <cellStyle name="Normale 3 2 2 5 8 7" xfId="6493"/>
    <cellStyle name="Normale 3 2 2 5 8 7 2" xfId="13956"/>
    <cellStyle name="Normale 3 2 2 5 8 7 3" xfId="21364"/>
    <cellStyle name="Normale 3 2 2 5 8 7 4" xfId="27420"/>
    <cellStyle name="Normale 3 2 2 5 8 8" xfId="7390"/>
    <cellStyle name="Normale 3 2 2 5 8 8 2" xfId="14853"/>
    <cellStyle name="Normale 3 2 2 5 8 8 3" xfId="22261"/>
    <cellStyle name="Normale 3 2 2 5 8 8 4" xfId="23274"/>
    <cellStyle name="Normale 3 2 2 5 8 9" xfId="8354"/>
    <cellStyle name="Normale 3 2 2 5 9" xfId="957"/>
    <cellStyle name="Normale 3 2 2 5 9 10" xfId="15828"/>
    <cellStyle name="Normale 3 2 2 5 9 11" xfId="29191"/>
    <cellStyle name="Normale 3 2 2 5 9 12" xfId="30623"/>
    <cellStyle name="Normale 3 2 2 5 9 13" xfId="31571"/>
    <cellStyle name="Normale 3 2 2 5 9 14" xfId="32482"/>
    <cellStyle name="Normale 3 2 2 5 9 15" xfId="33392"/>
    <cellStyle name="Normale 3 2 2 5 9 16" xfId="34355"/>
    <cellStyle name="Normale 3 2 2 5 9 17" xfId="35287"/>
    <cellStyle name="Normale 3 2 2 5 9 18" xfId="36212"/>
    <cellStyle name="Normale 3 2 2 5 9 19" xfId="37138"/>
    <cellStyle name="Normale 3 2 2 5 9 2" xfId="1922"/>
    <cellStyle name="Normale 3 2 2 5 9 2 2" xfId="9385"/>
    <cellStyle name="Normale 3 2 2 5 9 2 3" xfId="16793"/>
    <cellStyle name="Normale 3 2 2 5 9 2 4" xfId="23160"/>
    <cellStyle name="Normale 3 2 2 5 9 20" xfId="38031"/>
    <cellStyle name="Normale 3 2 2 5 9 3" xfId="2854"/>
    <cellStyle name="Normale 3 2 2 5 9 3 2" xfId="10317"/>
    <cellStyle name="Normale 3 2 2 5 9 3 3" xfId="17725"/>
    <cellStyle name="Normale 3 2 2 5 9 3 4" xfId="25409"/>
    <cellStyle name="Normale 3 2 2 5 9 4" xfId="3769"/>
    <cellStyle name="Normale 3 2 2 5 9 4 2" xfId="11232"/>
    <cellStyle name="Normale 3 2 2 5 9 4 3" xfId="18640"/>
    <cellStyle name="Normale 3 2 2 5 9 4 4" xfId="24469"/>
    <cellStyle name="Normale 3 2 2 5 9 5" xfId="4710"/>
    <cellStyle name="Normale 3 2 2 5 9 5 2" xfId="12173"/>
    <cellStyle name="Normale 3 2 2 5 9 5 3" xfId="19581"/>
    <cellStyle name="Normale 3 2 2 5 9 5 4" xfId="27010"/>
    <cellStyle name="Normale 3 2 2 5 9 6" xfId="5624"/>
    <cellStyle name="Normale 3 2 2 5 9 6 2" xfId="13087"/>
    <cellStyle name="Normale 3 2 2 5 9 6 3" xfId="20495"/>
    <cellStyle name="Normale 3 2 2 5 9 6 4" xfId="24968"/>
    <cellStyle name="Normale 3 2 2 5 9 7" xfId="6559"/>
    <cellStyle name="Normale 3 2 2 5 9 7 2" xfId="14022"/>
    <cellStyle name="Normale 3 2 2 5 9 7 3" xfId="21430"/>
    <cellStyle name="Normale 3 2 2 5 9 7 4" xfId="23643"/>
    <cellStyle name="Normale 3 2 2 5 9 8" xfId="7453"/>
    <cellStyle name="Normale 3 2 2 5 9 8 2" xfId="14916"/>
    <cellStyle name="Normale 3 2 2 5 9 8 3" xfId="22324"/>
    <cellStyle name="Normale 3 2 2 5 9 8 4" xfId="19301"/>
    <cellStyle name="Normale 3 2 2 5 9 9" xfId="8420"/>
    <cellStyle name="Normale 3 2 2 6" xfId="38"/>
    <cellStyle name="Normale 3 2 2 6 10" xfId="2395"/>
    <cellStyle name="Normale 3 2 2 6 10 2" xfId="9858"/>
    <cellStyle name="Normale 3 2 2 6 10 3" xfId="17266"/>
    <cellStyle name="Normale 3 2 2 6 10 4" xfId="23392"/>
    <cellStyle name="Normale 3 2 2 6 11" xfId="3793"/>
    <cellStyle name="Normale 3 2 2 6 11 2" xfId="11256"/>
    <cellStyle name="Normale 3 2 2 6 11 3" xfId="18664"/>
    <cellStyle name="Normale 3 2 2 6 11 4" xfId="24273"/>
    <cellStyle name="Normale 3 2 2 6 12" xfId="4299"/>
    <cellStyle name="Normale 3 2 2 6 12 2" xfId="11762"/>
    <cellStyle name="Normale 3 2 2 6 12 3" xfId="19170"/>
    <cellStyle name="Normale 3 2 2 6 12 4" xfId="28357"/>
    <cellStyle name="Normale 3 2 2 6 13" xfId="5647"/>
    <cellStyle name="Normale 3 2 2 6 13 2" xfId="13110"/>
    <cellStyle name="Normale 3 2 2 6 13 3" xfId="20518"/>
    <cellStyle name="Normale 3 2 2 6 13 4" xfId="25772"/>
    <cellStyle name="Normale 3 2 2 6 14" xfId="6150"/>
    <cellStyle name="Normale 3 2 2 6 14 2" xfId="13613"/>
    <cellStyle name="Normale 3 2 2 6 14 3" xfId="21021"/>
    <cellStyle name="Normale 3 2 2 6 14 4" xfId="28565"/>
    <cellStyle name="Normale 3 2 2 6 15" xfId="7503"/>
    <cellStyle name="Normale 3 2 2 6 16" xfId="8147"/>
    <cellStyle name="Normale 3 2 2 6 17" xfId="27125"/>
    <cellStyle name="Normale 3 2 2 6 18" xfId="29729"/>
    <cellStyle name="Normale 3 2 2 6 19" xfId="30659"/>
    <cellStyle name="Normale 3 2 2 6 2" xfId="236"/>
    <cellStyle name="Normale 3 2 2 6 2 10" xfId="15109"/>
    <cellStyle name="Normale 3 2 2 6 2 11" xfId="26821"/>
    <cellStyle name="Normale 3 2 2 6 2 12" xfId="29921"/>
    <cellStyle name="Normale 3 2 2 6 2 13" xfId="30853"/>
    <cellStyle name="Normale 3 2 2 6 2 14" xfId="31774"/>
    <cellStyle name="Normale 3 2 2 6 2 15" xfId="32699"/>
    <cellStyle name="Normale 3 2 2 6 2 16" xfId="33636"/>
    <cellStyle name="Normale 3 2 2 6 2 17" xfId="34566"/>
    <cellStyle name="Normale 3 2 2 6 2 18" xfId="35492"/>
    <cellStyle name="Normale 3 2 2 6 2 19" xfId="36418"/>
    <cellStyle name="Normale 3 2 2 6 2 2" xfId="1203"/>
    <cellStyle name="Normale 3 2 2 6 2 2 2" xfId="8666"/>
    <cellStyle name="Normale 3 2 2 6 2 2 3" xfId="16074"/>
    <cellStyle name="Normale 3 2 2 6 2 2 4" xfId="23887"/>
    <cellStyle name="Normale 3 2 2 6 2 20" xfId="37338"/>
    <cellStyle name="Normale 3 2 2 6 2 3" xfId="2134"/>
    <cellStyle name="Normale 3 2 2 6 2 3 2" xfId="9597"/>
    <cellStyle name="Normale 3 2 2 6 2 3 3" xfId="17005"/>
    <cellStyle name="Normale 3 2 2 6 2 3 4" xfId="28575"/>
    <cellStyle name="Normale 3 2 2 6 2 4" xfId="3056"/>
    <cellStyle name="Normale 3 2 2 6 2 4 2" xfId="10519"/>
    <cellStyle name="Normale 3 2 2 6 2 4 3" xfId="17927"/>
    <cellStyle name="Normale 3 2 2 6 2 4 4" xfId="29270"/>
    <cellStyle name="Normale 3 2 2 6 2 5" xfId="3989"/>
    <cellStyle name="Normale 3 2 2 6 2 5 2" xfId="11452"/>
    <cellStyle name="Normale 3 2 2 6 2 5 3" xfId="18860"/>
    <cellStyle name="Normale 3 2 2 6 2 5 4" xfId="28139"/>
    <cellStyle name="Normale 3 2 2 6 2 6" xfId="4912"/>
    <cellStyle name="Normale 3 2 2 6 2 6 2" xfId="12375"/>
    <cellStyle name="Normale 3 2 2 6 2 6 3" xfId="19783"/>
    <cellStyle name="Normale 3 2 2 6 2 6 4" xfId="26573"/>
    <cellStyle name="Normale 3 2 2 6 2 7" xfId="5840"/>
    <cellStyle name="Normale 3 2 2 6 2 7 2" xfId="13303"/>
    <cellStyle name="Normale 3 2 2 6 2 7 3" xfId="20711"/>
    <cellStyle name="Normale 3 2 2 6 2 7 4" xfId="26818"/>
    <cellStyle name="Normale 3 2 2 6 2 8" xfId="6760"/>
    <cellStyle name="Normale 3 2 2 6 2 8 2" xfId="14223"/>
    <cellStyle name="Normale 3 2 2 6 2 8 3" xfId="21631"/>
    <cellStyle name="Normale 3 2 2 6 2 8 4" xfId="29295"/>
    <cellStyle name="Normale 3 2 2 6 2 9" xfId="7699"/>
    <cellStyle name="Normale 3 2 2 6 20" xfId="31066"/>
    <cellStyle name="Normale 3 2 2 6 21" xfId="32508"/>
    <cellStyle name="Normale 3 2 2 6 22" xfId="33442"/>
    <cellStyle name="Normale 3 2 2 6 23" xfId="33607"/>
    <cellStyle name="Normale 3 2 2 6 24" xfId="34876"/>
    <cellStyle name="Normale 3 2 2 6 25" xfId="35705"/>
    <cellStyle name="Normale 3 2 2 6 26" xfId="36728"/>
    <cellStyle name="Normale 3 2 2 6 3" xfId="680"/>
    <cellStyle name="Normale 3 2 2 6 3 10" xfId="15551"/>
    <cellStyle name="Normale 3 2 2 6 3 11" xfId="27851"/>
    <cellStyle name="Normale 3 2 2 6 3 12" xfId="30354"/>
    <cellStyle name="Normale 3 2 2 6 3 13" xfId="31295"/>
    <cellStyle name="Normale 3 2 2 6 3 14" xfId="32209"/>
    <cellStyle name="Normale 3 2 2 6 3 15" xfId="33127"/>
    <cellStyle name="Normale 3 2 2 6 3 16" xfId="34078"/>
    <cellStyle name="Normale 3 2 2 6 3 17" xfId="35010"/>
    <cellStyle name="Normale 3 2 2 6 3 18" xfId="35936"/>
    <cellStyle name="Normale 3 2 2 6 3 19" xfId="36861"/>
    <cellStyle name="Normale 3 2 2 6 3 2" xfId="1645"/>
    <cellStyle name="Normale 3 2 2 6 3 2 2" xfId="9108"/>
    <cellStyle name="Normale 3 2 2 6 3 2 3" xfId="16516"/>
    <cellStyle name="Normale 3 2 2 6 3 2 4" xfId="27501"/>
    <cellStyle name="Normale 3 2 2 6 3 20" xfId="37766"/>
    <cellStyle name="Normale 3 2 2 6 3 3" xfId="2578"/>
    <cellStyle name="Normale 3 2 2 6 3 3 2" xfId="10041"/>
    <cellStyle name="Normale 3 2 2 6 3 3 3" xfId="17449"/>
    <cellStyle name="Normale 3 2 2 6 3 3 4" xfId="25024"/>
    <cellStyle name="Normale 3 2 2 6 3 4" xfId="3494"/>
    <cellStyle name="Normale 3 2 2 6 3 4 2" xfId="10957"/>
    <cellStyle name="Normale 3 2 2 6 3 4 3" xfId="18365"/>
    <cellStyle name="Normale 3 2 2 6 3 4 4" xfId="27230"/>
    <cellStyle name="Normale 3 2 2 6 3 5" xfId="4433"/>
    <cellStyle name="Normale 3 2 2 6 3 5 2" xfId="11896"/>
    <cellStyle name="Normale 3 2 2 6 3 5 3" xfId="19304"/>
    <cellStyle name="Normale 3 2 2 6 3 5 4" xfId="25921"/>
    <cellStyle name="Normale 3 2 2 6 3 6" xfId="5349"/>
    <cellStyle name="Normale 3 2 2 6 3 6 2" xfId="12812"/>
    <cellStyle name="Normale 3 2 2 6 3 6 3" xfId="20220"/>
    <cellStyle name="Normale 3 2 2 6 3 6 4" xfId="27478"/>
    <cellStyle name="Normale 3 2 2 6 3 7" xfId="6282"/>
    <cellStyle name="Normale 3 2 2 6 3 7 2" xfId="13745"/>
    <cellStyle name="Normale 3 2 2 6 3 7 3" xfId="21153"/>
    <cellStyle name="Normale 3 2 2 6 3 7 4" xfId="25003"/>
    <cellStyle name="Normale 3 2 2 6 3 8" xfId="7188"/>
    <cellStyle name="Normale 3 2 2 6 3 8 2" xfId="14651"/>
    <cellStyle name="Normale 3 2 2 6 3 8 3" xfId="22059"/>
    <cellStyle name="Normale 3 2 2 6 3 8 4" xfId="27408"/>
    <cellStyle name="Normale 3 2 2 6 3 9" xfId="8143"/>
    <cellStyle name="Normale 3 2 2 6 4" xfId="765"/>
    <cellStyle name="Normale 3 2 2 6 4 10" xfId="15636"/>
    <cellStyle name="Normale 3 2 2 6 4 11" xfId="25618"/>
    <cellStyle name="Normale 3 2 2 6 4 12" xfId="30439"/>
    <cellStyle name="Normale 3 2 2 6 4 13" xfId="31380"/>
    <cellStyle name="Normale 3 2 2 6 4 14" xfId="32293"/>
    <cellStyle name="Normale 3 2 2 6 4 15" xfId="33210"/>
    <cellStyle name="Normale 3 2 2 6 4 16" xfId="34163"/>
    <cellStyle name="Normale 3 2 2 6 4 17" xfId="35095"/>
    <cellStyle name="Normale 3 2 2 6 4 18" xfId="36021"/>
    <cellStyle name="Normale 3 2 2 6 4 19" xfId="36946"/>
    <cellStyle name="Normale 3 2 2 6 4 2" xfId="1730"/>
    <cellStyle name="Normale 3 2 2 6 4 2 2" xfId="9193"/>
    <cellStyle name="Normale 3 2 2 6 4 2 3" xfId="16601"/>
    <cellStyle name="Normale 3 2 2 6 4 2 4" xfId="22486"/>
    <cellStyle name="Normale 3 2 2 6 4 20" xfId="37849"/>
    <cellStyle name="Normale 3 2 2 6 4 3" xfId="2663"/>
    <cellStyle name="Normale 3 2 2 6 4 3 2" xfId="10126"/>
    <cellStyle name="Normale 3 2 2 6 4 3 3" xfId="17534"/>
    <cellStyle name="Normale 3 2 2 6 4 3 4" xfId="27588"/>
    <cellStyle name="Normale 3 2 2 6 4 4" xfId="3579"/>
    <cellStyle name="Normale 3 2 2 6 4 4 2" xfId="11042"/>
    <cellStyle name="Normale 3 2 2 6 4 4 3" xfId="18450"/>
    <cellStyle name="Normale 3 2 2 6 4 4 4" xfId="23872"/>
    <cellStyle name="Normale 3 2 2 6 4 5" xfId="4518"/>
    <cellStyle name="Normale 3 2 2 6 4 5 2" xfId="11981"/>
    <cellStyle name="Normale 3 2 2 6 4 5 3" xfId="19389"/>
    <cellStyle name="Normale 3 2 2 6 4 5 4" xfId="23059"/>
    <cellStyle name="Normale 3 2 2 6 4 6" xfId="5434"/>
    <cellStyle name="Normale 3 2 2 6 4 6 2" xfId="12897"/>
    <cellStyle name="Normale 3 2 2 6 4 6 3" xfId="20305"/>
    <cellStyle name="Normale 3 2 2 6 4 6 4" xfId="22391"/>
    <cellStyle name="Normale 3 2 2 6 4 7" xfId="6367"/>
    <cellStyle name="Normale 3 2 2 6 4 7 2" xfId="13830"/>
    <cellStyle name="Normale 3 2 2 6 4 7 3" xfId="21238"/>
    <cellStyle name="Normale 3 2 2 6 4 7 4" xfId="27674"/>
    <cellStyle name="Normale 3 2 2 6 4 8" xfId="7271"/>
    <cellStyle name="Normale 3 2 2 6 4 8 2" xfId="14734"/>
    <cellStyle name="Normale 3 2 2 6 4 8 3" xfId="22142"/>
    <cellStyle name="Normale 3 2 2 6 4 8 4" xfId="23851"/>
    <cellStyle name="Normale 3 2 2 6 4 9" xfId="8228"/>
    <cellStyle name="Normale 3 2 2 6 5" xfId="836"/>
    <cellStyle name="Normale 3 2 2 6 5 10" xfId="15707"/>
    <cellStyle name="Normale 3 2 2 6 5 11" xfId="24543"/>
    <cellStyle name="Normale 3 2 2 6 5 12" xfId="30508"/>
    <cellStyle name="Normale 3 2 2 6 5 13" xfId="31451"/>
    <cellStyle name="Normale 3 2 2 6 5 14" xfId="32363"/>
    <cellStyle name="Normale 3 2 2 6 5 15" xfId="33278"/>
    <cellStyle name="Normale 3 2 2 6 5 16" xfId="34234"/>
    <cellStyle name="Normale 3 2 2 6 5 17" xfId="35166"/>
    <cellStyle name="Normale 3 2 2 6 5 18" xfId="36092"/>
    <cellStyle name="Normale 3 2 2 6 5 19" xfId="37017"/>
    <cellStyle name="Normale 3 2 2 6 5 2" xfId="1801"/>
    <cellStyle name="Normale 3 2 2 6 5 2 2" xfId="9264"/>
    <cellStyle name="Normale 3 2 2 6 5 2 3" xfId="16672"/>
    <cellStyle name="Normale 3 2 2 6 5 2 4" xfId="28326"/>
    <cellStyle name="Normale 3 2 2 6 5 20" xfId="37917"/>
    <cellStyle name="Normale 3 2 2 6 5 3" xfId="2734"/>
    <cellStyle name="Normale 3 2 2 6 5 3 2" xfId="10197"/>
    <cellStyle name="Normale 3 2 2 6 5 3 3" xfId="17605"/>
    <cellStyle name="Normale 3 2 2 6 5 3 4" xfId="26338"/>
    <cellStyle name="Normale 3 2 2 6 5 4" xfId="3649"/>
    <cellStyle name="Normale 3 2 2 6 5 4 2" xfId="11112"/>
    <cellStyle name="Normale 3 2 2 6 5 4 3" xfId="18520"/>
    <cellStyle name="Normale 3 2 2 6 5 4 4" xfId="25387"/>
    <cellStyle name="Normale 3 2 2 6 5 5" xfId="4589"/>
    <cellStyle name="Normale 3 2 2 6 5 5 2" xfId="12052"/>
    <cellStyle name="Normale 3 2 2 6 5 5 3" xfId="19460"/>
    <cellStyle name="Normale 3 2 2 6 5 5 4" xfId="29342"/>
    <cellStyle name="Normale 3 2 2 6 5 6" xfId="5504"/>
    <cellStyle name="Normale 3 2 2 6 5 6 2" xfId="12967"/>
    <cellStyle name="Normale 3 2 2 6 5 6 3" xfId="20375"/>
    <cellStyle name="Normale 3 2 2 6 5 6 4" xfId="29209"/>
    <cellStyle name="Normale 3 2 2 6 5 7" xfId="6438"/>
    <cellStyle name="Normale 3 2 2 6 5 7 2" xfId="13901"/>
    <cellStyle name="Normale 3 2 2 6 5 7 3" xfId="21309"/>
    <cellStyle name="Normale 3 2 2 6 5 7 4" xfId="26616"/>
    <cellStyle name="Normale 3 2 2 6 5 8" xfId="7339"/>
    <cellStyle name="Normale 3 2 2 6 5 8 2" xfId="14802"/>
    <cellStyle name="Normale 3 2 2 6 5 8 3" xfId="22210"/>
    <cellStyle name="Normale 3 2 2 6 5 8 4" xfId="28242"/>
    <cellStyle name="Normale 3 2 2 6 5 9" xfId="8299"/>
    <cellStyle name="Normale 3 2 2 6 6" xfId="907"/>
    <cellStyle name="Normale 3 2 2 6 6 10" xfId="15778"/>
    <cellStyle name="Normale 3 2 2 6 6 11" xfId="22698"/>
    <cellStyle name="Normale 3 2 2 6 6 12" xfId="30576"/>
    <cellStyle name="Normale 3 2 2 6 6 13" xfId="31522"/>
    <cellStyle name="Normale 3 2 2 6 6 14" xfId="32433"/>
    <cellStyle name="Normale 3 2 2 6 6 15" xfId="33345"/>
    <cellStyle name="Normale 3 2 2 6 6 16" xfId="34305"/>
    <cellStyle name="Normale 3 2 2 6 6 17" xfId="35237"/>
    <cellStyle name="Normale 3 2 2 6 6 18" xfId="36163"/>
    <cellStyle name="Normale 3 2 2 6 6 19" xfId="37088"/>
    <cellStyle name="Normale 3 2 2 6 6 2" xfId="1872"/>
    <cellStyle name="Normale 3 2 2 6 6 2 2" xfId="9335"/>
    <cellStyle name="Normale 3 2 2 6 6 2 3" xfId="16743"/>
    <cellStyle name="Normale 3 2 2 6 6 2 4" xfId="28913"/>
    <cellStyle name="Normale 3 2 2 6 6 20" xfId="37984"/>
    <cellStyle name="Normale 3 2 2 6 6 3" xfId="2805"/>
    <cellStyle name="Normale 3 2 2 6 6 3 2" xfId="10268"/>
    <cellStyle name="Normale 3 2 2 6 6 3 3" xfId="17676"/>
    <cellStyle name="Normale 3 2 2 6 6 3 4" xfId="27244"/>
    <cellStyle name="Normale 3 2 2 6 6 4" xfId="3719"/>
    <cellStyle name="Normale 3 2 2 6 6 4 2" xfId="11182"/>
    <cellStyle name="Normale 3 2 2 6 6 4 3" xfId="18590"/>
    <cellStyle name="Normale 3 2 2 6 6 4 4" xfId="27487"/>
    <cellStyle name="Normale 3 2 2 6 6 5" xfId="4660"/>
    <cellStyle name="Normale 3 2 2 6 6 5 2" xfId="12123"/>
    <cellStyle name="Normale 3 2 2 6 6 5 3" xfId="19531"/>
    <cellStyle name="Normale 3 2 2 6 6 5 4" xfId="22738"/>
    <cellStyle name="Normale 3 2 2 6 6 6" xfId="5574"/>
    <cellStyle name="Normale 3 2 2 6 6 6 2" xfId="13037"/>
    <cellStyle name="Normale 3 2 2 6 6 6 3" xfId="20445"/>
    <cellStyle name="Normale 3 2 2 6 6 6 4" xfId="22388"/>
    <cellStyle name="Normale 3 2 2 6 6 7" xfId="6509"/>
    <cellStyle name="Normale 3 2 2 6 6 7 2" xfId="13972"/>
    <cellStyle name="Normale 3 2 2 6 6 7 3" xfId="21380"/>
    <cellStyle name="Normale 3 2 2 6 6 7 4" xfId="27325"/>
    <cellStyle name="Normale 3 2 2 6 6 8" xfId="7406"/>
    <cellStyle name="Normale 3 2 2 6 6 8 2" xfId="14869"/>
    <cellStyle name="Normale 3 2 2 6 6 8 3" xfId="22277"/>
    <cellStyle name="Normale 3 2 2 6 6 8 4" xfId="24350"/>
    <cellStyle name="Normale 3 2 2 6 6 9" xfId="8370"/>
    <cellStyle name="Normale 3 2 2 6 7" xfId="968"/>
    <cellStyle name="Normale 3 2 2 6 7 10" xfId="15839"/>
    <cellStyle name="Normale 3 2 2 6 7 11" xfId="26381"/>
    <cellStyle name="Normale 3 2 2 6 7 12" xfId="30634"/>
    <cellStyle name="Normale 3 2 2 6 7 13" xfId="31582"/>
    <cellStyle name="Normale 3 2 2 6 7 14" xfId="32493"/>
    <cellStyle name="Normale 3 2 2 6 7 15" xfId="33403"/>
    <cellStyle name="Normale 3 2 2 6 7 16" xfId="34366"/>
    <cellStyle name="Normale 3 2 2 6 7 17" xfId="35298"/>
    <cellStyle name="Normale 3 2 2 6 7 18" xfId="36223"/>
    <cellStyle name="Normale 3 2 2 6 7 19" xfId="37149"/>
    <cellStyle name="Normale 3 2 2 6 7 2" xfId="1933"/>
    <cellStyle name="Normale 3 2 2 6 7 2 2" xfId="9396"/>
    <cellStyle name="Normale 3 2 2 6 7 2 3" xfId="16804"/>
    <cellStyle name="Normale 3 2 2 6 7 2 4" xfId="27702"/>
    <cellStyle name="Normale 3 2 2 6 7 20" xfId="38042"/>
    <cellStyle name="Normale 3 2 2 6 7 3" xfId="2865"/>
    <cellStyle name="Normale 3 2 2 6 7 3 2" xfId="10328"/>
    <cellStyle name="Normale 3 2 2 6 7 3 3" xfId="17736"/>
    <cellStyle name="Normale 3 2 2 6 7 3 4" xfId="23380"/>
    <cellStyle name="Normale 3 2 2 6 7 4" xfId="3780"/>
    <cellStyle name="Normale 3 2 2 6 7 4 2" xfId="11243"/>
    <cellStyle name="Normale 3 2 2 6 7 4 3" xfId="18651"/>
    <cellStyle name="Normale 3 2 2 6 7 4 4" xfId="22622"/>
    <cellStyle name="Normale 3 2 2 6 7 5" xfId="4721"/>
    <cellStyle name="Normale 3 2 2 6 7 5 2" xfId="12184"/>
    <cellStyle name="Normale 3 2 2 6 7 5 3" xfId="19592"/>
    <cellStyle name="Normale 3 2 2 6 7 5 4" xfId="24445"/>
    <cellStyle name="Normale 3 2 2 6 7 6" xfId="5635"/>
    <cellStyle name="Normale 3 2 2 6 7 6 2" xfId="13098"/>
    <cellStyle name="Normale 3 2 2 6 7 6 3" xfId="20506"/>
    <cellStyle name="Normale 3 2 2 6 7 6 4" xfId="29497"/>
    <cellStyle name="Normale 3 2 2 6 7 7" xfId="6570"/>
    <cellStyle name="Normale 3 2 2 6 7 7 2" xfId="14033"/>
    <cellStyle name="Normale 3 2 2 6 7 7 3" xfId="21441"/>
    <cellStyle name="Normale 3 2 2 6 7 7 4" xfId="22363"/>
    <cellStyle name="Normale 3 2 2 6 7 8" xfId="7464"/>
    <cellStyle name="Normale 3 2 2 6 7 8 2" xfId="14927"/>
    <cellStyle name="Normale 3 2 2 6 7 8 3" xfId="22335"/>
    <cellStyle name="Normale 3 2 2 6 7 8 4" xfId="29692"/>
    <cellStyle name="Normale 3 2 2 6 7 9" xfId="8431"/>
    <cellStyle name="Normale 3 2 2 6 8" xfId="1011"/>
    <cellStyle name="Normale 3 2 2 6 8 2" xfId="8474"/>
    <cellStyle name="Normale 3 2 2 6 8 3" xfId="15882"/>
    <cellStyle name="Normale 3 2 2 6 8 4" xfId="22695"/>
    <cellStyle name="Normale 3 2 2 6 9" xfId="1798"/>
    <cellStyle name="Normale 3 2 2 6 9 2" xfId="9261"/>
    <cellStyle name="Normale 3 2 2 6 9 3" xfId="16669"/>
    <cellStyle name="Normale 3 2 2 6 9 4" xfId="23774"/>
    <cellStyle name="Normale 3 2 2 7" xfId="221"/>
    <cellStyle name="Normale 3 2 2 7 10" xfId="15094"/>
    <cellStyle name="Normale 3 2 2 7 11" xfId="26024"/>
    <cellStyle name="Normale 3 2 2 7 12" xfId="29906"/>
    <cellStyle name="Normale 3 2 2 7 13" xfId="30838"/>
    <cellStyle name="Normale 3 2 2 7 14" xfId="31759"/>
    <cellStyle name="Normale 3 2 2 7 15" xfId="32684"/>
    <cellStyle name="Normale 3 2 2 7 16" xfId="33621"/>
    <cellStyle name="Normale 3 2 2 7 17" xfId="34551"/>
    <cellStyle name="Normale 3 2 2 7 18" xfId="35477"/>
    <cellStyle name="Normale 3 2 2 7 19" xfId="36403"/>
    <cellStyle name="Normale 3 2 2 7 2" xfId="1188"/>
    <cellStyle name="Normale 3 2 2 7 2 2" xfId="8651"/>
    <cellStyle name="Normale 3 2 2 7 2 3" xfId="16059"/>
    <cellStyle name="Normale 3 2 2 7 2 4" xfId="23027"/>
    <cellStyle name="Normale 3 2 2 7 20" xfId="37323"/>
    <cellStyle name="Normale 3 2 2 7 3" xfId="2119"/>
    <cellStyle name="Normale 3 2 2 7 3 2" xfId="9582"/>
    <cellStyle name="Normale 3 2 2 7 3 3" xfId="16990"/>
    <cellStyle name="Normale 3 2 2 7 3 4" xfId="27788"/>
    <cellStyle name="Normale 3 2 2 7 4" xfId="3041"/>
    <cellStyle name="Normale 3 2 2 7 4 2" xfId="10504"/>
    <cellStyle name="Normale 3 2 2 7 4 3" xfId="17912"/>
    <cellStyle name="Normale 3 2 2 7 4 4" xfId="28475"/>
    <cellStyle name="Normale 3 2 2 7 5" xfId="3974"/>
    <cellStyle name="Normale 3 2 2 7 5 2" xfId="11437"/>
    <cellStyle name="Normale 3 2 2 7 5 3" xfId="18845"/>
    <cellStyle name="Normale 3 2 2 7 5 4" xfId="28138"/>
    <cellStyle name="Normale 3 2 2 7 6" xfId="4897"/>
    <cellStyle name="Normale 3 2 2 7 6 2" xfId="12360"/>
    <cellStyle name="Normale 3 2 2 7 6 3" xfId="19768"/>
    <cellStyle name="Normale 3 2 2 7 6 4" xfId="25777"/>
    <cellStyle name="Normale 3 2 2 7 7" xfId="5825"/>
    <cellStyle name="Normale 3 2 2 7 7 2" xfId="13288"/>
    <cellStyle name="Normale 3 2 2 7 7 3" xfId="20696"/>
    <cellStyle name="Normale 3 2 2 7 7 4" xfId="26021"/>
    <cellStyle name="Normale 3 2 2 7 8" xfId="6745"/>
    <cellStyle name="Normale 3 2 2 7 8 2" xfId="14208"/>
    <cellStyle name="Normale 3 2 2 7 8 3" xfId="21616"/>
    <cellStyle name="Normale 3 2 2 7 8 4" xfId="23929"/>
    <cellStyle name="Normale 3 2 2 7 9" xfId="7684"/>
    <cellStyle name="Normale 3 2 2 8" xfId="405"/>
    <cellStyle name="Normale 3 2 2 8 10" xfId="15278"/>
    <cellStyle name="Normale 3 2 2 8 11" xfId="26017"/>
    <cellStyle name="Normale 3 2 2 8 12" xfId="30090"/>
    <cellStyle name="Normale 3 2 2 8 13" xfId="31022"/>
    <cellStyle name="Normale 3 2 2 8 14" xfId="31943"/>
    <cellStyle name="Normale 3 2 2 8 15" xfId="32867"/>
    <cellStyle name="Normale 3 2 2 8 16" xfId="33805"/>
    <cellStyle name="Normale 3 2 2 8 17" xfId="34735"/>
    <cellStyle name="Normale 3 2 2 8 18" xfId="35661"/>
    <cellStyle name="Normale 3 2 2 8 19" xfId="36587"/>
    <cellStyle name="Normale 3 2 2 8 2" xfId="1372"/>
    <cellStyle name="Normale 3 2 2 8 2 2" xfId="8835"/>
    <cellStyle name="Normale 3 2 2 8 2 3" xfId="16243"/>
    <cellStyle name="Normale 3 2 2 8 2 4" xfId="23199"/>
    <cellStyle name="Normale 3 2 2 8 20" xfId="37506"/>
    <cellStyle name="Normale 3 2 2 8 3" xfId="2303"/>
    <cellStyle name="Normale 3 2 2 8 3 2" xfId="9766"/>
    <cellStyle name="Normale 3 2 2 8 3 3" xfId="17174"/>
    <cellStyle name="Normale 3 2 2 8 3 4" xfId="27771"/>
    <cellStyle name="Normale 3 2 2 8 4" xfId="3225"/>
    <cellStyle name="Normale 3 2 2 8 4 2" xfId="10688"/>
    <cellStyle name="Normale 3 2 2 8 4 3" xfId="18096"/>
    <cellStyle name="Normale 3 2 2 8 4 4" xfId="23817"/>
    <cellStyle name="Normale 3 2 2 8 5" xfId="4158"/>
    <cellStyle name="Normale 3 2 2 8 5 2" xfId="11621"/>
    <cellStyle name="Normale 3 2 2 8 5 3" xfId="19029"/>
    <cellStyle name="Normale 3 2 2 8 5 4" xfId="28358"/>
    <cellStyle name="Normale 3 2 2 8 6" xfId="5081"/>
    <cellStyle name="Normale 3 2 2 8 6 2" xfId="12544"/>
    <cellStyle name="Normale 3 2 2 8 6 3" xfId="19952"/>
    <cellStyle name="Normale 3 2 2 8 6 4" xfId="25979"/>
    <cellStyle name="Normale 3 2 2 8 7" xfId="6009"/>
    <cellStyle name="Normale 3 2 2 8 7 2" xfId="13472"/>
    <cellStyle name="Normale 3 2 2 8 7 3" xfId="20880"/>
    <cellStyle name="Normale 3 2 2 8 7 4" xfId="25965"/>
    <cellStyle name="Normale 3 2 2 8 8" xfId="6928"/>
    <cellStyle name="Normale 3 2 2 8 8 2" xfId="14391"/>
    <cellStyle name="Normale 3 2 2 8 8 3" xfId="21799"/>
    <cellStyle name="Normale 3 2 2 8 8 4" xfId="24709"/>
    <cellStyle name="Normale 3 2 2 8 9" xfId="7868"/>
    <cellStyle name="Normale 3 2 2 9" xfId="453"/>
    <cellStyle name="Normale 3 2 2 9 10" xfId="15326"/>
    <cellStyle name="Normale 3 2 2 9 11" xfId="25620"/>
    <cellStyle name="Normale 3 2 2 9 12" xfId="30138"/>
    <cellStyle name="Normale 3 2 2 9 13" xfId="31070"/>
    <cellStyle name="Normale 3 2 2 9 14" xfId="31991"/>
    <cellStyle name="Normale 3 2 2 9 15" xfId="32914"/>
    <cellStyle name="Normale 3 2 2 9 16" xfId="33853"/>
    <cellStyle name="Normale 3 2 2 9 17" xfId="34783"/>
    <cellStyle name="Normale 3 2 2 9 18" xfId="35709"/>
    <cellStyle name="Normale 3 2 2 9 19" xfId="36635"/>
    <cellStyle name="Normale 3 2 2 9 2" xfId="1420"/>
    <cellStyle name="Normale 3 2 2 9 2 2" xfId="8883"/>
    <cellStyle name="Normale 3 2 2 9 2 3" xfId="16291"/>
    <cellStyle name="Normale 3 2 2 9 2 4" xfId="28791"/>
    <cellStyle name="Normale 3 2 2 9 20" xfId="37553"/>
    <cellStyle name="Normale 3 2 2 9 3" xfId="2351"/>
    <cellStyle name="Normale 3 2 2 9 3 2" xfId="9814"/>
    <cellStyle name="Normale 3 2 2 9 3 3" xfId="17222"/>
    <cellStyle name="Normale 3 2 2 9 3 4" xfId="27398"/>
    <cellStyle name="Normale 3 2 2 9 4" xfId="3273"/>
    <cellStyle name="Normale 3 2 2 9 4 2" xfId="10736"/>
    <cellStyle name="Normale 3 2 2 9 4 3" xfId="18144"/>
    <cellStyle name="Normale 3 2 2 9 4 4" xfId="25710"/>
    <cellStyle name="Normale 3 2 2 9 5" xfId="4206"/>
    <cellStyle name="Normale 3 2 2 9 5 2" xfId="11669"/>
    <cellStyle name="Normale 3 2 2 9 5 3" xfId="19077"/>
    <cellStyle name="Normale 3 2 2 9 5 4" xfId="27940"/>
    <cellStyle name="Normale 3 2 2 9 6" xfId="5129"/>
    <cellStyle name="Normale 3 2 2 9 6 2" xfId="12592"/>
    <cellStyle name="Normale 3 2 2 9 6 3" xfId="20000"/>
    <cellStyle name="Normale 3 2 2 9 6 4" xfId="24193"/>
    <cellStyle name="Normale 3 2 2 9 7" xfId="6057"/>
    <cellStyle name="Normale 3 2 2 9 7 2" xfId="13520"/>
    <cellStyle name="Normale 3 2 2 9 7 3" xfId="20928"/>
    <cellStyle name="Normale 3 2 2 9 7 4" xfId="25585"/>
    <cellStyle name="Normale 3 2 2 9 8" xfId="6975"/>
    <cellStyle name="Normale 3 2 2 9 8 2" xfId="14438"/>
    <cellStyle name="Normale 3 2 2 9 8 3" xfId="21846"/>
    <cellStyle name="Normale 3 2 2 9 8 4" xfId="27599"/>
    <cellStyle name="Normale 3 2 2 9 9" xfId="7916"/>
    <cellStyle name="Normale 3 2 20" xfId="2869"/>
    <cellStyle name="Normale 3 2 20 2" xfId="10332"/>
    <cellStyle name="Normale 3 2 20 3" xfId="17740"/>
    <cellStyle name="Normale 3 2 20 4" xfId="27838"/>
    <cellStyle name="Normale 3 2 21" xfId="3498"/>
    <cellStyle name="Normale 3 2 21 2" xfId="10961"/>
    <cellStyle name="Normale 3 2 21 3" xfId="18369"/>
    <cellStyle name="Normale 3 2 21 4" xfId="23557"/>
    <cellStyle name="Normale 3 2 22" xfId="4726"/>
    <cellStyle name="Normale 3 2 22 2" xfId="12189"/>
    <cellStyle name="Normale 3 2 22 3" xfId="19597"/>
    <cellStyle name="Normale 3 2 22 4" xfId="27927"/>
    <cellStyle name="Normale 3 2 23" xfId="1875"/>
    <cellStyle name="Normale 3 2 23 2" xfId="9338"/>
    <cellStyle name="Normale 3 2 23 3" xfId="16746"/>
    <cellStyle name="Normale 3 2 23 4" xfId="26162"/>
    <cellStyle name="Normale 3 2 24" xfId="6575"/>
    <cellStyle name="Normale 3 2 24 2" xfId="14038"/>
    <cellStyle name="Normale 3 2 24 3" xfId="21446"/>
    <cellStyle name="Normale 3 2 24 4" xfId="24149"/>
    <cellStyle name="Normale 3 2 25" xfId="7487"/>
    <cellStyle name="Normale 3 2 26" xfId="8436"/>
    <cellStyle name="Normale 3 2 27" xfId="28292"/>
    <cellStyle name="Normale 3 2 28" xfId="29713"/>
    <cellStyle name="Normale 3 2 29" xfId="30643"/>
    <cellStyle name="Normale 3 2 3" xfId="39"/>
    <cellStyle name="Normale 3 2 3 10" xfId="695"/>
    <cellStyle name="Normale 3 2 3 10 10" xfId="15566"/>
    <cellStyle name="Normale 3 2 3 10 11" xfId="28639"/>
    <cellStyle name="Normale 3 2 3 10 12" xfId="30369"/>
    <cellStyle name="Normale 3 2 3 10 13" xfId="31310"/>
    <cellStyle name="Normale 3 2 3 10 14" xfId="32223"/>
    <cellStyle name="Normale 3 2 3 10 15" xfId="33141"/>
    <cellStyle name="Normale 3 2 3 10 16" xfId="34093"/>
    <cellStyle name="Normale 3 2 3 10 17" xfId="35025"/>
    <cellStyle name="Normale 3 2 3 10 18" xfId="35951"/>
    <cellStyle name="Normale 3 2 3 10 19" xfId="36876"/>
    <cellStyle name="Normale 3 2 3 10 2" xfId="1660"/>
    <cellStyle name="Normale 3 2 3 10 2 2" xfId="9123"/>
    <cellStyle name="Normale 3 2 3 10 2 3" xfId="16531"/>
    <cellStyle name="Normale 3 2 3 10 2 4" xfId="28327"/>
    <cellStyle name="Normale 3 2 3 10 20" xfId="37780"/>
    <cellStyle name="Normale 3 2 3 10 3" xfId="2593"/>
    <cellStyle name="Normale 3 2 3 10 3 2" xfId="10056"/>
    <cellStyle name="Normale 3 2 3 10 3 3" xfId="17464"/>
    <cellStyle name="Normale 3 2 3 10 3 4" xfId="25791"/>
    <cellStyle name="Normale 3 2 3 10 4" xfId="3509"/>
    <cellStyle name="Normale 3 2 3 10 4 2" xfId="10972"/>
    <cellStyle name="Normale 3 2 3 10 4 3" xfId="18380"/>
    <cellStyle name="Normale 3 2 3 10 4 4" xfId="29060"/>
    <cellStyle name="Normale 3 2 3 10 5" xfId="4448"/>
    <cellStyle name="Normale 3 2 3 10 5 2" xfId="11911"/>
    <cellStyle name="Normale 3 2 3 10 5 3" xfId="19319"/>
    <cellStyle name="Normale 3 2 3 10 5 4" xfId="26711"/>
    <cellStyle name="Normale 3 2 3 10 6" xfId="5364"/>
    <cellStyle name="Normale 3 2 3 10 6 2" xfId="12827"/>
    <cellStyle name="Normale 3 2 3 10 6 3" xfId="20235"/>
    <cellStyle name="Normale 3 2 3 10 6 4" xfId="28304"/>
    <cellStyle name="Normale 3 2 3 10 7" xfId="6297"/>
    <cellStyle name="Normale 3 2 3 10 7 2" xfId="13760"/>
    <cellStyle name="Normale 3 2 3 10 7 3" xfId="21168"/>
    <cellStyle name="Normale 3 2 3 10 7 4" xfId="25826"/>
    <cellStyle name="Normale 3 2 3 10 8" xfId="7202"/>
    <cellStyle name="Normale 3 2 3 10 8 2" xfId="14665"/>
    <cellStyle name="Normale 3 2 3 10 8 3" xfId="22073"/>
    <cellStyle name="Normale 3 2 3 10 8 4" xfId="29151"/>
    <cellStyle name="Normale 3 2 3 10 9" xfId="8158"/>
    <cellStyle name="Normale 3 2 3 11" xfId="753"/>
    <cellStyle name="Normale 3 2 3 11 10" xfId="15624"/>
    <cellStyle name="Normale 3 2 3 11 11" xfId="29334"/>
    <cellStyle name="Normale 3 2 3 11 12" xfId="30427"/>
    <cellStyle name="Normale 3 2 3 11 13" xfId="31368"/>
    <cellStyle name="Normale 3 2 3 11 14" xfId="32281"/>
    <cellStyle name="Normale 3 2 3 11 15" xfId="33198"/>
    <cellStyle name="Normale 3 2 3 11 16" xfId="34151"/>
    <cellStyle name="Normale 3 2 3 11 17" xfId="35083"/>
    <cellStyle name="Normale 3 2 3 11 18" xfId="36009"/>
    <cellStyle name="Normale 3 2 3 11 19" xfId="36934"/>
    <cellStyle name="Normale 3 2 3 11 2" xfId="1718"/>
    <cellStyle name="Normale 3 2 3 11 2 2" xfId="9181"/>
    <cellStyle name="Normale 3 2 3 11 2 3" xfId="16589"/>
    <cellStyle name="Normale 3 2 3 11 2 4" xfId="25245"/>
    <cellStyle name="Normale 3 2 3 11 20" xfId="37837"/>
    <cellStyle name="Normale 3 2 3 11 3" xfId="2651"/>
    <cellStyle name="Normale 3 2 3 11 3 2" xfId="10114"/>
    <cellStyle name="Normale 3 2 3 11 3 3" xfId="17522"/>
    <cellStyle name="Normale 3 2 3 11 3 4" xfId="24070"/>
    <cellStyle name="Normale 3 2 3 11 4" xfId="3567"/>
    <cellStyle name="Normale 3 2 3 11 4 2" xfId="11030"/>
    <cellStyle name="Normale 3 2 3 11 4 3" xfId="18438"/>
    <cellStyle name="Normale 3 2 3 11 4 4" xfId="27621"/>
    <cellStyle name="Normale 3 2 3 11 5" xfId="4506"/>
    <cellStyle name="Normale 3 2 3 11 5 2" xfId="11969"/>
    <cellStyle name="Normale 3 2 3 11 5 3" xfId="19377"/>
    <cellStyle name="Normale 3 2 3 11 5 4" xfId="26906"/>
    <cellStyle name="Normale 3 2 3 11 6" xfId="5422"/>
    <cellStyle name="Normale 3 2 3 11 6 2" xfId="12885"/>
    <cellStyle name="Normale 3 2 3 11 6 3" xfId="20293"/>
    <cellStyle name="Normale 3 2 3 11 6 4" xfId="25150"/>
    <cellStyle name="Normale 3 2 3 11 7" xfId="6355"/>
    <cellStyle name="Normale 3 2 3 11 7 2" xfId="13818"/>
    <cellStyle name="Normale 3 2 3 11 7 3" xfId="21226"/>
    <cellStyle name="Normale 3 2 3 11 7 4" xfId="24142"/>
    <cellStyle name="Normale 3 2 3 11 8" xfId="7259"/>
    <cellStyle name="Normale 3 2 3 11 8 2" xfId="14722"/>
    <cellStyle name="Normale 3 2 3 11 8 3" xfId="22130"/>
    <cellStyle name="Normale 3 2 3 11 8 4" xfId="27133"/>
    <cellStyle name="Normale 3 2 3 11 9" xfId="8216"/>
    <cellStyle name="Normale 3 2 3 12" xfId="824"/>
    <cellStyle name="Normale 3 2 3 12 10" xfId="15695"/>
    <cellStyle name="Normale 3 2 3 12 11" xfId="28510"/>
    <cellStyle name="Normale 3 2 3 12 12" xfId="30496"/>
    <cellStyle name="Normale 3 2 3 12 13" xfId="31439"/>
    <cellStyle name="Normale 3 2 3 12 14" xfId="32351"/>
    <cellStyle name="Normale 3 2 3 12 15" xfId="33267"/>
    <cellStyle name="Normale 3 2 3 12 16" xfId="34222"/>
    <cellStyle name="Normale 3 2 3 12 17" xfId="35154"/>
    <cellStyle name="Normale 3 2 3 12 18" xfId="36080"/>
    <cellStyle name="Normale 3 2 3 12 19" xfId="37005"/>
    <cellStyle name="Normale 3 2 3 12 2" xfId="1789"/>
    <cellStyle name="Normale 3 2 3 12 2 2" xfId="9252"/>
    <cellStyle name="Normale 3 2 3 12 2 3" xfId="16660"/>
    <cellStyle name="Normale 3 2 3 12 2 4" xfId="24749"/>
    <cellStyle name="Normale 3 2 3 12 20" xfId="37906"/>
    <cellStyle name="Normale 3 2 3 12 3" xfId="2722"/>
    <cellStyle name="Normale 3 2 3 12 3 2" xfId="10185"/>
    <cellStyle name="Normale 3 2 3 12 3 3" xfId="17593"/>
    <cellStyle name="Normale 3 2 3 12 3 4" xfId="22916"/>
    <cellStyle name="Normale 3 2 3 12 4" xfId="3637"/>
    <cellStyle name="Normale 3 2 3 12 4 2" xfId="11100"/>
    <cellStyle name="Normale 3 2 3 12 4 3" xfId="18508"/>
    <cellStyle name="Normale 3 2 3 12 4 4" xfId="28867"/>
    <cellStyle name="Normale 3 2 3 12 5" xfId="4577"/>
    <cellStyle name="Normale 3 2 3 12 5 2" xfId="12040"/>
    <cellStyle name="Normale 3 2 3 12 5 3" xfId="19448"/>
    <cellStyle name="Normale 3 2 3 12 5 4" xfId="25817"/>
    <cellStyle name="Normale 3 2 3 12 6" xfId="5492"/>
    <cellStyle name="Normale 3 2 3 12 6 2" xfId="12955"/>
    <cellStyle name="Normale 3 2 3 12 6 3" xfId="20363"/>
    <cellStyle name="Normale 3 2 3 12 6 4" xfId="25640"/>
    <cellStyle name="Normale 3 2 3 12 7" xfId="6426"/>
    <cellStyle name="Normale 3 2 3 12 7 2" xfId="13889"/>
    <cellStyle name="Normale 3 2 3 12 7 3" xfId="21297"/>
    <cellStyle name="Normale 3 2 3 12 7 4" xfId="22970"/>
    <cellStyle name="Normale 3 2 3 12 8" xfId="7328"/>
    <cellStyle name="Normale 3 2 3 12 8 2" xfId="14791"/>
    <cellStyle name="Normale 3 2 3 12 8 3" xfId="22199"/>
    <cellStyle name="Normale 3 2 3 12 8 4" xfId="23734"/>
    <cellStyle name="Normale 3 2 3 12 9" xfId="8287"/>
    <cellStyle name="Normale 3 2 3 13" xfId="842"/>
    <cellStyle name="Normale 3 2 3 13 10" xfId="15713"/>
    <cellStyle name="Normale 3 2 3 13 11" xfId="26191"/>
    <cellStyle name="Normale 3 2 3 13 12" xfId="30511"/>
    <cellStyle name="Normale 3 2 3 13 13" xfId="31457"/>
    <cellStyle name="Normale 3 2 3 13 14" xfId="32368"/>
    <cellStyle name="Normale 3 2 3 13 15" xfId="33281"/>
    <cellStyle name="Normale 3 2 3 13 16" xfId="34240"/>
    <cellStyle name="Normale 3 2 3 13 17" xfId="35172"/>
    <cellStyle name="Normale 3 2 3 13 18" xfId="36098"/>
    <cellStyle name="Normale 3 2 3 13 19" xfId="37023"/>
    <cellStyle name="Normale 3 2 3 13 2" xfId="1807"/>
    <cellStyle name="Normale 3 2 3 13 2 2" xfId="9270"/>
    <cellStyle name="Normale 3 2 3 13 2 3" xfId="16678"/>
    <cellStyle name="Normale 3 2 3 13 2 4" xfId="22756"/>
    <cellStyle name="Normale 3 2 3 13 20" xfId="37920"/>
    <cellStyle name="Normale 3 2 3 13 3" xfId="2740"/>
    <cellStyle name="Normale 3 2 3 13 3 2" xfId="10203"/>
    <cellStyle name="Normale 3 2 3 13 3 3" xfId="17611"/>
    <cellStyle name="Normale 3 2 3 13 3 4" xfId="27061"/>
    <cellStyle name="Normale 3 2 3 13 4" xfId="3654"/>
    <cellStyle name="Normale 3 2 3 13 4 2" xfId="11117"/>
    <cellStyle name="Normale 3 2 3 13 4 3" xfId="18525"/>
    <cellStyle name="Normale 3 2 3 13 4 4" xfId="27037"/>
    <cellStyle name="Normale 3 2 3 13 5" xfId="4595"/>
    <cellStyle name="Normale 3 2 3 13 5 2" xfId="12058"/>
    <cellStyle name="Normale 3 2 3 13 5 3" xfId="19466"/>
    <cellStyle name="Normale 3 2 3 13 5 4" xfId="23844"/>
    <cellStyle name="Normale 3 2 3 13 6" xfId="5509"/>
    <cellStyle name="Normale 3 2 3 13 6 2" xfId="12972"/>
    <cellStyle name="Normale 3 2 3 13 6 3" xfId="20380"/>
    <cellStyle name="Normale 3 2 3 13 6 4" xfId="24626"/>
    <cellStyle name="Normale 3 2 3 13 7" xfId="6444"/>
    <cellStyle name="Normale 3 2 3 13 7 2" xfId="13907"/>
    <cellStyle name="Normale 3 2 3 13 7 3" xfId="21315"/>
    <cellStyle name="Normale 3 2 3 13 7 4" xfId="28075"/>
    <cellStyle name="Normale 3 2 3 13 8" xfId="7342"/>
    <cellStyle name="Normale 3 2 3 13 8 2" xfId="14805"/>
    <cellStyle name="Normale 3 2 3 13 8 3" xfId="22213"/>
    <cellStyle name="Normale 3 2 3 13 8 4" xfId="25482"/>
    <cellStyle name="Normale 3 2 3 13 9" xfId="8305"/>
    <cellStyle name="Normale 3 2 3 14" xfId="1012"/>
    <cellStyle name="Normale 3 2 3 14 2" xfId="8475"/>
    <cellStyle name="Normale 3 2 3 14 3" xfId="15883"/>
    <cellStyle name="Normale 3 2 3 14 4" xfId="29125"/>
    <cellStyle name="Normale 3 2 3 15" xfId="1700"/>
    <cellStyle name="Normale 3 2 3 15 2" xfId="9163"/>
    <cellStyle name="Normale 3 2 3 15 3" xfId="16571"/>
    <cellStyle name="Normale 3 2 3 15 4" xfId="28004"/>
    <cellStyle name="Normale 3 2 3 16" xfId="2347"/>
    <cellStyle name="Normale 3 2 3 16 2" xfId="9810"/>
    <cellStyle name="Normale 3 2 3 16 3" xfId="17218"/>
    <cellStyle name="Normale 3 2 3 16 4" xfId="23770"/>
    <cellStyle name="Normale 3 2 3 17" xfId="3794"/>
    <cellStyle name="Normale 3 2 3 17 2" xfId="11257"/>
    <cellStyle name="Normale 3 2 3 17 3" xfId="18665"/>
    <cellStyle name="Normale 3 2 3 17 4" xfId="23357"/>
    <cellStyle name="Normale 3 2 3 18" xfId="4250"/>
    <cellStyle name="Normale 3 2 3 18 2" xfId="11713"/>
    <cellStyle name="Normale 3 2 3 18 3" xfId="19121"/>
    <cellStyle name="Normale 3 2 3 18 4" xfId="25083"/>
    <cellStyle name="Normale 3 2 3 19" xfId="5648"/>
    <cellStyle name="Normale 3 2 3 19 2" xfId="13111"/>
    <cellStyle name="Normale 3 2 3 19 3" xfId="20519"/>
    <cellStyle name="Normale 3 2 3 19 4" xfId="24860"/>
    <cellStyle name="Normale 3 2 3 2" xfId="40"/>
    <cellStyle name="Normale 3 2 3 2 10" xfId="6053"/>
    <cellStyle name="Normale 3 2 3 2 10 2" xfId="13516"/>
    <cellStyle name="Normale 3 2 3 2 10 3" xfId="20924"/>
    <cellStyle name="Normale 3 2 3 2 10 4" xfId="29251"/>
    <cellStyle name="Normale 3 2 3 2 11" xfId="7505"/>
    <cellStyle name="Normale 3 2 3 2 12" xfId="8009"/>
    <cellStyle name="Normale 3 2 3 2 13" xfId="25288"/>
    <cellStyle name="Normale 3 2 3 2 14" xfId="29731"/>
    <cellStyle name="Normale 3 2 3 2 15" xfId="30661"/>
    <cellStyle name="Normale 3 2 3 2 16" xfId="30824"/>
    <cellStyle name="Normale 3 2 3 2 17" xfId="32510"/>
    <cellStyle name="Normale 3 2 3 2 18" xfId="33444"/>
    <cellStyle name="Normale 3 2 3 2 19" xfId="34276"/>
    <cellStyle name="Normale 3 2 3 2 2" xfId="41"/>
    <cellStyle name="Normale 3 2 3 2 2 10" xfId="7506"/>
    <cellStyle name="Normale 3 2 3 2 2 11" xfId="7960"/>
    <cellStyle name="Normale 3 2 3 2 2 12" xfId="24372"/>
    <cellStyle name="Normale 3 2 3 2 2 13" xfId="29732"/>
    <cellStyle name="Normale 3 2 3 2 2 14" xfId="30662"/>
    <cellStyle name="Normale 3 2 3 2 2 15" xfId="30358"/>
    <cellStyle name="Normale 3 2 3 2 2 16" xfId="32511"/>
    <cellStyle name="Normale 3 2 3 2 2 17" xfId="33445"/>
    <cellStyle name="Normale 3 2 3 2 2 18" xfId="34231"/>
    <cellStyle name="Normale 3 2 3 2 2 19" xfId="34730"/>
    <cellStyle name="Normale 3 2 3 2 2 2" xfId="239"/>
    <cellStyle name="Normale 3 2 3 2 2 2 10" xfId="15112"/>
    <cellStyle name="Normale 3 2 3 2 2 2 11" xfId="24051"/>
    <cellStyle name="Normale 3 2 3 2 2 2 12" xfId="29924"/>
    <cellStyle name="Normale 3 2 3 2 2 2 13" xfId="30856"/>
    <cellStyle name="Normale 3 2 3 2 2 2 14" xfId="31777"/>
    <cellStyle name="Normale 3 2 3 2 2 2 15" xfId="32702"/>
    <cellStyle name="Normale 3 2 3 2 2 2 16" xfId="33639"/>
    <cellStyle name="Normale 3 2 3 2 2 2 17" xfId="34569"/>
    <cellStyle name="Normale 3 2 3 2 2 2 18" xfId="35495"/>
    <cellStyle name="Normale 3 2 3 2 2 2 19" xfId="36421"/>
    <cellStyle name="Normale 3 2 3 2 2 2 2" xfId="1206"/>
    <cellStyle name="Normale 3 2 3 2 2 2 2 2" xfId="8669"/>
    <cellStyle name="Normale 3 2 3 2 2 2 2 3" xfId="16077"/>
    <cellStyle name="Normale 3 2 3 2 2 2 2 4" xfId="28428"/>
    <cellStyle name="Normale 3 2 3 2 2 2 20" xfId="37341"/>
    <cellStyle name="Normale 3 2 3 2 2 2 3" xfId="2137"/>
    <cellStyle name="Normale 3 2 3 2 2 2 3 2" xfId="9600"/>
    <cellStyle name="Normale 3 2 3 2 2 2 3 3" xfId="17008"/>
    <cellStyle name="Normale 3 2 3 2 2 2 3 4" xfId="25813"/>
    <cellStyle name="Normale 3 2 3 2 2 2 4" xfId="3059"/>
    <cellStyle name="Normale 3 2 3 2 2 2 4 2" xfId="10522"/>
    <cellStyle name="Normale 3 2 3 2 2 2 4 3" xfId="17930"/>
    <cellStyle name="Normale 3 2 3 2 2 2 4 4" xfId="26533"/>
    <cellStyle name="Normale 3 2 3 2 2 2 5" xfId="3992"/>
    <cellStyle name="Normale 3 2 3 2 2 2 5 2" xfId="11455"/>
    <cellStyle name="Normale 3 2 3 2 2 2 5 3" xfId="18863"/>
    <cellStyle name="Normale 3 2 3 2 2 2 5 4" xfId="25380"/>
    <cellStyle name="Normale 3 2 3 2 2 2 6" xfId="4915"/>
    <cellStyle name="Normale 3 2 3 2 2 2 6 2" xfId="12378"/>
    <cellStyle name="Normale 3 2 3 2 2 2 6 3" xfId="19786"/>
    <cellStyle name="Normale 3 2 3 2 2 2 6 4" xfId="23806"/>
    <cellStyle name="Normale 3 2 3 2 2 2 7" xfId="5843"/>
    <cellStyle name="Normale 3 2 3 2 2 2 7 2" xfId="13306"/>
    <cellStyle name="Normale 3 2 3 2 2 2 7 3" xfId="20714"/>
    <cellStyle name="Normale 3 2 3 2 2 2 7 4" xfId="24048"/>
    <cellStyle name="Normale 3 2 3 2 2 2 8" xfId="6763"/>
    <cellStyle name="Normale 3 2 3 2 2 2 8 2" xfId="14226"/>
    <cellStyle name="Normale 3 2 3 2 2 2 8 3" xfId="21634"/>
    <cellStyle name="Normale 3 2 3 2 2 2 8 4" xfId="26562"/>
    <cellStyle name="Normale 3 2 3 2 2 2 9" xfId="7702"/>
    <cellStyle name="Normale 3 2 3 2 2 20" xfId="34936"/>
    <cellStyle name="Normale 3 2 3 2 2 21" xfId="36582"/>
    <cellStyle name="Normale 3 2 3 2 2 3" xfId="1014"/>
    <cellStyle name="Normale 3 2 3 2 2 3 2" xfId="8477"/>
    <cellStyle name="Normale 3 2 3 2 2 3 3" xfId="15885"/>
    <cellStyle name="Normale 3 2 3 2 2 3 4" xfId="27293"/>
    <cellStyle name="Normale 3 2 3 2 2 4" xfId="1941"/>
    <cellStyle name="Normale 3 2 3 2 2 4 2" xfId="9404"/>
    <cellStyle name="Normale 3 2 3 2 2 4 3" xfId="16812"/>
    <cellStyle name="Normale 3 2 3 2 2 4 4" xfId="27631"/>
    <cellStyle name="Normale 3 2 3 2 2 5" xfId="2105"/>
    <cellStyle name="Normale 3 2 3 2 2 5 2" xfId="9568"/>
    <cellStyle name="Normale 3 2 3 2 2 5 3" xfId="16976"/>
    <cellStyle name="Normale 3 2 3 2 2 5 4" xfId="27077"/>
    <cellStyle name="Normale 3 2 3 2 2 6" xfId="3796"/>
    <cellStyle name="Normale 3 2 3 2 2 6 2" xfId="11259"/>
    <cellStyle name="Normale 3 2 3 2 2 6 3" xfId="18667"/>
    <cellStyle name="Normale 3 2 3 2 2 6 4" xfId="29053"/>
    <cellStyle name="Normale 3 2 3 2 2 7" xfId="4153"/>
    <cellStyle name="Normale 3 2 3 2 2 7 2" xfId="11616"/>
    <cellStyle name="Normale 3 2 3 2 2 7 3" xfId="19024"/>
    <cellStyle name="Normale 3 2 3 2 2 7 4" xfId="25648"/>
    <cellStyle name="Normale 3 2 3 2 2 8" xfId="5650"/>
    <cellStyle name="Normale 3 2 3 2 2 8 2" xfId="13113"/>
    <cellStyle name="Normale 3 2 3 2 2 8 3" xfId="20521"/>
    <cellStyle name="Normale 3 2 3 2 2 8 4" xfId="22927"/>
    <cellStyle name="Normale 3 2 3 2 2 9" xfId="6004"/>
    <cellStyle name="Normale 3 2 3 2 2 9 2" xfId="13467"/>
    <cellStyle name="Normale 3 2 3 2 2 9 3" xfId="20875"/>
    <cellStyle name="Normale 3 2 3 2 2 9 4" xfId="23186"/>
    <cellStyle name="Normale 3 2 3 2 20" xfId="34779"/>
    <cellStyle name="Normale 3 2 3 2 21" xfId="35463"/>
    <cellStyle name="Normale 3 2 3 2 22" xfId="36631"/>
    <cellStyle name="Normale 3 2 3 2 3" xfId="238"/>
    <cellStyle name="Normale 3 2 3 2 3 10" xfId="15111"/>
    <cellStyle name="Normale 3 2 3 2 3 11" xfId="24977"/>
    <cellStyle name="Normale 3 2 3 2 3 12" xfId="29923"/>
    <cellStyle name="Normale 3 2 3 2 3 13" xfId="30855"/>
    <cellStyle name="Normale 3 2 3 2 3 14" xfId="31776"/>
    <cellStyle name="Normale 3 2 3 2 3 15" xfId="32701"/>
    <cellStyle name="Normale 3 2 3 2 3 16" xfId="33638"/>
    <cellStyle name="Normale 3 2 3 2 3 17" xfId="34568"/>
    <cellStyle name="Normale 3 2 3 2 3 18" xfId="35494"/>
    <cellStyle name="Normale 3 2 3 2 3 19" xfId="36420"/>
    <cellStyle name="Normale 3 2 3 2 3 2" xfId="1205"/>
    <cellStyle name="Normale 3 2 3 2 3 2 2" xfId="8668"/>
    <cellStyle name="Normale 3 2 3 2 3 2 3" xfId="16076"/>
    <cellStyle name="Normale 3 2 3 2 3 2 4" xfId="29329"/>
    <cellStyle name="Normale 3 2 3 2 3 20" xfId="37340"/>
    <cellStyle name="Normale 3 2 3 2 3 3" xfId="2136"/>
    <cellStyle name="Normale 3 2 3 2 3 3 2" xfId="9599"/>
    <cellStyle name="Normale 3 2 3 2 3 3 3" xfId="17007"/>
    <cellStyle name="Normale 3 2 3 2 3 3 4" xfId="26745"/>
    <cellStyle name="Normale 3 2 3 2 3 4" xfId="3058"/>
    <cellStyle name="Normale 3 2 3 2 3 4 2" xfId="10521"/>
    <cellStyle name="Normale 3 2 3 2 3 4 3" xfId="17929"/>
    <cellStyle name="Normale 3 2 3 2 3 4 4" xfId="27441"/>
    <cellStyle name="Normale 3 2 3 2 3 5" xfId="3991"/>
    <cellStyle name="Normale 3 2 3 2 3 5 2" xfId="11454"/>
    <cellStyle name="Normale 3 2 3 2 3 5 3" xfId="18862"/>
    <cellStyle name="Normale 3 2 3 2 3 5 4" xfId="26307"/>
    <cellStyle name="Normale 3 2 3 2 3 6" xfId="4914"/>
    <cellStyle name="Normale 3 2 3 2 3 6 2" xfId="12377"/>
    <cellStyle name="Normale 3 2 3 2 3 6 3" xfId="19785"/>
    <cellStyle name="Normale 3 2 3 2 3 6 4" xfId="24729"/>
    <cellStyle name="Normale 3 2 3 2 3 7" xfId="5842"/>
    <cellStyle name="Normale 3 2 3 2 3 7 2" xfId="13305"/>
    <cellStyle name="Normale 3 2 3 2 3 7 3" xfId="20713"/>
    <cellStyle name="Normale 3 2 3 2 3 7 4" xfId="24974"/>
    <cellStyle name="Normale 3 2 3 2 3 8" xfId="6762"/>
    <cellStyle name="Normale 3 2 3 2 3 8 2" xfId="14225"/>
    <cellStyle name="Normale 3 2 3 2 3 8 3" xfId="21633"/>
    <cellStyle name="Normale 3 2 3 2 3 8 4" xfId="27469"/>
    <cellStyle name="Normale 3 2 3 2 3 9" xfId="7701"/>
    <cellStyle name="Normale 3 2 3 2 4" xfId="1013"/>
    <cellStyle name="Normale 3 2 3 2 4 2" xfId="8476"/>
    <cellStyle name="Normale 3 2 3 2 4 3" xfId="15884"/>
    <cellStyle name="Normale 3 2 3 2 4 4" xfId="28215"/>
    <cellStyle name="Normale 3 2 3 2 5" xfId="1940"/>
    <cellStyle name="Normale 3 2 3 2 5 2" xfId="9403"/>
    <cellStyle name="Normale 3 2 3 2 5 3" xfId="16811"/>
    <cellStyle name="Normale 3 2 3 2 5 4" xfId="28557"/>
    <cellStyle name="Normale 3 2 3 2 6" xfId="2298"/>
    <cellStyle name="Normale 3 2 3 2 6 2" xfId="9761"/>
    <cellStyle name="Normale 3 2 3 2 6 3" xfId="17169"/>
    <cellStyle name="Normale 3 2 3 2 6 4" xfId="25095"/>
    <cellStyle name="Normale 3 2 3 2 7" xfId="3795"/>
    <cellStyle name="Normale 3 2 3 2 7 2" xfId="11258"/>
    <cellStyle name="Normale 3 2 3 2 7 3" xfId="18666"/>
    <cellStyle name="Normale 3 2 3 2 7 4" xfId="22623"/>
    <cellStyle name="Normale 3 2 3 2 8" xfId="4202"/>
    <cellStyle name="Normale 3 2 3 2 8 2" xfId="11665"/>
    <cellStyle name="Normale 3 2 3 2 8 3" xfId="19073"/>
    <cellStyle name="Normale 3 2 3 2 8 4" xfId="23539"/>
    <cellStyle name="Normale 3 2 3 2 9" xfId="5649"/>
    <cellStyle name="Normale 3 2 3 2 9 2" xfId="13112"/>
    <cellStyle name="Normale 3 2 3 2 9 3" xfId="20520"/>
    <cellStyle name="Normale 3 2 3 2 9 4" xfId="23935"/>
    <cellStyle name="Normale 3 2 3 20" xfId="6101"/>
    <cellStyle name="Normale 3 2 3 20 2" xfId="13564"/>
    <cellStyle name="Normale 3 2 3 20 3" xfId="20972"/>
    <cellStyle name="Normale 3 2 3 20 4" xfId="26210"/>
    <cellStyle name="Normale 3 2 3 21" xfId="7504"/>
    <cellStyle name="Normale 3 2 3 22" xfId="8060"/>
    <cellStyle name="Normale 3 2 3 23" xfId="26215"/>
    <cellStyle name="Normale 3 2 3 24" xfId="29730"/>
    <cellStyle name="Normale 3 2 3 25" xfId="30660"/>
    <cellStyle name="Normale 3 2 3 26" xfId="31017"/>
    <cellStyle name="Normale 3 2 3 27" xfId="32509"/>
    <cellStyle name="Normale 3 2 3 28" xfId="33443"/>
    <cellStyle name="Normale 3 2 3 29" xfId="33409"/>
    <cellStyle name="Normale 3 2 3 3" xfId="42"/>
    <cellStyle name="Normale 3 2 3 3 10" xfId="7507"/>
    <cellStyle name="Normale 3 2 3 3 11" xfId="7912"/>
    <cellStyle name="Normale 3 2 3 3 12" xfId="23453"/>
    <cellStyle name="Normale 3 2 3 3 13" xfId="29733"/>
    <cellStyle name="Normale 3 2 3 3 14" xfId="30663"/>
    <cellStyle name="Normale 3 2 3 3 15" xfId="31493"/>
    <cellStyle name="Normale 3 2 3 3 16" xfId="32512"/>
    <cellStyle name="Normale 3 2 3 3 17" xfId="33446"/>
    <cellStyle name="Normale 3 2 3 3 18" xfId="34133"/>
    <cellStyle name="Normale 3 2 3 3 19" xfId="34537"/>
    <cellStyle name="Normale 3 2 3 3 2" xfId="240"/>
    <cellStyle name="Normale 3 2 3 3 2 10" xfId="15113"/>
    <cellStyle name="Normale 3 2 3 3 2 11" xfId="23044"/>
    <cellStyle name="Normale 3 2 3 3 2 12" xfId="29925"/>
    <cellStyle name="Normale 3 2 3 3 2 13" xfId="30857"/>
    <cellStyle name="Normale 3 2 3 3 2 14" xfId="31778"/>
    <cellStyle name="Normale 3 2 3 3 2 15" xfId="32703"/>
    <cellStyle name="Normale 3 2 3 3 2 16" xfId="33640"/>
    <cellStyle name="Normale 3 2 3 3 2 17" xfId="34570"/>
    <cellStyle name="Normale 3 2 3 3 2 18" xfId="35496"/>
    <cellStyle name="Normale 3 2 3 3 2 19" xfId="36422"/>
    <cellStyle name="Normale 3 2 3 3 2 2" xfId="1207"/>
    <cellStyle name="Normale 3 2 3 3 2 2 2" xfId="8670"/>
    <cellStyle name="Normale 3 2 3 3 2 2 3" xfId="16078"/>
    <cellStyle name="Normale 3 2 3 3 2 2 4" xfId="27503"/>
    <cellStyle name="Normale 3 2 3 3 2 20" xfId="37342"/>
    <cellStyle name="Normale 3 2 3 3 2 3" xfId="2138"/>
    <cellStyle name="Normale 3 2 3 3 2 3 2" xfId="9601"/>
    <cellStyle name="Normale 3 2 3 3 2 3 3" xfId="17009"/>
    <cellStyle name="Normale 3 2 3 3 2 3 4" xfId="24901"/>
    <cellStyle name="Normale 3 2 3 3 2 4" xfId="3060"/>
    <cellStyle name="Normale 3 2 3 3 2 4 2" xfId="10523"/>
    <cellStyle name="Normale 3 2 3 3 2 4 3" xfId="17931"/>
    <cellStyle name="Normale 3 2 3 3 2 4 4" xfId="25604"/>
    <cellStyle name="Normale 3 2 3 3 2 5" xfId="3993"/>
    <cellStyle name="Normale 3 2 3 3 2 5 2" xfId="11456"/>
    <cellStyle name="Normale 3 2 3 3 2 5 3" xfId="18864"/>
    <cellStyle name="Normale 3 2 3 3 2 5 4" xfId="24464"/>
    <cellStyle name="Normale 3 2 3 3 2 6" xfId="4916"/>
    <cellStyle name="Normale 3 2 3 3 2 6 2" xfId="12379"/>
    <cellStyle name="Normale 3 2 3 3 2 6 3" xfId="19787"/>
    <cellStyle name="Normale 3 2 3 3 2 6 4" xfId="22827"/>
    <cellStyle name="Normale 3 2 3 3 2 7" xfId="5844"/>
    <cellStyle name="Normale 3 2 3 3 2 7 2" xfId="13307"/>
    <cellStyle name="Normale 3 2 3 3 2 7 3" xfId="20715"/>
    <cellStyle name="Normale 3 2 3 3 2 7 4" xfId="23041"/>
    <cellStyle name="Normale 3 2 3 3 2 8" xfId="6764"/>
    <cellStyle name="Normale 3 2 3 3 2 8 2" xfId="14227"/>
    <cellStyle name="Normale 3 2 3 3 2 8 3" xfId="21635"/>
    <cellStyle name="Normale 3 2 3 3 2 8 4" xfId="25632"/>
    <cellStyle name="Normale 3 2 3 3 2 9" xfId="7703"/>
    <cellStyle name="Normale 3 2 3 3 20" xfId="36134"/>
    <cellStyle name="Normale 3 2 3 3 21" xfId="36389"/>
    <cellStyle name="Normale 3 2 3 3 3" xfId="1015"/>
    <cellStyle name="Normale 3 2 3 3 3 2" xfId="8478"/>
    <cellStyle name="Normale 3 2 3 3 3 3" xfId="15886"/>
    <cellStyle name="Normale 3 2 3 3 3 4" xfId="26383"/>
    <cellStyle name="Normale 3 2 3 3 4" xfId="1942"/>
    <cellStyle name="Normale 3 2 3 3 4 2" xfId="9405"/>
    <cellStyle name="Normale 3 2 3 3 4 3" xfId="16813"/>
    <cellStyle name="Normale 3 2 3 3 4 4" xfId="26727"/>
    <cellStyle name="Normale 3 2 3 3 5" xfId="1568"/>
    <cellStyle name="Normale 3 2 3 3 5 2" xfId="9031"/>
    <cellStyle name="Normale 3 2 3 3 5 3" xfId="16439"/>
    <cellStyle name="Normale 3 2 3 3 5 4" xfId="24329"/>
    <cellStyle name="Normale 3 2 3 3 6" xfId="3797"/>
    <cellStyle name="Normale 3 2 3 3 6 2" xfId="11260"/>
    <cellStyle name="Normale 3 2 3 3 6 3" xfId="18668"/>
    <cellStyle name="Normale 3 2 3 3 6 4" xfId="28143"/>
    <cellStyle name="Normale 3 2 3 3 7" xfId="3960"/>
    <cellStyle name="Normale 3 2 3 3 7 2" xfId="11423"/>
    <cellStyle name="Normale 3 2 3 3 7 3" xfId="18831"/>
    <cellStyle name="Normale 3 2 3 3 7 4" xfId="26668"/>
    <cellStyle name="Normale 3 2 3 3 8" xfId="5651"/>
    <cellStyle name="Normale 3 2 3 3 8 2" xfId="13114"/>
    <cellStyle name="Normale 3 2 3 3 8 3" xfId="20522"/>
    <cellStyle name="Normale 3 2 3 3 8 4" xfId="29356"/>
    <cellStyle name="Normale 3 2 3 3 9" xfId="5811"/>
    <cellStyle name="Normale 3 2 3 3 9 2" xfId="13274"/>
    <cellStyle name="Normale 3 2 3 3 9 3" xfId="20682"/>
    <cellStyle name="Normale 3 2 3 3 9 4" xfId="25333"/>
    <cellStyle name="Normale 3 2 3 30" xfId="34827"/>
    <cellStyle name="Normale 3 2 3 31" xfId="35656"/>
    <cellStyle name="Normale 3 2 3 32" xfId="36679"/>
    <cellStyle name="Normale 3 2 3 4" xfId="237"/>
    <cellStyle name="Normale 3 2 3 4 10" xfId="15110"/>
    <cellStyle name="Normale 3 2 3 4 11" xfId="25888"/>
    <cellStyle name="Normale 3 2 3 4 12" xfId="29922"/>
    <cellStyle name="Normale 3 2 3 4 13" xfId="30854"/>
    <cellStyle name="Normale 3 2 3 4 14" xfId="31775"/>
    <cellStyle name="Normale 3 2 3 4 15" xfId="32700"/>
    <cellStyle name="Normale 3 2 3 4 16" xfId="33637"/>
    <cellStyle name="Normale 3 2 3 4 17" xfId="34567"/>
    <cellStyle name="Normale 3 2 3 4 18" xfId="35493"/>
    <cellStyle name="Normale 3 2 3 4 19" xfId="36419"/>
    <cellStyle name="Normale 3 2 3 4 2" xfId="1204"/>
    <cellStyle name="Normale 3 2 3 4 2 2" xfId="8667"/>
    <cellStyle name="Normale 3 2 3 4 2 3" xfId="16075"/>
    <cellStyle name="Normale 3 2 3 4 2 4" xfId="22900"/>
    <cellStyle name="Normale 3 2 3 4 20" xfId="37339"/>
    <cellStyle name="Normale 3 2 3 4 3" xfId="2135"/>
    <cellStyle name="Normale 3 2 3 4 3 2" xfId="9598"/>
    <cellStyle name="Normale 3 2 3 4 3 3" xfId="17006"/>
    <cellStyle name="Normale 3 2 3 4 3 4" xfId="27649"/>
    <cellStyle name="Normale 3 2 3 4 4" xfId="3057"/>
    <cellStyle name="Normale 3 2 3 4 4 2" xfId="10520"/>
    <cellStyle name="Normale 3 2 3 4 4 3" xfId="17928"/>
    <cellStyle name="Normale 3 2 3 4 4 4" xfId="28365"/>
    <cellStyle name="Normale 3 2 3 4 5" xfId="3990"/>
    <cellStyle name="Normale 3 2 3 4 5 2" xfId="11453"/>
    <cellStyle name="Normale 3 2 3 4 5 3" xfId="18861"/>
    <cellStyle name="Normale 3 2 3 4 5 4" xfId="27217"/>
    <cellStyle name="Normale 3 2 3 4 6" xfId="4913"/>
    <cellStyle name="Normale 3 2 3 4 6 2" xfId="12376"/>
    <cellStyle name="Normale 3 2 3 4 6 3" xfId="19784"/>
    <cellStyle name="Normale 3 2 3 4 6 4" xfId="25643"/>
    <cellStyle name="Normale 3 2 3 4 7" xfId="5841"/>
    <cellStyle name="Normale 3 2 3 4 7 2" xfId="13304"/>
    <cellStyle name="Normale 3 2 3 4 7 3" xfId="20712"/>
    <cellStyle name="Normale 3 2 3 4 7 4" xfId="25885"/>
    <cellStyle name="Normale 3 2 3 4 8" xfId="6761"/>
    <cellStyle name="Normale 3 2 3 4 8 2" xfId="14224"/>
    <cellStyle name="Normale 3 2 3 4 8 3" xfId="21632"/>
    <cellStyle name="Normale 3 2 3 4 8 4" xfId="28394"/>
    <cellStyle name="Normale 3 2 3 4 9" xfId="7700"/>
    <cellStyle name="Normale 3 2 3 5" xfId="409"/>
    <cellStyle name="Normale 3 2 3 5 10" xfId="15282"/>
    <cellStyle name="Normale 3 2 3 5 11" xfId="29599"/>
    <cellStyle name="Normale 3 2 3 5 12" xfId="30094"/>
    <cellStyle name="Normale 3 2 3 5 13" xfId="31026"/>
    <cellStyle name="Normale 3 2 3 5 14" xfId="31947"/>
    <cellStyle name="Normale 3 2 3 5 15" xfId="32871"/>
    <cellStyle name="Normale 3 2 3 5 16" xfId="33809"/>
    <cellStyle name="Normale 3 2 3 5 17" xfId="34739"/>
    <cellStyle name="Normale 3 2 3 5 18" xfId="35665"/>
    <cellStyle name="Normale 3 2 3 5 19" xfId="36591"/>
    <cellStyle name="Normale 3 2 3 5 2" xfId="1376"/>
    <cellStyle name="Normale 3 2 3 5 2 2" xfId="8839"/>
    <cellStyle name="Normale 3 2 3 5 2 3" xfId="16247"/>
    <cellStyle name="Normale 3 2 3 5 2 4" xfId="26912"/>
    <cellStyle name="Normale 3 2 3 5 20" xfId="37510"/>
    <cellStyle name="Normale 3 2 3 5 3" xfId="2307"/>
    <cellStyle name="Normale 3 2 3 5 3 2" xfId="9770"/>
    <cellStyle name="Normale 3 2 3 5 3 3" xfId="17178"/>
    <cellStyle name="Normale 3 2 3 5 3 4" xfId="24100"/>
    <cellStyle name="Normale 3 2 3 5 4" xfId="3229"/>
    <cellStyle name="Normale 3 2 3 5 4 2" xfId="10692"/>
    <cellStyle name="Normale 3 2 3 5 4 3" xfId="18100"/>
    <cellStyle name="Normale 3 2 3 5 4 4" xfId="27440"/>
    <cellStyle name="Normale 3 2 3 5 5" xfId="4162"/>
    <cellStyle name="Normale 3 2 3 5 5 2" xfId="11625"/>
    <cellStyle name="Normale 3 2 3 5 5 3" xfId="19033"/>
    <cellStyle name="Normale 3 2 3 5 5 4" xfId="24682"/>
    <cellStyle name="Normale 3 2 3 5 6" xfId="5085"/>
    <cellStyle name="Normale 3 2 3 5 6 2" xfId="12548"/>
    <cellStyle name="Normale 3 2 3 5 6 3" xfId="19956"/>
    <cellStyle name="Normale 3 2 3 5 6 4" xfId="29563"/>
    <cellStyle name="Normale 3 2 3 5 7" xfId="6013"/>
    <cellStyle name="Normale 3 2 3 5 7 2" xfId="13476"/>
    <cellStyle name="Normale 3 2 3 5 7 3" xfId="20884"/>
    <cellStyle name="Normale 3 2 3 5 7 4" xfId="29464"/>
    <cellStyle name="Normale 3 2 3 5 8" xfId="6932"/>
    <cellStyle name="Normale 3 2 3 5 8 2" xfId="14395"/>
    <cellStyle name="Normale 3 2 3 5 8 3" xfId="21803"/>
    <cellStyle name="Normale 3 2 3 5 8 4" xfId="28393"/>
    <cellStyle name="Normale 3 2 3 5 9" xfId="7872"/>
    <cellStyle name="Normale 3 2 3 6" xfId="457"/>
    <cellStyle name="Normale 3 2 3 6 10" xfId="15330"/>
    <cellStyle name="Normale 3 2 3 6 11" xfId="29242"/>
    <cellStyle name="Normale 3 2 3 6 12" xfId="30142"/>
    <cellStyle name="Normale 3 2 3 6 13" xfId="31074"/>
    <cellStyle name="Normale 3 2 3 6 14" xfId="31995"/>
    <cellStyle name="Normale 3 2 3 6 15" xfId="32918"/>
    <cellStyle name="Normale 3 2 3 6 16" xfId="33857"/>
    <cellStyle name="Normale 3 2 3 6 17" xfId="34787"/>
    <cellStyle name="Normale 3 2 3 6 18" xfId="35713"/>
    <cellStyle name="Normale 3 2 3 6 19" xfId="36639"/>
    <cellStyle name="Normale 3 2 3 6 2" xfId="1424"/>
    <cellStyle name="Normale 3 2 3 6 2 2" xfId="8887"/>
    <cellStyle name="Normale 3 2 3 6 2 3" xfId="16295"/>
    <cellStyle name="Normale 3 2 3 6 2 4" xfId="25118"/>
    <cellStyle name="Normale 3 2 3 6 20" xfId="37557"/>
    <cellStyle name="Normale 3 2 3 6 3" xfId="2355"/>
    <cellStyle name="Normale 3 2 3 6 3 2" xfId="9818"/>
    <cellStyle name="Normale 3 2 3 6 3 3" xfId="17226"/>
    <cellStyle name="Normale 3 2 3 6 3 4" xfId="23723"/>
    <cellStyle name="Normale 3 2 3 6 4" xfId="3277"/>
    <cellStyle name="Normale 3 2 3 6 4 2" xfId="10740"/>
    <cellStyle name="Normale 3 2 3 6 4 3" xfId="18148"/>
    <cellStyle name="Normale 3 2 3 6 4 4" xfId="29316"/>
    <cellStyle name="Normale 3 2 3 6 5" xfId="4210"/>
    <cellStyle name="Normale 3 2 3 6 5 2" xfId="11673"/>
    <cellStyle name="Normale 3 2 3 6 5 3" xfId="19081"/>
    <cellStyle name="Normale 3 2 3 6 5 4" xfId="24261"/>
    <cellStyle name="Normale 3 2 3 6 6" xfId="5133"/>
    <cellStyle name="Normale 3 2 3 6 6 2" xfId="12596"/>
    <cellStyle name="Normale 3 2 3 6 6 3" xfId="20004"/>
    <cellStyle name="Normale 3 2 3 6 6 4" xfId="27799"/>
    <cellStyle name="Normale 3 2 3 6 7" xfId="6061"/>
    <cellStyle name="Normale 3 2 3 6 7 2" xfId="13524"/>
    <cellStyle name="Normale 3 2 3 6 7 3" xfId="20932"/>
    <cellStyle name="Normale 3 2 3 6 7 4" xfId="29205"/>
    <cellStyle name="Normale 3 2 3 6 8" xfId="6979"/>
    <cellStyle name="Normale 3 2 3 6 8 2" xfId="14442"/>
    <cellStyle name="Normale 3 2 3 6 8 3" xfId="21850"/>
    <cellStyle name="Normale 3 2 3 6 8 4" xfId="23926"/>
    <cellStyle name="Normale 3 2 3 6 9" xfId="7920"/>
    <cellStyle name="Normale 3 2 3 7" xfId="505"/>
    <cellStyle name="Normale 3 2 3 7 10" xfId="15378"/>
    <cellStyle name="Normale 3 2 3 7 11" xfId="29136"/>
    <cellStyle name="Normale 3 2 3 7 12" xfId="30189"/>
    <cellStyle name="Normale 3 2 3 7 13" xfId="31122"/>
    <cellStyle name="Normale 3 2 3 7 14" xfId="32042"/>
    <cellStyle name="Normale 3 2 3 7 15" xfId="32964"/>
    <cellStyle name="Normale 3 2 3 7 16" xfId="33905"/>
    <cellStyle name="Normale 3 2 3 7 17" xfId="34835"/>
    <cellStyle name="Normale 3 2 3 7 18" xfId="35761"/>
    <cellStyle name="Normale 3 2 3 7 19" xfId="36687"/>
    <cellStyle name="Normale 3 2 3 7 2" xfId="1472"/>
    <cellStyle name="Normale 3 2 3 7 2 2" xfId="8935"/>
    <cellStyle name="Normale 3 2 3 7 2 3" xfId="16343"/>
    <cellStyle name="Normale 3 2 3 7 2 4" xfId="24527"/>
    <cellStyle name="Normale 3 2 3 7 20" xfId="37603"/>
    <cellStyle name="Normale 3 2 3 7 3" xfId="2403"/>
    <cellStyle name="Normale 3 2 3 7 3 2" xfId="9866"/>
    <cellStyle name="Normale 3 2 3 7 3 3" xfId="17274"/>
    <cellStyle name="Normale 3 2 3 7 3 4" xfId="23583"/>
    <cellStyle name="Normale 3 2 3 7 4" xfId="3324"/>
    <cellStyle name="Normale 3 2 3 7 4 2" xfId="10787"/>
    <cellStyle name="Normale 3 2 3 7 4 3" xfId="18195"/>
    <cellStyle name="Normale 3 2 3 7 4 4" xfId="24987"/>
    <cellStyle name="Normale 3 2 3 7 5" xfId="4258"/>
    <cellStyle name="Normale 3 2 3 7 5 2" xfId="11721"/>
    <cellStyle name="Normale 3 2 3 7 5 3" xfId="19129"/>
    <cellStyle name="Normale 3 2 3 7 5 4" xfId="25014"/>
    <cellStyle name="Normale 3 2 3 7 6" xfId="5180"/>
    <cellStyle name="Normale 3 2 3 7 6 2" xfId="12643"/>
    <cellStyle name="Normale 3 2 3 7 6 3" xfId="20051"/>
    <cellStyle name="Normale 3 2 3 7 6 4" xfId="26999"/>
    <cellStyle name="Normale 3 2 3 7 7" xfId="6109"/>
    <cellStyle name="Normale 3 2 3 7 7 2" xfId="13572"/>
    <cellStyle name="Normale 3 2 3 7 7 3" xfId="20980"/>
    <cellStyle name="Normale 3 2 3 7 7 4" xfId="28993"/>
    <cellStyle name="Normale 3 2 3 7 8" xfId="7025"/>
    <cellStyle name="Normale 3 2 3 7 8 2" xfId="14488"/>
    <cellStyle name="Normale 3 2 3 7 8 3" xfId="21896"/>
    <cellStyle name="Normale 3 2 3 7 8 4" xfId="25900"/>
    <cellStyle name="Normale 3 2 3 7 9" xfId="7968"/>
    <cellStyle name="Normale 3 2 3 8" xfId="557"/>
    <cellStyle name="Normale 3 2 3 8 10" xfId="15430"/>
    <cellStyle name="Normale 3 2 3 8 11" xfId="25877"/>
    <cellStyle name="Normale 3 2 3 8 12" xfId="30240"/>
    <cellStyle name="Normale 3 2 3 8 13" xfId="31174"/>
    <cellStyle name="Normale 3 2 3 8 14" xfId="32093"/>
    <cellStyle name="Normale 3 2 3 8 15" xfId="33014"/>
    <cellStyle name="Normale 3 2 3 8 16" xfId="33957"/>
    <cellStyle name="Normale 3 2 3 8 17" xfId="34887"/>
    <cellStyle name="Normale 3 2 3 8 18" xfId="35813"/>
    <cellStyle name="Normale 3 2 3 8 19" xfId="36739"/>
    <cellStyle name="Normale 3 2 3 8 2" xfId="1524"/>
    <cellStyle name="Normale 3 2 3 8 2 2" xfId="8987"/>
    <cellStyle name="Normale 3 2 3 8 2 3" xfId="16395"/>
    <cellStyle name="Normale 3 2 3 8 2 4" xfId="28328"/>
    <cellStyle name="Normale 3 2 3 8 20" xfId="37653"/>
    <cellStyle name="Normale 3 2 3 8 3" xfId="2455"/>
    <cellStyle name="Normale 3 2 3 8 3 2" xfId="9918"/>
    <cellStyle name="Normale 3 2 3 8 3 3" xfId="17326"/>
    <cellStyle name="Normale 3 2 3 8 3 4" xfId="27628"/>
    <cellStyle name="Normale 3 2 3 8 4" xfId="3375"/>
    <cellStyle name="Normale 3 2 3 8 4 2" xfId="10838"/>
    <cellStyle name="Normale 3 2 3 8 4 3" xfId="18246"/>
    <cellStyle name="Normale 3 2 3 8 4 4" xfId="27717"/>
    <cellStyle name="Normale 3 2 3 8 5" xfId="4310"/>
    <cellStyle name="Normale 3 2 3 8 5 2" xfId="11773"/>
    <cellStyle name="Normale 3 2 3 8 5 3" xfId="19181"/>
    <cellStyle name="Normale 3 2 3 8 5 4" xfId="25550"/>
    <cellStyle name="Normale 3 2 3 8 6" xfId="5231"/>
    <cellStyle name="Normale 3 2 3 8 6 2" xfId="12694"/>
    <cellStyle name="Normale 3 2 3 8 6 3" xfId="20102"/>
    <cellStyle name="Normale 3 2 3 8 6 4" xfId="25545"/>
    <cellStyle name="Normale 3 2 3 8 7" xfId="6161"/>
    <cellStyle name="Normale 3 2 3 8 7 2" xfId="13624"/>
    <cellStyle name="Normale 3 2 3 8 7 3" xfId="21032"/>
    <cellStyle name="Normale 3 2 3 8 7 4" xfId="25760"/>
    <cellStyle name="Normale 3 2 3 8 8" xfId="7075"/>
    <cellStyle name="Normale 3 2 3 8 8 2" xfId="14538"/>
    <cellStyle name="Normale 3 2 3 8 8 3" xfId="21946"/>
    <cellStyle name="Normale 3 2 3 8 8 4" xfId="23642"/>
    <cellStyle name="Normale 3 2 3 8 9" xfId="8020"/>
    <cellStyle name="Normale 3 2 3 9" xfId="617"/>
    <cellStyle name="Normale 3 2 3 9 10" xfId="15489"/>
    <cellStyle name="Normale 3 2 3 9 11" xfId="26389"/>
    <cellStyle name="Normale 3 2 3 9 12" xfId="30296"/>
    <cellStyle name="Normale 3 2 3 9 13" xfId="31233"/>
    <cellStyle name="Normale 3 2 3 9 14" xfId="32150"/>
    <cellStyle name="Normale 3 2 3 9 15" xfId="33069"/>
    <cellStyle name="Normale 3 2 3 9 16" xfId="34016"/>
    <cellStyle name="Normale 3 2 3 9 17" xfId="34947"/>
    <cellStyle name="Normale 3 2 3 9 18" xfId="35873"/>
    <cellStyle name="Normale 3 2 3 9 19" xfId="36798"/>
    <cellStyle name="Normale 3 2 3 9 2" xfId="1583"/>
    <cellStyle name="Normale 3 2 3 9 2 2" xfId="9046"/>
    <cellStyle name="Normale 3 2 3 9 2 3" xfId="16454"/>
    <cellStyle name="Normale 3 2 3 9 2 4" xfId="24330"/>
    <cellStyle name="Normale 3 2 3 9 20" xfId="37708"/>
    <cellStyle name="Normale 3 2 3 9 3" xfId="2515"/>
    <cellStyle name="Normale 3 2 3 9 3 2" xfId="9978"/>
    <cellStyle name="Normale 3 2 3 9 3 3" xfId="17386"/>
    <cellStyle name="Normale 3 2 3 9 3 4" xfId="22656"/>
    <cellStyle name="Normale 3 2 3 9 4" xfId="3433"/>
    <cellStyle name="Normale 3 2 3 9 4 2" xfId="10896"/>
    <cellStyle name="Normale 3 2 3 9 4 3" xfId="18304"/>
    <cellStyle name="Normale 3 2 3 9 4 4" xfId="25202"/>
    <cellStyle name="Normale 3 2 3 9 5" xfId="4370"/>
    <cellStyle name="Normale 3 2 3 9 5 2" xfId="11833"/>
    <cellStyle name="Normale 3 2 3 9 5 3" xfId="19241"/>
    <cellStyle name="Normale 3 2 3 9 5 4" xfId="28128"/>
    <cellStyle name="Normale 3 2 3 9 6" xfId="5288"/>
    <cellStyle name="Normale 3 2 3 9 6 2" xfId="12751"/>
    <cellStyle name="Normale 3 2 3 9 6 3" xfId="20159"/>
    <cellStyle name="Normale 3 2 3 9 6 4" xfId="23319"/>
    <cellStyle name="Normale 3 2 3 9 7" xfId="6221"/>
    <cellStyle name="Normale 3 2 3 9 7 2" xfId="13684"/>
    <cellStyle name="Normale 3 2 3 9 7 3" xfId="21092"/>
    <cellStyle name="Normale 3 2 3 9 7 4" xfId="27890"/>
    <cellStyle name="Normale 3 2 3 9 8" xfId="7130"/>
    <cellStyle name="Normale 3 2 3 9 8 2" xfId="14593"/>
    <cellStyle name="Normale 3 2 3 9 8 3" xfId="22001"/>
    <cellStyle name="Normale 3 2 3 9 8 4" xfId="23465"/>
    <cellStyle name="Normale 3 2 3 9 9" xfId="8080"/>
    <cellStyle name="Normale 3 2 30" xfId="31528"/>
    <cellStyle name="Normale 3 2 31" xfId="32082"/>
    <cellStyle name="Normale 3 2 32" xfId="33426"/>
    <cellStyle name="Normale 3 2 33" xfId="34369"/>
    <cellStyle name="Normale 3 2 34" xfId="35304"/>
    <cellStyle name="Normale 3 2 35" xfId="36169"/>
    <cellStyle name="Normale 3 2 36" xfId="37154"/>
    <cellStyle name="Normale 3 2 4" xfId="43"/>
    <cellStyle name="Normale 3 2 4 10" xfId="696"/>
    <cellStyle name="Normale 3 2 4 10 10" xfId="15567"/>
    <cellStyle name="Normale 3 2 4 10 11" xfId="27712"/>
    <cellStyle name="Normale 3 2 4 10 12" xfId="30370"/>
    <cellStyle name="Normale 3 2 4 10 13" xfId="31311"/>
    <cellStyle name="Normale 3 2 4 10 14" xfId="32224"/>
    <cellStyle name="Normale 3 2 4 10 15" xfId="33142"/>
    <cellStyle name="Normale 3 2 4 10 16" xfId="34094"/>
    <cellStyle name="Normale 3 2 4 10 17" xfId="35026"/>
    <cellStyle name="Normale 3 2 4 10 18" xfId="35952"/>
    <cellStyle name="Normale 3 2 4 10 19" xfId="36877"/>
    <cellStyle name="Normale 3 2 4 10 2" xfId="1661"/>
    <cellStyle name="Normale 3 2 4 10 2 2" xfId="9124"/>
    <cellStyle name="Normale 3 2 4 10 2 3" xfId="16532"/>
    <cellStyle name="Normale 3 2 4 10 2 4" xfId="27403"/>
    <cellStyle name="Normale 3 2 4 10 20" xfId="37781"/>
    <cellStyle name="Normale 3 2 4 10 3" xfId="2594"/>
    <cellStyle name="Normale 3 2 4 10 3 2" xfId="10057"/>
    <cellStyle name="Normale 3 2 4 10 3 3" xfId="17465"/>
    <cellStyle name="Normale 3 2 4 10 3 4" xfId="24879"/>
    <cellStyle name="Normale 3 2 4 10 4" xfId="3510"/>
    <cellStyle name="Normale 3 2 4 10 4 2" xfId="10973"/>
    <cellStyle name="Normale 3 2 4 10 4 3" xfId="18381"/>
    <cellStyle name="Normale 3 2 4 10 4 4" xfId="28150"/>
    <cellStyle name="Normale 3 2 4 10 5" xfId="4449"/>
    <cellStyle name="Normale 3 2 4 10 5 2" xfId="11912"/>
    <cellStyle name="Normale 3 2 4 10 5 3" xfId="19320"/>
    <cellStyle name="Normale 3 2 4 10 5 4" xfId="25779"/>
    <cellStyle name="Normale 3 2 4 10 6" xfId="5365"/>
    <cellStyle name="Normale 3 2 4 10 6 2" xfId="12828"/>
    <cellStyle name="Normale 3 2 4 10 6 3" xfId="20236"/>
    <cellStyle name="Normale 3 2 4 10 6 4" xfId="27380"/>
    <cellStyle name="Normale 3 2 4 10 7" xfId="6298"/>
    <cellStyle name="Normale 3 2 4 10 7 2" xfId="13761"/>
    <cellStyle name="Normale 3 2 4 10 7 3" xfId="21169"/>
    <cellStyle name="Normale 3 2 4 10 7 4" xfId="24914"/>
    <cellStyle name="Normale 3 2 4 10 8" xfId="7203"/>
    <cellStyle name="Normale 3 2 4 10 8 2" xfId="14666"/>
    <cellStyle name="Normale 3 2 4 10 8 3" xfId="22074"/>
    <cellStyle name="Normale 3 2 4 10 8 4" xfId="28243"/>
    <cellStyle name="Normale 3 2 4 10 9" xfId="8159"/>
    <cellStyle name="Normale 3 2 4 11" xfId="687"/>
    <cellStyle name="Normale 3 2 4 11 10" xfId="15558"/>
    <cellStyle name="Normale 3 2 4 11 11" xfId="28709"/>
    <cellStyle name="Normale 3 2 4 11 12" xfId="30361"/>
    <cellStyle name="Normale 3 2 4 11 13" xfId="31302"/>
    <cellStyle name="Normale 3 2 4 11 14" xfId="32215"/>
    <cellStyle name="Normale 3 2 4 11 15" xfId="33133"/>
    <cellStyle name="Normale 3 2 4 11 16" xfId="34085"/>
    <cellStyle name="Normale 3 2 4 11 17" xfId="35017"/>
    <cellStyle name="Normale 3 2 4 11 18" xfId="35943"/>
    <cellStyle name="Normale 3 2 4 11 19" xfId="36868"/>
    <cellStyle name="Normale 3 2 4 11 2" xfId="1652"/>
    <cellStyle name="Normale 3 2 4 11 2 2" xfId="9115"/>
    <cellStyle name="Normale 3 2 4 11 2 3" xfId="16523"/>
    <cellStyle name="Normale 3 2 4 11 2 4" xfId="28374"/>
    <cellStyle name="Normale 3 2 4 11 20" xfId="37772"/>
    <cellStyle name="Normale 3 2 4 11 3" xfId="2585"/>
    <cellStyle name="Normale 3 2 4 11 3 2" xfId="10048"/>
    <cellStyle name="Normale 3 2 4 11 3 3" xfId="17456"/>
    <cellStyle name="Normale 3 2 4 11 3 4" xfId="25862"/>
    <cellStyle name="Normale 3 2 4 11 4" xfId="3501"/>
    <cellStyle name="Normale 3 2 4 11 4 2" xfId="10964"/>
    <cellStyle name="Normale 3 2 4 11 4 3" xfId="18372"/>
    <cellStyle name="Normale 3 2 4 11 4 4" xfId="28871"/>
    <cellStyle name="Normale 3 2 4 11 5" xfId="4440"/>
    <cellStyle name="Normale 3 2 4 11 5 2" xfId="11903"/>
    <cellStyle name="Normale 3 2 4 11 5 3" xfId="19311"/>
    <cellStyle name="Normale 3 2 4 11 5 4" xfId="26783"/>
    <cellStyle name="Normale 3 2 4 11 6" xfId="5356"/>
    <cellStyle name="Normale 3 2 4 11 6 2" xfId="12819"/>
    <cellStyle name="Normale 3 2 4 11 6 3" xfId="20227"/>
    <cellStyle name="Normale 3 2 4 11 6 4" xfId="28351"/>
    <cellStyle name="Normale 3 2 4 11 7" xfId="6289"/>
    <cellStyle name="Normale 3 2 4 11 7 2" xfId="13752"/>
    <cellStyle name="Normale 3 2 4 11 7 3" xfId="21160"/>
    <cellStyle name="Normale 3 2 4 11 7 4" xfId="25896"/>
    <cellStyle name="Normale 3 2 4 11 8" xfId="7194"/>
    <cellStyle name="Normale 3 2 4 11 8 2" xfId="14657"/>
    <cellStyle name="Normale 3 2 4 11 8 3" xfId="22065"/>
    <cellStyle name="Normale 3 2 4 11 8 4" xfId="29192"/>
    <cellStyle name="Normale 3 2 4 11 9" xfId="8150"/>
    <cellStyle name="Normale 3 2 4 12" xfId="730"/>
    <cellStyle name="Normale 3 2 4 12 10" xfId="15601"/>
    <cellStyle name="Normale 3 2 4 12 11" xfId="28638"/>
    <cellStyle name="Normale 3 2 4 12 12" xfId="30404"/>
    <cellStyle name="Normale 3 2 4 12 13" xfId="31345"/>
    <cellStyle name="Normale 3 2 4 12 14" xfId="32258"/>
    <cellStyle name="Normale 3 2 4 12 15" xfId="33176"/>
    <cellStyle name="Normale 3 2 4 12 16" xfId="34128"/>
    <cellStyle name="Normale 3 2 4 12 17" xfId="35060"/>
    <cellStyle name="Normale 3 2 4 12 18" xfId="35986"/>
    <cellStyle name="Normale 3 2 4 12 19" xfId="36911"/>
    <cellStyle name="Normale 3 2 4 12 2" xfId="1695"/>
    <cellStyle name="Normale 3 2 4 12 2 2" xfId="9158"/>
    <cellStyle name="Normale 3 2 4 12 2 3" xfId="16566"/>
    <cellStyle name="Normale 3 2 4 12 2 4" xfId="24522"/>
    <cellStyle name="Normale 3 2 4 12 20" xfId="37815"/>
    <cellStyle name="Normale 3 2 4 12 3" xfId="2628"/>
    <cellStyle name="Normale 3 2 4 12 3 2" xfId="10091"/>
    <cellStyle name="Normale 3 2 4 12 3 3" xfId="17499"/>
    <cellStyle name="Normale 3 2 4 12 3 4" xfId="23253"/>
    <cellStyle name="Normale 3 2 4 12 4" xfId="3544"/>
    <cellStyle name="Normale 3 2 4 12 4 2" xfId="11007"/>
    <cellStyle name="Normale 3 2 4 12 4 3" xfId="18415"/>
    <cellStyle name="Normale 3 2 4 12 4 4" xfId="26931"/>
    <cellStyle name="Normale 3 2 4 12 5" xfId="4483"/>
    <cellStyle name="Normale 3 2 4 12 5 2" xfId="11946"/>
    <cellStyle name="Normale 3 2 4 12 5 3" xfId="19354"/>
    <cellStyle name="Normale 3 2 4 12 5 4" xfId="23655"/>
    <cellStyle name="Normale 3 2 4 12 6" xfId="5399"/>
    <cellStyle name="Normale 3 2 4 12 6 2" xfId="12862"/>
    <cellStyle name="Normale 3 2 4 12 6 3" xfId="20270"/>
    <cellStyle name="Normale 3 2 4 12 6 4" xfId="24427"/>
    <cellStyle name="Normale 3 2 4 12 7" xfId="6332"/>
    <cellStyle name="Normale 3 2 4 12 7 2" xfId="13795"/>
    <cellStyle name="Normale 3 2 4 12 7 3" xfId="21203"/>
    <cellStyle name="Normale 3 2 4 12 7 4" xfId="28062"/>
    <cellStyle name="Normale 3 2 4 12 8" xfId="7237"/>
    <cellStyle name="Normale 3 2 4 12 8 2" xfId="14700"/>
    <cellStyle name="Normale 3 2 4 12 8 3" xfId="22108"/>
    <cellStyle name="Normale 3 2 4 12 8 4" xfId="25911"/>
    <cellStyle name="Normale 3 2 4 12 9" xfId="8193"/>
    <cellStyle name="Normale 3 2 4 13" xfId="896"/>
    <cellStyle name="Normale 3 2 4 13 10" xfId="15767"/>
    <cellStyle name="Normale 3 2 4 13 11" xfId="26385"/>
    <cellStyle name="Normale 3 2 4 13 12" xfId="30565"/>
    <cellStyle name="Normale 3 2 4 13 13" xfId="31511"/>
    <cellStyle name="Normale 3 2 4 13 14" xfId="32422"/>
    <cellStyle name="Normale 3 2 4 13 15" xfId="33334"/>
    <cellStyle name="Normale 3 2 4 13 16" xfId="34294"/>
    <cellStyle name="Normale 3 2 4 13 17" xfId="35226"/>
    <cellStyle name="Normale 3 2 4 13 18" xfId="36152"/>
    <cellStyle name="Normale 3 2 4 13 19" xfId="37077"/>
    <cellStyle name="Normale 3 2 4 13 2" xfId="1861"/>
    <cellStyle name="Normale 3 2 4 13 2 2" xfId="9324"/>
    <cellStyle name="Normale 3 2 4 13 2 3" xfId="16732"/>
    <cellStyle name="Normale 3 2 4 13 2 4" xfId="23406"/>
    <cellStyle name="Normale 3 2 4 13 20" xfId="37973"/>
    <cellStyle name="Normale 3 2 4 13 3" xfId="2794"/>
    <cellStyle name="Normale 3 2 4 13 3 2" xfId="10257"/>
    <cellStyle name="Normale 3 2 4 13 3 3" xfId="17665"/>
    <cellStyle name="Normale 3 2 4 13 3 4" xfId="22750"/>
    <cellStyle name="Normale 3 2 4 13 4" xfId="3708"/>
    <cellStyle name="Normale 3 2 4 13 4 2" xfId="11171"/>
    <cellStyle name="Normale 3 2 4 13 4 3" xfId="18579"/>
    <cellStyle name="Normale 3 2 4 13 4 4" xfId="22938"/>
    <cellStyle name="Normale 3 2 4 13 5" xfId="4649"/>
    <cellStyle name="Normale 3 2 4 13 5 2" xfId="12112"/>
    <cellStyle name="Normale 3 2 4 13 5 3" xfId="19520"/>
    <cellStyle name="Normale 3 2 4 13 5 4" xfId="25594"/>
    <cellStyle name="Normale 3 2 4 13 6" xfId="5563"/>
    <cellStyle name="Normale 3 2 4 13 6 2" xfId="13026"/>
    <cellStyle name="Normale 3 2 4 13 6 3" xfId="20434"/>
    <cellStyle name="Normale 3 2 4 13 6 4" xfId="25146"/>
    <cellStyle name="Normale 3 2 4 13 7" xfId="6498"/>
    <cellStyle name="Normale 3 2 4 13 7 2" xfId="13961"/>
    <cellStyle name="Normale 3 2 4 13 7 3" xfId="21369"/>
    <cellStyle name="Normale 3 2 4 13 7 4" xfId="22773"/>
    <cellStyle name="Normale 3 2 4 13 8" xfId="7395"/>
    <cellStyle name="Normale 3 2 4 13 8 2" xfId="14858"/>
    <cellStyle name="Normale 3 2 4 13 8 3" xfId="22266"/>
    <cellStyle name="Normale 3 2 4 13 8 4" xfId="27129"/>
    <cellStyle name="Normale 3 2 4 13 9" xfId="8359"/>
    <cellStyle name="Normale 3 2 4 14" xfId="1016"/>
    <cellStyle name="Normale 3 2 4 14 2" xfId="8479"/>
    <cellStyle name="Normale 3 2 4 14 3" xfId="15887"/>
    <cellStyle name="Normale 3 2 4 14 4" xfId="25456"/>
    <cellStyle name="Normale 3 2 4 15" xfId="1943"/>
    <cellStyle name="Normale 3 2 4 15 2" xfId="9406"/>
    <cellStyle name="Normale 3 2 4 15 3" xfId="16814"/>
    <cellStyle name="Normale 3 2 4 15 4" xfId="25795"/>
    <cellStyle name="Normale 3 2 4 16" xfId="2776"/>
    <cellStyle name="Normale 3 2 4 16 2" xfId="10239"/>
    <cellStyle name="Normale 3 2 4 16 3" xfId="17647"/>
    <cellStyle name="Normale 3 2 4 16 4" xfId="24743"/>
    <cellStyle name="Normale 3 2 4 17" xfId="3798"/>
    <cellStyle name="Normale 3 2 4 17 2" xfId="11261"/>
    <cellStyle name="Normale 3 2 4 17 3" xfId="18669"/>
    <cellStyle name="Normale 3 2 4 17 4" xfId="27221"/>
    <cellStyle name="Normale 3 2 4 18" xfId="2099"/>
    <cellStyle name="Normale 3 2 4 18 2" xfId="9562"/>
    <cellStyle name="Normale 3 2 4 18 3" xfId="16970"/>
    <cellStyle name="Normale 3 2 4 18 4" xfId="25428"/>
    <cellStyle name="Normale 3 2 4 19" xfId="5652"/>
    <cellStyle name="Normale 3 2 4 19 2" xfId="13115"/>
    <cellStyle name="Normale 3 2 4 19 3" xfId="20523"/>
    <cellStyle name="Normale 3 2 4 19 4" xfId="28459"/>
    <cellStyle name="Normale 3 2 4 2" xfId="44"/>
    <cellStyle name="Normale 3 2 4 2 10" xfId="6480"/>
    <cellStyle name="Normale 3 2 4 2 10 2" xfId="13943"/>
    <cellStyle name="Normale 3 2 4 2 10 3" xfId="21351"/>
    <cellStyle name="Normale 3 2 4 2 10 4" xfId="24779"/>
    <cellStyle name="Normale 3 2 4 2 11" xfId="7509"/>
    <cellStyle name="Normale 3 2 4 2 12" xfId="7670"/>
    <cellStyle name="Normale 3 2 4 2 13" xfId="29148"/>
    <cellStyle name="Normale 3 2 4 2 14" xfId="29735"/>
    <cellStyle name="Normale 3 2 4 2 15" xfId="30665"/>
    <cellStyle name="Normale 3 2 4 2 16" xfId="31350"/>
    <cellStyle name="Normale 3 2 4 2 17" xfId="32514"/>
    <cellStyle name="Normale 3 2 4 2 18" xfId="33448"/>
    <cellStyle name="Normale 3 2 4 2 19" xfId="34376"/>
    <cellStyle name="Normale 3 2 4 2 2" xfId="45"/>
    <cellStyle name="Normale 3 2 4 2 2 10" xfId="7510"/>
    <cellStyle name="Normale 3 2 4 2 2 11" xfId="7470"/>
    <cellStyle name="Normale 3 2 4 2 2 12" xfId="28239"/>
    <cellStyle name="Normale 3 2 4 2 2 13" xfId="29736"/>
    <cellStyle name="Normale 3 2 4 2 2 14" xfId="30666"/>
    <cellStyle name="Normale 3 2 4 2 2 15" xfId="31589"/>
    <cellStyle name="Normale 3 2 4 2 2 16" xfId="32515"/>
    <cellStyle name="Normale 3 2 4 2 2 17" xfId="33449"/>
    <cellStyle name="Normale 3 2 4 2 2 18" xfId="34377"/>
    <cellStyle name="Normale 3 2 4 2 2 19" xfId="35163"/>
    <cellStyle name="Normale 3 2 4 2 2 2" xfId="243"/>
    <cellStyle name="Normale 3 2 4 2 2 2 10" xfId="15116"/>
    <cellStyle name="Normale 3 2 4 2 2 2 11" xfId="27654"/>
    <cellStyle name="Normale 3 2 4 2 2 2 12" xfId="29928"/>
    <cellStyle name="Normale 3 2 4 2 2 2 13" xfId="30860"/>
    <cellStyle name="Normale 3 2 4 2 2 2 14" xfId="31781"/>
    <cellStyle name="Normale 3 2 4 2 2 2 15" xfId="32706"/>
    <cellStyle name="Normale 3 2 4 2 2 2 16" xfId="33643"/>
    <cellStyle name="Normale 3 2 4 2 2 2 17" xfId="34573"/>
    <cellStyle name="Normale 3 2 4 2 2 2 18" xfId="35499"/>
    <cellStyle name="Normale 3 2 4 2 2 2 19" xfId="36425"/>
    <cellStyle name="Normale 3 2 4 2 2 2 2" xfId="1210"/>
    <cellStyle name="Normale 3 2 4 2 2 2 2 2" xfId="8673"/>
    <cellStyle name="Normale 3 2 4 2 2 2 2 3" xfId="16081"/>
    <cellStyle name="Normale 3 2 4 2 2 2 2 4" xfId="24752"/>
    <cellStyle name="Normale 3 2 4 2 2 2 20" xfId="37345"/>
    <cellStyle name="Normale 3 2 4 2 2 2 3" xfId="2141"/>
    <cellStyle name="Normale 3 2 4 2 2 2 3 2" xfId="9604"/>
    <cellStyle name="Normale 3 2 4 2 2 2 3 3" xfId="17012"/>
    <cellStyle name="Normale 3 2 4 2 2 2 3 4" xfId="29392"/>
    <cellStyle name="Normale 3 2 4 2 2 2 4" xfId="3063"/>
    <cellStyle name="Normale 3 2 4 2 2 2 4 2" xfId="10526"/>
    <cellStyle name="Normale 3 2 4 2 2 2 4 3" xfId="17934"/>
    <cellStyle name="Normale 3 2 4 2 2 2 4 4" xfId="22794"/>
    <cellStyle name="Normale 3 2 4 2 2 2 5" xfId="3996"/>
    <cellStyle name="Normale 3 2 4 2 2 2 5 2" xfId="11459"/>
    <cellStyle name="Normale 3 2 4 2 2 2 5 3" xfId="18867"/>
    <cellStyle name="Normale 3 2 4 2 2 2 5 4" xfId="22429"/>
    <cellStyle name="Normale 3 2 4 2 2 2 6" xfId="4919"/>
    <cellStyle name="Normale 3 2 4 2 2 2 6 2" xfId="12382"/>
    <cellStyle name="Normale 3 2 4 2 2 2 6 3" xfId="19790"/>
    <cellStyle name="Normale 3 2 4 2 2 2 6 4" xfId="27429"/>
    <cellStyle name="Normale 3 2 4 2 2 2 7" xfId="5847"/>
    <cellStyle name="Normale 3 2 4 2 2 2 7 2" xfId="13310"/>
    <cellStyle name="Normale 3 2 4 2 2 2 7 3" xfId="20718"/>
    <cellStyle name="Normale 3 2 4 2 2 2 7 4" xfId="27651"/>
    <cellStyle name="Normale 3 2 4 2 2 2 8" xfId="6767"/>
    <cellStyle name="Normale 3 2 4 2 2 2 8 2" xfId="14230"/>
    <cellStyle name="Normale 3 2 4 2 2 2 8 3" xfId="21638"/>
    <cellStyle name="Normale 3 2 4 2 2 2 8 4" xfId="22816"/>
    <cellStyle name="Normale 3 2 4 2 2 2 9" xfId="7706"/>
    <cellStyle name="Normale 3 2 4 2 2 20" xfId="36231"/>
    <cellStyle name="Normale 3 2 4 2 2 21" xfId="37014"/>
    <cellStyle name="Normale 3 2 4 2 2 3" xfId="1018"/>
    <cellStyle name="Normale 3 2 4 2 2 3 2" xfId="8481"/>
    <cellStyle name="Normale 3 2 4 2 2 3 3" xfId="15889"/>
    <cellStyle name="Normale 3 2 4 2 2 3 4" xfId="23619"/>
    <cellStyle name="Normale 3 2 4 2 2 4" xfId="1945"/>
    <cellStyle name="Normale 3 2 4 2 2 4 2" xfId="9408"/>
    <cellStyle name="Normale 3 2 4 2 2 4 3" xfId="16816"/>
    <cellStyle name="Normale 3 2 4 2 2 4 4" xfId="23958"/>
    <cellStyle name="Normale 3 2 4 2 2 5" xfId="2633"/>
    <cellStyle name="Normale 3 2 4 2 2 5 2" xfId="10096"/>
    <cellStyle name="Normale 3 2 4 2 2 5 3" xfId="17504"/>
    <cellStyle name="Normale 3 2 4 2 2 5 4" xfId="26037"/>
    <cellStyle name="Normale 3 2 4 2 2 6" xfId="3800"/>
    <cellStyle name="Normale 3 2 4 2 2 6 2" xfId="11263"/>
    <cellStyle name="Normale 3 2 4 2 2 6 3" xfId="18671"/>
    <cellStyle name="Normale 3 2 4 2 2 6 4" xfId="25384"/>
    <cellStyle name="Normale 3 2 4 2 2 7" xfId="4586"/>
    <cellStyle name="Normale 3 2 4 2 2 7 2" xfId="12049"/>
    <cellStyle name="Normale 3 2 4 2 2 7 3" xfId="19457"/>
    <cellStyle name="Normale 3 2 4 2 2 7 4" xfId="24823"/>
    <cellStyle name="Normale 3 2 4 2 2 8" xfId="5654"/>
    <cellStyle name="Normale 3 2 4 2 2 8 2" xfId="13117"/>
    <cellStyle name="Normale 3 2 4 2 2 8 3" xfId="20525"/>
    <cellStyle name="Normale 3 2 4 2 2 8 4" xfId="26628"/>
    <cellStyle name="Normale 3 2 4 2 2 9" xfId="6435"/>
    <cellStyle name="Normale 3 2 4 2 2 9 2" xfId="13898"/>
    <cellStyle name="Normale 3 2 4 2 2 9 3" xfId="21306"/>
    <cellStyle name="Normale 3 2 4 2 2 9 4" xfId="29346"/>
    <cellStyle name="Normale 3 2 4 2 20" xfId="35208"/>
    <cellStyle name="Normale 3 2 4 2 21" xfId="35991"/>
    <cellStyle name="Normale 3 2 4 2 22" xfId="37059"/>
    <cellStyle name="Normale 3 2 4 2 3" xfId="242"/>
    <cellStyle name="Normale 3 2 4 2 3 10" xfId="15115"/>
    <cellStyle name="Normale 3 2 4 2 3 11" xfId="28580"/>
    <cellStyle name="Normale 3 2 4 2 3 12" xfId="29927"/>
    <cellStyle name="Normale 3 2 4 2 3 13" xfId="30859"/>
    <cellStyle name="Normale 3 2 4 2 3 14" xfId="31780"/>
    <cellStyle name="Normale 3 2 4 2 3 15" xfId="32705"/>
    <cellStyle name="Normale 3 2 4 2 3 16" xfId="33642"/>
    <cellStyle name="Normale 3 2 4 2 3 17" xfId="34572"/>
    <cellStyle name="Normale 3 2 4 2 3 18" xfId="35498"/>
    <cellStyle name="Normale 3 2 4 2 3 19" xfId="36424"/>
    <cellStyle name="Normale 3 2 4 2 3 2" xfId="1209"/>
    <cellStyle name="Normale 3 2 4 2 3 2 2" xfId="8672"/>
    <cellStyle name="Normale 3 2 4 2 3 2 3" xfId="16080"/>
    <cellStyle name="Normale 3 2 4 2 3 2 4" xfId="25666"/>
    <cellStyle name="Normale 3 2 4 2 3 20" xfId="37344"/>
    <cellStyle name="Normale 3 2 4 2 3 3" xfId="2140"/>
    <cellStyle name="Normale 3 2 4 2 3 3 2" xfId="9603"/>
    <cellStyle name="Normale 3 2 4 2 3 3 3" xfId="17011"/>
    <cellStyle name="Normale 3 2 4 2 3 3 4" xfId="22963"/>
    <cellStyle name="Normale 3 2 4 2 3 4" xfId="3062"/>
    <cellStyle name="Normale 3 2 4 2 3 4 2" xfId="10525"/>
    <cellStyle name="Normale 3 2 4 2 3 4 3" xfId="17933"/>
    <cellStyle name="Normale 3 2 4 2 3 4 4" xfId="23766"/>
    <cellStyle name="Normale 3 2 4 2 3 5" xfId="3995"/>
    <cellStyle name="Normale 3 2 4 2 3 5 2" xfId="11458"/>
    <cellStyle name="Normale 3 2 4 2 3 5 3" xfId="18866"/>
    <cellStyle name="Normale 3 2 4 2 3 5 4" xfId="22430"/>
    <cellStyle name="Normale 3 2 4 2 3 6" xfId="4918"/>
    <cellStyle name="Normale 3 2 4 2 3 6 2" xfId="12381"/>
    <cellStyle name="Normale 3 2 4 2 3 6 3" xfId="19789"/>
    <cellStyle name="Normale 3 2 4 2 3 6 4" xfId="28353"/>
    <cellStyle name="Normale 3 2 4 2 3 7" xfId="5846"/>
    <cellStyle name="Normale 3 2 4 2 3 7 2" xfId="13309"/>
    <cellStyle name="Normale 3 2 4 2 3 7 3" xfId="20717"/>
    <cellStyle name="Normale 3 2 4 2 3 7 4" xfId="28577"/>
    <cellStyle name="Normale 3 2 4 2 3 8" xfId="6766"/>
    <cellStyle name="Normale 3 2 4 2 3 8 2" xfId="14229"/>
    <cellStyle name="Normale 3 2 4 2 3 8 3" xfId="21637"/>
    <cellStyle name="Normale 3 2 4 2 3 8 4" xfId="23795"/>
    <cellStyle name="Normale 3 2 4 2 3 9" xfId="7705"/>
    <cellStyle name="Normale 3 2 4 2 4" xfId="1017"/>
    <cellStyle name="Normale 3 2 4 2 4 2" xfId="8480"/>
    <cellStyle name="Normale 3 2 4 2 4 3" xfId="15888"/>
    <cellStyle name="Normale 3 2 4 2 4 4" xfId="24540"/>
    <cellStyle name="Normale 3 2 4 2 5" xfId="1944"/>
    <cellStyle name="Normale 3 2 4 2 5 2" xfId="9407"/>
    <cellStyle name="Normale 3 2 4 2 5 3" xfId="16815"/>
    <cellStyle name="Normale 3 2 4 2 5 4" xfId="24883"/>
    <cellStyle name="Normale 3 2 4 2 6" xfId="2731"/>
    <cellStyle name="Normale 3 2 4 2 6 2" xfId="10194"/>
    <cellStyle name="Normale 3 2 4 2 6 3" xfId="17602"/>
    <cellStyle name="Normale 3 2 4 2 6 4" xfId="29080"/>
    <cellStyle name="Normale 3 2 4 2 7" xfId="3799"/>
    <cellStyle name="Normale 3 2 4 2 7 2" xfId="11262"/>
    <cellStyle name="Normale 3 2 4 2 7 3" xfId="18670"/>
    <cellStyle name="Normale 3 2 4 2 7 4" xfId="26311"/>
    <cellStyle name="Normale 3 2 4 2 8" xfId="4631"/>
    <cellStyle name="Normale 3 2 4 2 8 2" xfId="12094"/>
    <cellStyle name="Normale 3 2 4 2 8 3" xfId="19502"/>
    <cellStyle name="Normale 3 2 4 2 8 4" xfId="27538"/>
    <cellStyle name="Normale 3 2 4 2 9" xfId="5653"/>
    <cellStyle name="Normale 3 2 4 2 9 2" xfId="13116"/>
    <cellStyle name="Normale 3 2 4 2 9 3" xfId="20524"/>
    <cellStyle name="Normale 3 2 4 2 9 4" xfId="27532"/>
    <cellStyle name="Normale 3 2 4 20" xfId="3954"/>
    <cellStyle name="Normale 3 2 4 20 2" xfId="11417"/>
    <cellStyle name="Normale 3 2 4 20 3" xfId="18825"/>
    <cellStyle name="Normale 3 2 4 20 4" xfId="24908"/>
    <cellStyle name="Normale 3 2 4 21" xfId="7508"/>
    <cellStyle name="Normale 3 2 4 22" xfId="7863"/>
    <cellStyle name="Normale 3 2 4 23" xfId="22718"/>
    <cellStyle name="Normale 3 2 4 24" xfId="29734"/>
    <cellStyle name="Normale 3 2 4 25" xfId="30664"/>
    <cellStyle name="Normale 3 2 4 26" xfId="31448"/>
    <cellStyle name="Normale 3 2 4 27" xfId="32513"/>
    <cellStyle name="Normale 3 2 4 28" xfId="33447"/>
    <cellStyle name="Normale 3 2 4 29" xfId="34375"/>
    <cellStyle name="Normale 3 2 4 3" xfId="46"/>
    <cellStyle name="Normale 3 2 4 3 10" xfId="7511"/>
    <cellStyle name="Normale 3 2 4 3 11" xfId="13673"/>
    <cellStyle name="Normale 3 2 4 3 12" xfId="27315"/>
    <cellStyle name="Normale 3 2 4 3 13" xfId="29737"/>
    <cellStyle name="Normale 3 2 4 3 14" xfId="30667"/>
    <cellStyle name="Normale 3 2 4 3 15" xfId="31590"/>
    <cellStyle name="Normale 3 2 4 3 16" xfId="32516"/>
    <cellStyle name="Normale 3 2 4 3 17" xfId="33450"/>
    <cellStyle name="Normale 3 2 4 3 18" xfId="34378"/>
    <cellStyle name="Normale 3 2 4 3 19" xfId="35065"/>
    <cellStyle name="Normale 3 2 4 3 2" xfId="244"/>
    <cellStyle name="Normale 3 2 4 3 2 10" xfId="15117"/>
    <cellStyle name="Normale 3 2 4 3 2 11" xfId="26750"/>
    <cellStyle name="Normale 3 2 4 3 2 12" xfId="29929"/>
    <cellStyle name="Normale 3 2 4 3 2 13" xfId="30861"/>
    <cellStyle name="Normale 3 2 4 3 2 14" xfId="31782"/>
    <cellStyle name="Normale 3 2 4 3 2 15" xfId="32707"/>
    <cellStyle name="Normale 3 2 4 3 2 16" xfId="33644"/>
    <cellStyle name="Normale 3 2 4 3 2 17" xfId="34574"/>
    <cellStyle name="Normale 3 2 4 3 2 18" xfId="35500"/>
    <cellStyle name="Normale 3 2 4 3 2 19" xfId="36426"/>
    <cellStyle name="Normale 3 2 4 3 2 2" xfId="1211"/>
    <cellStyle name="Normale 3 2 4 3 2 2 2" xfId="8674"/>
    <cellStyle name="Normale 3 2 4 3 2 2 3" xfId="16082"/>
    <cellStyle name="Normale 3 2 4 3 2 2 4" xfId="23829"/>
    <cellStyle name="Normale 3 2 4 3 2 20" xfId="37346"/>
    <cellStyle name="Normale 3 2 4 3 2 3" xfId="2142"/>
    <cellStyle name="Normale 3 2 4 3 2 3 2" xfId="9605"/>
    <cellStyle name="Normale 3 2 4 3 2 3 3" xfId="17013"/>
    <cellStyle name="Normale 3 2 4 3 2 3 4" xfId="28495"/>
    <cellStyle name="Normale 3 2 4 3 2 4" xfId="3064"/>
    <cellStyle name="Normale 3 2 4 3 2 4 2" xfId="10527"/>
    <cellStyle name="Normale 3 2 4 3 2 4 3" xfId="17935"/>
    <cellStyle name="Normale 3 2 4 3 2 4 4" xfId="29224"/>
    <cellStyle name="Normale 3 2 4 3 2 5" xfId="3997"/>
    <cellStyle name="Normale 3 2 4 3 2 5 2" xfId="11460"/>
    <cellStyle name="Normale 3 2 4 3 2 5 3" xfId="18868"/>
    <cellStyle name="Normale 3 2 4 3 2 5 4" xfId="28860"/>
    <cellStyle name="Normale 3 2 4 3 2 6" xfId="4920"/>
    <cellStyle name="Normale 3 2 4 3 2 6 2" xfId="12383"/>
    <cellStyle name="Normale 3 2 4 3 2 6 3" xfId="19791"/>
    <cellStyle name="Normale 3 2 4 3 2 6 4" xfId="26521"/>
    <cellStyle name="Normale 3 2 4 3 2 7" xfId="5848"/>
    <cellStyle name="Normale 3 2 4 3 2 7 2" xfId="13311"/>
    <cellStyle name="Normale 3 2 4 3 2 7 3" xfId="20719"/>
    <cellStyle name="Normale 3 2 4 3 2 7 4" xfId="26747"/>
    <cellStyle name="Normale 3 2 4 3 2 8" xfId="6768"/>
    <cellStyle name="Normale 3 2 4 3 2 8 2" xfId="14231"/>
    <cellStyle name="Normale 3 2 4 3 2 8 3" xfId="21639"/>
    <cellStyle name="Normale 3 2 4 3 2 8 4" xfId="29247"/>
    <cellStyle name="Normale 3 2 4 3 2 9" xfId="7707"/>
    <cellStyle name="Normale 3 2 4 3 20" xfId="36232"/>
    <cellStyle name="Normale 3 2 4 3 21" xfId="36916"/>
    <cellStyle name="Normale 3 2 4 3 3" xfId="1019"/>
    <cellStyle name="Normale 3 2 4 3 3 2" xfId="8482"/>
    <cellStyle name="Normale 3 2 4 3 3 3" xfId="15890"/>
    <cellStyle name="Normale 3 2 4 3 3 4" xfId="22506"/>
    <cellStyle name="Normale 3 2 4 3 4" xfId="1946"/>
    <cellStyle name="Normale 3 2 4 3 4 2" xfId="9409"/>
    <cellStyle name="Normale 3 2 4 3 4 3" xfId="16817"/>
    <cellStyle name="Normale 3 2 4 3 4 4" xfId="22950"/>
    <cellStyle name="Normale 3 2 4 3 5" xfId="2872"/>
    <cellStyle name="Normale 3 2 4 3 5 2" xfId="10335"/>
    <cellStyle name="Normale 3 2 4 3 5 3" xfId="17743"/>
    <cellStyle name="Normale 3 2 4 3 5 4" xfId="25092"/>
    <cellStyle name="Normale 3 2 4 3 6" xfId="3801"/>
    <cellStyle name="Normale 3 2 4 3 6 2" xfId="11264"/>
    <cellStyle name="Normale 3 2 4 3 6 3" xfId="18672"/>
    <cellStyle name="Normale 3 2 4 3 6 4" xfId="24468"/>
    <cellStyle name="Normale 3 2 4 3 7" xfId="4488"/>
    <cellStyle name="Normale 3 2 4 3 7 2" xfId="11951"/>
    <cellStyle name="Normale 3 2 4 3 7 3" xfId="19359"/>
    <cellStyle name="Normale 3 2 4 3 7 4" xfId="26261"/>
    <cellStyle name="Normale 3 2 4 3 8" xfId="5655"/>
    <cellStyle name="Normale 3 2 4 3 8 2" xfId="13118"/>
    <cellStyle name="Normale 3 2 4 3 8 3" xfId="20526"/>
    <cellStyle name="Normale 3 2 4 3 8 4" xfId="25696"/>
    <cellStyle name="Normale 3 2 4 3 9" xfId="6337"/>
    <cellStyle name="Normale 3 2 4 3 9 2" xfId="13800"/>
    <cellStyle name="Normale 3 2 4 3 9 3" xfId="21208"/>
    <cellStyle name="Normale 3 2 4 3 9 4" xfId="23468"/>
    <cellStyle name="Normale 3 2 4 30" xfId="34167"/>
    <cellStyle name="Normale 3 2 4 31" xfId="36089"/>
    <cellStyle name="Normale 3 2 4 32" xfId="35441"/>
    <cellStyle name="Normale 3 2 4 4" xfId="241"/>
    <cellStyle name="Normale 3 2 4 4 10" xfId="15114"/>
    <cellStyle name="Normale 3 2 4 4 11" xfId="29473"/>
    <cellStyle name="Normale 3 2 4 4 12" xfId="29926"/>
    <cellStyle name="Normale 3 2 4 4 13" xfId="30858"/>
    <cellStyle name="Normale 3 2 4 4 14" xfId="31779"/>
    <cellStyle name="Normale 3 2 4 4 15" xfId="32704"/>
    <cellStyle name="Normale 3 2 4 4 16" xfId="33641"/>
    <cellStyle name="Normale 3 2 4 4 17" xfId="34571"/>
    <cellStyle name="Normale 3 2 4 4 18" xfId="35497"/>
    <cellStyle name="Normale 3 2 4 4 19" xfId="36423"/>
    <cellStyle name="Normale 3 2 4 4 2" xfId="1208"/>
    <cellStyle name="Normale 3 2 4 4 2 2" xfId="8671"/>
    <cellStyle name="Normale 3 2 4 4 2 3" xfId="16079"/>
    <cellStyle name="Normale 3 2 4 4 2 4" xfId="26596"/>
    <cellStyle name="Normale 3 2 4 4 20" xfId="37343"/>
    <cellStyle name="Normale 3 2 4 4 3" xfId="2139"/>
    <cellStyle name="Normale 3 2 4 4 3 2" xfId="9602"/>
    <cellStyle name="Normale 3 2 4 4 3 3" xfId="17010"/>
    <cellStyle name="Normale 3 2 4 4 3 4" xfId="23976"/>
    <cellStyle name="Normale 3 2 4 4 4" xfId="3061"/>
    <cellStyle name="Normale 3 2 4 4 4 2" xfId="10524"/>
    <cellStyle name="Normale 3 2 4 4 4 3" xfId="17932"/>
    <cellStyle name="Normale 3 2 4 4 4 4" xfId="24689"/>
    <cellStyle name="Normale 3 2 4 4 5" xfId="3994"/>
    <cellStyle name="Normale 3 2 4 4 5 2" xfId="11457"/>
    <cellStyle name="Normale 3 2 4 4 5 3" xfId="18865"/>
    <cellStyle name="Normale 3 2 4 4 5 4" xfId="23545"/>
    <cellStyle name="Normale 3 2 4 4 6" xfId="4917"/>
    <cellStyle name="Normale 3 2 4 4 6 2" xfId="12380"/>
    <cellStyle name="Normale 3 2 4 4 6 3" xfId="19788"/>
    <cellStyle name="Normale 3 2 4 4 6 4" xfId="29258"/>
    <cellStyle name="Normale 3 2 4 4 7" xfId="5845"/>
    <cellStyle name="Normale 3 2 4 4 7 2" xfId="13308"/>
    <cellStyle name="Normale 3 2 4 4 7 3" xfId="20716"/>
    <cellStyle name="Normale 3 2 4 4 7 4" xfId="29470"/>
    <cellStyle name="Normale 3 2 4 4 8" xfId="6765"/>
    <cellStyle name="Normale 3 2 4 4 8 2" xfId="14228"/>
    <cellStyle name="Normale 3 2 4 4 8 3" xfId="21636"/>
    <cellStyle name="Normale 3 2 4 4 8 4" xfId="24718"/>
    <cellStyle name="Normale 3 2 4 4 9" xfId="7704"/>
    <cellStyle name="Normale 3 2 4 5" xfId="410"/>
    <cellStyle name="Normale 3 2 4 5 10" xfId="15283"/>
    <cellStyle name="Normale 3 2 4 5 11" xfId="28710"/>
    <cellStyle name="Normale 3 2 4 5 12" xfId="30095"/>
    <cellStyle name="Normale 3 2 4 5 13" xfId="31027"/>
    <cellStyle name="Normale 3 2 4 5 14" xfId="31948"/>
    <cellStyle name="Normale 3 2 4 5 15" xfId="32872"/>
    <cellStyle name="Normale 3 2 4 5 16" xfId="33810"/>
    <cellStyle name="Normale 3 2 4 5 17" xfId="34740"/>
    <cellStyle name="Normale 3 2 4 5 18" xfId="35666"/>
    <cellStyle name="Normale 3 2 4 5 19" xfId="36592"/>
    <cellStyle name="Normale 3 2 4 5 2" xfId="1377"/>
    <cellStyle name="Normale 3 2 4 5 2 2" xfId="8840"/>
    <cellStyle name="Normale 3 2 4 5 2 3" xfId="16248"/>
    <cellStyle name="Normale 3 2 4 5 2 4" xfId="25978"/>
    <cellStyle name="Normale 3 2 4 5 20" xfId="37511"/>
    <cellStyle name="Normale 3 2 4 5 3" xfId="2308"/>
    <cellStyle name="Normale 3 2 4 5 3 2" xfId="9771"/>
    <cellStyle name="Normale 3 2 4 5 3 3" xfId="17179"/>
    <cellStyle name="Normale 3 2 4 5 3 4" xfId="23089"/>
    <cellStyle name="Normale 3 2 4 5 4" xfId="3230"/>
    <cellStyle name="Normale 3 2 4 5 4 2" xfId="10693"/>
    <cellStyle name="Normale 3 2 4 5 4 3" xfId="18101"/>
    <cellStyle name="Normale 3 2 4 5 4 4" xfId="26532"/>
    <cellStyle name="Normale 3 2 4 5 5" xfId="4163"/>
    <cellStyle name="Normale 3 2 4 5 5 2" xfId="11626"/>
    <cellStyle name="Normale 3 2 4 5 5 3" xfId="19034"/>
    <cellStyle name="Normale 3 2 4 5 5 4" xfId="23759"/>
    <cellStyle name="Normale 3 2 4 5 6" xfId="5086"/>
    <cellStyle name="Normale 3 2 4 5 6 2" xfId="12549"/>
    <cellStyle name="Normale 3 2 4 5 6 3" xfId="19957"/>
    <cellStyle name="Normale 3 2 4 5 6 4" xfId="28673"/>
    <cellStyle name="Normale 3 2 4 5 7" xfId="6014"/>
    <cellStyle name="Normale 3 2 4 5 7 2" xfId="13477"/>
    <cellStyle name="Normale 3 2 4 5 7 3" xfId="20885"/>
    <cellStyle name="Normale 3 2 4 5 7 4" xfId="28571"/>
    <cellStyle name="Normale 3 2 4 5 8" xfId="6933"/>
    <cellStyle name="Normale 3 2 4 5 8 2" xfId="14396"/>
    <cellStyle name="Normale 3 2 4 5 8 3" xfId="21804"/>
    <cellStyle name="Normale 3 2 4 5 8 4" xfId="27468"/>
    <cellStyle name="Normale 3 2 4 5 9" xfId="7873"/>
    <cellStyle name="Normale 3 2 4 6" xfId="458"/>
    <cellStyle name="Normale 3 2 4 6 10" xfId="15331"/>
    <cellStyle name="Normale 3 2 4 6 11" xfId="28336"/>
    <cellStyle name="Normale 3 2 4 6 12" xfId="30143"/>
    <cellStyle name="Normale 3 2 4 6 13" xfId="31075"/>
    <cellStyle name="Normale 3 2 4 6 14" xfId="31996"/>
    <cellStyle name="Normale 3 2 4 6 15" xfId="32919"/>
    <cellStyle name="Normale 3 2 4 6 16" xfId="33858"/>
    <cellStyle name="Normale 3 2 4 6 17" xfId="34788"/>
    <cellStyle name="Normale 3 2 4 6 18" xfId="35714"/>
    <cellStyle name="Normale 3 2 4 6 19" xfId="36640"/>
    <cellStyle name="Normale 3 2 4 6 2" xfId="1425"/>
    <cellStyle name="Normale 3 2 4 6 2 2" xfId="8888"/>
    <cellStyle name="Normale 3 2 4 6 2 3" xfId="16296"/>
    <cellStyle name="Normale 3 2 4 6 2 4" xfId="24192"/>
    <cellStyle name="Normale 3 2 4 6 20" xfId="37558"/>
    <cellStyle name="Normale 3 2 4 6 3" xfId="2356"/>
    <cellStyle name="Normale 3 2 4 6 3 2" xfId="9819"/>
    <cellStyle name="Normale 3 2 4 6 3 3" xfId="17227"/>
    <cellStyle name="Normale 3 2 4 6 3 4" xfId="22752"/>
    <cellStyle name="Normale 3 2 4 6 4" xfId="3278"/>
    <cellStyle name="Normale 3 2 4 6 4 2" xfId="10741"/>
    <cellStyle name="Normale 3 2 4 6 4 3" xfId="18149"/>
    <cellStyle name="Normale 3 2 4 6 4 4" xfId="28415"/>
    <cellStyle name="Normale 3 2 4 6 5" xfId="4211"/>
    <cellStyle name="Normale 3 2 4 6 5 2" xfId="11674"/>
    <cellStyle name="Normale 3 2 4 6 5 3" xfId="19082"/>
    <cellStyle name="Normale 3 2 4 6 5 4" xfId="23345"/>
    <cellStyle name="Normale 3 2 4 6 6" xfId="5134"/>
    <cellStyle name="Normale 3 2 4 6 6 2" xfId="12597"/>
    <cellStyle name="Normale 3 2 4 6 6 3" xfId="20005"/>
    <cellStyle name="Normale 3 2 4 6 6 4" xfId="26897"/>
    <cellStyle name="Normale 3 2 4 6 7" xfId="6062"/>
    <cellStyle name="Normale 3 2 4 6 7 2" xfId="13525"/>
    <cellStyle name="Normale 3 2 4 6 7 3" xfId="20933"/>
    <cellStyle name="Normale 3 2 4 6 7 4" xfId="28299"/>
    <cellStyle name="Normale 3 2 4 6 8" xfId="6980"/>
    <cellStyle name="Normale 3 2 4 6 8 2" xfId="14443"/>
    <cellStyle name="Normale 3 2 4 6 8 3" xfId="21851"/>
    <cellStyle name="Normale 3 2 4 6 8 4" xfId="22861"/>
    <cellStyle name="Normale 3 2 4 6 9" xfId="7921"/>
    <cellStyle name="Normale 3 2 4 7" xfId="506"/>
    <cellStyle name="Normale 3 2 4 7 10" xfId="15379"/>
    <cellStyle name="Normale 3 2 4 7 11" xfId="28226"/>
    <cellStyle name="Normale 3 2 4 7 12" xfId="30190"/>
    <cellStyle name="Normale 3 2 4 7 13" xfId="31123"/>
    <cellStyle name="Normale 3 2 4 7 14" xfId="32043"/>
    <cellStyle name="Normale 3 2 4 7 15" xfId="32965"/>
    <cellStyle name="Normale 3 2 4 7 16" xfId="33906"/>
    <cellStyle name="Normale 3 2 4 7 17" xfId="34836"/>
    <cellStyle name="Normale 3 2 4 7 18" xfId="35762"/>
    <cellStyle name="Normale 3 2 4 7 19" xfId="36688"/>
    <cellStyle name="Normale 3 2 4 7 2" xfId="1473"/>
    <cellStyle name="Normale 3 2 4 7 2 2" xfId="8936"/>
    <cellStyle name="Normale 3 2 4 7 2 3" xfId="16344"/>
    <cellStyle name="Normale 3 2 4 7 2 4" xfId="23607"/>
    <cellStyle name="Normale 3 2 4 7 20" xfId="37604"/>
    <cellStyle name="Normale 3 2 4 7 3" xfId="2404"/>
    <cellStyle name="Normale 3 2 4 7 3 2" xfId="9867"/>
    <cellStyle name="Normale 3 2 4 7 3 3" xfId="17275"/>
    <cellStyle name="Normale 3 2 4 7 3 4" xfId="28901"/>
    <cellStyle name="Normale 3 2 4 7 4" xfId="3325"/>
    <cellStyle name="Normale 3 2 4 7 4 2" xfId="10788"/>
    <cellStyle name="Normale 3 2 4 7 4 3" xfId="18196"/>
    <cellStyle name="Normale 3 2 4 7 4 4" xfId="24061"/>
    <cellStyle name="Normale 3 2 4 7 5" xfId="4259"/>
    <cellStyle name="Normale 3 2 4 7 5 2" xfId="11722"/>
    <cellStyle name="Normale 3 2 4 7 5 3" xfId="19130"/>
    <cellStyle name="Normale 3 2 4 7 5 4" xfId="24088"/>
    <cellStyle name="Normale 3 2 4 7 6" xfId="5181"/>
    <cellStyle name="Normale 3 2 4 7 6 2" xfId="12644"/>
    <cellStyle name="Normale 3 2 4 7 6 3" xfId="20052"/>
    <cellStyle name="Normale 3 2 4 7 6 4" xfId="26081"/>
    <cellStyle name="Normale 3 2 4 7 7" xfId="6110"/>
    <cellStyle name="Normale 3 2 4 7 7 2" xfId="13573"/>
    <cellStyle name="Normale 3 2 4 7 7 3" xfId="20981"/>
    <cellStyle name="Normale 3 2 4 7 7 4" xfId="28083"/>
    <cellStyle name="Normale 3 2 4 7 8" xfId="7026"/>
    <cellStyle name="Normale 3 2 4 7 8 2" xfId="14489"/>
    <cellStyle name="Normale 3 2 4 7 8 3" xfId="21897"/>
    <cellStyle name="Normale 3 2 4 7 8 4" xfId="24989"/>
    <cellStyle name="Normale 3 2 4 7 9" xfId="7969"/>
    <cellStyle name="Normale 3 2 4 8" xfId="558"/>
    <cellStyle name="Normale 3 2 4 8 10" xfId="15431"/>
    <cellStyle name="Normale 3 2 4 8 11" xfId="24966"/>
    <cellStyle name="Normale 3 2 4 8 12" xfId="30241"/>
    <cellStyle name="Normale 3 2 4 8 13" xfId="31175"/>
    <cellStyle name="Normale 3 2 4 8 14" xfId="32094"/>
    <cellStyle name="Normale 3 2 4 8 15" xfId="33015"/>
    <cellStyle name="Normale 3 2 4 8 16" xfId="33958"/>
    <cellStyle name="Normale 3 2 4 8 17" xfId="34888"/>
    <cellStyle name="Normale 3 2 4 8 18" xfId="35814"/>
    <cellStyle name="Normale 3 2 4 8 19" xfId="36740"/>
    <cellStyle name="Normale 3 2 4 8 2" xfId="1525"/>
    <cellStyle name="Normale 3 2 4 8 2 2" xfId="8988"/>
    <cellStyle name="Normale 3 2 4 8 2 3" xfId="16396"/>
    <cellStyle name="Normale 3 2 4 8 2 4" xfId="27404"/>
    <cellStyle name="Normale 3 2 4 8 20" xfId="37654"/>
    <cellStyle name="Normale 3 2 4 8 3" xfId="2456"/>
    <cellStyle name="Normale 3 2 4 8 3 2" xfId="9919"/>
    <cellStyle name="Normale 3 2 4 8 3 3" xfId="17327"/>
    <cellStyle name="Normale 3 2 4 8 3 4" xfId="26724"/>
    <cellStyle name="Normale 3 2 4 8 4" xfId="3376"/>
    <cellStyle name="Normale 3 2 4 8 4 2" xfId="10839"/>
    <cellStyle name="Normale 3 2 4 8 4 3" xfId="18247"/>
    <cellStyle name="Normale 3 2 4 8 4 4" xfId="26814"/>
    <cellStyle name="Normale 3 2 4 8 5" xfId="4311"/>
    <cellStyle name="Normale 3 2 4 8 5 2" xfId="11774"/>
    <cellStyle name="Normale 3 2 4 8 5 3" xfId="19182"/>
    <cellStyle name="Normale 3 2 4 8 5 4" xfId="24633"/>
    <cellStyle name="Normale 3 2 4 8 6" xfId="5232"/>
    <cellStyle name="Normale 3 2 4 8 6 2" xfId="12695"/>
    <cellStyle name="Normale 3 2 4 8 6 3" xfId="20103"/>
    <cellStyle name="Normale 3 2 4 8 6 4" xfId="24628"/>
    <cellStyle name="Normale 3 2 4 8 7" xfId="6162"/>
    <cellStyle name="Normale 3 2 4 8 7 2" xfId="13625"/>
    <cellStyle name="Normale 3 2 4 8 7 3" xfId="21033"/>
    <cellStyle name="Normale 3 2 4 8 7 4" xfId="24848"/>
    <cellStyle name="Normale 3 2 4 8 8" xfId="7076"/>
    <cellStyle name="Normale 3 2 4 8 8 2" xfId="14539"/>
    <cellStyle name="Normale 3 2 4 8 8 3" xfId="21947"/>
    <cellStyle name="Normale 3 2 4 8 8 4" xfId="22722"/>
    <cellStyle name="Normale 3 2 4 8 9" xfId="8021"/>
    <cellStyle name="Normale 3 2 4 9" xfId="618"/>
    <cellStyle name="Normale 3 2 4 9 10" xfId="15490"/>
    <cellStyle name="Normale 3 2 4 9 11" xfId="25462"/>
    <cellStyle name="Normale 3 2 4 9 12" xfId="30297"/>
    <cellStyle name="Normale 3 2 4 9 13" xfId="31234"/>
    <cellStyle name="Normale 3 2 4 9 14" xfId="32151"/>
    <cellStyle name="Normale 3 2 4 9 15" xfId="33070"/>
    <cellStyle name="Normale 3 2 4 9 16" xfId="34017"/>
    <cellStyle name="Normale 3 2 4 9 17" xfId="34948"/>
    <cellStyle name="Normale 3 2 4 9 18" xfId="35874"/>
    <cellStyle name="Normale 3 2 4 9 19" xfId="36799"/>
    <cellStyle name="Normale 3 2 4 9 2" xfId="1584"/>
    <cellStyle name="Normale 3 2 4 9 2 2" xfId="9047"/>
    <cellStyle name="Normale 3 2 4 9 2 3" xfId="16455"/>
    <cellStyle name="Normale 3 2 4 9 2 4" xfId="23414"/>
    <cellStyle name="Normale 3 2 4 9 20" xfId="37709"/>
    <cellStyle name="Normale 3 2 4 9 3" xfId="2516"/>
    <cellStyle name="Normale 3 2 4 9 3 2" xfId="9979"/>
    <cellStyle name="Normale 3 2 4 9 3 3" xfId="17387"/>
    <cellStyle name="Normale 3 2 4 9 3 4" xfId="29086"/>
    <cellStyle name="Normale 3 2 4 9 4" xfId="3434"/>
    <cellStyle name="Normale 3 2 4 9 4 2" xfId="10897"/>
    <cellStyle name="Normale 3 2 4 9 4 3" xfId="18305"/>
    <cellStyle name="Normale 3 2 4 9 4 4" xfId="24283"/>
    <cellStyle name="Normale 3 2 4 9 5" xfId="4371"/>
    <cellStyle name="Normale 3 2 4 9 5 2" xfId="11834"/>
    <cellStyle name="Normale 3 2 4 9 5 3" xfId="19242"/>
    <cellStyle name="Normale 3 2 4 9 5 4" xfId="27206"/>
    <cellStyle name="Normale 3 2 4 9 6" xfId="5289"/>
    <cellStyle name="Normale 3 2 4 9 6 2" xfId="12752"/>
    <cellStyle name="Normale 3 2 4 9 6 3" xfId="20160"/>
    <cellStyle name="Normale 3 2 4 9 6 4" xfId="22585"/>
    <cellStyle name="Normale 3 2 4 9 7" xfId="6222"/>
    <cellStyle name="Normale 3 2 4 9 7 2" xfId="13685"/>
    <cellStyle name="Normale 3 2 4 9 7 3" xfId="21093"/>
    <cellStyle name="Normale 3 2 4 9 7 4" xfId="26216"/>
    <cellStyle name="Normale 3 2 4 9 8" xfId="7131"/>
    <cellStyle name="Normale 3 2 4 9 8 2" xfId="14594"/>
    <cellStyle name="Normale 3 2 4 9 8 3" xfId="22002"/>
    <cellStyle name="Normale 3 2 4 9 8 4" xfId="22350"/>
    <cellStyle name="Normale 3 2 4 9 9" xfId="8081"/>
    <cellStyle name="Normale 3 2 5" xfId="47"/>
    <cellStyle name="Normale 3 2 5 10" xfId="697"/>
    <cellStyle name="Normale 3 2 5 10 10" xfId="15568"/>
    <cellStyle name="Normale 3 2 5 10 11" xfId="26809"/>
    <cellStyle name="Normale 3 2 5 10 12" xfId="30371"/>
    <cellStyle name="Normale 3 2 5 10 13" xfId="31312"/>
    <cellStyle name="Normale 3 2 5 10 14" xfId="32225"/>
    <cellStyle name="Normale 3 2 5 10 15" xfId="33143"/>
    <cellStyle name="Normale 3 2 5 10 16" xfId="34095"/>
    <cellStyle name="Normale 3 2 5 10 17" xfId="35027"/>
    <cellStyle name="Normale 3 2 5 10 18" xfId="35953"/>
    <cellStyle name="Normale 3 2 5 10 19" xfId="36878"/>
    <cellStyle name="Normale 3 2 5 10 2" xfId="1662"/>
    <cellStyle name="Normale 3 2 5 10 2 2" xfId="9125"/>
    <cellStyle name="Normale 3 2 5 10 2 3" xfId="16533"/>
    <cellStyle name="Normale 3 2 5 10 2 4" xfId="26495"/>
    <cellStyle name="Normale 3 2 5 10 20" xfId="37782"/>
    <cellStyle name="Normale 3 2 5 10 3" xfId="2595"/>
    <cellStyle name="Normale 3 2 5 10 3 2" xfId="10058"/>
    <cellStyle name="Normale 3 2 5 10 3 3" xfId="17466"/>
    <cellStyle name="Normale 3 2 5 10 3 4" xfId="23954"/>
    <cellStyle name="Normale 3 2 5 10 4" xfId="3511"/>
    <cellStyle name="Normale 3 2 5 10 4 2" xfId="10974"/>
    <cellStyle name="Normale 3 2 5 10 4 3" xfId="18382"/>
    <cellStyle name="Normale 3 2 5 10 4 4" xfId="27228"/>
    <cellStyle name="Normale 3 2 5 10 5" xfId="4450"/>
    <cellStyle name="Normale 3 2 5 10 5 2" xfId="11913"/>
    <cellStyle name="Normale 3 2 5 10 5 3" xfId="19321"/>
    <cellStyle name="Normale 3 2 5 10 5 4" xfId="24867"/>
    <cellStyle name="Normale 3 2 5 10 6" xfId="5366"/>
    <cellStyle name="Normale 3 2 5 10 6 2" xfId="12829"/>
    <cellStyle name="Normale 3 2 5 10 6 3" xfId="20237"/>
    <cellStyle name="Normale 3 2 5 10 6 4" xfId="26472"/>
    <cellStyle name="Normale 3 2 5 10 7" xfId="6299"/>
    <cellStyle name="Normale 3 2 5 10 7 2" xfId="13762"/>
    <cellStyle name="Normale 3 2 5 10 7 3" xfId="21170"/>
    <cellStyle name="Normale 3 2 5 10 7 4" xfId="23989"/>
    <cellStyle name="Normale 3 2 5 10 8" xfId="7204"/>
    <cellStyle name="Normale 3 2 5 10 8 2" xfId="14667"/>
    <cellStyle name="Normale 3 2 5 10 8 3" xfId="22075"/>
    <cellStyle name="Normale 3 2 5 10 8 4" xfId="27319"/>
    <cellStyle name="Normale 3 2 5 10 9" xfId="8160"/>
    <cellStyle name="Normale 3 2 5 11" xfId="683"/>
    <cellStyle name="Normale 3 2 5 11 10" xfId="15554"/>
    <cellStyle name="Normale 3 2 5 11 11" xfId="25105"/>
    <cellStyle name="Normale 3 2 5 11 12" xfId="30357"/>
    <cellStyle name="Normale 3 2 5 11 13" xfId="31298"/>
    <cellStyle name="Normale 3 2 5 11 14" xfId="32212"/>
    <cellStyle name="Normale 3 2 5 11 15" xfId="33130"/>
    <cellStyle name="Normale 3 2 5 11 16" xfId="34081"/>
    <cellStyle name="Normale 3 2 5 11 17" xfId="35013"/>
    <cellStyle name="Normale 3 2 5 11 18" xfId="35939"/>
    <cellStyle name="Normale 3 2 5 11 19" xfId="36864"/>
    <cellStyle name="Normale 3 2 5 11 2" xfId="1648"/>
    <cellStyle name="Normale 3 2 5 11 2 2" xfId="9111"/>
    <cellStyle name="Normale 3 2 5 11 2 3" xfId="16519"/>
    <cellStyle name="Normale 3 2 5 11 2 4" xfId="24750"/>
    <cellStyle name="Normale 3 2 5 11 20" xfId="37769"/>
    <cellStyle name="Normale 3 2 5 11 3" xfId="2581"/>
    <cellStyle name="Normale 3 2 5 11 3 2" xfId="10044"/>
    <cellStyle name="Normale 3 2 5 11 3 3" xfId="17452"/>
    <cellStyle name="Normale 3 2 5 11 3 4" xfId="29516"/>
    <cellStyle name="Normale 3 2 5 11 4" xfId="3497"/>
    <cellStyle name="Normale 3 2 5 11 4 2" xfId="10960"/>
    <cellStyle name="Normale 3 2 5 11 4 3" xfId="18368"/>
    <cellStyle name="Normale 3 2 5 11 4 4" xfId="24477"/>
    <cellStyle name="Normale 3 2 5 11 5" xfId="4436"/>
    <cellStyle name="Normale 3 2 5 11 5 2" xfId="11899"/>
    <cellStyle name="Normale 3 2 5 11 5 3" xfId="19307"/>
    <cellStyle name="Normale 3 2 5 11 5 4" xfId="23075"/>
    <cellStyle name="Normale 3 2 5 11 6" xfId="5352"/>
    <cellStyle name="Normale 3 2 5 11 6 2" xfId="12815"/>
    <cellStyle name="Normale 3 2 5 11 6 3" xfId="20223"/>
    <cellStyle name="Normale 3 2 5 11 6 4" xfId="24727"/>
    <cellStyle name="Normale 3 2 5 11 7" xfId="6285"/>
    <cellStyle name="Normale 3 2 5 11 7 2" xfId="13748"/>
    <cellStyle name="Normale 3 2 5 11 7 3" xfId="21156"/>
    <cellStyle name="Normale 3 2 5 11 7 4" xfId="29550"/>
    <cellStyle name="Normale 3 2 5 11 8" xfId="7191"/>
    <cellStyle name="Normale 3 2 5 11 8 2" xfId="14654"/>
    <cellStyle name="Normale 3 2 5 11 8 3" xfId="22062"/>
    <cellStyle name="Normale 3 2 5 11 8 4" xfId="24655"/>
    <cellStyle name="Normale 3 2 5 11 9" xfId="8146"/>
    <cellStyle name="Normale 3 2 5 12" xfId="736"/>
    <cellStyle name="Normale 3 2 5 12 10" xfId="15607"/>
    <cellStyle name="Normale 3 2 5 12 11" xfId="23031"/>
    <cellStyle name="Normale 3 2 5 12 12" xfId="30410"/>
    <cellStyle name="Normale 3 2 5 12 13" xfId="31351"/>
    <cellStyle name="Normale 3 2 5 12 14" xfId="32264"/>
    <cellStyle name="Normale 3 2 5 12 15" xfId="33181"/>
    <cellStyle name="Normale 3 2 5 12 16" xfId="34134"/>
    <cellStyle name="Normale 3 2 5 12 17" xfId="35066"/>
    <cellStyle name="Normale 3 2 5 12 18" xfId="35992"/>
    <cellStyle name="Normale 3 2 5 12 19" xfId="36917"/>
    <cellStyle name="Normale 3 2 5 12 2" xfId="1701"/>
    <cellStyle name="Normale 3 2 5 12 2 2" xfId="9164"/>
    <cellStyle name="Normale 3 2 5 12 2 3" xfId="16572"/>
    <cellStyle name="Normale 3 2 5 12 2 4" xfId="27085"/>
    <cellStyle name="Normale 3 2 5 12 20" xfId="37820"/>
    <cellStyle name="Normale 3 2 5 12 3" xfId="2634"/>
    <cellStyle name="Normale 3 2 5 12 3 2" xfId="10097"/>
    <cellStyle name="Normale 3 2 5 12 3 3" xfId="17505"/>
    <cellStyle name="Normale 3 2 5 12 3 4" xfId="25127"/>
    <cellStyle name="Normale 3 2 5 12 4" xfId="3550"/>
    <cellStyle name="Normale 3 2 5 12 4 2" xfId="11013"/>
    <cellStyle name="Normale 3 2 5 12 4 3" xfId="18421"/>
    <cellStyle name="Normale 3 2 5 12 4 4" xfId="28691"/>
    <cellStyle name="Normale 3 2 5 12 5" xfId="4489"/>
    <cellStyle name="Normale 3 2 5 12 5 2" xfId="11952"/>
    <cellStyle name="Normale 3 2 5 12 5 3" xfId="19360"/>
    <cellStyle name="Normale 3 2 5 12 5 4" xfId="25334"/>
    <cellStyle name="Normale 3 2 5 12 6" xfId="5405"/>
    <cellStyle name="Normale 3 2 5 12 6 2" xfId="12868"/>
    <cellStyle name="Normale 3 2 5 12 6 3" xfId="20276"/>
    <cellStyle name="Normale 3 2 5 12 6 4" xfId="26991"/>
    <cellStyle name="Normale 3 2 5 12 7" xfId="6338"/>
    <cellStyle name="Normale 3 2 5 12 7 2" xfId="13801"/>
    <cellStyle name="Normale 3 2 5 12 7 3" xfId="21209"/>
    <cellStyle name="Normale 3 2 5 12 7 4" xfId="24068"/>
    <cellStyle name="Normale 3 2 5 12 8" xfId="7242"/>
    <cellStyle name="Normale 3 2 5 12 8 2" xfId="14705"/>
    <cellStyle name="Normale 3 2 5 12 8 3" xfId="22113"/>
    <cellStyle name="Normale 3 2 5 12 8 4" xfId="28964"/>
    <cellStyle name="Normale 3 2 5 12 9" xfId="8199"/>
    <cellStyle name="Normale 3 2 5 13" xfId="895"/>
    <cellStyle name="Normale 3 2 5 13 10" xfId="15766"/>
    <cellStyle name="Normale 3 2 5 13 11" xfId="27295"/>
    <cellStyle name="Normale 3 2 5 13 12" xfId="30564"/>
    <cellStyle name="Normale 3 2 5 13 13" xfId="31510"/>
    <cellStyle name="Normale 3 2 5 13 14" xfId="32421"/>
    <cellStyle name="Normale 3 2 5 13 15" xfId="33333"/>
    <cellStyle name="Normale 3 2 5 13 16" xfId="34293"/>
    <cellStyle name="Normale 3 2 5 13 17" xfId="35225"/>
    <cellStyle name="Normale 3 2 5 13 18" xfId="36151"/>
    <cellStyle name="Normale 3 2 5 13 19" xfId="37076"/>
    <cellStyle name="Normale 3 2 5 13 2" xfId="1860"/>
    <cellStyle name="Normale 3 2 5 13 2 2" xfId="9323"/>
    <cellStyle name="Normale 3 2 5 13 2 3" xfId="16731"/>
    <cellStyle name="Normale 3 2 5 13 2 4" xfId="24322"/>
    <cellStyle name="Normale 3 2 5 13 20" xfId="37972"/>
    <cellStyle name="Normale 3 2 5 13 3" xfId="2793"/>
    <cellStyle name="Normale 3 2 5 13 3 2" xfId="10256"/>
    <cellStyle name="Normale 3 2 5 13 3 3" xfId="17664"/>
    <cellStyle name="Normale 3 2 5 13 3 4" xfId="23721"/>
    <cellStyle name="Normale 3 2 5 13 4" xfId="3707"/>
    <cellStyle name="Normale 3 2 5 13 4 2" xfId="11170"/>
    <cellStyle name="Normale 3 2 5 13 4 3" xfId="18578"/>
    <cellStyle name="Normale 3 2 5 13 4 4" xfId="23947"/>
    <cellStyle name="Normale 3 2 5 13 5" xfId="4648"/>
    <cellStyle name="Normale 3 2 5 13 5 2" xfId="12111"/>
    <cellStyle name="Normale 3 2 5 13 5 3" xfId="19519"/>
    <cellStyle name="Normale 3 2 5 13 5 4" xfId="26523"/>
    <cellStyle name="Normale 3 2 5 13 6" xfId="5562"/>
    <cellStyle name="Normale 3 2 5 13 6 2" xfId="13025"/>
    <cellStyle name="Normale 3 2 5 13 6 3" xfId="20433"/>
    <cellStyle name="Normale 3 2 5 13 6 4" xfId="26070"/>
    <cellStyle name="Normale 3 2 5 13 7" xfId="6497"/>
    <cellStyle name="Normale 3 2 5 13 7 2" xfId="13960"/>
    <cellStyle name="Normale 3 2 5 13 7 3" xfId="21368"/>
    <cellStyle name="Normale 3 2 5 13 7 4" xfId="23745"/>
    <cellStyle name="Normale 3 2 5 13 8" xfId="7394"/>
    <cellStyle name="Normale 3 2 5 13 8 2" xfId="14857"/>
    <cellStyle name="Normale 3 2 5 13 8 3" xfId="22265"/>
    <cellStyle name="Normale 3 2 5 13 8 4" xfId="28051"/>
    <cellStyle name="Normale 3 2 5 13 9" xfId="8358"/>
    <cellStyle name="Normale 3 2 5 14" xfId="1020"/>
    <cellStyle name="Normale 3 2 5 14 2" xfId="8483"/>
    <cellStyle name="Normale 3 2 5 14 3" xfId="15891"/>
    <cellStyle name="Normale 3 2 5 14 4" xfId="22505"/>
    <cellStyle name="Normale 3 2 5 15" xfId="1947"/>
    <cellStyle name="Normale 3 2 5 15 2" xfId="9410"/>
    <cellStyle name="Normale 3 2 5 15 3" xfId="16818"/>
    <cellStyle name="Normale 3 2 5 15 4" xfId="29379"/>
    <cellStyle name="Normale 3 2 5 16" xfId="2873"/>
    <cellStyle name="Normale 3 2 5 16 2" xfId="10336"/>
    <cellStyle name="Normale 3 2 5 16 3" xfId="17744"/>
    <cellStyle name="Normale 3 2 5 16 4" xfId="24167"/>
    <cellStyle name="Normale 3 2 5 17" xfId="3802"/>
    <cellStyle name="Normale 3 2 5 17 2" xfId="11265"/>
    <cellStyle name="Normale 3 2 5 17 3" xfId="18673"/>
    <cellStyle name="Normale 3 2 5 17 4" xfId="23548"/>
    <cellStyle name="Normale 3 2 5 18" xfId="4729"/>
    <cellStyle name="Normale 3 2 5 18 2" xfId="12192"/>
    <cellStyle name="Normale 3 2 5 18 3" xfId="19600"/>
    <cellStyle name="Normale 3 2 5 18 4" xfId="25167"/>
    <cellStyle name="Normale 3 2 5 19" xfId="5656"/>
    <cellStyle name="Normale 3 2 5 19 2" xfId="13119"/>
    <cellStyle name="Normale 3 2 5 19 3" xfId="20527"/>
    <cellStyle name="Normale 3 2 5 19 4" xfId="24784"/>
    <cellStyle name="Normale 3 2 5 2" xfId="48"/>
    <cellStyle name="Normale 3 2 5 2 10" xfId="6579"/>
    <cellStyle name="Normale 3 2 5 2 10 2" xfId="14042"/>
    <cellStyle name="Normale 3 2 5 2 10 3" xfId="21450"/>
    <cellStyle name="Normale 3 2 5 2 10 4" xfId="29602"/>
    <cellStyle name="Normale 3 2 5 2 11" xfId="7513"/>
    <cellStyle name="Normale 3 2 5 2 12" xfId="11893"/>
    <cellStyle name="Normale 3 2 5 2 13" xfId="25479"/>
    <cellStyle name="Normale 3 2 5 2 14" xfId="29739"/>
    <cellStyle name="Normale 3 2 5 2 15" xfId="30669"/>
    <cellStyle name="Normale 3 2 5 2 16" xfId="31592"/>
    <cellStyle name="Normale 3 2 5 2 17" xfId="32518"/>
    <cellStyle name="Normale 3 2 5 2 18" xfId="33452"/>
    <cellStyle name="Normale 3 2 5 2 19" xfId="34380"/>
    <cellStyle name="Normale 3 2 5 2 2" xfId="49"/>
    <cellStyle name="Normale 3 2 5 2 2 10" xfId="7514"/>
    <cellStyle name="Normale 3 2 5 2 2 11" xfId="10333"/>
    <cellStyle name="Normale 3 2 5 2 2 12" xfId="24563"/>
    <cellStyle name="Normale 3 2 5 2 2 13" xfId="29740"/>
    <cellStyle name="Normale 3 2 5 2 2 14" xfId="30670"/>
    <cellStyle name="Normale 3 2 5 2 2 15" xfId="31593"/>
    <cellStyle name="Normale 3 2 5 2 2 16" xfId="32519"/>
    <cellStyle name="Normale 3 2 5 2 2 17" xfId="33453"/>
    <cellStyle name="Normale 3 2 5 2 2 18" xfId="34381"/>
    <cellStyle name="Normale 3 2 5 2 2 19" xfId="35309"/>
    <cellStyle name="Normale 3 2 5 2 2 2" xfId="247"/>
    <cellStyle name="Normale 3 2 5 2 2 2 10" xfId="15120"/>
    <cellStyle name="Normale 3 2 5 2 2 2 11" xfId="23981"/>
    <cellStyle name="Normale 3 2 5 2 2 2 12" xfId="29932"/>
    <cellStyle name="Normale 3 2 5 2 2 2 13" xfId="30864"/>
    <cellStyle name="Normale 3 2 5 2 2 2 14" xfId="31785"/>
    <cellStyle name="Normale 3 2 5 2 2 2 15" xfId="32710"/>
    <cellStyle name="Normale 3 2 5 2 2 2 16" xfId="33647"/>
    <cellStyle name="Normale 3 2 5 2 2 2 17" xfId="34577"/>
    <cellStyle name="Normale 3 2 5 2 2 2 18" xfId="35503"/>
    <cellStyle name="Normale 3 2 5 2 2 2 19" xfId="36429"/>
    <cellStyle name="Normale 3 2 5 2 2 2 2" xfId="1214"/>
    <cellStyle name="Normale 3 2 5 2 2 2 2 2" xfId="8677"/>
    <cellStyle name="Normale 3 2 5 2 2 2 2 3" xfId="16085"/>
    <cellStyle name="Normale 3 2 5 2 2 2 2 4" xfId="28376"/>
    <cellStyle name="Normale 3 2 5 2 2 2 20" xfId="37349"/>
    <cellStyle name="Normale 3 2 5 2 2 2 3" xfId="2145"/>
    <cellStyle name="Normale 3 2 5 2 2 2 3 2" xfId="9608"/>
    <cellStyle name="Normale 3 2 5 2 2 2 3 3" xfId="17016"/>
    <cellStyle name="Normale 3 2 5 2 2 2 3 4" xfId="25732"/>
    <cellStyle name="Normale 3 2 5 2 2 2 4" xfId="3067"/>
    <cellStyle name="Normale 3 2 5 2 2 2 4 2" xfId="10530"/>
    <cellStyle name="Normale 3 2 5 2 2 2 4 3" xfId="17938"/>
    <cellStyle name="Normale 3 2 5 2 2 2 4 4" xfId="26486"/>
    <cellStyle name="Normale 3 2 5 2 2 2 5" xfId="4000"/>
    <cellStyle name="Normale 3 2 5 2 2 2 5 2" xfId="11463"/>
    <cellStyle name="Normale 3 2 5 2 2 2 5 3" xfId="18871"/>
    <cellStyle name="Normale 3 2 5 2 2 2 5 4" xfId="26110"/>
    <cellStyle name="Normale 3 2 5 2 2 2 6" xfId="4923"/>
    <cellStyle name="Normale 3 2 5 2 2 2 6 2" xfId="12386"/>
    <cellStyle name="Normale 3 2 5 2 2 2 6 3" xfId="19794"/>
    <cellStyle name="Normale 3 2 5 2 2 2 6 4" xfId="23754"/>
    <cellStyle name="Normale 3 2 5 2 2 2 7" xfId="5851"/>
    <cellStyle name="Normale 3 2 5 2 2 2 7 2" xfId="13314"/>
    <cellStyle name="Normale 3 2 5 2 2 2 7 3" xfId="20722"/>
    <cellStyle name="Normale 3 2 5 2 2 2 7 4" xfId="23978"/>
    <cellStyle name="Normale 3 2 5 2 2 2 8" xfId="6771"/>
    <cellStyle name="Normale 3 2 5 2 2 2 8 2" xfId="14234"/>
    <cellStyle name="Normale 3 2 5 2 2 2 8 3" xfId="21642"/>
    <cellStyle name="Normale 3 2 5 2 2 2 8 4" xfId="26510"/>
    <cellStyle name="Normale 3 2 5 2 2 2 9" xfId="7710"/>
    <cellStyle name="Normale 3 2 5 2 2 20" xfId="36235"/>
    <cellStyle name="Normale 3 2 5 2 2 21" xfId="37158"/>
    <cellStyle name="Normale 3 2 5 2 2 3" xfId="1022"/>
    <cellStyle name="Normale 3 2 5 2 2 3 2" xfId="8485"/>
    <cellStyle name="Normale 3 2 5 2 2 3 3" xfId="15893"/>
    <cellStyle name="Normale 3 2 5 2 2 3 4" xfId="28022"/>
    <cellStyle name="Normale 3 2 5 2 2 4" xfId="1949"/>
    <cellStyle name="Normale 3 2 5 2 2 4 2" xfId="9412"/>
    <cellStyle name="Normale 3 2 5 2 2 4 3" xfId="16820"/>
    <cellStyle name="Normale 3 2 5 2 2 4 4" xfId="27555"/>
    <cellStyle name="Normale 3 2 5 2 2 5" xfId="2875"/>
    <cellStyle name="Normale 3 2 5 2 2 5 2" xfId="10338"/>
    <cellStyle name="Normale 3 2 5 2 2 5 3" xfId="17746"/>
    <cellStyle name="Normale 3 2 5 2 2 5 4" xfId="29584"/>
    <cellStyle name="Normale 3 2 5 2 2 6" xfId="3804"/>
    <cellStyle name="Normale 3 2 5 2 2 6 2" xfId="11267"/>
    <cellStyle name="Normale 3 2 5 2 2 6 3" xfId="18675"/>
    <cellStyle name="Normale 3 2 5 2 2 6 4" xfId="22433"/>
    <cellStyle name="Normale 3 2 5 2 2 7" xfId="4731"/>
    <cellStyle name="Normale 3 2 5 2 2 7 2" xfId="12194"/>
    <cellStyle name="Normale 3 2 5 2 2 7 3" xfId="19602"/>
    <cellStyle name="Normale 3 2 5 2 2 7 4" xfId="23332"/>
    <cellStyle name="Normale 3 2 5 2 2 8" xfId="5658"/>
    <cellStyle name="Normale 3 2 5 2 2 8 2" xfId="13121"/>
    <cellStyle name="Normale 3 2 5 2 2 8 3" xfId="20529"/>
    <cellStyle name="Normale 3 2 5 2 2 8 4" xfId="22873"/>
    <cellStyle name="Normale 3 2 5 2 2 9" xfId="6580"/>
    <cellStyle name="Normale 3 2 5 2 2 9 2" xfId="14043"/>
    <cellStyle name="Normale 3 2 5 2 2 9 3" xfId="21451"/>
    <cellStyle name="Normale 3 2 5 2 2 9 4" xfId="28714"/>
    <cellStyle name="Normale 3 2 5 2 20" xfId="35308"/>
    <cellStyle name="Normale 3 2 5 2 21" xfId="36234"/>
    <cellStyle name="Normale 3 2 5 2 22" xfId="37157"/>
    <cellStyle name="Normale 3 2 5 2 3" xfId="246"/>
    <cellStyle name="Normale 3 2 5 2 3 10" xfId="15119"/>
    <cellStyle name="Normale 3 2 5 2 3 11" xfId="24906"/>
    <cellStyle name="Normale 3 2 5 2 3 12" xfId="29931"/>
    <cellStyle name="Normale 3 2 5 2 3 13" xfId="30863"/>
    <cellStyle name="Normale 3 2 5 2 3 14" xfId="31784"/>
    <cellStyle name="Normale 3 2 5 2 3 15" xfId="32709"/>
    <cellStyle name="Normale 3 2 5 2 3 16" xfId="33646"/>
    <cellStyle name="Normale 3 2 5 2 3 17" xfId="34576"/>
    <cellStyle name="Normale 3 2 5 2 3 18" xfId="35502"/>
    <cellStyle name="Normale 3 2 5 2 3 19" xfId="36428"/>
    <cellStyle name="Normale 3 2 5 2 3 2" xfId="1213"/>
    <cellStyle name="Normale 3 2 5 2 3 2 2" xfId="8676"/>
    <cellStyle name="Normale 3 2 5 2 3 2 3" xfId="16084"/>
    <cellStyle name="Normale 3 2 5 2 3 2 4" xfId="29281"/>
    <cellStyle name="Normale 3 2 5 2 3 20" xfId="37348"/>
    <cellStyle name="Normale 3 2 5 2 3 3" xfId="2144"/>
    <cellStyle name="Normale 3 2 5 2 3 3 2" xfId="9607"/>
    <cellStyle name="Normale 3 2 5 2 3 3 3" xfId="17015"/>
    <cellStyle name="Normale 3 2 5 2 3 3 4" xfId="26663"/>
    <cellStyle name="Normale 3 2 5 2 3 4" xfId="3066"/>
    <cellStyle name="Normale 3 2 5 2 3 4 2" xfId="10529"/>
    <cellStyle name="Normale 3 2 5 2 3 4 3" xfId="17937"/>
    <cellStyle name="Normale 3 2 5 2 3 4 4" xfId="27394"/>
    <cellStyle name="Normale 3 2 5 2 3 5" xfId="3999"/>
    <cellStyle name="Normale 3 2 5 2 3 5 2" xfId="11462"/>
    <cellStyle name="Normale 3 2 5 2 3 5 3" xfId="18870"/>
    <cellStyle name="Normale 3 2 5 2 3 5 4" xfId="27028"/>
    <cellStyle name="Normale 3 2 5 2 3 6" xfId="4922"/>
    <cellStyle name="Normale 3 2 5 2 3 6 2" xfId="12385"/>
    <cellStyle name="Normale 3 2 5 2 3 6 3" xfId="19793"/>
    <cellStyle name="Normale 3 2 5 2 3 6 4" xfId="24677"/>
    <cellStyle name="Normale 3 2 5 2 3 7" xfId="5850"/>
    <cellStyle name="Normale 3 2 5 2 3 7 2" xfId="13313"/>
    <cellStyle name="Normale 3 2 5 2 3 7 3" xfId="20721"/>
    <cellStyle name="Normale 3 2 5 2 3 7 4" xfId="24903"/>
    <cellStyle name="Normale 3 2 5 2 3 8" xfId="6770"/>
    <cellStyle name="Normale 3 2 5 2 3 8 2" xfId="14233"/>
    <cellStyle name="Normale 3 2 5 2 3 8 3" xfId="21641"/>
    <cellStyle name="Normale 3 2 5 2 3 8 4" xfId="27418"/>
    <cellStyle name="Normale 3 2 5 2 3 9" xfId="7709"/>
    <cellStyle name="Normale 3 2 5 2 4" xfId="1021"/>
    <cellStyle name="Normale 3 2 5 2 4 2" xfId="8484"/>
    <cellStyle name="Normale 3 2 5 2 4 3" xfId="15892"/>
    <cellStyle name="Normale 3 2 5 2 4 4" xfId="28936"/>
    <cellStyle name="Normale 3 2 5 2 5" xfId="1948"/>
    <cellStyle name="Normale 3 2 5 2 5 2" xfId="9411"/>
    <cellStyle name="Normale 3 2 5 2 5 3" xfId="16819"/>
    <cellStyle name="Normale 3 2 5 2 5 4" xfId="28482"/>
    <cellStyle name="Normale 3 2 5 2 6" xfId="2874"/>
    <cellStyle name="Normale 3 2 5 2 6 2" xfId="10337"/>
    <cellStyle name="Normale 3 2 5 2 6 3" xfId="17745"/>
    <cellStyle name="Normale 3 2 5 2 6 4" xfId="23155"/>
    <cellStyle name="Normale 3 2 5 2 7" xfId="3803"/>
    <cellStyle name="Normale 3 2 5 2 7 2" xfId="11266"/>
    <cellStyle name="Normale 3 2 5 2 7 3" xfId="18674"/>
    <cellStyle name="Normale 3 2 5 2 7 4" xfId="22434"/>
    <cellStyle name="Normale 3 2 5 2 8" xfId="4730"/>
    <cellStyle name="Normale 3 2 5 2 8 2" xfId="12193"/>
    <cellStyle name="Normale 3 2 5 2 8 3" xfId="19601"/>
    <cellStyle name="Normale 3 2 5 2 8 4" xfId="24248"/>
    <cellStyle name="Normale 3 2 5 2 9" xfId="5657"/>
    <cellStyle name="Normale 3 2 5 2 9 2" xfId="13120"/>
    <cellStyle name="Normale 3 2 5 2 9 3" xfId="20528"/>
    <cellStyle name="Normale 3 2 5 2 9 4" xfId="23860"/>
    <cellStyle name="Normale 3 2 5 20" xfId="6578"/>
    <cellStyle name="Normale 3 2 5 20 2" xfId="14041"/>
    <cellStyle name="Normale 3 2 5 20 3" xfId="21449"/>
    <cellStyle name="Normale 3 2 5 20 4" xfId="23172"/>
    <cellStyle name="Normale 3 2 5 21" xfId="7512"/>
    <cellStyle name="Normale 3 2 5 22" xfId="12190"/>
    <cellStyle name="Normale 3 2 5 23" xfId="26407"/>
    <cellStyle name="Normale 3 2 5 24" xfId="29738"/>
    <cellStyle name="Normale 3 2 5 25" xfId="30668"/>
    <cellStyle name="Normale 3 2 5 26" xfId="31591"/>
    <cellStyle name="Normale 3 2 5 27" xfId="32517"/>
    <cellStyle name="Normale 3 2 5 28" xfId="33451"/>
    <cellStyle name="Normale 3 2 5 29" xfId="34379"/>
    <cellStyle name="Normale 3 2 5 3" xfId="50"/>
    <cellStyle name="Normale 3 2 5 3 10" xfId="7515"/>
    <cellStyle name="Normale 3 2 5 3 11" xfId="10038"/>
    <cellStyle name="Normale 3 2 5 3 12" xfId="23641"/>
    <cellStyle name="Normale 3 2 5 3 13" xfId="29741"/>
    <cellStyle name="Normale 3 2 5 3 14" xfId="30671"/>
    <cellStyle name="Normale 3 2 5 3 15" xfId="31594"/>
    <cellStyle name="Normale 3 2 5 3 16" xfId="32520"/>
    <cellStyle name="Normale 3 2 5 3 17" xfId="33454"/>
    <cellStyle name="Normale 3 2 5 3 18" xfId="34382"/>
    <cellStyle name="Normale 3 2 5 3 19" xfId="35310"/>
    <cellStyle name="Normale 3 2 5 3 2" xfId="248"/>
    <cellStyle name="Normale 3 2 5 3 2 10" xfId="15121"/>
    <cellStyle name="Normale 3 2 5 3 2 11" xfId="22967"/>
    <cellStyle name="Normale 3 2 5 3 2 12" xfId="29933"/>
    <cellStyle name="Normale 3 2 5 3 2 13" xfId="30865"/>
    <cellStyle name="Normale 3 2 5 3 2 14" xfId="31786"/>
    <cellStyle name="Normale 3 2 5 3 2 15" xfId="32711"/>
    <cellStyle name="Normale 3 2 5 3 2 16" xfId="33648"/>
    <cellStyle name="Normale 3 2 5 3 2 17" xfId="34578"/>
    <cellStyle name="Normale 3 2 5 3 2 18" xfId="35504"/>
    <cellStyle name="Normale 3 2 5 3 2 19" xfId="36430"/>
    <cellStyle name="Normale 3 2 5 3 2 2" xfId="1215"/>
    <cellStyle name="Normale 3 2 5 3 2 2 2" xfId="8678"/>
    <cellStyle name="Normale 3 2 5 3 2 2 3" xfId="16086"/>
    <cellStyle name="Normale 3 2 5 3 2 2 4" xfId="27452"/>
    <cellStyle name="Normale 3 2 5 3 2 20" xfId="37350"/>
    <cellStyle name="Normale 3 2 5 3 2 3" xfId="2146"/>
    <cellStyle name="Normale 3 2 5 3 2 3 2" xfId="9609"/>
    <cellStyle name="Normale 3 2 5 3 2 3 3" xfId="17017"/>
    <cellStyle name="Normale 3 2 5 3 2 3 4" xfId="24820"/>
    <cellStyle name="Normale 3 2 5 3 2 4" xfId="3068"/>
    <cellStyle name="Normale 3 2 5 3 2 4 2" xfId="10531"/>
    <cellStyle name="Normale 3 2 5 3 2 4 3" xfId="17939"/>
    <cellStyle name="Normale 3 2 5 3 2 4 4" xfId="25558"/>
    <cellStyle name="Normale 3 2 5 3 2 5" xfId="4001"/>
    <cellStyle name="Normale 3 2 5 3 2 5 2" xfId="11464"/>
    <cellStyle name="Normale 3 2 5 3 2 5 3" xfId="18872"/>
    <cellStyle name="Normale 3 2 5 3 2 5 4" xfId="25187"/>
    <cellStyle name="Normale 3 2 5 3 2 6" xfId="4924"/>
    <cellStyle name="Normale 3 2 5 3 2 6 2" xfId="12387"/>
    <cellStyle name="Normale 3 2 5 3 2 6 3" xfId="19795"/>
    <cellStyle name="Normale 3 2 5 3 2 6 4" xfId="22782"/>
    <cellStyle name="Normale 3 2 5 3 2 7" xfId="5852"/>
    <cellStyle name="Normale 3 2 5 3 2 7 2" xfId="13315"/>
    <cellStyle name="Normale 3 2 5 3 2 7 3" xfId="20723"/>
    <cellStyle name="Normale 3 2 5 3 2 7 4" xfId="22964"/>
    <cellStyle name="Normale 3 2 5 3 2 8" xfId="6772"/>
    <cellStyle name="Normale 3 2 5 3 2 8 2" xfId="14235"/>
    <cellStyle name="Normale 3 2 5 3 2 8 3" xfId="21643"/>
    <cellStyle name="Normale 3 2 5 3 2 8 4" xfId="25581"/>
    <cellStyle name="Normale 3 2 5 3 2 9" xfId="7711"/>
    <cellStyle name="Normale 3 2 5 3 20" xfId="36236"/>
    <cellStyle name="Normale 3 2 5 3 21" xfId="37159"/>
    <cellStyle name="Normale 3 2 5 3 3" xfId="1023"/>
    <cellStyle name="Normale 3 2 5 3 3 2" xfId="8486"/>
    <cellStyle name="Normale 3 2 5 3 3 3" xfId="15894"/>
    <cellStyle name="Normale 3 2 5 3 3 4" xfId="27103"/>
    <cellStyle name="Normale 3 2 5 3 4" xfId="1950"/>
    <cellStyle name="Normale 3 2 5 3 4 2" xfId="9413"/>
    <cellStyle name="Normale 3 2 5 3 4 3" xfId="16821"/>
    <cellStyle name="Normale 3 2 5 3 4 4" xfId="26651"/>
    <cellStyle name="Normale 3 2 5 3 5" xfId="2876"/>
    <cellStyle name="Normale 3 2 5 3 5 2" xfId="10339"/>
    <cellStyle name="Normale 3 2 5 3 5 3" xfId="17747"/>
    <cellStyle name="Normale 3 2 5 3 5 4" xfId="28696"/>
    <cellStyle name="Normale 3 2 5 3 6" xfId="3805"/>
    <cellStyle name="Normale 3 2 5 3 6 2" xfId="11268"/>
    <cellStyle name="Normale 3 2 5 3 6 3" xfId="18676"/>
    <cellStyle name="Normale 3 2 5 3 6 4" xfId="28864"/>
    <cellStyle name="Normale 3 2 5 3 7" xfId="4732"/>
    <cellStyle name="Normale 3 2 5 3 7 2" xfId="12195"/>
    <cellStyle name="Normale 3 2 5 3 7 3" xfId="19603"/>
    <cellStyle name="Normale 3 2 5 3 7 4" xfId="23208"/>
    <cellStyle name="Normale 3 2 5 3 8" xfId="5659"/>
    <cellStyle name="Normale 3 2 5 3 8 2" xfId="13122"/>
    <cellStyle name="Normale 3 2 5 3 8 3" xfId="20530"/>
    <cellStyle name="Normale 3 2 5 3 8 4" xfId="29302"/>
    <cellStyle name="Normale 3 2 5 3 9" xfId="6581"/>
    <cellStyle name="Normale 3 2 5 3 9 2" xfId="14044"/>
    <cellStyle name="Normale 3 2 5 3 9 3" xfId="21452"/>
    <cellStyle name="Normale 3 2 5 3 9 4" xfId="27787"/>
    <cellStyle name="Normale 3 2 5 30" xfId="35307"/>
    <cellStyle name="Normale 3 2 5 31" xfId="36233"/>
    <cellStyle name="Normale 3 2 5 32" xfId="37156"/>
    <cellStyle name="Normale 3 2 5 4" xfId="245"/>
    <cellStyle name="Normale 3 2 5 4 10" xfId="15118"/>
    <cellStyle name="Normale 3 2 5 4 11" xfId="25818"/>
    <cellStyle name="Normale 3 2 5 4 12" xfId="29930"/>
    <cellStyle name="Normale 3 2 5 4 13" xfId="30862"/>
    <cellStyle name="Normale 3 2 5 4 14" xfId="31783"/>
    <cellStyle name="Normale 3 2 5 4 15" xfId="32708"/>
    <cellStyle name="Normale 3 2 5 4 16" xfId="33645"/>
    <cellStyle name="Normale 3 2 5 4 17" xfId="34575"/>
    <cellStyle name="Normale 3 2 5 4 18" xfId="35501"/>
    <cellStyle name="Normale 3 2 5 4 19" xfId="36427"/>
    <cellStyle name="Normale 3 2 5 4 2" xfId="1212"/>
    <cellStyle name="Normale 3 2 5 4 2 2" xfId="8675"/>
    <cellStyle name="Normale 3 2 5 4 2 3" xfId="16083"/>
    <cellStyle name="Normale 3 2 5 4 2 4" xfId="22850"/>
    <cellStyle name="Normale 3 2 5 4 20" xfId="37347"/>
    <cellStyle name="Normale 3 2 5 4 3" xfId="2143"/>
    <cellStyle name="Normale 3 2 5 4 3 2" xfId="9606"/>
    <cellStyle name="Normale 3 2 5 4 3 3" xfId="17014"/>
    <cellStyle name="Normale 3 2 5 4 3 4" xfId="27568"/>
    <cellStyle name="Normale 3 2 5 4 4" xfId="3065"/>
    <cellStyle name="Normale 3 2 5 4 4 2" xfId="10528"/>
    <cellStyle name="Normale 3 2 5 4 4 3" xfId="17936"/>
    <cellStyle name="Normale 3 2 5 4 4 4" xfId="28318"/>
    <cellStyle name="Normale 3 2 5 4 5" xfId="3998"/>
    <cellStyle name="Normale 3 2 5 4 5 2" xfId="11461"/>
    <cellStyle name="Normale 3 2 5 4 5 3" xfId="18869"/>
    <cellStyle name="Normale 3 2 5 4 5 4" xfId="27947"/>
    <cellStyle name="Normale 3 2 5 4 6" xfId="4921"/>
    <cellStyle name="Normale 3 2 5 4 6 2" xfId="12384"/>
    <cellStyle name="Normale 3 2 5 4 6 3" xfId="19792"/>
    <cellStyle name="Normale 3 2 5 4 6 4" xfId="25592"/>
    <cellStyle name="Normale 3 2 5 4 7" xfId="5849"/>
    <cellStyle name="Normale 3 2 5 4 7 2" xfId="13312"/>
    <cellStyle name="Normale 3 2 5 4 7 3" xfId="20720"/>
    <cellStyle name="Normale 3 2 5 4 7 4" xfId="25815"/>
    <cellStyle name="Normale 3 2 5 4 8" xfId="6769"/>
    <cellStyle name="Normale 3 2 5 4 8 2" xfId="14232"/>
    <cellStyle name="Normale 3 2 5 4 8 3" xfId="21640"/>
    <cellStyle name="Normale 3 2 5 4 8 4" xfId="28342"/>
    <cellStyle name="Normale 3 2 5 4 9" xfId="7708"/>
    <cellStyle name="Normale 3 2 5 5" xfId="411"/>
    <cellStyle name="Normale 3 2 5 5 10" xfId="15284"/>
    <cellStyle name="Normale 3 2 5 5 11" xfId="27783"/>
    <cellStyle name="Normale 3 2 5 5 12" xfId="30096"/>
    <cellStyle name="Normale 3 2 5 5 13" xfId="31028"/>
    <cellStyle name="Normale 3 2 5 5 14" xfId="31949"/>
    <cellStyle name="Normale 3 2 5 5 15" xfId="32873"/>
    <cellStyle name="Normale 3 2 5 5 16" xfId="33811"/>
    <cellStyle name="Normale 3 2 5 5 17" xfId="34741"/>
    <cellStyle name="Normale 3 2 5 5 18" xfId="35667"/>
    <cellStyle name="Normale 3 2 5 5 19" xfId="36593"/>
    <cellStyle name="Normale 3 2 5 5 2" xfId="1378"/>
    <cellStyle name="Normale 3 2 5 5 2 2" xfId="8841"/>
    <cellStyle name="Normale 3 2 5 5 2 3" xfId="16249"/>
    <cellStyle name="Normale 3 2 5 5 2 4" xfId="25069"/>
    <cellStyle name="Normale 3 2 5 5 20" xfId="37512"/>
    <cellStyle name="Normale 3 2 5 5 3" xfId="2309"/>
    <cellStyle name="Normale 3 2 5 5 3 2" xfId="9772"/>
    <cellStyle name="Normale 3 2 5 5 3 3" xfId="17180"/>
    <cellStyle name="Normale 3 2 5 5 3 4" xfId="29518"/>
    <cellStyle name="Normale 3 2 5 5 4" xfId="3231"/>
    <cellStyle name="Normale 3 2 5 5 4 2" xfId="10694"/>
    <cellStyle name="Normale 3 2 5 5 4 3" xfId="18102"/>
    <cellStyle name="Normale 3 2 5 5 4 4" xfId="25603"/>
    <cellStyle name="Normale 3 2 5 5 5" xfId="4164"/>
    <cellStyle name="Normale 3 2 5 5 5 2" xfId="11627"/>
    <cellStyle name="Normale 3 2 5 5 5 3" xfId="19035"/>
    <cellStyle name="Normale 3 2 5 5 5 4" xfId="22787"/>
    <cellStyle name="Normale 3 2 5 5 6" xfId="5087"/>
    <cellStyle name="Normale 3 2 5 5 6 2" xfId="12550"/>
    <cellStyle name="Normale 3 2 5 5 6 3" xfId="19958"/>
    <cellStyle name="Normale 3 2 5 5 6 4" xfId="27746"/>
    <cellStyle name="Normale 3 2 5 5 7" xfId="6015"/>
    <cellStyle name="Normale 3 2 5 5 7 2" xfId="13478"/>
    <cellStyle name="Normale 3 2 5 5 7 3" xfId="20886"/>
    <cellStyle name="Normale 3 2 5 5 7 4" xfId="27645"/>
    <cellStyle name="Normale 3 2 5 5 8" xfId="6934"/>
    <cellStyle name="Normale 3 2 5 5 8 2" xfId="14397"/>
    <cellStyle name="Normale 3 2 5 5 8 3" xfId="21805"/>
    <cellStyle name="Normale 3 2 5 5 8 4" xfId="26561"/>
    <cellStyle name="Normale 3 2 5 5 9" xfId="7874"/>
    <cellStyle name="Normale 3 2 5 6" xfId="459"/>
    <cellStyle name="Normale 3 2 5 6 10" xfId="15332"/>
    <cellStyle name="Normale 3 2 5 6 11" xfId="27412"/>
    <cellStyle name="Normale 3 2 5 6 12" xfId="30144"/>
    <cellStyle name="Normale 3 2 5 6 13" xfId="31076"/>
    <cellStyle name="Normale 3 2 5 6 14" xfId="31997"/>
    <cellStyle name="Normale 3 2 5 6 15" xfId="32920"/>
    <cellStyle name="Normale 3 2 5 6 16" xfId="33859"/>
    <cellStyle name="Normale 3 2 5 6 17" xfId="34789"/>
    <cellStyle name="Normale 3 2 5 6 18" xfId="35715"/>
    <cellStyle name="Normale 3 2 5 6 19" xfId="36641"/>
    <cellStyle name="Normale 3 2 5 6 2" xfId="1426"/>
    <cellStyle name="Normale 3 2 5 6 2 2" xfId="8889"/>
    <cellStyle name="Normale 3 2 5 6 2 3" xfId="16297"/>
    <cellStyle name="Normale 3 2 5 6 2 4" xfId="23183"/>
    <cellStyle name="Normale 3 2 5 6 20" xfId="37559"/>
    <cellStyle name="Normale 3 2 5 6 3" xfId="2357"/>
    <cellStyle name="Normale 3 2 5 6 3 2" xfId="9820"/>
    <cellStyle name="Normale 3 2 5 6 3 3" xfId="17228"/>
    <cellStyle name="Normale 3 2 5 6 3 4" xfId="29182"/>
    <cellStyle name="Normale 3 2 5 6 4" xfId="3279"/>
    <cellStyle name="Normale 3 2 5 6 4 2" xfId="10742"/>
    <cellStyle name="Normale 3 2 5 6 4 3" xfId="18150"/>
    <cellStyle name="Normale 3 2 5 6 4 4" xfId="27490"/>
    <cellStyle name="Normale 3 2 5 6 5" xfId="4212"/>
    <cellStyle name="Normale 3 2 5 6 5 2" xfId="11675"/>
    <cellStyle name="Normale 3 2 5 6 5 3" xfId="19083"/>
    <cellStyle name="Normale 3 2 5 6 5 4" xfId="22611"/>
    <cellStyle name="Normale 3 2 5 6 6" xfId="5135"/>
    <cellStyle name="Normale 3 2 5 6 6 2" xfId="12598"/>
    <cellStyle name="Normale 3 2 5 6 6 3" xfId="20006"/>
    <cellStyle name="Normale 3 2 5 6 6 4" xfId="25963"/>
    <cellStyle name="Normale 3 2 5 6 7" xfId="6063"/>
    <cellStyle name="Normale 3 2 5 6 7 2" xfId="13526"/>
    <cellStyle name="Normale 3 2 5 6 7 3" xfId="20934"/>
    <cellStyle name="Normale 3 2 5 6 7 4" xfId="27375"/>
    <cellStyle name="Normale 3 2 5 6 8" xfId="6981"/>
    <cellStyle name="Normale 3 2 5 6 8 2" xfId="14444"/>
    <cellStyle name="Normale 3 2 5 6 8 3" xfId="21852"/>
    <cellStyle name="Normale 3 2 5 6 8 4" xfId="29290"/>
    <cellStyle name="Normale 3 2 5 6 9" xfId="7922"/>
    <cellStyle name="Normale 3 2 5 7" xfId="507"/>
    <cellStyle name="Normale 3 2 5 7 10" xfId="15380"/>
    <cellStyle name="Normale 3 2 5 7 11" xfId="27302"/>
    <cellStyle name="Normale 3 2 5 7 12" xfId="30191"/>
    <cellStyle name="Normale 3 2 5 7 13" xfId="31124"/>
    <cellStyle name="Normale 3 2 5 7 14" xfId="32044"/>
    <cellStyle name="Normale 3 2 5 7 15" xfId="32966"/>
    <cellStyle name="Normale 3 2 5 7 16" xfId="33907"/>
    <cellStyle name="Normale 3 2 5 7 17" xfId="34837"/>
    <cellStyle name="Normale 3 2 5 7 18" xfId="35763"/>
    <cellStyle name="Normale 3 2 5 7 19" xfId="36689"/>
    <cellStyle name="Normale 3 2 5 7 2" xfId="1474"/>
    <cellStyle name="Normale 3 2 5 7 2 2" xfId="8937"/>
    <cellStyle name="Normale 3 2 5 7 2 3" xfId="16345"/>
    <cellStyle name="Normale 3 2 5 7 2 4" xfId="28925"/>
    <cellStyle name="Normale 3 2 5 7 20" xfId="37605"/>
    <cellStyle name="Normale 3 2 5 7 3" xfId="2405"/>
    <cellStyle name="Normale 3 2 5 7 3 2" xfId="9868"/>
    <cellStyle name="Normale 3 2 5 7 3 3" xfId="17276"/>
    <cellStyle name="Normale 3 2 5 7 3 4" xfId="27988"/>
    <cellStyle name="Normale 3 2 5 7 4" xfId="3326"/>
    <cellStyle name="Normale 3 2 5 7 4 2" xfId="10789"/>
    <cellStyle name="Normale 3 2 5 7 4 3" xfId="18197"/>
    <cellStyle name="Normale 3 2 5 7 4 4" xfId="23054"/>
    <cellStyle name="Normale 3 2 5 7 5" xfId="4260"/>
    <cellStyle name="Normale 3 2 5 7 5 2" xfId="11723"/>
    <cellStyle name="Normale 3 2 5 7 5 3" xfId="19131"/>
    <cellStyle name="Normale 3 2 5 7 5 4" xfId="23077"/>
    <cellStyle name="Normale 3 2 5 7 6" xfId="5182"/>
    <cellStyle name="Normale 3 2 5 7 6 2" xfId="12645"/>
    <cellStyle name="Normale 3 2 5 7 6 3" xfId="20053"/>
    <cellStyle name="Normale 3 2 5 7 6 4" xfId="25157"/>
    <cellStyle name="Normale 3 2 5 7 7" xfId="6111"/>
    <cellStyle name="Normale 3 2 5 7 7 2" xfId="13574"/>
    <cellStyle name="Normale 3 2 5 7 7 3" xfId="20982"/>
    <cellStyle name="Normale 3 2 5 7 7 4" xfId="27161"/>
    <cellStyle name="Normale 3 2 5 7 8" xfId="7027"/>
    <cellStyle name="Normale 3 2 5 7 8 2" xfId="14490"/>
    <cellStyle name="Normale 3 2 5 7 8 3" xfId="21898"/>
    <cellStyle name="Normale 3 2 5 7 8 4" xfId="24063"/>
    <cellStyle name="Normale 3 2 5 7 9" xfId="7970"/>
    <cellStyle name="Normale 3 2 5 8" xfId="559"/>
    <cellStyle name="Normale 3 2 5 8 10" xfId="15432"/>
    <cellStyle name="Normale 3 2 5 8 11" xfId="24040"/>
    <cellStyle name="Normale 3 2 5 8 12" xfId="30242"/>
    <cellStyle name="Normale 3 2 5 8 13" xfId="31176"/>
    <cellStyle name="Normale 3 2 5 8 14" xfId="32095"/>
    <cellStyle name="Normale 3 2 5 8 15" xfId="33016"/>
    <cellStyle name="Normale 3 2 5 8 16" xfId="33959"/>
    <cellStyle name="Normale 3 2 5 8 17" xfId="34889"/>
    <cellStyle name="Normale 3 2 5 8 18" xfId="35815"/>
    <cellStyle name="Normale 3 2 5 8 19" xfId="36741"/>
    <cellStyle name="Normale 3 2 5 8 2" xfId="1526"/>
    <cellStyle name="Normale 3 2 5 8 2 2" xfId="8989"/>
    <cellStyle name="Normale 3 2 5 8 2 3" xfId="16397"/>
    <cellStyle name="Normale 3 2 5 8 2 4" xfId="26496"/>
    <cellStyle name="Normale 3 2 5 8 20" xfId="37655"/>
    <cellStyle name="Normale 3 2 5 8 3" xfId="2457"/>
    <cellStyle name="Normale 3 2 5 8 3 2" xfId="9920"/>
    <cellStyle name="Normale 3 2 5 8 3 3" xfId="17328"/>
    <cellStyle name="Normale 3 2 5 8 3 4" xfId="25792"/>
    <cellStyle name="Normale 3 2 5 8 4" xfId="3377"/>
    <cellStyle name="Normale 3 2 5 8 4 2" xfId="10840"/>
    <cellStyle name="Normale 3 2 5 8 4 3" xfId="18248"/>
    <cellStyle name="Normale 3 2 5 8 4 4" xfId="25881"/>
    <cellStyle name="Normale 3 2 5 8 5" xfId="4312"/>
    <cellStyle name="Normale 3 2 5 8 5 2" xfId="11775"/>
    <cellStyle name="Normale 3 2 5 8 5 3" xfId="19183"/>
    <cellStyle name="Normale 3 2 5 8 5 4" xfId="23711"/>
    <cellStyle name="Normale 3 2 5 8 6" xfId="5233"/>
    <cellStyle name="Normale 3 2 5 8 6 2" xfId="12696"/>
    <cellStyle name="Normale 3 2 5 8 6 3" xfId="20104"/>
    <cellStyle name="Normale 3 2 5 8 6 4" xfId="23706"/>
    <cellStyle name="Normale 3 2 5 8 7" xfId="6163"/>
    <cellStyle name="Normale 3 2 5 8 7 2" xfId="13626"/>
    <cellStyle name="Normale 3 2 5 8 7 3" xfId="21034"/>
    <cellStyle name="Normale 3 2 5 8 7 4" xfId="23923"/>
    <cellStyle name="Normale 3 2 5 8 8" xfId="7077"/>
    <cellStyle name="Normale 3 2 5 8 8 2" xfId="14540"/>
    <cellStyle name="Normale 3 2 5 8 8 3" xfId="21948"/>
    <cellStyle name="Normale 3 2 5 8 8 4" xfId="29152"/>
    <cellStyle name="Normale 3 2 5 8 9" xfId="8022"/>
    <cellStyle name="Normale 3 2 5 9" xfId="619"/>
    <cellStyle name="Normale 3 2 5 9 10" xfId="15491"/>
    <cellStyle name="Normale 3 2 5 9 11" xfId="24545"/>
    <cellStyle name="Normale 3 2 5 9 12" xfId="30298"/>
    <cellStyle name="Normale 3 2 5 9 13" xfId="31235"/>
    <cellStyle name="Normale 3 2 5 9 14" xfId="32152"/>
    <cellStyle name="Normale 3 2 5 9 15" xfId="33071"/>
    <cellStyle name="Normale 3 2 5 9 16" xfId="34018"/>
    <cellStyle name="Normale 3 2 5 9 17" xfId="34949"/>
    <cellStyle name="Normale 3 2 5 9 18" xfId="35875"/>
    <cellStyle name="Normale 3 2 5 9 19" xfId="36800"/>
    <cellStyle name="Normale 3 2 5 9 2" xfId="1585"/>
    <cellStyle name="Normale 3 2 5 9 2 2" xfId="9048"/>
    <cellStyle name="Normale 3 2 5 9 2 3" xfId="16456"/>
    <cellStyle name="Normale 3 2 5 9 2 4" xfId="22680"/>
    <cellStyle name="Normale 3 2 5 9 20" xfId="37710"/>
    <cellStyle name="Normale 3 2 5 9 3" xfId="2517"/>
    <cellStyle name="Normale 3 2 5 9 3 2" xfId="9980"/>
    <cellStyle name="Normale 3 2 5 9 3 3" xfId="17388"/>
    <cellStyle name="Normale 3 2 5 9 3 4" xfId="28176"/>
    <cellStyle name="Normale 3 2 5 9 4" xfId="3435"/>
    <cellStyle name="Normale 3 2 5 9 4 2" xfId="10898"/>
    <cellStyle name="Normale 3 2 5 9 4 3" xfId="18306"/>
    <cellStyle name="Normale 3 2 5 9 4 4" xfId="23367"/>
    <cellStyle name="Normale 3 2 5 9 5" xfId="4372"/>
    <cellStyle name="Normale 3 2 5 9 5 2" xfId="11835"/>
    <cellStyle name="Normale 3 2 5 9 5 3" xfId="19243"/>
    <cellStyle name="Normale 3 2 5 9 5 4" xfId="26296"/>
    <cellStyle name="Normale 3 2 5 9 6" xfId="5290"/>
    <cellStyle name="Normale 3 2 5 9 6 2" xfId="12753"/>
    <cellStyle name="Normale 3 2 5 9 6 3" xfId="20161"/>
    <cellStyle name="Normale 3 2 5 9 6 4" xfId="29015"/>
    <cellStyle name="Normale 3 2 5 9 7" xfId="6223"/>
    <cellStyle name="Normale 3 2 5 9 7 2" xfId="13686"/>
    <cellStyle name="Normale 3 2 5 9 7 3" xfId="21094"/>
    <cellStyle name="Normale 3 2 5 9 7 4" xfId="26054"/>
    <cellStyle name="Normale 3 2 5 9 8" xfId="7132"/>
    <cellStyle name="Normale 3 2 5 9 8 2" xfId="14595"/>
    <cellStyle name="Normale 3 2 5 9 8 3" xfId="22003"/>
    <cellStyle name="Normale 3 2 5 9 8 4" xfId="28807"/>
    <cellStyle name="Normale 3 2 5 9 9" xfId="8082"/>
    <cellStyle name="Normale 3 2 6" xfId="51"/>
    <cellStyle name="Normale 3 2 6 10" xfId="1024"/>
    <cellStyle name="Normale 3 2 6 10 2" xfId="8487"/>
    <cellStyle name="Normale 3 2 6 10 3" xfId="15895"/>
    <cellStyle name="Normale 3 2 6 10 4" xfId="26185"/>
    <cellStyle name="Normale 3 2 6 11" xfId="1951"/>
    <cellStyle name="Normale 3 2 6 11 2" xfId="9414"/>
    <cellStyle name="Normale 3 2 6 11 3" xfId="16822"/>
    <cellStyle name="Normale 3 2 6 11 4" xfId="25719"/>
    <cellStyle name="Normale 3 2 6 12" xfId="2877"/>
    <cellStyle name="Normale 3 2 6 12 2" xfId="10340"/>
    <cellStyle name="Normale 3 2 6 12 3" xfId="17748"/>
    <cellStyle name="Normale 3 2 6 12 4" xfId="27769"/>
    <cellStyle name="Normale 3 2 6 13" xfId="3806"/>
    <cellStyle name="Normale 3 2 6 13 2" xfId="11269"/>
    <cellStyle name="Normale 3 2 6 13 3" xfId="18677"/>
    <cellStyle name="Normale 3 2 6 13 4" xfId="27950"/>
    <cellStyle name="Normale 3 2 6 14" xfId="4733"/>
    <cellStyle name="Normale 3 2 6 14 2" xfId="12196"/>
    <cellStyle name="Normale 3 2 6 14 3" xfId="19604"/>
    <cellStyle name="Normale 3 2 6 14 4" xfId="29638"/>
    <cellStyle name="Normale 3 2 6 15" xfId="5660"/>
    <cellStyle name="Normale 3 2 6 15 2" xfId="13123"/>
    <cellStyle name="Normale 3 2 6 15 3" xfId="20531"/>
    <cellStyle name="Normale 3 2 6 15 4" xfId="28401"/>
    <cellStyle name="Normale 3 2 6 16" xfId="6582"/>
    <cellStyle name="Normale 3 2 6 16 2" xfId="14045"/>
    <cellStyle name="Normale 3 2 6 16 3" xfId="21453"/>
    <cellStyle name="Normale 3 2 6 16 4" xfId="26885"/>
    <cellStyle name="Normale 3 2 6 17" xfId="7516"/>
    <cellStyle name="Normale 3 2 6 18" xfId="9101"/>
    <cellStyle name="Normale 3 2 6 19" xfId="22528"/>
    <cellStyle name="Normale 3 2 6 2" xfId="52"/>
    <cellStyle name="Normale 3 2 6 2 10" xfId="7517"/>
    <cellStyle name="Normale 3 2 6 2 11" xfId="8440"/>
    <cellStyle name="Normale 3 2 6 2 12" xfId="28045"/>
    <cellStyle name="Normale 3 2 6 2 13" xfId="29743"/>
    <cellStyle name="Normale 3 2 6 2 14" xfId="30673"/>
    <cellStyle name="Normale 3 2 6 2 15" xfId="31596"/>
    <cellStyle name="Normale 3 2 6 2 16" xfId="32522"/>
    <cellStyle name="Normale 3 2 6 2 17" xfId="33456"/>
    <cellStyle name="Normale 3 2 6 2 18" xfId="34384"/>
    <cellStyle name="Normale 3 2 6 2 19" xfId="35312"/>
    <cellStyle name="Normale 3 2 6 2 2" xfId="250"/>
    <cellStyle name="Normale 3 2 6 2 2 10" xfId="15123"/>
    <cellStyle name="Normale 3 2 6 2 2 11" xfId="28498"/>
    <cellStyle name="Normale 3 2 6 2 2 12" xfId="29935"/>
    <cellStyle name="Normale 3 2 6 2 2 13" xfId="30867"/>
    <cellStyle name="Normale 3 2 6 2 2 14" xfId="31788"/>
    <cellStyle name="Normale 3 2 6 2 2 15" xfId="32713"/>
    <cellStyle name="Normale 3 2 6 2 2 16" xfId="33650"/>
    <cellStyle name="Normale 3 2 6 2 2 17" xfId="34580"/>
    <cellStyle name="Normale 3 2 6 2 2 18" xfId="35506"/>
    <cellStyle name="Normale 3 2 6 2 2 19" xfId="36432"/>
    <cellStyle name="Normale 3 2 6 2 2 2" xfId="1217"/>
    <cellStyle name="Normale 3 2 6 2 2 2 2" xfId="8680"/>
    <cellStyle name="Normale 3 2 6 2 2 2 3" xfId="16088"/>
    <cellStyle name="Normale 3 2 6 2 2 2 4" xfId="25615"/>
    <cellStyle name="Normale 3 2 6 2 2 20" xfId="37352"/>
    <cellStyle name="Normale 3 2 6 2 2 3" xfId="2148"/>
    <cellStyle name="Normale 3 2 6 2 2 3 2" xfId="9611"/>
    <cellStyle name="Normale 3 2 6 2 2 3 3" xfId="17019"/>
    <cellStyle name="Normale 3 2 6 2 2 3 4" xfId="22910"/>
    <cellStyle name="Normale 3 2 6 2 2 4" xfId="3070"/>
    <cellStyle name="Normale 3 2 6 2 2 4 2" xfId="10533"/>
    <cellStyle name="Normale 3 2 6 2 2 4 3" xfId="17941"/>
    <cellStyle name="Normale 3 2 6 2 2 4 4" xfId="23719"/>
    <cellStyle name="Normale 3 2 6 2 2 5" xfId="4003"/>
    <cellStyle name="Normale 3 2 6 2 2 5 2" xfId="11466"/>
    <cellStyle name="Normale 3 2 6 2 2 5 3" xfId="18874"/>
    <cellStyle name="Normale 3 2 6 2 2 5 4" xfId="23352"/>
    <cellStyle name="Normale 3 2 6 2 2 6" xfId="4926"/>
    <cellStyle name="Normale 3 2 6 2 2 6 2" xfId="12389"/>
    <cellStyle name="Normale 3 2 6 2 2 6 3" xfId="19797"/>
    <cellStyle name="Normale 3 2 6 2 2 6 4" xfId="28306"/>
    <cellStyle name="Normale 3 2 6 2 2 7" xfId="5854"/>
    <cellStyle name="Normale 3 2 6 2 2 7 2" xfId="13317"/>
    <cellStyle name="Normale 3 2 6 2 2 7 3" xfId="20725"/>
    <cellStyle name="Normale 3 2 6 2 2 7 4" xfId="28496"/>
    <cellStyle name="Normale 3 2 6 2 2 8" xfId="6774"/>
    <cellStyle name="Normale 3 2 6 2 2 8 2" xfId="14237"/>
    <cellStyle name="Normale 3 2 6 2 2 8 3" xfId="21645"/>
    <cellStyle name="Normale 3 2 6 2 2 8 4" xfId="23743"/>
    <cellStyle name="Normale 3 2 6 2 2 9" xfId="7713"/>
    <cellStyle name="Normale 3 2 6 2 20" xfId="36238"/>
    <cellStyle name="Normale 3 2 6 2 21" xfId="37161"/>
    <cellStyle name="Normale 3 2 6 2 3" xfId="1025"/>
    <cellStyle name="Normale 3 2 6 2 3 2" xfId="8488"/>
    <cellStyle name="Normale 3 2 6 2 3 3" xfId="15896"/>
    <cellStyle name="Normale 3 2 6 2 3 4" xfId="25262"/>
    <cellStyle name="Normale 3 2 6 2 4" xfId="1952"/>
    <cellStyle name="Normale 3 2 6 2 4 2" xfId="9415"/>
    <cellStyle name="Normale 3 2 6 2 4 3" xfId="16823"/>
    <cellStyle name="Normale 3 2 6 2 4 4" xfId="24807"/>
    <cellStyle name="Normale 3 2 6 2 5" xfId="2878"/>
    <cellStyle name="Normale 3 2 6 2 5 2" xfId="10341"/>
    <cellStyle name="Normale 3 2 6 2 5 3" xfId="17749"/>
    <cellStyle name="Normale 3 2 6 2 5 4" xfId="26866"/>
    <cellStyle name="Normale 3 2 6 2 6" xfId="3807"/>
    <cellStyle name="Normale 3 2 6 2 6 2" xfId="11270"/>
    <cellStyle name="Normale 3 2 6 2 6 3" xfId="18678"/>
    <cellStyle name="Normale 3 2 6 2 6 4" xfId="27031"/>
    <cellStyle name="Normale 3 2 6 2 7" xfId="4734"/>
    <cellStyle name="Normale 3 2 6 2 7 2" xfId="12197"/>
    <cellStyle name="Normale 3 2 6 2 7 3" xfId="19605"/>
    <cellStyle name="Normale 3 2 6 2 7 4" xfId="28753"/>
    <cellStyle name="Normale 3 2 6 2 8" xfId="5661"/>
    <cellStyle name="Normale 3 2 6 2 8 2" xfId="13124"/>
    <cellStyle name="Normale 3 2 6 2 8 3" xfId="20532"/>
    <cellStyle name="Normale 3 2 6 2 8 4" xfId="27476"/>
    <cellStyle name="Normale 3 2 6 2 9" xfId="6583"/>
    <cellStyle name="Normale 3 2 6 2 9 2" xfId="14046"/>
    <cellStyle name="Normale 3 2 6 2 9 3" xfId="21454"/>
    <cellStyle name="Normale 3 2 6 2 9 4" xfId="25951"/>
    <cellStyle name="Normale 3 2 6 20" xfId="29742"/>
    <cellStyle name="Normale 3 2 6 21" xfId="30672"/>
    <cellStyle name="Normale 3 2 6 22" xfId="31595"/>
    <cellStyle name="Normale 3 2 6 23" xfId="32521"/>
    <cellStyle name="Normale 3 2 6 24" xfId="33455"/>
    <cellStyle name="Normale 3 2 6 25" xfId="34383"/>
    <cellStyle name="Normale 3 2 6 26" xfId="35311"/>
    <cellStyle name="Normale 3 2 6 27" xfId="36237"/>
    <cellStyle name="Normale 3 2 6 28" xfId="37160"/>
    <cellStyle name="Normale 3 2 6 3" xfId="249"/>
    <cellStyle name="Normale 3 2 6 3 10" xfId="15122"/>
    <cellStyle name="Normale 3 2 6 3 11" xfId="29396"/>
    <cellStyle name="Normale 3 2 6 3 12" xfId="29934"/>
    <cellStyle name="Normale 3 2 6 3 13" xfId="30866"/>
    <cellStyle name="Normale 3 2 6 3 14" xfId="31787"/>
    <cellStyle name="Normale 3 2 6 3 15" xfId="32712"/>
    <cellStyle name="Normale 3 2 6 3 16" xfId="33649"/>
    <cellStyle name="Normale 3 2 6 3 17" xfId="34579"/>
    <cellStyle name="Normale 3 2 6 3 18" xfId="35505"/>
    <cellStyle name="Normale 3 2 6 3 19" xfId="36431"/>
    <cellStyle name="Normale 3 2 6 3 2" xfId="1216"/>
    <cellStyle name="Normale 3 2 6 3 2 2" xfId="8679"/>
    <cellStyle name="Normale 3 2 6 3 2 3" xfId="16087"/>
    <cellStyle name="Normale 3 2 6 3 2 4" xfId="26544"/>
    <cellStyle name="Normale 3 2 6 3 20" xfId="37351"/>
    <cellStyle name="Normale 3 2 6 3 3" xfId="2147"/>
    <cellStyle name="Normale 3 2 6 3 3 2" xfId="9610"/>
    <cellStyle name="Normale 3 2 6 3 3 3" xfId="17018"/>
    <cellStyle name="Normale 3 2 6 3 3 4" xfId="23896"/>
    <cellStyle name="Normale 3 2 6 3 4" xfId="3069"/>
    <cellStyle name="Normale 3 2 6 3 4 2" xfId="10532"/>
    <cellStyle name="Normale 3 2 6 3 4 3" xfId="17940"/>
    <cellStyle name="Normale 3 2 6 3 4 4" xfId="24641"/>
    <cellStyle name="Normale 3 2 6 3 5" xfId="4002"/>
    <cellStyle name="Normale 3 2 6 3 5 2" xfId="11465"/>
    <cellStyle name="Normale 3 2 6 3 5 3" xfId="18873"/>
    <cellStyle name="Normale 3 2 6 3 5 4" xfId="24268"/>
    <cellStyle name="Normale 3 2 6 3 6" xfId="4925"/>
    <cellStyle name="Normale 3 2 6 3 6 2" xfId="12388"/>
    <cellStyle name="Normale 3 2 6 3 6 3" xfId="19796"/>
    <cellStyle name="Normale 3 2 6 3 6 4" xfId="29212"/>
    <cellStyle name="Normale 3 2 6 3 7" xfId="5853"/>
    <cellStyle name="Normale 3 2 6 3 7 2" xfId="13316"/>
    <cellStyle name="Normale 3 2 6 3 7 3" xfId="20724"/>
    <cellStyle name="Normale 3 2 6 3 7 4" xfId="29393"/>
    <cellStyle name="Normale 3 2 6 3 8" xfId="6773"/>
    <cellStyle name="Normale 3 2 6 3 8 2" xfId="14236"/>
    <cellStyle name="Normale 3 2 6 3 8 3" xfId="21644"/>
    <cellStyle name="Normale 3 2 6 3 8 4" xfId="24666"/>
    <cellStyle name="Normale 3 2 6 3 9" xfId="7712"/>
    <cellStyle name="Normale 3 2 6 4" xfId="602"/>
    <cellStyle name="Normale 3 2 6 4 10" xfId="15475"/>
    <cellStyle name="Normale 3 2 6 4 11" xfId="25575"/>
    <cellStyle name="Normale 3 2 6 4 12" xfId="30284"/>
    <cellStyle name="Normale 3 2 6 4 13" xfId="31219"/>
    <cellStyle name="Normale 3 2 6 4 14" xfId="32137"/>
    <cellStyle name="Normale 3 2 6 4 15" xfId="33057"/>
    <cellStyle name="Normale 3 2 6 4 16" xfId="34002"/>
    <cellStyle name="Normale 3 2 6 4 17" xfId="34932"/>
    <cellStyle name="Normale 3 2 6 4 18" xfId="35858"/>
    <cellStyle name="Normale 3 2 6 4 19" xfId="36784"/>
    <cellStyle name="Normale 3 2 6 4 2" xfId="1569"/>
    <cellStyle name="Normale 3 2 6 4 2 2" xfId="9032"/>
    <cellStyle name="Normale 3 2 6 4 2 3" xfId="16440"/>
    <cellStyle name="Normale 3 2 6 4 2 4" xfId="23413"/>
    <cellStyle name="Normale 3 2 6 4 20" xfId="37696"/>
    <cellStyle name="Normale 3 2 6 4 3" xfId="2500"/>
    <cellStyle name="Normale 3 2 6 4 3 2" xfId="9963"/>
    <cellStyle name="Normale 3 2 6 4 3 3" xfId="17371"/>
    <cellStyle name="Normale 3 2 6 4 3 4" xfId="22653"/>
    <cellStyle name="Normale 3 2 6 4 4" xfId="3419"/>
    <cellStyle name="Normale 3 2 6 4 4 2" xfId="10882"/>
    <cellStyle name="Normale 3 2 6 4 4 3" xfId="18290"/>
    <cellStyle name="Normale 3 2 6 4 4 4" xfId="22634"/>
    <cellStyle name="Normale 3 2 6 4 5" xfId="4355"/>
    <cellStyle name="Normale 3 2 6 4 5 2" xfId="11818"/>
    <cellStyle name="Normale 3 2 6 4 5 3" xfId="19226"/>
    <cellStyle name="Normale 3 2 6 4 5 4" xfId="28127"/>
    <cellStyle name="Normale 3 2 6 4 6" xfId="5275"/>
    <cellStyle name="Normale 3 2 6 4 6 2" xfId="12738"/>
    <cellStyle name="Normale 3 2 6 4 6 3" xfId="20146"/>
    <cellStyle name="Normale 3 2 6 4 6 4" xfId="29014"/>
    <cellStyle name="Normale 3 2 6 4 7" xfId="6206"/>
    <cellStyle name="Normale 3 2 6 4 7 2" xfId="13669"/>
    <cellStyle name="Normale 3 2 6 4 7 3" xfId="21077"/>
    <cellStyle name="Normale 3 2 6 4 7 4" xfId="28250"/>
    <cellStyle name="Normale 3 2 6 4 8" xfId="7118"/>
    <cellStyle name="Normale 3 2 6 4 8 2" xfId="14581"/>
    <cellStyle name="Normale 3 2 6 4 8 3" xfId="21989"/>
    <cellStyle name="Normale 3 2 6 4 8 4" xfId="25688"/>
    <cellStyle name="Normale 3 2 6 4 9" xfId="8065"/>
    <cellStyle name="Normale 3 2 6 5" xfId="658"/>
    <cellStyle name="Normale 3 2 6 5 10" xfId="15530"/>
    <cellStyle name="Normale 3 2 6 5 11" xfId="24354"/>
    <cellStyle name="Normale 3 2 6 5 12" xfId="30337"/>
    <cellStyle name="Normale 3 2 6 5 13" xfId="31274"/>
    <cellStyle name="Normale 3 2 6 5 14" xfId="32191"/>
    <cellStyle name="Normale 3 2 6 5 15" xfId="33110"/>
    <cellStyle name="Normale 3 2 6 5 16" xfId="34057"/>
    <cellStyle name="Normale 3 2 6 5 17" xfId="34988"/>
    <cellStyle name="Normale 3 2 6 5 18" xfId="35914"/>
    <cellStyle name="Normale 3 2 6 5 19" xfId="36839"/>
    <cellStyle name="Normale 3 2 6 5 2" xfId="1624"/>
    <cellStyle name="Normale 3 2 6 5 2 2" xfId="9087"/>
    <cellStyle name="Normale 3 2 6 5 2 3" xfId="16495"/>
    <cellStyle name="Normale 3 2 6 5 2 4" xfId="24958"/>
    <cellStyle name="Normale 3 2 6 5 20" xfId="37749"/>
    <cellStyle name="Normale 3 2 6 5 3" xfId="2556"/>
    <cellStyle name="Normale 3 2 6 5 3 2" xfId="10019"/>
    <cellStyle name="Normale 3 2 6 5 3 3" xfId="17427"/>
    <cellStyle name="Normale 3 2 6 5 3 4" xfId="22465"/>
    <cellStyle name="Normale 3 2 6 5 4" xfId="3474"/>
    <cellStyle name="Normale 3 2 6 5 4 2" xfId="10937"/>
    <cellStyle name="Normale 3 2 6 5 4 3" xfId="18345"/>
    <cellStyle name="Normale 3 2 6 5 4 4" xfId="24590"/>
    <cellStyle name="Normale 3 2 6 5 5" xfId="4411"/>
    <cellStyle name="Normale 3 2 6 5 5 2" xfId="11874"/>
    <cellStyle name="Normale 3 2 6 5 5 3" xfId="19282"/>
    <cellStyle name="Normale 3 2 6 5 5 4" xfId="28542"/>
    <cellStyle name="Normale 3 2 6 5 6" xfId="5329"/>
    <cellStyle name="Normale 3 2 6 5 6 2" xfId="12792"/>
    <cellStyle name="Normale 3 2 6 5 6 3" xfId="20200"/>
    <cellStyle name="Normale 3 2 6 5 6 4" xfId="24010"/>
    <cellStyle name="Normale 3 2 6 5 7" xfId="6262"/>
    <cellStyle name="Normale 3 2 6 5 7 2" xfId="13725"/>
    <cellStyle name="Normale 3 2 6 5 7 3" xfId="21133"/>
    <cellStyle name="Normale 3 2 6 5 7 4" xfId="27158"/>
    <cellStyle name="Normale 3 2 6 5 8" xfId="7171"/>
    <cellStyle name="Normale 3 2 6 5 8 2" xfId="14634"/>
    <cellStyle name="Normale 3 2 6 5 8 3" xfId="22042"/>
    <cellStyle name="Normale 3 2 6 5 8 4" xfId="28431"/>
    <cellStyle name="Normale 3 2 6 5 9" xfId="8121"/>
    <cellStyle name="Normale 3 2 6 6" xfId="742"/>
    <cellStyle name="Normale 3 2 6 6 10" xfId="15613"/>
    <cellStyle name="Normale 3 2 6 6 11" xfId="24892"/>
    <cellStyle name="Normale 3 2 6 6 12" xfId="30416"/>
    <cellStyle name="Normale 3 2 6 6 13" xfId="31357"/>
    <cellStyle name="Normale 3 2 6 6 14" xfId="32270"/>
    <cellStyle name="Normale 3 2 6 6 15" xfId="33187"/>
    <cellStyle name="Normale 3 2 6 6 16" xfId="34140"/>
    <cellStyle name="Normale 3 2 6 6 17" xfId="35072"/>
    <cellStyle name="Normale 3 2 6 6 18" xfId="35998"/>
    <cellStyle name="Normale 3 2 6 6 19" xfId="36923"/>
    <cellStyle name="Normale 3 2 6 6 2" xfId="1707"/>
    <cellStyle name="Normale 3 2 6 6 2 2" xfId="9170"/>
    <cellStyle name="Normale 3 2 6 6 2 3" xfId="16578"/>
    <cellStyle name="Normale 3 2 6 6 2 4" xfId="29105"/>
    <cellStyle name="Normale 3 2 6 6 20" xfId="37826"/>
    <cellStyle name="Normale 3 2 6 6 3" xfId="2640"/>
    <cellStyle name="Normale 3 2 6 6 3 2" xfId="10103"/>
    <cellStyle name="Normale 3 2 6 6 3 3" xfId="17511"/>
    <cellStyle name="Normale 3 2 6 6 3 4" xfId="26910"/>
    <cellStyle name="Normale 3 2 6 6 4" xfId="3556"/>
    <cellStyle name="Normale 3 2 6 6 4 2" xfId="11019"/>
    <cellStyle name="Normale 3 2 6 6 4 3" xfId="18427"/>
    <cellStyle name="Normale 3 2 6 6 4 4" xfId="23081"/>
    <cellStyle name="Normale 3 2 6 6 5" xfId="4495"/>
    <cellStyle name="Normale 3 2 6 6 5 2" xfId="11958"/>
    <cellStyle name="Normale 3 2 6 6 5 3" xfId="19366"/>
    <cellStyle name="Normale 3 2 6 6 5 4" xfId="29682"/>
    <cellStyle name="Normale 3 2 6 6 6" xfId="5411"/>
    <cellStyle name="Normale 3 2 6 6 6 2" xfId="12874"/>
    <cellStyle name="Normale 3 2 6 6 6 3" xfId="20282"/>
    <cellStyle name="Normale 3 2 6 6 6 4" xfId="29010"/>
    <cellStyle name="Normale 3 2 6 6 7" xfId="6344"/>
    <cellStyle name="Normale 3 2 6 6 7 2" xfId="13807"/>
    <cellStyle name="Normale 3 2 6 6 7 3" xfId="21215"/>
    <cellStyle name="Normale 3 2 6 6 7 4" xfId="26971"/>
    <cellStyle name="Normale 3 2 6 6 8" xfId="7248"/>
    <cellStyle name="Normale 3 2 6 6 8 2" xfId="14711"/>
    <cellStyle name="Normale 3 2 6 6 8 3" xfId="22119"/>
    <cellStyle name="Normale 3 2 6 6 8 4" xfId="23460"/>
    <cellStyle name="Normale 3 2 6 6 9" xfId="8205"/>
    <cellStyle name="Normale 3 2 6 7" xfId="813"/>
    <cellStyle name="Normale 3 2 6 7 10" xfId="15684"/>
    <cellStyle name="Normale 3 2 6 7 11" xfId="24065"/>
    <cellStyle name="Normale 3 2 6 7 12" xfId="30485"/>
    <cellStyle name="Normale 3 2 6 7 13" xfId="31428"/>
    <cellStyle name="Normale 3 2 6 7 14" xfId="32340"/>
    <cellStyle name="Normale 3 2 6 7 15" xfId="33256"/>
    <cellStyle name="Normale 3 2 6 7 16" xfId="34211"/>
    <cellStyle name="Normale 3 2 6 7 17" xfId="35143"/>
    <cellStyle name="Normale 3 2 6 7 18" xfId="36069"/>
    <cellStyle name="Normale 3 2 6 7 19" xfId="36994"/>
    <cellStyle name="Normale 3 2 6 7 2" xfId="1778"/>
    <cellStyle name="Normale 3 2 6 7 2 2" xfId="9241"/>
    <cellStyle name="Normale 3 2 6 7 2 3" xfId="16649"/>
    <cellStyle name="Normale 3 2 6 7 2 4" xfId="27556"/>
    <cellStyle name="Normale 3 2 6 7 20" xfId="37895"/>
    <cellStyle name="Normale 3 2 6 7 3" xfId="2711"/>
    <cellStyle name="Normale 3 2 6 7 3 2" xfId="10174"/>
    <cellStyle name="Normale 3 2 6 7 3 3" xfId="17582"/>
    <cellStyle name="Normale 3 2 6 7 3 4" xfId="25821"/>
    <cellStyle name="Normale 3 2 6 7 4" xfId="3626"/>
    <cellStyle name="Normale 3 2 6 7 4 2" xfId="11089"/>
    <cellStyle name="Normale 3 2 6 7 4 3" xfId="18497"/>
    <cellStyle name="Normale 3 2 6 7 4 4" xfId="23362"/>
    <cellStyle name="Normale 3 2 6 7 5" xfId="4566"/>
    <cellStyle name="Normale 3 2 6 7 5 2" xfId="12029"/>
    <cellStyle name="Normale 3 2 6 7 5 3" xfId="19437"/>
    <cellStyle name="Normale 3 2 6 7 5 4" xfId="28650"/>
    <cellStyle name="Normale 3 2 6 7 6" xfId="5481"/>
    <cellStyle name="Normale 3 2 6 7 6 2" xfId="12944"/>
    <cellStyle name="Normale 3 2 6 7 6 3" xfId="20352"/>
    <cellStyle name="Normale 3 2 6 7 6 4" xfId="28460"/>
    <cellStyle name="Normale 3 2 6 7 7" xfId="6415"/>
    <cellStyle name="Normale 3 2 6 7 7 2" xfId="13878"/>
    <cellStyle name="Normale 3 2 6 7 7 3" xfId="21286"/>
    <cellStyle name="Normale 3 2 6 7 7 4" xfId="25892"/>
    <cellStyle name="Normale 3 2 6 7 8" xfId="7317"/>
    <cellStyle name="Normale 3 2 6 7 8 2" xfId="14780"/>
    <cellStyle name="Normale 3 2 6 7 8 3" xfId="22188"/>
    <cellStyle name="Normale 3 2 6 7 8 4" xfId="26555"/>
    <cellStyle name="Normale 3 2 6 7 9" xfId="8276"/>
    <cellStyle name="Normale 3 2 6 8" xfId="884"/>
    <cellStyle name="Normale 3 2 6 8 10" xfId="15755"/>
    <cellStyle name="Normale 3 2 6 8 11" xfId="22912"/>
    <cellStyle name="Normale 3 2 6 8 12" xfId="30553"/>
    <cellStyle name="Normale 3 2 6 8 13" xfId="31499"/>
    <cellStyle name="Normale 3 2 6 8 14" xfId="32410"/>
    <cellStyle name="Normale 3 2 6 8 15" xfId="33322"/>
    <cellStyle name="Normale 3 2 6 8 16" xfId="34282"/>
    <cellStyle name="Normale 3 2 6 8 17" xfId="35214"/>
    <cellStyle name="Normale 3 2 6 8 18" xfId="36140"/>
    <cellStyle name="Normale 3 2 6 8 19" xfId="37065"/>
    <cellStyle name="Normale 3 2 6 8 2" xfId="1849"/>
    <cellStyle name="Normale 3 2 6 8 2 2" xfId="9312"/>
    <cellStyle name="Normale 3 2 6 8 2 3" xfId="16720"/>
    <cellStyle name="Normale 3 2 6 8 2 4" xfId="28191"/>
    <cellStyle name="Normale 3 2 6 8 20" xfId="37961"/>
    <cellStyle name="Normale 3 2 6 8 3" xfId="2782"/>
    <cellStyle name="Normale 3 2 6 8 3 2" xfId="10245"/>
    <cellStyle name="Normale 3 2 6 8 3 3" xfId="17653"/>
    <cellStyle name="Normale 3 2 6 8 3 4" xfId="26535"/>
    <cellStyle name="Normale 3 2 6 8 4" xfId="3696"/>
    <cellStyle name="Normale 3 2 6 8 4 2" xfId="11159"/>
    <cellStyle name="Normale 3 2 6 8 4 3" xfId="18567"/>
    <cellStyle name="Normale 3 2 6 8 4 4" xfId="26788"/>
    <cellStyle name="Normale 3 2 6 8 5" xfId="4637"/>
    <cellStyle name="Normale 3 2 6 8 5 2" xfId="12100"/>
    <cellStyle name="Normale 3 2 6 8 5 3" xfId="19508"/>
    <cellStyle name="Normale 3 2 6 8 5 4" xfId="29308"/>
    <cellStyle name="Normale 3 2 6 8 6" xfId="5551"/>
    <cellStyle name="Normale 3 2 6 8 6 2" xfId="13014"/>
    <cellStyle name="Normale 3 2 6 8 6 3" xfId="20422"/>
    <cellStyle name="Normale 3 2 6 8 6 4" xfId="22576"/>
    <cellStyle name="Normale 3 2 6 8 7" xfId="6486"/>
    <cellStyle name="Normale 3 2 6 8 7 2" xfId="13949"/>
    <cellStyle name="Normale 3 2 6 8 7 3" xfId="21357"/>
    <cellStyle name="Normale 3 2 6 8 7 4" xfId="26564"/>
    <cellStyle name="Normale 3 2 6 8 8" xfId="7383"/>
    <cellStyle name="Normale 3 2 6 8 8 2" xfId="14846"/>
    <cellStyle name="Normale 3 2 6 8 8 3" xfId="22254"/>
    <cellStyle name="Normale 3 2 6 8 8 4" xfId="24375"/>
    <cellStyle name="Normale 3 2 6 8 9" xfId="8347"/>
    <cellStyle name="Normale 3 2 6 9" xfId="951"/>
    <cellStyle name="Normale 3 2 6 9 10" xfId="15822"/>
    <cellStyle name="Normale 3 2 6 9 11" xfId="27407"/>
    <cellStyle name="Normale 3 2 6 9 12" xfId="30617"/>
    <cellStyle name="Normale 3 2 6 9 13" xfId="31565"/>
    <cellStyle name="Normale 3 2 6 9 14" xfId="32476"/>
    <cellStyle name="Normale 3 2 6 9 15" xfId="33386"/>
    <cellStyle name="Normale 3 2 6 9 16" xfId="34349"/>
    <cellStyle name="Normale 3 2 6 9 17" xfId="35281"/>
    <cellStyle name="Normale 3 2 6 9 18" xfId="36206"/>
    <cellStyle name="Normale 3 2 6 9 19" xfId="37132"/>
    <cellStyle name="Normale 3 2 6 9 2" xfId="1916"/>
    <cellStyle name="Normale 3 2 6 9 2 2" xfId="9379"/>
    <cellStyle name="Normale 3 2 6 9 2 3" xfId="16787"/>
    <cellStyle name="Normale 3 2 6 9 2 4" xfId="28770"/>
    <cellStyle name="Normale 3 2 6 9 20" xfId="38025"/>
    <cellStyle name="Normale 3 2 6 9 3" xfId="2848"/>
    <cellStyle name="Normale 3 2 6 9 3 2" xfId="10311"/>
    <cellStyle name="Normale 3 2 6 9 3 3" xfId="17719"/>
    <cellStyle name="Normale 3 2 6 9 3 4" xfId="23382"/>
    <cellStyle name="Normale 3 2 6 9 4" xfId="3763"/>
    <cellStyle name="Normale 3 2 6 9 4 2" xfId="11226"/>
    <cellStyle name="Normale 3 2 6 9 4 3" xfId="18634"/>
    <cellStyle name="Normale 3 2 6 9 4 4" xfId="22624"/>
    <cellStyle name="Normale 3 2 6 9 5" xfId="4704"/>
    <cellStyle name="Normale 3 2 6 9 5 2" xfId="12167"/>
    <cellStyle name="Normale 3 2 6 9 5 3" xfId="19575"/>
    <cellStyle name="Normale 3 2 6 9 5 4" xfId="26287"/>
    <cellStyle name="Normale 3 2 6 9 6" xfId="5618"/>
    <cellStyle name="Normale 3 2 6 9 6 2" xfId="13081"/>
    <cellStyle name="Normale 3 2 6 9 6 3" xfId="20489"/>
    <cellStyle name="Normale 3 2 6 9 6 4" xfId="23104"/>
    <cellStyle name="Normale 3 2 6 9 7" xfId="6553"/>
    <cellStyle name="Normale 3 2 6 9 7 2" xfId="14016"/>
    <cellStyle name="Normale 3 2 6 9 7 3" xfId="21424"/>
    <cellStyle name="Normale 3 2 6 9 7 4" xfId="23478"/>
    <cellStyle name="Normale 3 2 6 9 8" xfId="7447"/>
    <cellStyle name="Normale 3 2 6 9 8 2" xfId="14910"/>
    <cellStyle name="Normale 3 2 6 9 8 3" xfId="22318"/>
    <cellStyle name="Normale 3 2 6 9 8 4" xfId="15273"/>
    <cellStyle name="Normale 3 2 6 9 9" xfId="8414"/>
    <cellStyle name="Normale 3 2 7" xfId="53"/>
    <cellStyle name="Normale 3 2 7 10" xfId="2879"/>
    <cellStyle name="Normale 3 2 7 10 2" xfId="10342"/>
    <cellStyle name="Normale 3 2 7 10 3" xfId="17750"/>
    <cellStyle name="Normale 3 2 7 10 4" xfId="25932"/>
    <cellStyle name="Normale 3 2 7 11" xfId="3808"/>
    <cellStyle name="Normale 3 2 7 11 2" xfId="11271"/>
    <cellStyle name="Normale 3 2 7 11 3" xfId="18679"/>
    <cellStyle name="Normale 3 2 7 11 4" xfId="26113"/>
    <cellStyle name="Normale 3 2 7 12" xfId="4735"/>
    <cellStyle name="Normale 3 2 7 12 2" xfId="12198"/>
    <cellStyle name="Normale 3 2 7 12 3" xfId="19606"/>
    <cellStyle name="Normale 3 2 7 12 4" xfId="27826"/>
    <cellStyle name="Normale 3 2 7 13" xfId="5662"/>
    <cellStyle name="Normale 3 2 7 13 2" xfId="13125"/>
    <cellStyle name="Normale 3 2 7 13 3" xfId="20533"/>
    <cellStyle name="Normale 3 2 7 13 4" xfId="26569"/>
    <cellStyle name="Normale 3 2 7 14" xfId="6584"/>
    <cellStyle name="Normale 3 2 7 14 2" xfId="14047"/>
    <cellStyle name="Normale 3 2 7 14 3" xfId="21455"/>
    <cellStyle name="Normale 3 2 7 14 4" xfId="25042"/>
    <cellStyle name="Normale 3 2 7 15" xfId="7518"/>
    <cellStyle name="Normale 3 2 7 16" xfId="8341"/>
    <cellStyle name="Normale 3 2 7 17" xfId="27123"/>
    <cellStyle name="Normale 3 2 7 18" xfId="29744"/>
    <cellStyle name="Normale 3 2 7 19" xfId="30674"/>
    <cellStyle name="Normale 3 2 7 2" xfId="251"/>
    <cellStyle name="Normale 3 2 7 2 10" xfId="15124"/>
    <cellStyle name="Normale 3 2 7 2 11" xfId="27572"/>
    <cellStyle name="Normale 3 2 7 2 12" xfId="29936"/>
    <cellStyle name="Normale 3 2 7 2 13" xfId="30868"/>
    <cellStyle name="Normale 3 2 7 2 14" xfId="31789"/>
    <cellStyle name="Normale 3 2 7 2 15" xfId="32714"/>
    <cellStyle name="Normale 3 2 7 2 16" xfId="33651"/>
    <cellStyle name="Normale 3 2 7 2 17" xfId="34581"/>
    <cellStyle name="Normale 3 2 7 2 18" xfId="35507"/>
    <cellStyle name="Normale 3 2 7 2 19" xfId="36433"/>
    <cellStyle name="Normale 3 2 7 2 2" xfId="1218"/>
    <cellStyle name="Normale 3 2 7 2 2 2" xfId="8681"/>
    <cellStyle name="Normale 3 2 7 2 2 3" xfId="16089"/>
    <cellStyle name="Normale 3 2 7 2 2 4" xfId="24700"/>
    <cellStyle name="Normale 3 2 7 2 20" xfId="37353"/>
    <cellStyle name="Normale 3 2 7 2 3" xfId="2149"/>
    <cellStyle name="Normale 3 2 7 2 3 2" xfId="9612"/>
    <cellStyle name="Normale 3 2 7 2 3 3" xfId="17020"/>
    <cellStyle name="Normale 3 2 7 2 3 4" xfId="29339"/>
    <cellStyle name="Normale 3 2 7 2 4" xfId="3071"/>
    <cellStyle name="Normale 3 2 7 2 4 2" xfId="10534"/>
    <cellStyle name="Normale 3 2 7 2 4 3" xfId="17942"/>
    <cellStyle name="Normale 3 2 7 2 4 4" xfId="22748"/>
    <cellStyle name="Normale 3 2 7 2 5" xfId="4004"/>
    <cellStyle name="Normale 3 2 7 2 5 2" xfId="11467"/>
    <cellStyle name="Normale 3 2 7 2 5 3" xfId="18875"/>
    <cellStyle name="Normale 3 2 7 2 5 4" xfId="22937"/>
    <cellStyle name="Normale 3 2 7 2 6" xfId="4927"/>
    <cellStyle name="Normale 3 2 7 2 6 2" xfId="12390"/>
    <cellStyle name="Normale 3 2 7 2 6 3" xfId="19798"/>
    <cellStyle name="Normale 3 2 7 2 6 4" xfId="27382"/>
    <cellStyle name="Normale 3 2 7 2 7" xfId="5855"/>
    <cellStyle name="Normale 3 2 7 2 7 2" xfId="13318"/>
    <cellStyle name="Normale 3 2 7 2 7 3" xfId="20726"/>
    <cellStyle name="Normale 3 2 7 2 7 4" xfId="27569"/>
    <cellStyle name="Normale 3 2 7 2 8" xfId="6775"/>
    <cellStyle name="Normale 3 2 7 2 8 2" xfId="14238"/>
    <cellStyle name="Normale 3 2 7 2 8 3" xfId="21646"/>
    <cellStyle name="Normale 3 2 7 2 8 4" xfId="22771"/>
    <cellStyle name="Normale 3 2 7 2 9" xfId="7714"/>
    <cellStyle name="Normale 3 2 7 20" xfId="31597"/>
    <cellStyle name="Normale 3 2 7 21" xfId="32523"/>
    <cellStyle name="Normale 3 2 7 22" xfId="33457"/>
    <cellStyle name="Normale 3 2 7 23" xfId="34385"/>
    <cellStyle name="Normale 3 2 7 24" xfId="35313"/>
    <cellStyle name="Normale 3 2 7 25" xfId="36239"/>
    <cellStyle name="Normale 3 2 7 26" xfId="37162"/>
    <cellStyle name="Normale 3 2 7 3" xfId="673"/>
    <cellStyle name="Normale 3 2 7 3 10" xfId="15545"/>
    <cellStyle name="Normale 3 2 7 3 11" xfId="26195"/>
    <cellStyle name="Normale 3 2 7 3 12" xfId="30348"/>
    <cellStyle name="Normale 3 2 7 3 13" xfId="31289"/>
    <cellStyle name="Normale 3 2 7 3 14" xfId="32203"/>
    <cellStyle name="Normale 3 2 7 3 15" xfId="33121"/>
    <cellStyle name="Normale 3 2 7 3 16" xfId="34072"/>
    <cellStyle name="Normale 3 2 7 3 17" xfId="35003"/>
    <cellStyle name="Normale 3 2 7 3 18" xfId="35929"/>
    <cellStyle name="Normale 3 2 7 3 19" xfId="36854"/>
    <cellStyle name="Normale 3 2 7 3 2" xfId="1639"/>
    <cellStyle name="Normale 3 2 7 3 2 2" xfId="9102"/>
    <cellStyle name="Normale 3 2 7 3 2 3" xfId="16510"/>
    <cellStyle name="Normale 3 2 7 3 2 4" xfId="25721"/>
    <cellStyle name="Normale 3 2 7 3 20" xfId="37760"/>
    <cellStyle name="Normale 3 2 7 3 3" xfId="2571"/>
    <cellStyle name="Normale 3 2 7 3 3 2" xfId="10034"/>
    <cellStyle name="Normale 3 2 7 3 3 3" xfId="17442"/>
    <cellStyle name="Normale 3 2 7 3 3 4" xfId="24168"/>
    <cellStyle name="Normale 3 2 7 3 4" xfId="3488"/>
    <cellStyle name="Normale 3 2 7 3 4 2" xfId="10951"/>
    <cellStyle name="Normale 3 2 7 3 4 3" xfId="18359"/>
    <cellStyle name="Normale 3 2 7 3 4 4" xfId="25201"/>
    <cellStyle name="Normale 3 2 7 3 5" xfId="4426"/>
    <cellStyle name="Normale 3 2 7 3 5 2" xfId="11889"/>
    <cellStyle name="Normale 3 2 7 3 5 3" xfId="19297"/>
    <cellStyle name="Normale 3 2 7 3 5 4" xfId="25081"/>
    <cellStyle name="Normale 3 2 7 3 6" xfId="5343"/>
    <cellStyle name="Normale 3 2 7 3 6 2" xfId="12806"/>
    <cellStyle name="Normale 3 2 7 3 6 3" xfId="20214"/>
    <cellStyle name="Normale 3 2 7 3 6 4" xfId="25698"/>
    <cellStyle name="Normale 3 2 7 3 7" xfId="6276"/>
    <cellStyle name="Normale 3 2 7 3 7 2" xfId="13739"/>
    <cellStyle name="Normale 3 2 7 3 7 3" xfId="21147"/>
    <cellStyle name="Normale 3 2 7 3 7 4" xfId="23135"/>
    <cellStyle name="Normale 3 2 7 3 8" xfId="7182"/>
    <cellStyle name="Normale 3 2 7 3 8 2" xfId="14645"/>
    <cellStyle name="Normale 3 2 7 3 8 3" xfId="22053"/>
    <cellStyle name="Normale 3 2 7 3 8 4" xfId="25626"/>
    <cellStyle name="Normale 3 2 7 3 9" xfId="8136"/>
    <cellStyle name="Normale 3 2 7 4" xfId="758"/>
    <cellStyle name="Normale 3 2 7 4 10" xfId="15629"/>
    <cellStyle name="Normale 3 2 7 4 11" xfId="24757"/>
    <cellStyle name="Normale 3 2 7 4 12" xfId="30432"/>
    <cellStyle name="Normale 3 2 7 4 13" xfId="31373"/>
    <cellStyle name="Normale 3 2 7 4 14" xfId="32286"/>
    <cellStyle name="Normale 3 2 7 4 15" xfId="33203"/>
    <cellStyle name="Normale 3 2 7 4 16" xfId="34156"/>
    <cellStyle name="Normale 3 2 7 4 17" xfId="35088"/>
    <cellStyle name="Normale 3 2 7 4 18" xfId="36014"/>
    <cellStyle name="Normale 3 2 7 4 19" xfId="36939"/>
    <cellStyle name="Normale 3 2 7 4 2" xfId="1723"/>
    <cellStyle name="Normale 3 2 7 4 2 2" xfId="9186"/>
    <cellStyle name="Normale 3 2 7 4 2 3" xfId="16594"/>
    <cellStyle name="Normale 3 2 7 4 2 4" xfId="28196"/>
    <cellStyle name="Normale 3 2 7 4 20" xfId="37842"/>
    <cellStyle name="Normale 3 2 7 4 3" xfId="2656"/>
    <cellStyle name="Normale 3 2 7 4 3 2" xfId="10119"/>
    <cellStyle name="Normale 3 2 7 4 3 3" xfId="17527"/>
    <cellStyle name="Normale 3 2 7 4 3 4" xfId="26769"/>
    <cellStyle name="Normale 3 2 7 4 4" xfId="3572"/>
    <cellStyle name="Normale 3 2 7 4 4 2" xfId="11035"/>
    <cellStyle name="Normale 3 2 7 4 4 3" xfId="18443"/>
    <cellStyle name="Normale 3 2 7 4 4 4" xfId="22939"/>
    <cellStyle name="Normale 3 2 7 4 5" xfId="4511"/>
    <cellStyle name="Normale 3 2 7 4 5 2" xfId="11974"/>
    <cellStyle name="Normale 3 2 7 4 5 3" xfId="19382"/>
    <cellStyle name="Normale 3 2 7 4 5 4" xfId="29557"/>
    <cellStyle name="Normale 3 2 7 4 6" xfId="5427"/>
    <cellStyle name="Normale 3 2 7 4 6 2" xfId="12890"/>
    <cellStyle name="Normale 3 2 7 4 6 3" xfId="20298"/>
    <cellStyle name="Normale 3 2 7 4 6 4" xfId="28101"/>
    <cellStyle name="Normale 3 2 7 4 7" xfId="6360"/>
    <cellStyle name="Normale 3 2 7 4 7 2" xfId="13823"/>
    <cellStyle name="Normale 3 2 7 4 7 3" xfId="21231"/>
    <cellStyle name="Normale 3 2 7 4 7 4" xfId="26840"/>
    <cellStyle name="Normale 3 2 7 4 8" xfId="7264"/>
    <cellStyle name="Normale 3 2 7 4 8 2" xfId="14727"/>
    <cellStyle name="Normale 3 2 7 4 8 3" xfId="22135"/>
    <cellStyle name="Normale 3 2 7 4 8 4" xfId="22346"/>
    <cellStyle name="Normale 3 2 7 4 9" xfId="8221"/>
    <cellStyle name="Normale 3 2 7 5" xfId="829"/>
    <cellStyle name="Normale 3 2 7 5 10" xfId="15700"/>
    <cellStyle name="Normale 3 2 7 5 11" xfId="23912"/>
    <cellStyle name="Normale 3 2 7 5 12" xfId="30501"/>
    <cellStyle name="Normale 3 2 7 5 13" xfId="31444"/>
    <cellStyle name="Normale 3 2 7 5 14" xfId="32356"/>
    <cellStyle name="Normale 3 2 7 5 15" xfId="33272"/>
    <cellStyle name="Normale 3 2 7 5 16" xfId="34227"/>
    <cellStyle name="Normale 3 2 7 5 17" xfId="35159"/>
    <cellStyle name="Normale 3 2 7 5 18" xfId="36085"/>
    <cellStyle name="Normale 3 2 7 5 19" xfId="37010"/>
    <cellStyle name="Normale 3 2 7 5 2" xfId="1794"/>
    <cellStyle name="Normale 3 2 7 5 2 2" xfId="9257"/>
    <cellStyle name="Normale 3 2 7 5 2 3" xfId="16665"/>
    <cellStyle name="Normale 3 2 7 5 2 4" xfId="27449"/>
    <cellStyle name="Normale 3 2 7 5 20" xfId="37911"/>
    <cellStyle name="Normale 3 2 7 5 3" xfId="2727"/>
    <cellStyle name="Normale 3 2 7 5 3 2" xfId="10190"/>
    <cellStyle name="Normale 3 2 7 5 3 3" xfId="17598"/>
    <cellStyle name="Normale 3 2 7 5 3 4" xfId="25683"/>
    <cellStyle name="Normale 3 2 7 5 4" xfId="3642"/>
    <cellStyle name="Normale 3 2 7 5 4 2" xfId="11105"/>
    <cellStyle name="Normale 3 2 7 5 4 3" xfId="18513"/>
    <cellStyle name="Normale 3 2 7 5 4 4" xfId="24276"/>
    <cellStyle name="Normale 3 2 7 5 5" xfId="4582"/>
    <cellStyle name="Normale 3 2 7 5 5 2" xfId="12045"/>
    <cellStyle name="Normale 3 2 7 5 5 3" xfId="19453"/>
    <cellStyle name="Normale 3 2 7 5 5 4" xfId="28497"/>
    <cellStyle name="Normale 3 2 7 5 6" xfId="5497"/>
    <cellStyle name="Normale 3 2 7 5 6 2" xfId="12960"/>
    <cellStyle name="Normale 3 2 7 5 6 3" xfId="20368"/>
    <cellStyle name="Normale 3 2 7 5 6 4" xfId="28350"/>
    <cellStyle name="Normale 3 2 7 5 7" xfId="6431"/>
    <cellStyle name="Normale 3 2 7 5 7 2" xfId="13894"/>
    <cellStyle name="Normale 3 2 7 5 7 3" xfId="21302"/>
    <cellStyle name="Normale 3 2 7 5 7 4" xfId="25739"/>
    <cellStyle name="Normale 3 2 7 5 8" xfId="7333"/>
    <cellStyle name="Normale 3 2 7 5 8 2" xfId="14796"/>
    <cellStyle name="Normale 3 2 7 5 8 3" xfId="22204"/>
    <cellStyle name="Normale 3 2 7 5 8 4" xfId="26453"/>
    <cellStyle name="Normale 3 2 7 5 9" xfId="8292"/>
    <cellStyle name="Normale 3 2 7 6" xfId="900"/>
    <cellStyle name="Normale 3 2 7 6 10" xfId="15771"/>
    <cellStyle name="Normale 3 2 7 6 11" xfId="28939"/>
    <cellStyle name="Normale 3 2 7 6 12" xfId="30569"/>
    <cellStyle name="Normale 3 2 7 6 13" xfId="31515"/>
    <cellStyle name="Normale 3 2 7 6 14" xfId="32426"/>
    <cellStyle name="Normale 3 2 7 6 15" xfId="33338"/>
    <cellStyle name="Normale 3 2 7 6 16" xfId="34298"/>
    <cellStyle name="Normale 3 2 7 6 17" xfId="35230"/>
    <cellStyle name="Normale 3 2 7 6 18" xfId="36156"/>
    <cellStyle name="Normale 3 2 7 6 19" xfId="37081"/>
    <cellStyle name="Normale 3 2 7 6 2" xfId="1865"/>
    <cellStyle name="Normale 3 2 7 6 2 2" xfId="9328"/>
    <cellStyle name="Normale 3 2 7 6 2 3" xfId="16736"/>
    <cellStyle name="Normale 3 2 7 6 2 4" xfId="27270"/>
    <cellStyle name="Normale 3 2 7 6 20" xfId="37977"/>
    <cellStyle name="Normale 3 2 7 6 3" xfId="2798"/>
    <cellStyle name="Normale 3 2 7 6 3 2" xfId="10261"/>
    <cellStyle name="Normale 3 2 7 6 3 3" xfId="17669"/>
    <cellStyle name="Normale 3 2 7 6 3 4" xfId="26440"/>
    <cellStyle name="Normale 3 2 7 6 4" xfId="3712"/>
    <cellStyle name="Normale 3 2 7 6 4 2" xfId="11175"/>
    <cellStyle name="Normale 3 2 7 6 4 3" xfId="18583"/>
    <cellStyle name="Normale 3 2 7 6 4 4" xfId="26639"/>
    <cellStyle name="Normale 3 2 7 6 5" xfId="4653"/>
    <cellStyle name="Normale 3 2 7 6 5 2" xfId="12116"/>
    <cellStyle name="Normale 3 2 7 6 5 3" xfId="19524"/>
    <cellStyle name="Normale 3 2 7 6 5 4" xfId="29214"/>
    <cellStyle name="Normale 3 2 7 6 6" xfId="5567"/>
    <cellStyle name="Normale 3 2 7 6 6 2" xfId="13030"/>
    <cellStyle name="Normale 3 2 7 6 6 3" xfId="20438"/>
    <cellStyle name="Normale 3 2 7 6 6 4" xfId="29007"/>
    <cellStyle name="Normale 3 2 7 6 7" xfId="6502"/>
    <cellStyle name="Normale 3 2 7 6 7 2" xfId="13965"/>
    <cellStyle name="Normale 3 2 7 6 7 3" xfId="21373"/>
    <cellStyle name="Normale 3 2 7 6 7 4" xfId="26465"/>
    <cellStyle name="Normale 3 2 7 6 8" xfId="7399"/>
    <cellStyle name="Normale 3 2 7 6 8 2" xfId="14862"/>
    <cellStyle name="Normale 3 2 7 6 8 3" xfId="22270"/>
    <cellStyle name="Normale 3 2 7 6 8 4" xfId="23457"/>
    <cellStyle name="Normale 3 2 7 6 9" xfId="8363"/>
    <cellStyle name="Normale 3 2 7 7" xfId="962"/>
    <cellStyle name="Normale 3 2 7 7 10" xfId="15833"/>
    <cellStyle name="Normale 3 2 7 7 11" xfId="24606"/>
    <cellStyle name="Normale 3 2 7 7 12" xfId="30628"/>
    <cellStyle name="Normale 3 2 7 7 13" xfId="31576"/>
    <cellStyle name="Normale 3 2 7 7 14" xfId="32487"/>
    <cellStyle name="Normale 3 2 7 7 15" xfId="33397"/>
    <cellStyle name="Normale 3 2 7 7 16" xfId="34360"/>
    <cellStyle name="Normale 3 2 7 7 17" xfId="35292"/>
    <cellStyle name="Normale 3 2 7 7 18" xfId="36217"/>
    <cellStyle name="Normale 3 2 7 7 19" xfId="37143"/>
    <cellStyle name="Normale 3 2 7 7 2" xfId="1927"/>
    <cellStyle name="Normale 3 2 7 7 2 2" xfId="9390"/>
    <cellStyle name="Normale 3 2 7 7 2 3" xfId="16798"/>
    <cellStyle name="Normale 3 2 7 7 2 4" xfId="25937"/>
    <cellStyle name="Normale 3 2 7 7 20" xfId="38036"/>
    <cellStyle name="Normale 3 2 7 7 3" xfId="2859"/>
    <cellStyle name="Normale 3 2 7 7 3 2" xfId="10322"/>
    <cellStyle name="Normale 3 2 7 7 3 3" xfId="17730"/>
    <cellStyle name="Normale 3 2 7 7 3 4" xfId="28889"/>
    <cellStyle name="Normale 3 2 7 7 4" xfId="3774"/>
    <cellStyle name="Normale 3 2 7 7 4 2" xfId="11237"/>
    <cellStyle name="Normale 3 2 7 7 4 3" xfId="18645"/>
    <cellStyle name="Normale 3 2 7 7 4 4" xfId="27951"/>
    <cellStyle name="Normale 3 2 7 7 5" xfId="4715"/>
    <cellStyle name="Normale 3 2 7 7 5 2" xfId="12178"/>
    <cellStyle name="Normale 3 2 7 7 5 3" xfId="19586"/>
    <cellStyle name="Normale 3 2 7 7 5 4" xfId="22600"/>
    <cellStyle name="Normale 3 2 7 7 6" xfId="5629"/>
    <cellStyle name="Normale 3 2 7 7 6 2" xfId="13092"/>
    <cellStyle name="Normale 3 2 7 7 6 3" xfId="20500"/>
    <cellStyle name="Normale 3 2 7 7 6 4" xfId="27751"/>
    <cellStyle name="Normale 3 2 7 7 7" xfId="6564"/>
    <cellStyle name="Normale 3 2 7 7 7 2" xfId="14027"/>
    <cellStyle name="Normale 3 2 7 7 7 3" xfId="21435"/>
    <cellStyle name="Normale 3 2 7 7 7 4" xfId="27151"/>
    <cellStyle name="Normale 3 2 7 7 8" xfId="7458"/>
    <cellStyle name="Normale 3 2 7 7 8 2" xfId="14921"/>
    <cellStyle name="Normale 3 2 7 7 8 3" xfId="22329"/>
    <cellStyle name="Normale 3 2 7 7 8 4" xfId="15749"/>
    <cellStyle name="Normale 3 2 7 7 9" xfId="8425"/>
    <cellStyle name="Normale 3 2 7 8" xfId="1026"/>
    <cellStyle name="Normale 3 2 7 8 2" xfId="8489"/>
    <cellStyle name="Normale 3 2 7 8 3" xfId="15897"/>
    <cellStyle name="Normale 3 2 7 8 4" xfId="24343"/>
    <cellStyle name="Normale 3 2 7 9" xfId="1953"/>
    <cellStyle name="Normale 3 2 7 9 2" xfId="9416"/>
    <cellStyle name="Normale 3 2 7 9 3" xfId="16824"/>
    <cellStyle name="Normale 3 2 7 9 4" xfId="23883"/>
    <cellStyle name="Normale 3 2 8" xfId="220"/>
    <cellStyle name="Normale 3 2 8 10" xfId="15093"/>
    <cellStyle name="Normale 3 2 8 11" xfId="26957"/>
    <cellStyle name="Normale 3 2 8 12" xfId="29905"/>
    <cellStyle name="Normale 3 2 8 13" xfId="30837"/>
    <cellStyle name="Normale 3 2 8 14" xfId="31758"/>
    <cellStyle name="Normale 3 2 8 15" xfId="32683"/>
    <cellStyle name="Normale 3 2 8 16" xfId="33620"/>
    <cellStyle name="Normale 3 2 8 17" xfId="34550"/>
    <cellStyle name="Normale 3 2 8 18" xfId="35476"/>
    <cellStyle name="Normale 3 2 8 19" xfId="36402"/>
    <cellStyle name="Normale 3 2 8 2" xfId="1187"/>
    <cellStyle name="Normale 3 2 8 2 2" xfId="8650"/>
    <cellStyle name="Normale 3 2 8 2 3" xfId="16058"/>
    <cellStyle name="Normale 3 2 8 2 4" xfId="24035"/>
    <cellStyle name="Normale 3 2 8 20" xfId="37322"/>
    <cellStyle name="Normale 3 2 8 3" xfId="2118"/>
    <cellStyle name="Normale 3 2 8 3 2" xfId="9581"/>
    <cellStyle name="Normale 3 2 8 3 3" xfId="16989"/>
    <cellStyle name="Normale 3 2 8 3 4" xfId="28715"/>
    <cellStyle name="Normale 3 2 8 4" xfId="3040"/>
    <cellStyle name="Normale 3 2 8 4 2" xfId="10503"/>
    <cellStyle name="Normale 3 2 8 4 3" xfId="17911"/>
    <cellStyle name="Normale 3 2 8 4 4" xfId="29372"/>
    <cellStyle name="Normale 3 2 8 5" xfId="3973"/>
    <cellStyle name="Normale 3 2 8 5 2" xfId="11436"/>
    <cellStyle name="Normale 3 2 8 5 3" xfId="18844"/>
    <cellStyle name="Normale 3 2 8 5 4" xfId="29048"/>
    <cellStyle name="Normale 3 2 8 6" xfId="4896"/>
    <cellStyle name="Normale 3 2 8 6 2" xfId="12359"/>
    <cellStyle name="Normale 3 2 8 6 3" xfId="19767"/>
    <cellStyle name="Normale 3 2 8 6 4" xfId="26709"/>
    <cellStyle name="Normale 3 2 8 7" xfId="5824"/>
    <cellStyle name="Normale 3 2 8 7 2" xfId="13287"/>
    <cellStyle name="Normale 3 2 8 7 3" xfId="20695"/>
    <cellStyle name="Normale 3 2 8 7 4" xfId="26954"/>
    <cellStyle name="Normale 3 2 8 8" xfId="6744"/>
    <cellStyle name="Normale 3 2 8 8 2" xfId="14207"/>
    <cellStyle name="Normale 3 2 8 8 3" xfId="21615"/>
    <cellStyle name="Normale 3 2 8 8 4" xfId="24854"/>
    <cellStyle name="Normale 3 2 8 9" xfId="7683"/>
    <cellStyle name="Normale 3 2 9" xfId="404"/>
    <cellStyle name="Normale 3 2 9 10" xfId="15277"/>
    <cellStyle name="Normale 3 2 9 11" xfId="26950"/>
    <cellStyle name="Normale 3 2 9 12" xfId="30089"/>
    <cellStyle name="Normale 3 2 9 13" xfId="31021"/>
    <cellStyle name="Normale 3 2 9 14" xfId="31942"/>
    <cellStyle name="Normale 3 2 9 15" xfId="32866"/>
    <cellStyle name="Normale 3 2 9 16" xfId="33804"/>
    <cellStyle name="Normale 3 2 9 17" xfId="34734"/>
    <cellStyle name="Normale 3 2 9 18" xfId="35660"/>
    <cellStyle name="Normale 3 2 9 19" xfId="36586"/>
    <cellStyle name="Normale 3 2 9 2" xfId="1371"/>
    <cellStyle name="Normale 3 2 9 2 2" xfId="8834"/>
    <cellStyle name="Normale 3 2 9 2 3" xfId="16242"/>
    <cellStyle name="Normale 3 2 9 2 4" xfId="24203"/>
    <cellStyle name="Normale 3 2 9 20" xfId="37505"/>
    <cellStyle name="Normale 3 2 9 3" xfId="2302"/>
    <cellStyle name="Normale 3 2 9 3 2" xfId="9765"/>
    <cellStyle name="Normale 3 2 9 3 3" xfId="17173"/>
    <cellStyle name="Normale 3 2 9 3 4" xfId="28699"/>
    <cellStyle name="Normale 3 2 9 4" xfId="3224"/>
    <cellStyle name="Normale 3 2 9 4 2" xfId="10687"/>
    <cellStyle name="Normale 3 2 9 4 3" xfId="18095"/>
    <cellStyle name="Normale 3 2 9 4 4" xfId="24740"/>
    <cellStyle name="Normale 3 2 9 5" xfId="4157"/>
    <cellStyle name="Normale 3 2 9 5 2" xfId="11620"/>
    <cellStyle name="Normale 3 2 9 5 3" xfId="19028"/>
    <cellStyle name="Normale 3 2 9 5 4" xfId="29263"/>
    <cellStyle name="Normale 3 2 9 6" xfId="5080"/>
    <cellStyle name="Normale 3 2 9 6 2" xfId="12543"/>
    <cellStyle name="Normale 3 2 9 6 3" xfId="19951"/>
    <cellStyle name="Normale 3 2 9 6 4" xfId="26913"/>
    <cellStyle name="Normale 3 2 9 7" xfId="6008"/>
    <cellStyle name="Normale 3 2 9 7 2" xfId="13471"/>
    <cellStyle name="Normale 3 2 9 7 3" xfId="20879"/>
    <cellStyle name="Normale 3 2 9 7 4" xfId="26899"/>
    <cellStyle name="Normale 3 2 9 8" xfId="6927"/>
    <cellStyle name="Normale 3 2 9 8 2" xfId="14390"/>
    <cellStyle name="Normale 3 2 9 8 3" xfId="21798"/>
    <cellStyle name="Normale 3 2 9 8 4" xfId="25623"/>
    <cellStyle name="Normale 3 2 9 9" xfId="7867"/>
    <cellStyle name="Normale 3 20" xfId="994"/>
    <cellStyle name="Normale 3 20 2" xfId="8457"/>
    <cellStyle name="Normale 3 20 3" xfId="15865"/>
    <cellStyle name="Normale 3 20 4" xfId="24344"/>
    <cellStyle name="Normale 3 21" xfId="1804"/>
    <cellStyle name="Normale 3 21 2" xfId="9267"/>
    <cellStyle name="Normale 3 21 3" xfId="16675"/>
    <cellStyle name="Normale 3 21 4" xfId="25566"/>
    <cellStyle name="Normale 3 22" xfId="2871"/>
    <cellStyle name="Normale 3 22 2" xfId="10334"/>
    <cellStyle name="Normale 3 22 3" xfId="17742"/>
    <cellStyle name="Normale 3 22 4" xfId="26002"/>
    <cellStyle name="Normale 3 23" xfId="2100"/>
    <cellStyle name="Normale 3 23 2" xfId="9563"/>
    <cellStyle name="Normale 3 23 3" xfId="16971"/>
    <cellStyle name="Normale 3 23 4" xfId="24512"/>
    <cellStyle name="Normale 3 24" xfId="4666"/>
    <cellStyle name="Normale 3 24 2" xfId="12129"/>
    <cellStyle name="Normale 3 24 3" xfId="19537"/>
    <cellStyle name="Normale 3 24 4" xfId="24583"/>
    <cellStyle name="Normale 3 25" xfId="1936"/>
    <cellStyle name="Normale 3 25 2" xfId="9399"/>
    <cellStyle name="Normale 3 25 3" xfId="16807"/>
    <cellStyle name="Normale 3 25 4" xfId="24955"/>
    <cellStyle name="Normale 3 26" xfId="6515"/>
    <cellStyle name="Normale 3 26 2" xfId="13978"/>
    <cellStyle name="Normale 3 26 3" xfId="21386"/>
    <cellStyle name="Normale 3 26 4" xfId="28981"/>
    <cellStyle name="Normale 3 27" xfId="7486"/>
    <cellStyle name="Normale 3 28" xfId="11250"/>
    <cellStyle name="Normale 3 29" xfId="29198"/>
    <cellStyle name="Normale 3 3" xfId="54"/>
    <cellStyle name="Normale 3 3 10" xfId="460"/>
    <cellStyle name="Normale 3 3 10 10" xfId="15333"/>
    <cellStyle name="Normale 3 3 10 11" xfId="26503"/>
    <cellStyle name="Normale 3 3 10 12" xfId="30145"/>
    <cellStyle name="Normale 3 3 10 13" xfId="31077"/>
    <cellStyle name="Normale 3 3 10 14" xfId="31998"/>
    <cellStyle name="Normale 3 3 10 15" xfId="32921"/>
    <cellStyle name="Normale 3 3 10 16" xfId="33860"/>
    <cellStyle name="Normale 3 3 10 17" xfId="34790"/>
    <cellStyle name="Normale 3 3 10 18" xfId="35716"/>
    <cellStyle name="Normale 3 3 10 19" xfId="36642"/>
    <cellStyle name="Normale 3 3 10 2" xfId="1427"/>
    <cellStyle name="Normale 3 3 10 2 2" xfId="8890"/>
    <cellStyle name="Normale 3 3 10 2 3" xfId="16298"/>
    <cellStyle name="Normale 3 3 10 2 4" xfId="29613"/>
    <cellStyle name="Normale 3 3 10 20" xfId="37560"/>
    <cellStyle name="Normale 3 3 10 3" xfId="2358"/>
    <cellStyle name="Normale 3 3 10 3 2" xfId="9821"/>
    <cellStyle name="Normale 3 3 10 3 3" xfId="17229"/>
    <cellStyle name="Normale 3 3 10 3 4" xfId="28274"/>
    <cellStyle name="Normale 3 3 10 4" xfId="3280"/>
    <cellStyle name="Normale 3 3 10 4 2" xfId="10743"/>
    <cellStyle name="Normale 3 3 10 4 3" xfId="18151"/>
    <cellStyle name="Normale 3 3 10 4 4" xfId="26583"/>
    <cellStyle name="Normale 3 3 10 5" xfId="4213"/>
    <cellStyle name="Normale 3 3 10 5 2" xfId="11676"/>
    <cellStyle name="Normale 3 3 10 5 3" xfId="19084"/>
    <cellStyle name="Normale 3 3 10 5 4" xfId="29041"/>
    <cellStyle name="Normale 3 3 10 6" xfId="5136"/>
    <cellStyle name="Normale 3 3 10 6 2" xfId="12599"/>
    <cellStyle name="Normale 3 3 10 6 3" xfId="20007"/>
    <cellStyle name="Normale 3 3 10 6 4" xfId="25054"/>
    <cellStyle name="Normale 3 3 10 7" xfId="6064"/>
    <cellStyle name="Normale 3 3 10 7 2" xfId="13527"/>
    <cellStyle name="Normale 3 3 10 7 3" xfId="20935"/>
    <cellStyle name="Normale 3 3 10 7 4" xfId="26467"/>
    <cellStyle name="Normale 3 3 10 8" xfId="6982"/>
    <cellStyle name="Normale 3 3 10 8 2" xfId="14445"/>
    <cellStyle name="Normale 3 3 10 8 3" xfId="21853"/>
    <cellStyle name="Normale 3 3 10 8 4" xfId="28389"/>
    <cellStyle name="Normale 3 3 10 9" xfId="7923"/>
    <cellStyle name="Normale 3 3 11" xfId="508"/>
    <cellStyle name="Normale 3 3 11 10" xfId="15381"/>
    <cellStyle name="Normale 3 3 11 11" xfId="26394"/>
    <cellStyle name="Normale 3 3 11 12" xfId="30192"/>
    <cellStyle name="Normale 3 3 11 13" xfId="31125"/>
    <cellStyle name="Normale 3 3 11 14" xfId="32045"/>
    <cellStyle name="Normale 3 3 11 15" xfId="32967"/>
    <cellStyle name="Normale 3 3 11 16" xfId="33908"/>
    <cellStyle name="Normale 3 3 11 17" xfId="34838"/>
    <cellStyle name="Normale 3 3 11 18" xfId="35764"/>
    <cellStyle name="Normale 3 3 11 19" xfId="36690"/>
    <cellStyle name="Normale 3 3 11 2" xfId="1475"/>
    <cellStyle name="Normale 3 3 11 2 2" xfId="8938"/>
    <cellStyle name="Normale 3 3 11 2 3" xfId="16346"/>
    <cellStyle name="Normale 3 3 11 2 4" xfId="28012"/>
    <cellStyle name="Normale 3 3 11 20" xfId="37606"/>
    <cellStyle name="Normale 3 3 11 3" xfId="2406"/>
    <cellStyle name="Normale 3 3 11 3 2" xfId="9869"/>
    <cellStyle name="Normale 3 3 11 3 3" xfId="17277"/>
    <cellStyle name="Normale 3 3 11 3 4" xfId="27069"/>
    <cellStyle name="Normale 3 3 11 4" xfId="3327"/>
    <cellStyle name="Normale 3 3 11 4 2" xfId="10790"/>
    <cellStyle name="Normale 3 3 11 4 3" xfId="18198"/>
    <cellStyle name="Normale 3 3 11 4 4" xfId="29483"/>
    <cellStyle name="Normale 3 3 11 5" xfId="4261"/>
    <cellStyle name="Normale 3 3 11 5 2" xfId="11724"/>
    <cellStyle name="Normale 3 3 11 5 3" xfId="19132"/>
    <cellStyle name="Normale 3 3 11 5 4" xfId="29506"/>
    <cellStyle name="Normale 3 3 11 6" xfId="5183"/>
    <cellStyle name="Normale 3 3 11 6 2" xfId="12646"/>
    <cellStyle name="Normale 3 3 11 6 3" xfId="20054"/>
    <cellStyle name="Normale 3 3 11 6 4" xfId="24238"/>
    <cellStyle name="Normale 3 3 11 7" xfId="6112"/>
    <cellStyle name="Normale 3 3 11 7 2" xfId="13575"/>
    <cellStyle name="Normale 3 3 11 7 3" xfId="20983"/>
    <cellStyle name="Normale 3 3 11 7 4" xfId="26251"/>
    <cellStyle name="Normale 3 3 11 8" xfId="7028"/>
    <cellStyle name="Normale 3 3 11 8 2" xfId="14491"/>
    <cellStyle name="Normale 3 3 11 8 3" xfId="21899"/>
    <cellStyle name="Normale 3 3 11 8 4" xfId="23056"/>
    <cellStyle name="Normale 3 3 11 9" xfId="7971"/>
    <cellStyle name="Normale 3 3 12" xfId="560"/>
    <cellStyle name="Normale 3 3 12 10" xfId="15433"/>
    <cellStyle name="Normale 3 3 12 11" xfId="23033"/>
    <cellStyle name="Normale 3 3 12 12" xfId="30243"/>
    <cellStyle name="Normale 3 3 12 13" xfId="31177"/>
    <cellStyle name="Normale 3 3 12 14" xfId="32096"/>
    <cellStyle name="Normale 3 3 12 15" xfId="33017"/>
    <cellStyle name="Normale 3 3 12 16" xfId="33960"/>
    <cellStyle name="Normale 3 3 12 17" xfId="34890"/>
    <cellStyle name="Normale 3 3 12 18" xfId="35816"/>
    <cellStyle name="Normale 3 3 12 19" xfId="36742"/>
    <cellStyle name="Normale 3 3 12 2" xfId="1527"/>
    <cellStyle name="Normale 3 3 12 2 2" xfId="8990"/>
    <cellStyle name="Normale 3 3 12 2 3" xfId="16398"/>
    <cellStyle name="Normale 3 3 12 2 4" xfId="25568"/>
    <cellStyle name="Normale 3 3 12 20" xfId="37656"/>
    <cellStyle name="Normale 3 3 12 3" xfId="2458"/>
    <cellStyle name="Normale 3 3 12 3 2" xfId="9921"/>
    <cellStyle name="Normale 3 3 12 3 3" xfId="17329"/>
    <cellStyle name="Normale 3 3 12 3 4" xfId="24880"/>
    <cellStyle name="Normale 3 3 12 4" xfId="3378"/>
    <cellStyle name="Normale 3 3 12 4 2" xfId="10841"/>
    <cellStyle name="Normale 3 3 12 4 3" xfId="18249"/>
    <cellStyle name="Normale 3 3 12 4 4" xfId="24970"/>
    <cellStyle name="Normale 3 3 12 5" xfId="4313"/>
    <cellStyle name="Normale 3 3 12 5 2" xfId="11776"/>
    <cellStyle name="Normale 3 3 12 5 3" xfId="19184"/>
    <cellStyle name="Normale 3 3 12 5 4" xfId="22740"/>
    <cellStyle name="Normale 3 3 12 6" xfId="5234"/>
    <cellStyle name="Normale 3 3 12 6 2" xfId="12697"/>
    <cellStyle name="Normale 3 3 12 6 3" xfId="20105"/>
    <cellStyle name="Normale 3 3 12 6 4" xfId="22735"/>
    <cellStyle name="Normale 3 3 12 7" xfId="6164"/>
    <cellStyle name="Normale 3 3 12 7 2" xfId="13627"/>
    <cellStyle name="Normale 3 3 12 7 3" xfId="21035"/>
    <cellStyle name="Normale 3 3 12 7 4" xfId="22996"/>
    <cellStyle name="Normale 3 3 12 8" xfId="7078"/>
    <cellStyle name="Normale 3 3 12 8 2" xfId="14541"/>
    <cellStyle name="Normale 3 3 12 8 3" xfId="21949"/>
    <cellStyle name="Normale 3 3 12 8 4" xfId="28244"/>
    <cellStyle name="Normale 3 3 12 9" xfId="8023"/>
    <cellStyle name="Normale 3 3 13" xfId="620"/>
    <cellStyle name="Normale 3 3 13 10" xfId="15492"/>
    <cellStyle name="Normale 3 3 13 11" xfId="23624"/>
    <cellStyle name="Normale 3 3 13 12" xfId="30299"/>
    <cellStyle name="Normale 3 3 13 13" xfId="31236"/>
    <cellStyle name="Normale 3 3 13 14" xfId="32153"/>
    <cellStyle name="Normale 3 3 13 15" xfId="33072"/>
    <cellStyle name="Normale 3 3 13 16" xfId="34019"/>
    <cellStyle name="Normale 3 3 13 17" xfId="34950"/>
    <cellStyle name="Normale 3 3 13 18" xfId="35876"/>
    <cellStyle name="Normale 3 3 13 19" xfId="36801"/>
    <cellStyle name="Normale 3 3 13 2" xfId="1586"/>
    <cellStyle name="Normale 3 3 13 2 2" xfId="9049"/>
    <cellStyle name="Normale 3 3 13 2 3" xfId="16457"/>
    <cellStyle name="Normale 3 3 13 2 4" xfId="29110"/>
    <cellStyle name="Normale 3 3 13 20" xfId="37711"/>
    <cellStyle name="Normale 3 3 13 3" xfId="2518"/>
    <cellStyle name="Normale 3 3 13 3 2" xfId="9981"/>
    <cellStyle name="Normale 3 3 13 3 3" xfId="17389"/>
    <cellStyle name="Normale 3 3 13 3 4" xfId="27254"/>
    <cellStyle name="Normale 3 3 13 4" xfId="3436"/>
    <cellStyle name="Normale 3 3 13 4 2" xfId="10899"/>
    <cellStyle name="Normale 3 3 13 4 3" xfId="18307"/>
    <cellStyle name="Normale 3 3 13 4 4" xfId="22940"/>
    <cellStyle name="Normale 3 3 13 5" xfId="4373"/>
    <cellStyle name="Normale 3 3 13 5 2" xfId="11836"/>
    <cellStyle name="Normale 3 3 13 5 3" xfId="19244"/>
    <cellStyle name="Normale 3 3 13 5 4" xfId="25369"/>
    <cellStyle name="Normale 3 3 13 6" xfId="5291"/>
    <cellStyle name="Normale 3 3 13 6 2" xfId="12754"/>
    <cellStyle name="Normale 3 3 13 6 3" xfId="20162"/>
    <cellStyle name="Normale 3 3 13 6 4" xfId="28105"/>
    <cellStyle name="Normale 3 3 13 7" xfId="6224"/>
    <cellStyle name="Normale 3 3 13 7 2" xfId="13687"/>
    <cellStyle name="Normale 3 3 13 7 3" xfId="21095"/>
    <cellStyle name="Normale 3 3 13 7 4" xfId="23841"/>
    <cellStyle name="Normale 3 3 13 8" xfId="7133"/>
    <cellStyle name="Normale 3 3 13 8 2" xfId="14596"/>
    <cellStyle name="Normale 3 3 13 8 3" xfId="22004"/>
    <cellStyle name="Normale 3 3 13 8 4" xfId="15539"/>
    <cellStyle name="Normale 3 3 13 9" xfId="8083"/>
    <cellStyle name="Normale 3 3 14" xfId="698"/>
    <cellStyle name="Normale 3 3 14 10" xfId="15569"/>
    <cellStyle name="Normale 3 3 14 11" xfId="25876"/>
    <cellStyle name="Normale 3 3 14 12" xfId="30372"/>
    <cellStyle name="Normale 3 3 14 13" xfId="31313"/>
    <cellStyle name="Normale 3 3 14 14" xfId="32226"/>
    <cellStyle name="Normale 3 3 14 15" xfId="33144"/>
    <cellStyle name="Normale 3 3 14 16" xfId="34096"/>
    <cellStyle name="Normale 3 3 14 17" xfId="35028"/>
    <cellStyle name="Normale 3 3 14 18" xfId="35954"/>
    <cellStyle name="Normale 3 3 14 19" xfId="36879"/>
    <cellStyle name="Normale 3 3 14 2" xfId="1663"/>
    <cellStyle name="Normale 3 3 14 2 2" xfId="9126"/>
    <cellStyle name="Normale 3 3 14 2 3" xfId="16534"/>
    <cellStyle name="Normale 3 3 14 2 4" xfId="25567"/>
    <cellStyle name="Normale 3 3 14 20" xfId="37783"/>
    <cellStyle name="Normale 3 3 14 3" xfId="2596"/>
    <cellStyle name="Normale 3 3 14 3 2" xfId="10059"/>
    <cellStyle name="Normale 3 3 14 3 3" xfId="17467"/>
    <cellStyle name="Normale 3 3 14 3 4" xfId="22447"/>
    <cellStyle name="Normale 3 3 14 4" xfId="3512"/>
    <cellStyle name="Normale 3 3 14 4 2" xfId="10975"/>
    <cellStyle name="Normale 3 3 14 4 3" xfId="18383"/>
    <cellStyle name="Normale 3 3 14 4 4" xfId="26318"/>
    <cellStyle name="Normale 3 3 14 5" xfId="4451"/>
    <cellStyle name="Normale 3 3 14 5 2" xfId="11914"/>
    <cellStyle name="Normale 3 3 14 5 3" xfId="19322"/>
    <cellStyle name="Normale 3 3 14 5 4" xfId="23942"/>
    <cellStyle name="Normale 3 3 14 6" xfId="5367"/>
    <cellStyle name="Normale 3 3 14 6 2" xfId="12830"/>
    <cellStyle name="Normale 3 3 14 6 3" xfId="20238"/>
    <cellStyle name="Normale 3 3 14 6 4" xfId="25544"/>
    <cellStyle name="Normale 3 3 14 7" xfId="6300"/>
    <cellStyle name="Normale 3 3 14 7 2" xfId="13763"/>
    <cellStyle name="Normale 3 3 14 7 3" xfId="21171"/>
    <cellStyle name="Normale 3 3 14 7 4" xfId="22995"/>
    <cellStyle name="Normale 3 3 14 8" xfId="7205"/>
    <cellStyle name="Normale 3 3 14 8 2" xfId="14668"/>
    <cellStyle name="Normale 3 3 14 8 3" xfId="22076"/>
    <cellStyle name="Normale 3 3 14 8 4" xfId="26411"/>
    <cellStyle name="Normale 3 3 14 9" xfId="8161"/>
    <cellStyle name="Normale 3 3 15" xfId="770"/>
    <cellStyle name="Normale 3 3 15 10" xfId="15641"/>
    <cellStyle name="Normale 3 3 15 11" xfId="15056"/>
    <cellStyle name="Normale 3 3 15 12" xfId="30442"/>
    <cellStyle name="Normale 3 3 15 13" xfId="31385"/>
    <cellStyle name="Normale 3 3 15 14" xfId="32297"/>
    <cellStyle name="Normale 3 3 15 15" xfId="33213"/>
    <cellStyle name="Normale 3 3 15 16" xfId="34168"/>
    <cellStyle name="Normale 3 3 15 17" xfId="35100"/>
    <cellStyle name="Normale 3 3 15 18" xfId="36026"/>
    <cellStyle name="Normale 3 3 15 19" xfId="36951"/>
    <cellStyle name="Normale 3 3 15 2" xfId="1735"/>
    <cellStyle name="Normale 3 3 15 2 2" xfId="9198"/>
    <cellStyle name="Normale 3 3 15 2 3" xfId="16606"/>
    <cellStyle name="Normale 3 3 15 2 4" xfId="25243"/>
    <cellStyle name="Normale 3 3 15 20" xfId="37852"/>
    <cellStyle name="Normale 3 3 15 3" xfId="2668"/>
    <cellStyle name="Normale 3 3 15 3 2" xfId="10131"/>
    <cellStyle name="Normale 3 3 15 3 3" xfId="17539"/>
    <cellStyle name="Normale 3 3 15 3 4" xfId="22652"/>
    <cellStyle name="Normale 3 3 15 4" xfId="3583"/>
    <cellStyle name="Normale 3 3 15 4 2" xfId="11046"/>
    <cellStyle name="Normale 3 3 15 4 3" xfId="18454"/>
    <cellStyle name="Normale 3 3 15 4 4" xfId="27488"/>
    <cellStyle name="Normale 3 3 15 5" xfId="4523"/>
    <cellStyle name="Normale 3 3 15 5 2" xfId="11986"/>
    <cellStyle name="Normale 3 3 15 5 3" xfId="19394"/>
    <cellStyle name="Normale 3 3 15 5 4" xfId="25833"/>
    <cellStyle name="Normale 3 3 15 6" xfId="5438"/>
    <cellStyle name="Normale 3 3 15 6 2" xfId="12901"/>
    <cellStyle name="Normale 3 3 15 6 3" xfId="20309"/>
    <cellStyle name="Normale 3 3 15 6 4" xfId="26072"/>
    <cellStyle name="Normale 3 3 15 7" xfId="6372"/>
    <cellStyle name="Normale 3 3 15 7 2" xfId="13835"/>
    <cellStyle name="Normale 3 3 15 7 3" xfId="21243"/>
    <cellStyle name="Normale 3 3 15 7 4" xfId="22981"/>
    <cellStyle name="Normale 3 3 15 8" xfId="7274"/>
    <cellStyle name="Normale 3 3 15 8 2" xfId="14737"/>
    <cellStyle name="Normale 3 3 15 8 3" xfId="22145"/>
    <cellStyle name="Normale 3 3 15 8 4" xfId="29609"/>
    <cellStyle name="Normale 3 3 15 9" xfId="8233"/>
    <cellStyle name="Normale 3 3 16" xfId="843"/>
    <cellStyle name="Normale 3 3 16 10" xfId="15714"/>
    <cellStyle name="Normale 3 3 16 11" xfId="25268"/>
    <cellStyle name="Normale 3 3 16 12" xfId="30512"/>
    <cellStyle name="Normale 3 3 16 13" xfId="31458"/>
    <cellStyle name="Normale 3 3 16 14" xfId="32369"/>
    <cellStyle name="Normale 3 3 16 15" xfId="33282"/>
    <cellStyle name="Normale 3 3 16 16" xfId="34241"/>
    <cellStyle name="Normale 3 3 16 17" xfId="35173"/>
    <cellStyle name="Normale 3 3 16 18" xfId="36099"/>
    <cellStyle name="Normale 3 3 16 19" xfId="37024"/>
    <cellStyle name="Normale 3 3 16 2" xfId="1808"/>
    <cellStyle name="Normale 3 3 16 2 2" xfId="9271"/>
    <cellStyle name="Normale 3 3 16 2 3" xfId="16679"/>
    <cellStyle name="Normale 3 3 16 2 4" xfId="29186"/>
    <cellStyle name="Normale 3 3 16 20" xfId="37921"/>
    <cellStyle name="Normale 3 3 16 3" xfId="2741"/>
    <cellStyle name="Normale 3 3 16 3 2" xfId="10204"/>
    <cellStyle name="Normale 3 3 16 3 3" xfId="17612"/>
    <cellStyle name="Normale 3 3 16 3 4" xfId="26143"/>
    <cellStyle name="Normale 3 3 16 4" xfId="3655"/>
    <cellStyle name="Normale 3 3 16 4 2" xfId="11118"/>
    <cellStyle name="Normale 3 3 16 4 3" xfId="18526"/>
    <cellStyle name="Normale 3 3 16 4 4" xfId="26119"/>
    <cellStyle name="Normale 3 3 16 5" xfId="4596"/>
    <cellStyle name="Normale 3 3 16 5 2" xfId="12059"/>
    <cellStyle name="Normale 3 3 16 5 3" xfId="19467"/>
    <cellStyle name="Normale 3 3 16 5 4" xfId="22602"/>
    <cellStyle name="Normale 3 3 16 6" xfId="5510"/>
    <cellStyle name="Normale 3 3 16 6 2" xfId="12973"/>
    <cellStyle name="Normale 3 3 16 6 3" xfId="20381"/>
    <cellStyle name="Normale 3 3 16 6 4" xfId="23704"/>
    <cellStyle name="Normale 3 3 16 7" xfId="6445"/>
    <cellStyle name="Normale 3 3 16 7 2" xfId="13908"/>
    <cellStyle name="Normale 3 3 16 7 3" xfId="21316"/>
    <cellStyle name="Normale 3 3 16 7 4" xfId="27153"/>
    <cellStyle name="Normale 3 3 16 8" xfId="7343"/>
    <cellStyle name="Normale 3 3 16 8 2" xfId="14806"/>
    <cellStyle name="Normale 3 3 16 8 3" xfId="22214"/>
    <cellStyle name="Normale 3 3 16 8 4" xfId="24566"/>
    <cellStyle name="Normale 3 3 16 9" xfId="8306"/>
    <cellStyle name="Normale 3 3 17" xfId="801"/>
    <cellStyle name="Normale 3 3 17 10" xfId="15672"/>
    <cellStyle name="Normale 3 3 17 11" xfId="27807"/>
    <cellStyle name="Normale 3 3 17 12" xfId="30473"/>
    <cellStyle name="Normale 3 3 17 13" xfId="31416"/>
    <cellStyle name="Normale 3 3 17 14" xfId="32328"/>
    <cellStyle name="Normale 3 3 17 15" xfId="33244"/>
    <cellStyle name="Normale 3 3 17 16" xfId="34199"/>
    <cellStyle name="Normale 3 3 17 17" xfId="35131"/>
    <cellStyle name="Normale 3 3 17 18" xfId="36057"/>
    <cellStyle name="Normale 3 3 17 19" xfId="36982"/>
    <cellStyle name="Normale 3 3 17 2" xfId="1766"/>
    <cellStyle name="Normale 3 3 17 2 2" xfId="9229"/>
    <cellStyle name="Normale 3 3 17 2 3" xfId="16637"/>
    <cellStyle name="Normale 3 3 17 2 4" xfId="26729"/>
    <cellStyle name="Normale 3 3 17 20" xfId="37883"/>
    <cellStyle name="Normale 3 3 17 3" xfId="2699"/>
    <cellStyle name="Normale 3 3 17 3 2" xfId="10162"/>
    <cellStyle name="Normale 3 3 17 3 3" xfId="17570"/>
    <cellStyle name="Normale 3 3 17 3 4" xfId="29545"/>
    <cellStyle name="Normale 3 3 17 4" xfId="3614"/>
    <cellStyle name="Normale 3 3 17 4 2" xfId="11077"/>
    <cellStyle name="Normale 3 3 17 4 3" xfId="18485"/>
    <cellStyle name="Normale 3 3 17 4 4" xfId="28145"/>
    <cellStyle name="Normale 3 3 17 5" xfId="4554"/>
    <cellStyle name="Normale 3 3 17 5 2" xfId="12017"/>
    <cellStyle name="Normale 3 3 17 5 3" xfId="19425"/>
    <cellStyle name="Normale 3 3 17 5 4" xfId="25113"/>
    <cellStyle name="Normale 3 3 17 6" xfId="5469"/>
    <cellStyle name="Normale 3 3 17 6 2" xfId="12932"/>
    <cellStyle name="Normale 3 3 17 6 3" xfId="20340"/>
    <cellStyle name="Normale 3 3 17 6 4" xfId="27610"/>
    <cellStyle name="Normale 3 3 17 7" xfId="6403"/>
    <cellStyle name="Normale 3 3 17 7 2" xfId="13866"/>
    <cellStyle name="Normale 3 3 17 7 3" xfId="21274"/>
    <cellStyle name="Normale 3 3 17 7 4" xfId="29612"/>
    <cellStyle name="Normale 3 3 17 8" xfId="7305"/>
    <cellStyle name="Normale 3 3 17 8 2" xfId="14768"/>
    <cellStyle name="Normale 3 3 17 8 3" xfId="22176"/>
    <cellStyle name="Normale 3 3 17 8 4" xfId="22904"/>
    <cellStyle name="Normale 3 3 17 9" xfId="8264"/>
    <cellStyle name="Normale 3 3 18" xfId="1027"/>
    <cellStyle name="Normale 3 3 18 2" xfId="8490"/>
    <cellStyle name="Normale 3 3 18 3" xfId="15898"/>
    <cellStyle name="Normale 3 3 18 4" xfId="23427"/>
    <cellStyle name="Normale 3 3 19" xfId="1954"/>
    <cellStyle name="Normale 3 3 19 2" xfId="9417"/>
    <cellStyle name="Normale 3 3 19 3" xfId="16825"/>
    <cellStyle name="Normale 3 3 19 4" xfId="22896"/>
    <cellStyle name="Normale 3 3 2" xfId="55"/>
    <cellStyle name="Normale 3 3 2 10" xfId="509"/>
    <cellStyle name="Normale 3 3 2 10 10" xfId="15382"/>
    <cellStyle name="Normale 3 3 2 10 11" xfId="25467"/>
    <cellStyle name="Normale 3 3 2 10 12" xfId="30193"/>
    <cellStyle name="Normale 3 3 2 10 13" xfId="31126"/>
    <cellStyle name="Normale 3 3 2 10 14" xfId="32046"/>
    <cellStyle name="Normale 3 3 2 10 15" xfId="32968"/>
    <cellStyle name="Normale 3 3 2 10 16" xfId="33909"/>
    <cellStyle name="Normale 3 3 2 10 17" xfId="34839"/>
    <cellStyle name="Normale 3 3 2 10 18" xfId="35765"/>
    <cellStyle name="Normale 3 3 2 10 19" xfId="36691"/>
    <cellStyle name="Normale 3 3 2 10 2" xfId="1476"/>
    <cellStyle name="Normale 3 3 2 10 2 2" xfId="8939"/>
    <cellStyle name="Normale 3 3 2 10 2 3" xfId="16347"/>
    <cellStyle name="Normale 3 3 2 10 2 4" xfId="27093"/>
    <cellStyle name="Normale 3 3 2 10 20" xfId="37607"/>
    <cellStyle name="Normale 3 3 2 10 3" xfId="2407"/>
    <cellStyle name="Normale 3 3 2 10 3 2" xfId="9870"/>
    <cellStyle name="Normale 3 3 2 10 3 3" xfId="17278"/>
    <cellStyle name="Normale 3 3 2 10 3 4" xfId="26151"/>
    <cellStyle name="Normale 3 3 2 10 4" xfId="3328"/>
    <cellStyle name="Normale 3 3 2 10 4 2" xfId="10791"/>
    <cellStyle name="Normale 3 3 2 10 4 3" xfId="18199"/>
    <cellStyle name="Normale 3 3 2 10 4 4" xfId="28590"/>
    <cellStyle name="Normale 3 3 2 10 5" xfId="4262"/>
    <cellStyle name="Normale 3 3 2 10 5 2" xfId="11725"/>
    <cellStyle name="Normale 3 3 2 10 5 3" xfId="19133"/>
    <cellStyle name="Normale 3 3 2 10 5 4" xfId="28615"/>
    <cellStyle name="Normale 3 3 2 10 6" xfId="5184"/>
    <cellStyle name="Normale 3 3 2 10 6 2" xfId="12647"/>
    <cellStyle name="Normale 3 3 2 10 6 3" xfId="20055"/>
    <cellStyle name="Normale 3 3 2 10 6 4" xfId="23322"/>
    <cellStyle name="Normale 3 3 2 10 7" xfId="6113"/>
    <cellStyle name="Normale 3 3 2 10 7 2" xfId="13576"/>
    <cellStyle name="Normale 3 3 2 10 7 3" xfId="20984"/>
    <cellStyle name="Normale 3 3 2 10 7 4" xfId="25324"/>
    <cellStyle name="Normale 3 3 2 10 8" xfId="7029"/>
    <cellStyle name="Normale 3 3 2 10 8 2" xfId="14492"/>
    <cellStyle name="Normale 3 3 2 10 8 3" xfId="21900"/>
    <cellStyle name="Normale 3 3 2 10 8 4" xfId="29485"/>
    <cellStyle name="Normale 3 3 2 10 9" xfId="7972"/>
    <cellStyle name="Normale 3 3 2 11" xfId="561"/>
    <cellStyle name="Normale 3 3 2 11 10" xfId="15434"/>
    <cellStyle name="Normale 3 3 2 11 11" xfId="29462"/>
    <cellStyle name="Normale 3 3 2 11 12" xfId="30244"/>
    <cellStyle name="Normale 3 3 2 11 13" xfId="31178"/>
    <cellStyle name="Normale 3 3 2 11 14" xfId="32097"/>
    <cellStyle name="Normale 3 3 2 11 15" xfId="33018"/>
    <cellStyle name="Normale 3 3 2 11 16" xfId="33961"/>
    <cellStyle name="Normale 3 3 2 11 17" xfId="34891"/>
    <cellStyle name="Normale 3 3 2 11 18" xfId="35817"/>
    <cellStyle name="Normale 3 3 2 11 19" xfId="36743"/>
    <cellStyle name="Normale 3 3 2 11 2" xfId="1528"/>
    <cellStyle name="Normale 3 3 2 11 2 2" xfId="8991"/>
    <cellStyle name="Normale 3 3 2 11 2 3" xfId="16399"/>
    <cellStyle name="Normale 3 3 2 11 2 4" xfId="24651"/>
    <cellStyle name="Normale 3 3 2 11 20" xfId="37657"/>
    <cellStyle name="Normale 3 3 2 11 3" xfId="2459"/>
    <cellStyle name="Normale 3 3 2 11 3 2" xfId="9922"/>
    <cellStyle name="Normale 3 3 2 11 3 3" xfId="17330"/>
    <cellStyle name="Normale 3 3 2 11 3 4" xfId="23955"/>
    <cellStyle name="Normale 3 3 2 11 4" xfId="3379"/>
    <cellStyle name="Normale 3 3 2 11 4 2" xfId="10842"/>
    <cellStyle name="Normale 3 3 2 11 4 3" xfId="18250"/>
    <cellStyle name="Normale 3 3 2 11 4 4" xfId="24044"/>
    <cellStyle name="Normale 3 3 2 11 5" xfId="4314"/>
    <cellStyle name="Normale 3 3 2 11 5 2" xfId="11777"/>
    <cellStyle name="Normale 3 3 2 11 5 3" xfId="19185"/>
    <cellStyle name="Normale 3 3 2 11 5 4" xfId="29170"/>
    <cellStyle name="Normale 3 3 2 11 6" xfId="5235"/>
    <cellStyle name="Normale 3 3 2 11 6 2" xfId="12698"/>
    <cellStyle name="Normale 3 3 2 11 6 3" xfId="20106"/>
    <cellStyle name="Normale 3 3 2 11 6 4" xfId="29165"/>
    <cellStyle name="Normale 3 3 2 11 7" xfId="6165"/>
    <cellStyle name="Normale 3 3 2 11 7 2" xfId="13628"/>
    <cellStyle name="Normale 3 3 2 11 7 3" xfId="21036"/>
    <cellStyle name="Normale 3 3 2 11 7 4" xfId="29425"/>
    <cellStyle name="Normale 3 3 2 11 8" xfId="7079"/>
    <cellStyle name="Normale 3 3 2 11 8 2" xfId="14542"/>
    <cellStyle name="Normale 3 3 2 11 8 3" xfId="21950"/>
    <cellStyle name="Normale 3 3 2 11 8 4" xfId="27320"/>
    <cellStyle name="Normale 3 3 2 11 9" xfId="8024"/>
    <cellStyle name="Normale 3 3 2 12" xfId="621"/>
    <cellStyle name="Normale 3 3 2 12 10" xfId="15493"/>
    <cellStyle name="Normale 3 3 2 12 11" xfId="28944"/>
    <cellStyle name="Normale 3 3 2 12 12" xfId="30300"/>
    <cellStyle name="Normale 3 3 2 12 13" xfId="31237"/>
    <cellStyle name="Normale 3 3 2 12 14" xfId="32154"/>
    <cellStyle name="Normale 3 3 2 12 15" xfId="33073"/>
    <cellStyle name="Normale 3 3 2 12 16" xfId="34020"/>
    <cellStyle name="Normale 3 3 2 12 17" xfId="34951"/>
    <cellStyle name="Normale 3 3 2 12 18" xfId="35877"/>
    <cellStyle name="Normale 3 3 2 12 19" xfId="36802"/>
    <cellStyle name="Normale 3 3 2 12 2" xfId="1587"/>
    <cellStyle name="Normale 3 3 2 12 2 2" xfId="9050"/>
    <cellStyle name="Normale 3 3 2 12 2 3" xfId="16458"/>
    <cellStyle name="Normale 3 3 2 12 2 4" xfId="28200"/>
    <cellStyle name="Normale 3 3 2 12 20" xfId="37712"/>
    <cellStyle name="Normale 3 3 2 12 3" xfId="2519"/>
    <cellStyle name="Normale 3 3 2 12 3 2" xfId="9982"/>
    <cellStyle name="Normale 3 3 2 12 3 3" xfId="17390"/>
    <cellStyle name="Normale 3 3 2 12 3 4" xfId="26344"/>
    <cellStyle name="Normale 3 3 2 12 4" xfId="3437"/>
    <cellStyle name="Normale 3 3 2 12 4 2" xfId="10900"/>
    <cellStyle name="Normale 3 3 2 12 4 3" xfId="18308"/>
    <cellStyle name="Normale 3 3 2 12 4 4" xfId="29369"/>
    <cellStyle name="Normale 3 3 2 12 5" xfId="4374"/>
    <cellStyle name="Normale 3 3 2 12 5 2" xfId="11837"/>
    <cellStyle name="Normale 3 3 2 12 5 3" xfId="19245"/>
    <cellStyle name="Normale 3 3 2 12 5 4" xfId="24453"/>
    <cellStyle name="Normale 3 3 2 12 6" xfId="5292"/>
    <cellStyle name="Normale 3 3 2 12 6 2" xfId="12755"/>
    <cellStyle name="Normale 3 3 2 12 6 3" xfId="20163"/>
    <cellStyle name="Normale 3 3 2 12 6 4" xfId="27183"/>
    <cellStyle name="Normale 3 3 2 12 7" xfId="6225"/>
    <cellStyle name="Normale 3 3 2 12 7 2" xfId="13688"/>
    <cellStyle name="Normale 3 3 2 12 7 3" xfId="21096"/>
    <cellStyle name="Normale 3 3 2 12 7 4" xfId="24211"/>
    <cellStyle name="Normale 3 3 2 12 8" xfId="7134"/>
    <cellStyle name="Normale 3 3 2 12 8 2" xfId="14597"/>
    <cellStyle name="Normale 3 3 2 12 8 3" xfId="22005"/>
    <cellStyle name="Normale 3 3 2 12 8 4" xfId="15485"/>
    <cellStyle name="Normale 3 3 2 12 9" xfId="8084"/>
    <cellStyle name="Normale 3 3 2 13" xfId="699"/>
    <cellStyle name="Normale 3 3 2 13 10" xfId="15570"/>
    <cellStyle name="Normale 3 3 2 13 11" xfId="24965"/>
    <cellStyle name="Normale 3 3 2 13 12" xfId="30373"/>
    <cellStyle name="Normale 3 3 2 13 13" xfId="31314"/>
    <cellStyle name="Normale 3 3 2 13 14" xfId="32227"/>
    <cellStyle name="Normale 3 3 2 13 15" xfId="33145"/>
    <cellStyle name="Normale 3 3 2 13 16" xfId="34097"/>
    <cellStyle name="Normale 3 3 2 13 17" xfId="35029"/>
    <cellStyle name="Normale 3 3 2 13 18" xfId="35955"/>
    <cellStyle name="Normale 3 3 2 13 19" xfId="36880"/>
    <cellStyle name="Normale 3 3 2 13 2" xfId="1664"/>
    <cellStyle name="Normale 3 3 2 13 2 2" xfId="9127"/>
    <cellStyle name="Normale 3 3 2 13 2 3" xfId="16535"/>
    <cellStyle name="Normale 3 3 2 13 2 4" xfId="24650"/>
    <cellStyle name="Normale 3 3 2 13 20" xfId="37784"/>
    <cellStyle name="Normale 3 3 2 13 3" xfId="2597"/>
    <cellStyle name="Normale 3 3 2 13 3 2" xfId="10060"/>
    <cellStyle name="Normale 3 3 2 13 3 3" xfId="17468"/>
    <cellStyle name="Normale 3 3 2 13 3 4" xfId="28878"/>
    <cellStyle name="Normale 3 3 2 13 4" xfId="3513"/>
    <cellStyle name="Normale 3 3 2 13 4 2" xfId="10976"/>
    <cellStyle name="Normale 3 3 2 13 4 3" xfId="18384"/>
    <cellStyle name="Normale 3 3 2 13 4 4" xfId="25391"/>
    <cellStyle name="Normale 3 3 2 13 5" xfId="4452"/>
    <cellStyle name="Normale 3 3 2 13 5 2" xfId="11915"/>
    <cellStyle name="Normale 3 3 2 13 5 3" xfId="19323"/>
    <cellStyle name="Normale 3 3 2 13 5 4" xfId="22934"/>
    <cellStyle name="Normale 3 3 2 13 6" xfId="5368"/>
    <cellStyle name="Normale 3 3 2 13 6 2" xfId="12831"/>
    <cellStyle name="Normale 3 3 2 13 6 3" xfId="20239"/>
    <cellStyle name="Normale 3 3 2 13 6 4" xfId="24627"/>
    <cellStyle name="Normale 3 3 2 13 7" xfId="6301"/>
    <cellStyle name="Normale 3 3 2 13 7 2" xfId="13764"/>
    <cellStyle name="Normale 3 3 2 13 7 3" xfId="21172"/>
    <cellStyle name="Normale 3 3 2 13 7 4" xfId="29424"/>
    <cellStyle name="Normale 3 3 2 13 8" xfId="7206"/>
    <cellStyle name="Normale 3 3 2 13 8 2" xfId="14669"/>
    <cellStyle name="Normale 3 3 2 13 8 3" xfId="22077"/>
    <cellStyle name="Normale 3 3 2 13 8 4" xfId="25483"/>
    <cellStyle name="Normale 3 3 2 13 9" xfId="8162"/>
    <cellStyle name="Normale 3 3 2 14" xfId="771"/>
    <cellStyle name="Normale 3 3 2 14 10" xfId="15642"/>
    <cellStyle name="Normale 3 3 2 14 11" xfId="15055"/>
    <cellStyle name="Normale 3 3 2 14 12" xfId="30443"/>
    <cellStyle name="Normale 3 3 2 14 13" xfId="31386"/>
    <cellStyle name="Normale 3 3 2 14 14" xfId="32298"/>
    <cellStyle name="Normale 3 3 2 14 15" xfId="33214"/>
    <cellStyle name="Normale 3 3 2 14 16" xfId="34169"/>
    <cellStyle name="Normale 3 3 2 14 17" xfId="35101"/>
    <cellStyle name="Normale 3 3 2 14 18" xfId="36027"/>
    <cellStyle name="Normale 3 3 2 14 19" xfId="36952"/>
    <cellStyle name="Normale 3 3 2 14 2" xfId="1736"/>
    <cellStyle name="Normale 3 3 2 14 2 2" xfId="9199"/>
    <cellStyle name="Normale 3 3 2 14 2 3" xfId="16607"/>
    <cellStyle name="Normale 3 3 2 14 2 4" xfId="24324"/>
    <cellStyle name="Normale 3 3 2 14 20" xfId="37853"/>
    <cellStyle name="Normale 3 3 2 14 3" xfId="2669"/>
    <cellStyle name="Normale 3 3 2 14 3 2" xfId="10132"/>
    <cellStyle name="Normale 3 3 2 14 3 3" xfId="17540"/>
    <cellStyle name="Normale 3 3 2 14 3 4" xfId="29082"/>
    <cellStyle name="Normale 3 3 2 14 4" xfId="3584"/>
    <cellStyle name="Normale 3 3 2 14 4 2" xfId="11047"/>
    <cellStyle name="Normale 3 3 2 14 4 3" xfId="18455"/>
    <cellStyle name="Normale 3 3 2 14 4 4" xfId="26581"/>
    <cellStyle name="Normale 3 3 2 14 5" xfId="4524"/>
    <cellStyle name="Normale 3 3 2 14 5 2" xfId="11987"/>
    <cellStyle name="Normale 3 3 2 14 5 3" xfId="19395"/>
    <cellStyle name="Normale 3 3 2 14 5 4" xfId="24921"/>
    <cellStyle name="Normale 3 3 2 14 6" xfId="5439"/>
    <cellStyle name="Normale 3 3 2 14 6 2" xfId="12902"/>
    <cellStyle name="Normale 3 3 2 14 6 3" xfId="20310"/>
    <cellStyle name="Normale 3 3 2 14 6 4" xfId="25148"/>
    <cellStyle name="Normale 3 3 2 14 7" xfId="6373"/>
    <cellStyle name="Normale 3 3 2 14 7 2" xfId="13836"/>
    <cellStyle name="Normale 3 3 2 14 7 3" xfId="21244"/>
    <cellStyle name="Normale 3 3 2 14 7 4" xfId="29410"/>
    <cellStyle name="Normale 3 3 2 14 8" xfId="7275"/>
    <cellStyle name="Normale 3 3 2 14 8 2" xfId="14738"/>
    <cellStyle name="Normale 3 3 2 14 8 3" xfId="22146"/>
    <cellStyle name="Normale 3 3 2 14 8 4" xfId="28721"/>
    <cellStyle name="Normale 3 3 2 14 9" xfId="8234"/>
    <cellStyle name="Normale 3 3 2 15" xfId="844"/>
    <cellStyle name="Normale 3 3 2 15 10" xfId="15715"/>
    <cellStyle name="Normale 3 3 2 15 11" xfId="23238"/>
    <cellStyle name="Normale 3 3 2 15 12" xfId="30513"/>
    <cellStyle name="Normale 3 3 2 15 13" xfId="31459"/>
    <cellStyle name="Normale 3 3 2 15 14" xfId="32370"/>
    <cellStyle name="Normale 3 3 2 15 15" xfId="33283"/>
    <cellStyle name="Normale 3 3 2 15 16" xfId="34242"/>
    <cellStyle name="Normale 3 3 2 15 17" xfId="35174"/>
    <cellStyle name="Normale 3 3 2 15 18" xfId="36100"/>
    <cellStyle name="Normale 3 3 2 15 19" xfId="37025"/>
    <cellStyle name="Normale 3 3 2 15 2" xfId="1809"/>
    <cellStyle name="Normale 3 3 2 15 2 2" xfId="9272"/>
    <cellStyle name="Normale 3 3 2 15 2 3" xfId="16680"/>
    <cellStyle name="Normale 3 3 2 15 2 4" xfId="28278"/>
    <cellStyle name="Normale 3 3 2 15 20" xfId="37922"/>
    <cellStyle name="Normale 3 3 2 15 3" xfId="2742"/>
    <cellStyle name="Normale 3 3 2 15 3 2" xfId="10205"/>
    <cellStyle name="Normale 3 3 2 15 3 3" xfId="17613"/>
    <cellStyle name="Normale 3 3 2 15 3 4" xfId="25220"/>
    <cellStyle name="Normale 3 3 2 15 4" xfId="3656"/>
    <cellStyle name="Normale 3 3 2 15 4 2" xfId="11119"/>
    <cellStyle name="Normale 3 3 2 15 4 3" xfId="18527"/>
    <cellStyle name="Normale 3 3 2 15 4 4" xfId="25196"/>
    <cellStyle name="Normale 3 3 2 15 5" xfId="4597"/>
    <cellStyle name="Normale 3 3 2 15 5 2" xfId="12060"/>
    <cellStyle name="Normale 3 3 2 15 5 3" xfId="19468"/>
    <cellStyle name="Normale 3 3 2 15 5 4" xfId="29032"/>
    <cellStyle name="Normale 3 3 2 15 6" xfId="5511"/>
    <cellStyle name="Normale 3 3 2 15 6 2" xfId="12974"/>
    <cellStyle name="Normale 3 3 2 15 6 3" xfId="20382"/>
    <cellStyle name="Normale 3 3 2 15 6 4" xfId="22733"/>
    <cellStyle name="Normale 3 3 2 15 7" xfId="6446"/>
    <cellStyle name="Normale 3 3 2 15 7 2" xfId="13909"/>
    <cellStyle name="Normale 3 3 2 15 7 3" xfId="21317"/>
    <cellStyle name="Normale 3 3 2 15 7 4" xfId="26243"/>
    <cellStyle name="Normale 3 3 2 15 8" xfId="7344"/>
    <cellStyle name="Normale 3 3 2 15 8 2" xfId="14807"/>
    <cellStyle name="Normale 3 3 2 15 8 3" xfId="22215"/>
    <cellStyle name="Normale 3 3 2 15 8 4" xfId="23644"/>
    <cellStyle name="Normale 3 3 2 15 9" xfId="8307"/>
    <cellStyle name="Normale 3 3 2 16" xfId="807"/>
    <cellStyle name="Normale 3 3 2 16 10" xfId="15678"/>
    <cellStyle name="Normale 3 3 2 16 11" xfId="29556"/>
    <cellStyle name="Normale 3 3 2 16 12" xfId="30479"/>
    <cellStyle name="Normale 3 3 2 16 13" xfId="31422"/>
    <cellStyle name="Normale 3 3 2 16 14" xfId="32334"/>
    <cellStyle name="Normale 3 3 2 16 15" xfId="33250"/>
    <cellStyle name="Normale 3 3 2 16 16" xfId="34205"/>
    <cellStyle name="Normale 3 3 2 16 17" xfId="35137"/>
    <cellStyle name="Normale 3 3 2 16 18" xfId="36063"/>
    <cellStyle name="Normale 3 3 2 16 19" xfId="36988"/>
    <cellStyle name="Normale 3 3 2 16 2" xfId="1772"/>
    <cellStyle name="Normale 3 3 2 16 2 2" xfId="9235"/>
    <cellStyle name="Normale 3 3 2 16 2 3" xfId="16643"/>
    <cellStyle name="Normale 3 3 2 16 2 4" xfId="27998"/>
    <cellStyle name="Normale 3 3 2 16 20" xfId="37889"/>
    <cellStyle name="Normale 3 3 2 16 3" xfId="2705"/>
    <cellStyle name="Normale 3 3 2 16 3 2" xfId="10168"/>
    <cellStyle name="Normale 3 3 2 16 3 3" xfId="17576"/>
    <cellStyle name="Normale 3 3 2 16 3 4" xfId="24054"/>
    <cellStyle name="Normale 3 3 2 16 4" xfId="3620"/>
    <cellStyle name="Normale 3 3 2 16 4 2" xfId="11083"/>
    <cellStyle name="Normale 3 3 2 16 4 3" xfId="18491"/>
    <cellStyle name="Normale 3 3 2 16 4 4" xfId="28870"/>
    <cellStyle name="Normale 3 3 2 16 5" xfId="4560"/>
    <cellStyle name="Normale 3 3 2 16 5 2" xfId="12023"/>
    <cellStyle name="Normale 3 3 2 16 5 3" xfId="19431"/>
    <cellStyle name="Normale 3 3 2 16 5 4" xfId="26890"/>
    <cellStyle name="Normale 3 3 2 16 6" xfId="5475"/>
    <cellStyle name="Normale 3 3 2 16 6 2" xfId="12938"/>
    <cellStyle name="Normale 3 3 2 16 6 3" xfId="20346"/>
    <cellStyle name="Normale 3 3 2 16 6 4" xfId="28816"/>
    <cellStyle name="Normale 3 3 2 16 7" xfId="6409"/>
    <cellStyle name="Normale 3 3 2 16 7 2" xfId="13872"/>
    <cellStyle name="Normale 3 3 2 16 7 3" xfId="21280"/>
    <cellStyle name="Normale 3 3 2 16 7 4" xfId="24126"/>
    <cellStyle name="Normale 3 3 2 16 8" xfId="7311"/>
    <cellStyle name="Normale 3 3 2 16 8 2" xfId="14774"/>
    <cellStyle name="Normale 3 3 2 16 8 3" xfId="22182"/>
    <cellStyle name="Normale 3 3 2 16 8 4" xfId="24756"/>
    <cellStyle name="Normale 3 3 2 16 9" xfId="8270"/>
    <cellStyle name="Normale 3 3 2 17" xfId="1028"/>
    <cellStyle name="Normale 3 3 2 17 2" xfId="8491"/>
    <cellStyle name="Normale 3 3 2 17 3" xfId="15899"/>
    <cellStyle name="Normale 3 3 2 17 4" xfId="23231"/>
    <cellStyle name="Normale 3 3 2 18" xfId="1955"/>
    <cellStyle name="Normale 3 3 2 18 2" xfId="9418"/>
    <cellStyle name="Normale 3 3 2 18 3" xfId="16826"/>
    <cellStyle name="Normale 3 3 2 18 4" xfId="29325"/>
    <cellStyle name="Normale 3 3 2 19" xfId="2881"/>
    <cellStyle name="Normale 3 3 2 19 2" xfId="10344"/>
    <cellStyle name="Normale 3 3 2 19 3" xfId="17752"/>
    <cellStyle name="Normale 3 3 2 19 4" xfId="24097"/>
    <cellStyle name="Normale 3 3 2 2" xfId="56"/>
    <cellStyle name="Normale 3 3 2 2 10" xfId="700"/>
    <cellStyle name="Normale 3 3 2 2 10 10" xfId="15571"/>
    <cellStyle name="Normale 3 3 2 2 10 11" xfId="24039"/>
    <cellStyle name="Normale 3 3 2 2 10 12" xfId="30374"/>
    <cellStyle name="Normale 3 3 2 2 10 13" xfId="31315"/>
    <cellStyle name="Normale 3 3 2 2 10 14" xfId="32228"/>
    <cellStyle name="Normale 3 3 2 2 10 15" xfId="33146"/>
    <cellStyle name="Normale 3 3 2 2 10 16" xfId="34098"/>
    <cellStyle name="Normale 3 3 2 2 10 17" xfId="35030"/>
    <cellStyle name="Normale 3 3 2 2 10 18" xfId="35956"/>
    <cellStyle name="Normale 3 3 2 2 10 19" xfId="36881"/>
    <cellStyle name="Normale 3 3 2 2 10 2" xfId="1665"/>
    <cellStyle name="Normale 3 3 2 2 10 2 2" xfId="9128"/>
    <cellStyle name="Normale 3 3 2 2 10 2 3" xfId="16536"/>
    <cellStyle name="Normale 3 3 2 2 10 2 4" xfId="23728"/>
    <cellStyle name="Normale 3 3 2 2 10 20" xfId="37785"/>
    <cellStyle name="Normale 3 3 2 2 10 3" xfId="2598"/>
    <cellStyle name="Normale 3 3 2 2 10 3 2" xfId="10061"/>
    <cellStyle name="Normale 3 3 2 2 10 3 3" xfId="17469"/>
    <cellStyle name="Normale 3 3 2 2 10 3 4" xfId="27965"/>
    <cellStyle name="Normale 3 3 2 2 10 4" xfId="3514"/>
    <cellStyle name="Normale 3 3 2 2 10 4 2" xfId="10977"/>
    <cellStyle name="Normale 3 3 2 2 10 4 3" xfId="18385"/>
    <cellStyle name="Normale 3 3 2 2 10 4 4" xfId="24475"/>
    <cellStyle name="Normale 3 3 2 2 10 5" xfId="4453"/>
    <cellStyle name="Normale 3 3 2 2 10 5 2" xfId="11916"/>
    <cellStyle name="Normale 3 3 2 2 10 5 3" xfId="19324"/>
    <cellStyle name="Normale 3 3 2 2 10 5 4" xfId="29363"/>
    <cellStyle name="Normale 3 3 2 2 10 6" xfId="5369"/>
    <cellStyle name="Normale 3 3 2 2 10 6 2" xfId="12832"/>
    <cellStyle name="Normale 3 3 2 2 10 6 3" xfId="20240"/>
    <cellStyle name="Normale 3 3 2 2 10 6 4" xfId="23705"/>
    <cellStyle name="Normale 3 3 2 2 10 7" xfId="6302"/>
    <cellStyle name="Normale 3 3 2 2 10 7 2" xfId="13765"/>
    <cellStyle name="Normale 3 3 2 2 10 7 3" xfId="21173"/>
    <cellStyle name="Normale 3 3 2 2 10 7 4" xfId="28530"/>
    <cellStyle name="Normale 3 3 2 2 10 8" xfId="7207"/>
    <cellStyle name="Normale 3 3 2 2 10 8 2" xfId="14670"/>
    <cellStyle name="Normale 3 3 2 2 10 8 3" xfId="22078"/>
    <cellStyle name="Normale 3 3 2 2 10 8 4" xfId="24567"/>
    <cellStyle name="Normale 3 3 2 2 10 9" xfId="8163"/>
    <cellStyle name="Normale 3 3 2 2 11" xfId="772"/>
    <cellStyle name="Normale 3 3 2 2 11 10" xfId="15643"/>
    <cellStyle name="Normale 3 3 2 2 11 11" xfId="22754"/>
    <cellStyle name="Normale 3 3 2 2 11 12" xfId="30444"/>
    <cellStyle name="Normale 3 3 2 2 11 13" xfId="31387"/>
    <cellStyle name="Normale 3 3 2 2 11 14" xfId="32299"/>
    <cellStyle name="Normale 3 3 2 2 11 15" xfId="33215"/>
    <cellStyle name="Normale 3 3 2 2 11 16" xfId="34170"/>
    <cellStyle name="Normale 3 3 2 2 11 17" xfId="35102"/>
    <cellStyle name="Normale 3 3 2 2 11 18" xfId="36028"/>
    <cellStyle name="Normale 3 3 2 2 11 19" xfId="36953"/>
    <cellStyle name="Normale 3 3 2 2 11 2" xfId="1737"/>
    <cellStyle name="Normale 3 3 2 2 11 2 2" xfId="9200"/>
    <cellStyle name="Normale 3 3 2 2 11 2 3" xfId="16608"/>
    <cellStyle name="Normale 3 3 2 2 11 2 4" xfId="23408"/>
    <cellStyle name="Normale 3 3 2 2 11 20" xfId="37854"/>
    <cellStyle name="Normale 3 3 2 2 11 3" xfId="2670"/>
    <cellStyle name="Normale 3 3 2 2 11 3 2" xfId="10133"/>
    <cellStyle name="Normale 3 3 2 2 11 3 3" xfId="17541"/>
    <cellStyle name="Normale 3 3 2 2 11 3 4" xfId="28172"/>
    <cellStyle name="Normale 3 3 2 2 11 4" xfId="3585"/>
    <cellStyle name="Normale 3 3 2 2 11 4 2" xfId="11048"/>
    <cellStyle name="Normale 3 3 2 2 11 4 3" xfId="18456"/>
    <cellStyle name="Normale 3 3 2 2 11 4 4" xfId="25651"/>
    <cellStyle name="Normale 3 3 2 2 11 5" xfId="4525"/>
    <cellStyle name="Normale 3 3 2 2 11 5 2" xfId="11988"/>
    <cellStyle name="Normale 3 3 2 2 11 5 3" xfId="19396"/>
    <cellStyle name="Normale 3 3 2 2 11 5 4" xfId="23996"/>
    <cellStyle name="Normale 3 3 2 2 11 6" xfId="5440"/>
    <cellStyle name="Normale 3 3 2 2 11 6 2" xfId="12903"/>
    <cellStyle name="Normale 3 3 2 2 11 6 3" xfId="20311"/>
    <cellStyle name="Normale 3 3 2 2 11 6 4" xfId="24229"/>
    <cellStyle name="Normale 3 3 2 2 11 7" xfId="6374"/>
    <cellStyle name="Normale 3 3 2 2 11 7 2" xfId="13837"/>
    <cellStyle name="Normale 3 3 2 2 11 7 3" xfId="21245"/>
    <cellStyle name="Normale 3 3 2 2 11 7 4" xfId="28515"/>
    <cellStyle name="Normale 3 3 2 2 11 8" xfId="7276"/>
    <cellStyle name="Normale 3 3 2 2 11 8 2" xfId="14739"/>
    <cellStyle name="Normale 3 3 2 2 11 8 3" xfId="22147"/>
    <cellStyle name="Normale 3 3 2 2 11 8 4" xfId="27794"/>
    <cellStyle name="Normale 3 3 2 2 11 9" xfId="8235"/>
    <cellStyle name="Normale 3 3 2 2 12" xfId="845"/>
    <cellStyle name="Normale 3 3 2 2 12 10" xfId="15716"/>
    <cellStyle name="Normale 3 3 2 2 12 11" xfId="29670"/>
    <cellStyle name="Normale 3 3 2 2 12 12" xfId="30514"/>
    <cellStyle name="Normale 3 3 2 2 12 13" xfId="31460"/>
    <cellStyle name="Normale 3 3 2 2 12 14" xfId="32371"/>
    <cellStyle name="Normale 3 3 2 2 12 15" xfId="33284"/>
    <cellStyle name="Normale 3 3 2 2 12 16" xfId="34243"/>
    <cellStyle name="Normale 3 3 2 2 12 17" xfId="35175"/>
    <cellStyle name="Normale 3 3 2 2 12 18" xfId="36101"/>
    <cellStyle name="Normale 3 3 2 2 12 19" xfId="37026"/>
    <cellStyle name="Normale 3 3 2 2 12 2" xfId="1810"/>
    <cellStyle name="Normale 3 3 2 2 12 2 2" xfId="9273"/>
    <cellStyle name="Normale 3 3 2 2 12 2 3" xfId="16681"/>
    <cellStyle name="Normale 3 3 2 2 12 2 4" xfId="27354"/>
    <cellStyle name="Normale 3 3 2 2 12 20" xfId="37923"/>
    <cellStyle name="Normale 3 3 2 2 12 3" xfId="2743"/>
    <cellStyle name="Normale 3 3 2 2 12 3 2" xfId="10206"/>
    <cellStyle name="Normale 3 3 2 2 12 3 3" xfId="17614"/>
    <cellStyle name="Normale 3 3 2 2 12 3 4" xfId="24301"/>
    <cellStyle name="Normale 3 3 2 2 12 4" xfId="3657"/>
    <cellStyle name="Normale 3 3 2 2 12 4 2" xfId="11120"/>
    <cellStyle name="Normale 3 3 2 2 12 4 3" xfId="18528"/>
    <cellStyle name="Normale 3 3 2 2 12 4 4" xfId="24277"/>
    <cellStyle name="Normale 3 3 2 2 12 5" xfId="4598"/>
    <cellStyle name="Normale 3 3 2 2 12 5 2" xfId="12061"/>
    <cellStyle name="Normale 3 3 2 2 12 5 3" xfId="19469"/>
    <cellStyle name="Normale 3 3 2 2 12 5 4" xfId="28122"/>
    <cellStyle name="Normale 3 3 2 2 12 6" xfId="5512"/>
    <cellStyle name="Normale 3 3 2 2 12 6 2" xfId="12975"/>
    <cellStyle name="Normale 3 3 2 2 12 6 3" xfId="20383"/>
    <cellStyle name="Normale 3 3 2 2 12 6 4" xfId="29163"/>
    <cellStyle name="Normale 3 3 2 2 12 7" xfId="6447"/>
    <cellStyle name="Normale 3 3 2 2 12 7 2" xfId="13910"/>
    <cellStyle name="Normale 3 3 2 2 12 7 3" xfId="21318"/>
    <cellStyle name="Normale 3 3 2 2 12 7 4" xfId="25316"/>
    <cellStyle name="Normale 3 3 2 2 12 8" xfId="7345"/>
    <cellStyle name="Normale 3 3 2 2 12 8 2" xfId="14808"/>
    <cellStyle name="Normale 3 3 2 2 12 8 3" xfId="22216"/>
    <cellStyle name="Normale 3 3 2 2 12 8 4" xfId="22529"/>
    <cellStyle name="Normale 3 3 2 2 12 9" xfId="8308"/>
    <cellStyle name="Normale 3 3 2 2 13" xfId="915"/>
    <cellStyle name="Normale 3 3 2 2 13 10" xfId="15786"/>
    <cellStyle name="Normale 3 3 2 2 13 11" xfId="22509"/>
    <cellStyle name="Normale 3 3 2 2 13 12" xfId="30581"/>
    <cellStyle name="Normale 3 3 2 2 13 13" xfId="31529"/>
    <cellStyle name="Normale 3 3 2 2 13 14" xfId="32440"/>
    <cellStyle name="Normale 3 3 2 2 13 15" xfId="33350"/>
    <cellStyle name="Normale 3 3 2 2 13 16" xfId="34313"/>
    <cellStyle name="Normale 3 3 2 2 13 17" xfId="35245"/>
    <cellStyle name="Normale 3 3 2 2 13 18" xfId="36170"/>
    <cellStyle name="Normale 3 3 2 2 13 19" xfId="37096"/>
    <cellStyle name="Normale 3 3 2 2 13 2" xfId="1880"/>
    <cellStyle name="Normale 3 3 2 2 13 2 2" xfId="9343"/>
    <cellStyle name="Normale 3 3 2 2 13 2 3" xfId="16751"/>
    <cellStyle name="Normale 3 3 2 2 13 2 4" xfId="29656"/>
    <cellStyle name="Normale 3 3 2 2 13 20" xfId="37989"/>
    <cellStyle name="Normale 3 3 2 2 13 3" xfId="2812"/>
    <cellStyle name="Normale 3 3 2 2 13 3 2" xfId="10275"/>
    <cellStyle name="Normale 3 3 2 2 13 3 3" xfId="17683"/>
    <cellStyle name="Normale 3 3 2 2 13 3 4" xfId="27059"/>
    <cellStyle name="Normale 3 3 2 2 13 4" xfId="3727"/>
    <cellStyle name="Normale 3 3 2 2 13 4 2" xfId="11190"/>
    <cellStyle name="Normale 3 3 2 2 13 4 3" xfId="18598"/>
    <cellStyle name="Normale 3 3 2 2 13 4 4" xfId="27436"/>
    <cellStyle name="Normale 3 3 2 2 13 5" xfId="4668"/>
    <cellStyle name="Normale 3 3 2 2 13 5 2" xfId="12131"/>
    <cellStyle name="Normale 3 3 2 2 13 5 3" xfId="19539"/>
    <cellStyle name="Normale 3 3 2 2 13 5 4" xfId="22598"/>
    <cellStyle name="Normale 3 3 2 2 13 6" xfId="5582"/>
    <cellStyle name="Normale 3 3 2 2 13 6 2" xfId="13045"/>
    <cellStyle name="Normale 3 3 2 2 13 6 3" xfId="20453"/>
    <cellStyle name="Normale 3 3 2 2 13 6 4" xfId="23309"/>
    <cellStyle name="Normale 3 3 2 2 13 7" xfId="6517"/>
    <cellStyle name="Normale 3 3 2 2 13 7 2" xfId="13980"/>
    <cellStyle name="Normale 3 3 2 2 13 7 3" xfId="21388"/>
    <cellStyle name="Normale 3 3 2 2 13 7 4" xfId="27149"/>
    <cellStyle name="Normale 3 3 2 2 13 8" xfId="7411"/>
    <cellStyle name="Normale 3 3 2 2 13 8 2" xfId="14874"/>
    <cellStyle name="Normale 3 3 2 2 13 8 3" xfId="22282"/>
    <cellStyle name="Normale 3 3 2 2 13 8 4" xfId="28737"/>
    <cellStyle name="Normale 3 3 2 2 13 9" xfId="8378"/>
    <cellStyle name="Normale 3 3 2 2 14" xfId="1029"/>
    <cellStyle name="Normale 3 3 2 2 14 2" xfId="8492"/>
    <cellStyle name="Normale 3 3 2 2 14 3" xfId="15900"/>
    <cellStyle name="Normale 3 3 2 2 14 4" xfId="29661"/>
    <cellStyle name="Normale 3 3 2 2 15" xfId="1956"/>
    <cellStyle name="Normale 3 3 2 2 15 2" xfId="9419"/>
    <cellStyle name="Normale 3 3 2 2 15 3" xfId="16827"/>
    <cellStyle name="Normale 3 3 2 2 15 4" xfId="28424"/>
    <cellStyle name="Normale 3 3 2 2 16" xfId="2882"/>
    <cellStyle name="Normale 3 3 2 2 16 2" xfId="10345"/>
    <cellStyle name="Normale 3 3 2 2 16 3" xfId="17753"/>
    <cellStyle name="Normale 3 3 2 2 16 4" xfId="23086"/>
    <cellStyle name="Normale 3 3 2 2 17" xfId="3811"/>
    <cellStyle name="Normale 3 3 2 2 17 2" xfId="11274"/>
    <cellStyle name="Normale 3 3 2 2 17 3" xfId="18682"/>
    <cellStyle name="Normale 3 3 2 2 17 4" xfId="23355"/>
    <cellStyle name="Normale 3 3 2 2 18" xfId="4738"/>
    <cellStyle name="Normale 3 3 2 2 18 2" xfId="12201"/>
    <cellStyle name="Normale 3 3 2 2 18 3" xfId="19609"/>
    <cellStyle name="Normale 3 3 2 2 18 4" xfId="25080"/>
    <cellStyle name="Normale 3 3 2 2 19" xfId="5665"/>
    <cellStyle name="Normale 3 3 2 2 19 2" xfId="13128"/>
    <cellStyle name="Normale 3 3 2 2 19 3" xfId="20536"/>
    <cellStyle name="Normale 3 3 2 2 19 4" xfId="23802"/>
    <cellStyle name="Normale 3 3 2 2 2" xfId="57"/>
    <cellStyle name="Normale 3 3 2 2 2 10" xfId="6588"/>
    <cellStyle name="Normale 3 3 2 2 2 10 2" xfId="14051"/>
    <cellStyle name="Normale 3 3 2 2 2 10 3" xfId="21459"/>
    <cellStyle name="Normale 3 3 2 2 2 10 4" xfId="28660"/>
    <cellStyle name="Normale 3 3 2 2 2 11" xfId="7522"/>
    <cellStyle name="Normale 3 3 2 2 2 12" xfId="14931"/>
    <cellStyle name="Normale 3 3 2 2 2 13" xfId="23451"/>
    <cellStyle name="Normale 3 3 2 2 2 14" xfId="29748"/>
    <cellStyle name="Normale 3 3 2 2 2 15" xfId="30678"/>
    <cellStyle name="Normale 3 3 2 2 2 16" xfId="31601"/>
    <cellStyle name="Normale 3 3 2 2 2 17" xfId="32527"/>
    <cellStyle name="Normale 3 3 2 2 2 18" xfId="33461"/>
    <cellStyle name="Normale 3 3 2 2 2 19" xfId="34389"/>
    <cellStyle name="Normale 3 3 2 2 2 2" xfId="58"/>
    <cellStyle name="Normale 3 3 2 2 2 2 10" xfId="7523"/>
    <cellStyle name="Normale 3 3 2 2 2 2 11" xfId="14932"/>
    <cellStyle name="Normale 3 3 2 2 2 2 12" xfId="22716"/>
    <cellStyle name="Normale 3 3 2 2 2 2 13" xfId="29749"/>
    <cellStyle name="Normale 3 3 2 2 2 2 14" xfId="30679"/>
    <cellStyle name="Normale 3 3 2 2 2 2 15" xfId="31602"/>
    <cellStyle name="Normale 3 3 2 2 2 2 16" xfId="32528"/>
    <cellStyle name="Normale 3 3 2 2 2 2 17" xfId="33462"/>
    <cellStyle name="Normale 3 3 2 2 2 2 18" xfId="34390"/>
    <cellStyle name="Normale 3 3 2 2 2 2 19" xfId="35318"/>
    <cellStyle name="Normale 3 3 2 2 2 2 2" xfId="256"/>
    <cellStyle name="Normale 3 3 2 2 2 2 2 10" xfId="15129"/>
    <cellStyle name="Normale 3 3 2 2 2 2 2 11" xfId="22914"/>
    <cellStyle name="Normale 3 3 2 2 2 2 2 12" xfId="29941"/>
    <cellStyle name="Normale 3 3 2 2 2 2 2 13" xfId="30873"/>
    <cellStyle name="Normale 3 3 2 2 2 2 2 14" xfId="31794"/>
    <cellStyle name="Normale 3 3 2 2 2 2 2 15" xfId="32719"/>
    <cellStyle name="Normale 3 3 2 2 2 2 2 16" xfId="33656"/>
    <cellStyle name="Normale 3 3 2 2 2 2 2 17" xfId="34586"/>
    <cellStyle name="Normale 3 3 2 2 2 2 2 18" xfId="35512"/>
    <cellStyle name="Normale 3 3 2 2 2 2 2 19" xfId="36438"/>
    <cellStyle name="Normale 3 3 2 2 2 2 2 2" xfId="1223"/>
    <cellStyle name="Normale 3 3 2 2 2 2 2 2 2" xfId="8686"/>
    <cellStyle name="Normale 3 3 2 2 2 2 2 2 3" xfId="16094"/>
    <cellStyle name="Normale 3 3 2 2 2 2 2 2 4" xfId="27405"/>
    <cellStyle name="Normale 3 3 2 2 2 2 2 20" xfId="37358"/>
    <cellStyle name="Normale 3 3 2 2 2 2 2 3" xfId="2154"/>
    <cellStyle name="Normale 3 3 2 2 2 2 2 3 2" xfId="9617"/>
    <cellStyle name="Normale 3 3 2 2 2 2 2 3 3" xfId="17025"/>
    <cellStyle name="Normale 3 3 2 2 2 2 2 3 4" xfId="24763"/>
    <cellStyle name="Normale 3 3 2 2 2 2 2 4" xfId="3076"/>
    <cellStyle name="Normale 3 3 2 2 2 2 2 4 2" xfId="10539"/>
    <cellStyle name="Normale 3 3 2 2 2 2 2 4 3" xfId="17947"/>
    <cellStyle name="Normale 3 3 2 2 2 2 2 4 4" xfId="25510"/>
    <cellStyle name="Normale 3 3 2 2 2 2 2 5" xfId="4009"/>
    <cellStyle name="Normale 3 3 2 2 2 2 2 5 2" xfId="11472"/>
    <cellStyle name="Normale 3 3 2 2 2 2 2 5 3" xfId="18880"/>
    <cellStyle name="Normale 3 3 2 2 2 2 2 5 4" xfId="25706"/>
    <cellStyle name="Normale 3 3 2 2 2 2 2 6" xfId="4932"/>
    <cellStyle name="Normale 3 3 2 2 2 2 2 6 2" xfId="12395"/>
    <cellStyle name="Normale 3 3 2 2 2 2 2 6 3" xfId="19803"/>
    <cellStyle name="Normale 3 3 2 2 2 2 2 6 4" xfId="22736"/>
    <cellStyle name="Normale 3 3 2 2 2 2 2 7" xfId="5860"/>
    <cellStyle name="Normale 3 3 2 2 2 2 2 7 2" xfId="13323"/>
    <cellStyle name="Normale 3 3 2 2 2 2 2 7 3" xfId="20731"/>
    <cellStyle name="Normale 3 3 2 2 2 2 2 7 4" xfId="22911"/>
    <cellStyle name="Normale 3 3 2 2 2 2 2 8" xfId="6780"/>
    <cellStyle name="Normale 3 3 2 2 2 2 2 8 2" xfId="14243"/>
    <cellStyle name="Normale 3 3 2 2 2 2 2 8 3" xfId="21651"/>
    <cellStyle name="Normale 3 3 2 2 2 2 2 8 4" xfId="25535"/>
    <cellStyle name="Normale 3 3 2 2 2 2 2 9" xfId="7719"/>
    <cellStyle name="Normale 3 3 2 2 2 2 20" xfId="36244"/>
    <cellStyle name="Normale 3 3 2 2 2 2 21" xfId="37167"/>
    <cellStyle name="Normale 3 3 2 2 2 2 3" xfId="1031"/>
    <cellStyle name="Normale 3 3 2 2 2 2 3 2" xfId="8494"/>
    <cellStyle name="Normale 3 3 2 2 2 2 3 3" xfId="15902"/>
    <cellStyle name="Normale 3 3 2 2 2 2 3 4" xfId="27849"/>
    <cellStyle name="Normale 3 3 2 2 2 2 4" xfId="1958"/>
    <cellStyle name="Normale 3 3 2 2 2 2 4 2" xfId="9421"/>
    <cellStyle name="Normale 3 3 2 2 2 2 4 3" xfId="16829"/>
    <cellStyle name="Normale 3 3 2 2 2 2 4 4" xfId="26592"/>
    <cellStyle name="Normale 3 3 2 2 2 2 5" xfId="2884"/>
    <cellStyle name="Normale 3 3 2 2 2 2 5 2" xfId="10347"/>
    <cellStyle name="Normale 3 3 2 2 2 2 5 3" xfId="17755"/>
    <cellStyle name="Normale 3 3 2 2 2 2 5 4" xfId="28624"/>
    <cellStyle name="Normale 3 3 2 2 2 2 6" xfId="3813"/>
    <cellStyle name="Normale 3 3 2 2 2 2 6 2" xfId="11276"/>
    <cellStyle name="Normale 3 3 2 2 2 2 6 3" xfId="18684"/>
    <cellStyle name="Normale 3 3 2 2 2 2 6 4" xfId="29643"/>
    <cellStyle name="Normale 3 3 2 2 2 2 7" xfId="4740"/>
    <cellStyle name="Normale 3 3 2 2 2 2 7 2" xfId="12203"/>
    <cellStyle name="Normale 3 3 2 2 2 2 7 3" xfId="19611"/>
    <cellStyle name="Normale 3 3 2 2 2 2 7 4" xfId="23143"/>
    <cellStyle name="Normale 3 3 2 2 2 2 8" xfId="5667"/>
    <cellStyle name="Normale 3 3 2 2 2 2 8 2" xfId="13130"/>
    <cellStyle name="Normale 3 3 2 2 2 2 8 3" xfId="20538"/>
    <cellStyle name="Normale 3 3 2 2 2 2 8 4" xfId="29254"/>
    <cellStyle name="Normale 3 3 2 2 2 2 9" xfId="6589"/>
    <cellStyle name="Normale 3 3 2 2 2 2 9 2" xfId="14052"/>
    <cellStyle name="Normale 3 3 2 2 2 2 9 3" xfId="21460"/>
    <cellStyle name="Normale 3 3 2 2 2 2 9 4" xfId="27733"/>
    <cellStyle name="Normale 3 3 2 2 2 20" xfId="35317"/>
    <cellStyle name="Normale 3 3 2 2 2 21" xfId="36243"/>
    <cellStyle name="Normale 3 3 2 2 2 22" xfId="37166"/>
    <cellStyle name="Normale 3 3 2 2 2 3" xfId="255"/>
    <cellStyle name="Normale 3 3 2 2 2 3 10" xfId="15128"/>
    <cellStyle name="Normale 3 3 2 2 2 3 11" xfId="23900"/>
    <cellStyle name="Normale 3 3 2 2 2 3 12" xfId="29940"/>
    <cellStyle name="Normale 3 3 2 2 2 3 13" xfId="30872"/>
    <cellStyle name="Normale 3 3 2 2 2 3 14" xfId="31793"/>
    <cellStyle name="Normale 3 3 2 2 2 3 15" xfId="32718"/>
    <cellStyle name="Normale 3 3 2 2 2 3 16" xfId="33655"/>
    <cellStyle name="Normale 3 3 2 2 2 3 17" xfId="34585"/>
    <cellStyle name="Normale 3 3 2 2 2 3 18" xfId="35511"/>
    <cellStyle name="Normale 3 3 2 2 2 3 19" xfId="36437"/>
    <cellStyle name="Normale 3 3 2 2 2 3 2" xfId="1222"/>
    <cellStyle name="Normale 3 3 2 2 2 3 2 2" xfId="8685"/>
    <cellStyle name="Normale 3 3 2 2 2 3 2 3" xfId="16093"/>
    <cellStyle name="Normale 3 3 2 2 2 3 2 4" xfId="28329"/>
    <cellStyle name="Normale 3 3 2 2 2 3 20" xfId="37357"/>
    <cellStyle name="Normale 3 3 2 2 2 3 3" xfId="2153"/>
    <cellStyle name="Normale 3 3 2 2 2 3 3 2" xfId="9616"/>
    <cellStyle name="Normale 3 3 2 2 2 3 3 3" xfId="17024"/>
    <cellStyle name="Normale 3 3 2 2 2 3 3 4" xfId="25677"/>
    <cellStyle name="Normale 3 3 2 2 2 3 4" xfId="3075"/>
    <cellStyle name="Normale 3 3 2 2 2 3 4 2" xfId="10538"/>
    <cellStyle name="Normale 3 3 2 2 2 3 4 3" xfId="17946"/>
    <cellStyle name="Normale 3 3 2 2 2 3 4 4" xfId="26438"/>
    <cellStyle name="Normale 3 3 2 2 2 3 5" xfId="4008"/>
    <cellStyle name="Normale 3 3 2 2 2 3 5 2" xfId="11471"/>
    <cellStyle name="Normale 3 3 2 2 2 3 5 3" xfId="18879"/>
    <cellStyle name="Normale 3 3 2 2 2 3 5 4" xfId="26638"/>
    <cellStyle name="Normale 3 3 2 2 2 3 6" xfId="4931"/>
    <cellStyle name="Normale 3 3 2 2 2 3 6 2" xfId="12394"/>
    <cellStyle name="Normale 3 3 2 2 2 3 6 3" xfId="19802"/>
    <cellStyle name="Normale 3 3 2 2 2 3 6 4" xfId="23707"/>
    <cellStyle name="Normale 3 3 2 2 2 3 7" xfId="5859"/>
    <cellStyle name="Normale 3 3 2 2 2 3 7 2" xfId="13322"/>
    <cellStyle name="Normale 3 3 2 2 2 3 7 3" xfId="20730"/>
    <cellStyle name="Normale 3 3 2 2 2 3 7 4" xfId="23897"/>
    <cellStyle name="Normale 3 3 2 2 2 3 8" xfId="6779"/>
    <cellStyle name="Normale 3 3 2 2 2 3 8 2" xfId="14242"/>
    <cellStyle name="Normale 3 3 2 2 2 3 8 3" xfId="21650"/>
    <cellStyle name="Normale 3 3 2 2 2 3 8 4" xfId="26463"/>
    <cellStyle name="Normale 3 3 2 2 2 3 9" xfId="7718"/>
    <cellStyle name="Normale 3 3 2 2 2 4" xfId="1030"/>
    <cellStyle name="Normale 3 3 2 2 2 4 2" xfId="8493"/>
    <cellStyle name="Normale 3 3 2 2 2 4 3" xfId="15901"/>
    <cellStyle name="Normale 3 3 2 2 2 4 4" xfId="28776"/>
    <cellStyle name="Normale 3 3 2 2 2 5" xfId="1957"/>
    <cellStyle name="Normale 3 3 2 2 2 5 2" xfId="9420"/>
    <cellStyle name="Normale 3 3 2 2 2 5 3" xfId="16828"/>
    <cellStyle name="Normale 3 3 2 2 2 5 4" xfId="27499"/>
    <cellStyle name="Normale 3 3 2 2 2 6" xfId="2883"/>
    <cellStyle name="Normale 3 3 2 2 2 6 2" xfId="10346"/>
    <cellStyle name="Normale 3 3 2 2 2 6 3" xfId="17754"/>
    <cellStyle name="Normale 3 3 2 2 2 6 4" xfId="29515"/>
    <cellStyle name="Normale 3 3 2 2 2 7" xfId="3812"/>
    <cellStyle name="Normale 3 3 2 2 2 7 2" xfId="11275"/>
    <cellStyle name="Normale 3 3 2 2 2 7 3" xfId="18683"/>
    <cellStyle name="Normale 3 3 2 2 2 7 4" xfId="23213"/>
    <cellStyle name="Normale 3 3 2 2 2 8" xfId="4739"/>
    <cellStyle name="Normale 3 3 2 2 2 8 2" xfId="12202"/>
    <cellStyle name="Normale 3 3 2 2 2 8 3" xfId="19610"/>
    <cellStyle name="Normale 3 3 2 2 2 8 4" xfId="24155"/>
    <cellStyle name="Normale 3 3 2 2 2 9" xfId="5666"/>
    <cellStyle name="Normale 3 3 2 2 2 9 2" xfId="13129"/>
    <cellStyle name="Normale 3 3 2 2 2 9 3" xfId="20537"/>
    <cellStyle name="Normale 3 3 2 2 2 9 4" xfId="22823"/>
    <cellStyle name="Normale 3 3 2 2 20" xfId="6587"/>
    <cellStyle name="Normale 3 3 2 2 20 2" xfId="14050"/>
    <cellStyle name="Normale 3 3 2 2 20 3" xfId="21458"/>
    <cellStyle name="Normale 3 3 2 2 20 4" xfId="29551"/>
    <cellStyle name="Normale 3 3 2 2 21" xfId="7521"/>
    <cellStyle name="Normale 3 3 2 2 22" xfId="14930"/>
    <cellStyle name="Normale 3 3 2 2 23" xfId="24370"/>
    <cellStyle name="Normale 3 3 2 2 24" xfId="29747"/>
    <cellStyle name="Normale 3 3 2 2 25" xfId="30677"/>
    <cellStyle name="Normale 3 3 2 2 26" xfId="31600"/>
    <cellStyle name="Normale 3 3 2 2 27" xfId="32526"/>
    <cellStyle name="Normale 3 3 2 2 28" xfId="33460"/>
    <cellStyle name="Normale 3 3 2 2 29" xfId="34388"/>
    <cellStyle name="Normale 3 3 2 2 3" xfId="59"/>
    <cellStyle name="Normale 3 3 2 2 3 10" xfId="7524"/>
    <cellStyle name="Normale 3 3 2 2 3 11" xfId="14933"/>
    <cellStyle name="Normale 3 3 2 2 3 12" xfId="29146"/>
    <cellStyle name="Normale 3 3 2 2 3 13" xfId="29750"/>
    <cellStyle name="Normale 3 3 2 2 3 14" xfId="30680"/>
    <cellStyle name="Normale 3 3 2 2 3 15" xfId="31603"/>
    <cellStyle name="Normale 3 3 2 2 3 16" xfId="32529"/>
    <cellStyle name="Normale 3 3 2 2 3 17" xfId="33463"/>
    <cellStyle name="Normale 3 3 2 2 3 18" xfId="34391"/>
    <cellStyle name="Normale 3 3 2 2 3 19" xfId="35319"/>
    <cellStyle name="Normale 3 3 2 2 3 2" xfId="257"/>
    <cellStyle name="Normale 3 3 2 2 3 2 10" xfId="15130"/>
    <cellStyle name="Normale 3 3 2 2 3 2 11" xfId="29343"/>
    <cellStyle name="Normale 3 3 2 2 3 2 12" xfId="29942"/>
    <cellStyle name="Normale 3 3 2 2 3 2 13" xfId="30874"/>
    <cellStyle name="Normale 3 3 2 2 3 2 14" xfId="31795"/>
    <cellStyle name="Normale 3 3 2 2 3 2 15" xfId="32720"/>
    <cellStyle name="Normale 3 3 2 2 3 2 16" xfId="33657"/>
    <cellStyle name="Normale 3 3 2 2 3 2 17" xfId="34587"/>
    <cellStyle name="Normale 3 3 2 2 3 2 18" xfId="35513"/>
    <cellStyle name="Normale 3 3 2 2 3 2 19" xfId="36439"/>
    <cellStyle name="Normale 3 3 2 2 3 2 2" xfId="1224"/>
    <cellStyle name="Normale 3 3 2 2 3 2 2 2" xfId="8687"/>
    <cellStyle name="Normale 3 3 2 2 3 2 2 3" xfId="16095"/>
    <cellStyle name="Normale 3 3 2 2 3 2 2 4" xfId="26497"/>
    <cellStyle name="Normale 3 3 2 2 3 2 20" xfId="37359"/>
    <cellStyle name="Normale 3 3 2 2 3 2 3" xfId="2155"/>
    <cellStyle name="Normale 3 3 2 2 3 2 3 2" xfId="9618"/>
    <cellStyle name="Normale 3 3 2 2 3 2 3 3" xfId="17026"/>
    <cellStyle name="Normale 3 3 2 2 3 2 3 4" xfId="23840"/>
    <cellStyle name="Normale 3 3 2 2 3 2 4" xfId="3077"/>
    <cellStyle name="Normale 3 3 2 2 3 2 4 2" xfId="10540"/>
    <cellStyle name="Normale 3 3 2 2 3 2 4 3" xfId="17948"/>
    <cellStyle name="Normale 3 3 2 2 3 2 4 4" xfId="24593"/>
    <cellStyle name="Normale 3 3 2 2 3 2 5" xfId="4010"/>
    <cellStyle name="Normale 3 3 2 2 3 2 5 2" xfId="11473"/>
    <cellStyle name="Normale 3 3 2 2 3 2 5 3" xfId="18881"/>
    <cellStyle name="Normale 3 3 2 2 3 2 5 4" xfId="24794"/>
    <cellStyle name="Normale 3 3 2 2 3 2 6" xfId="4933"/>
    <cellStyle name="Normale 3 3 2 2 3 2 6 2" xfId="12396"/>
    <cellStyle name="Normale 3 3 2 2 3 2 6 3" xfId="19804"/>
    <cellStyle name="Normale 3 3 2 2 3 2 6 4" xfId="29166"/>
    <cellStyle name="Normale 3 3 2 2 3 2 7" xfId="5861"/>
    <cellStyle name="Normale 3 3 2 2 3 2 7 2" xfId="13324"/>
    <cellStyle name="Normale 3 3 2 2 3 2 7 3" xfId="20732"/>
    <cellStyle name="Normale 3 3 2 2 3 2 7 4" xfId="29340"/>
    <cellStyle name="Normale 3 3 2 2 3 2 8" xfId="6781"/>
    <cellStyle name="Normale 3 3 2 2 3 2 8 2" xfId="14244"/>
    <cellStyle name="Normale 3 3 2 2 3 2 8 3" xfId="21652"/>
    <cellStyle name="Normale 3 3 2 2 3 2 8 4" xfId="24618"/>
    <cellStyle name="Normale 3 3 2 2 3 2 9" xfId="7720"/>
    <cellStyle name="Normale 3 3 2 2 3 20" xfId="36245"/>
    <cellStyle name="Normale 3 3 2 2 3 21" xfId="37168"/>
    <cellStyle name="Normale 3 3 2 2 3 3" xfId="1032"/>
    <cellStyle name="Normale 3 3 2 2 3 3 2" xfId="8495"/>
    <cellStyle name="Normale 3 3 2 2 3 3 3" xfId="15903"/>
    <cellStyle name="Normale 3 3 2 2 3 3 4" xfId="26946"/>
    <cellStyle name="Normale 3 3 2 2 3 4" xfId="1959"/>
    <cellStyle name="Normale 3 3 2 2 3 4 2" xfId="9422"/>
    <cellStyle name="Normale 3 3 2 2 3 4 3" xfId="16830"/>
    <cellStyle name="Normale 3 3 2 2 3 4 4" xfId="25662"/>
    <cellStyle name="Normale 3 3 2 2 3 5" xfId="2885"/>
    <cellStyle name="Normale 3 3 2 2 3 5 2" xfId="10348"/>
    <cellStyle name="Normale 3 3 2 2 3 5 3" xfId="17756"/>
    <cellStyle name="Normale 3 3 2 2 3 5 4" xfId="27697"/>
    <cellStyle name="Normale 3 3 2 2 3 6" xfId="3814"/>
    <cellStyle name="Normale 3 3 2 2 3 6 2" xfId="11277"/>
    <cellStyle name="Normale 3 3 2 2 3 6 3" xfId="18685"/>
    <cellStyle name="Normale 3 3 2 2 3 6 4" xfId="28758"/>
    <cellStyle name="Normale 3 3 2 2 3 7" xfId="4741"/>
    <cellStyle name="Normale 3 3 2 2 3 7 2" xfId="12204"/>
    <cellStyle name="Normale 3 3 2 2 3 7 3" xfId="19612"/>
    <cellStyle name="Normale 3 3 2 2 3 7 4" xfId="29572"/>
    <cellStyle name="Normale 3 3 2 2 3 8" xfId="5668"/>
    <cellStyle name="Normale 3 3 2 2 3 8 2" xfId="13131"/>
    <cellStyle name="Normale 3 3 2 2 3 8 3" xfId="20539"/>
    <cellStyle name="Normale 3 3 2 2 3 8 4" xfId="28349"/>
    <cellStyle name="Normale 3 3 2 2 3 9" xfId="6590"/>
    <cellStyle name="Normale 3 3 2 2 3 9 2" xfId="14053"/>
    <cellStyle name="Normale 3 3 2 2 3 9 3" xfId="21461"/>
    <cellStyle name="Normale 3 3 2 2 3 9 4" xfId="26830"/>
    <cellStyle name="Normale 3 3 2 2 30" xfId="35316"/>
    <cellStyle name="Normale 3 3 2 2 31" xfId="36242"/>
    <cellStyle name="Normale 3 3 2 2 32" xfId="37165"/>
    <cellStyle name="Normale 3 3 2 2 4" xfId="254"/>
    <cellStyle name="Normale 3 3 2 2 4 10" xfId="15127"/>
    <cellStyle name="Normale 3 3 2 2 4 11" xfId="24824"/>
    <cellStyle name="Normale 3 3 2 2 4 12" xfId="29939"/>
    <cellStyle name="Normale 3 3 2 2 4 13" xfId="30871"/>
    <cellStyle name="Normale 3 3 2 2 4 14" xfId="31792"/>
    <cellStyle name="Normale 3 3 2 2 4 15" xfId="32717"/>
    <cellStyle name="Normale 3 3 2 2 4 16" xfId="33654"/>
    <cellStyle name="Normale 3 3 2 2 4 17" xfId="34584"/>
    <cellStyle name="Normale 3 3 2 2 4 18" xfId="35510"/>
    <cellStyle name="Normale 3 3 2 2 4 19" xfId="36436"/>
    <cellStyle name="Normale 3 3 2 2 4 2" xfId="1221"/>
    <cellStyle name="Normale 3 3 2 2 4 2 2" xfId="8684"/>
    <cellStyle name="Normale 3 3 2 2 4 2 3" xfId="16092"/>
    <cellStyle name="Normale 3 3 2 2 4 2 4" xfId="29235"/>
    <cellStyle name="Normale 3 3 2 2 4 20" xfId="37356"/>
    <cellStyle name="Normale 3 3 2 2 4 3" xfId="2152"/>
    <cellStyle name="Normale 3 3 2 2 4 3 2" xfId="9615"/>
    <cellStyle name="Normale 3 3 2 2 4 3 3" xfId="17023"/>
    <cellStyle name="Normale 3 3 2 2 4 3 4" xfId="26607"/>
    <cellStyle name="Normale 3 3 2 2 4 4" xfId="3074"/>
    <cellStyle name="Normale 3 3 2 2 4 4 2" xfId="10537"/>
    <cellStyle name="Normale 3 3 2 2 4 4 3" xfId="17945"/>
    <cellStyle name="Normale 3 3 2 2 4 4 4" xfId="27346"/>
    <cellStyle name="Normale 3 3 2 2 4 5" xfId="4007"/>
    <cellStyle name="Normale 3 3 2 2 4 5 2" xfId="11470"/>
    <cellStyle name="Normale 3 3 2 2 4 5 3" xfId="18878"/>
    <cellStyle name="Normale 3 3 2 2 4 5 4" xfId="27542"/>
    <cellStyle name="Normale 3 3 2 2 4 6" xfId="4930"/>
    <cellStyle name="Normale 3 3 2 2 4 6 2" xfId="12393"/>
    <cellStyle name="Normale 3 3 2 2 4 6 3" xfId="19801"/>
    <cellStyle name="Normale 3 3 2 2 4 6 4" xfId="24629"/>
    <cellStyle name="Normale 3 3 2 2 4 7" xfId="5858"/>
    <cellStyle name="Normale 3 3 2 2 4 7 2" xfId="13321"/>
    <cellStyle name="Normale 3 3 2 2 4 7 3" xfId="20729"/>
    <cellStyle name="Normale 3 3 2 2 4 7 4" xfId="24821"/>
    <cellStyle name="Normale 3 3 2 2 4 8" xfId="6778"/>
    <cellStyle name="Normale 3 3 2 2 4 8 2" xfId="14241"/>
    <cellStyle name="Normale 3 3 2 2 4 8 3" xfId="21649"/>
    <cellStyle name="Normale 3 3 2 2 4 8 4" xfId="27371"/>
    <cellStyle name="Normale 3 3 2 2 4 9" xfId="7717"/>
    <cellStyle name="Normale 3 3 2 2 5" xfId="414"/>
    <cellStyle name="Normale 3 3 2 2 5 10" xfId="15287"/>
    <cellStyle name="Normale 3 3 2 2 5 11" xfId="25038"/>
    <cellStyle name="Normale 3 3 2 2 5 12" xfId="30099"/>
    <cellStyle name="Normale 3 3 2 2 5 13" xfId="31031"/>
    <cellStyle name="Normale 3 3 2 2 5 14" xfId="31952"/>
    <cellStyle name="Normale 3 3 2 2 5 15" xfId="32876"/>
    <cellStyle name="Normale 3 3 2 2 5 16" xfId="33814"/>
    <cellStyle name="Normale 3 3 2 2 5 17" xfId="34744"/>
    <cellStyle name="Normale 3 3 2 2 5 18" xfId="35670"/>
    <cellStyle name="Normale 3 3 2 2 5 19" xfId="36596"/>
    <cellStyle name="Normale 3 3 2 2 5 2" xfId="1381"/>
    <cellStyle name="Normale 3 3 2 2 5 2 2" xfId="8844"/>
    <cellStyle name="Normale 3 3 2 2 5 2 3" xfId="16252"/>
    <cellStyle name="Normale 3 3 2 2 5 2 4" xfId="29562"/>
    <cellStyle name="Normale 3 3 2 2 5 20" xfId="37515"/>
    <cellStyle name="Normale 3 3 2 2 5 3" xfId="2312"/>
    <cellStyle name="Normale 3 3 2 2 5 3 2" xfId="9775"/>
    <cellStyle name="Normale 3 3 2 2 5 3 3" xfId="17183"/>
    <cellStyle name="Normale 3 3 2 2 5 3 4" xfId="26797"/>
    <cellStyle name="Normale 3 3 2 2 5 4" xfId="3234"/>
    <cellStyle name="Normale 3 3 2 2 5 4 2" xfId="10697"/>
    <cellStyle name="Normale 3 3 2 2 5 4 3" xfId="18105"/>
    <cellStyle name="Normale 3 3 2 2 5 4 4" xfId="24286"/>
    <cellStyle name="Normale 3 3 2 2 5 5" xfId="4167"/>
    <cellStyle name="Normale 3 3 2 2 5 5 2" xfId="11630"/>
    <cellStyle name="Normale 3 3 2 2 5 5 3" xfId="19038"/>
    <cellStyle name="Normale 3 3 2 2 5 5 4" xfId="27387"/>
    <cellStyle name="Normale 3 3 2 2 5 6" xfId="5090"/>
    <cellStyle name="Normale 3 3 2 2 5 6 2" xfId="12553"/>
    <cellStyle name="Normale 3 3 2 2 5 6 3" xfId="19961"/>
    <cellStyle name="Normale 3 3 2 2 5 6 4" xfId="24999"/>
    <cellStyle name="Normale 3 3 2 2 5 7" xfId="6018"/>
    <cellStyle name="Normale 3 3 2 2 5 7 2" xfId="13481"/>
    <cellStyle name="Normale 3 3 2 2 5 7 3" xfId="20889"/>
    <cellStyle name="Normale 3 3 2 2 5 7 4" xfId="24897"/>
    <cellStyle name="Normale 3 3 2 2 5 8" xfId="6937"/>
    <cellStyle name="Normale 3 3 2 2 5 8 2" xfId="14400"/>
    <cellStyle name="Normale 3 3 2 2 5 8 3" xfId="21808"/>
    <cellStyle name="Normale 3 3 2 2 5 8 4" xfId="23794"/>
    <cellStyle name="Normale 3 3 2 2 5 9" xfId="7877"/>
    <cellStyle name="Normale 3 3 2 2 6" xfId="462"/>
    <cellStyle name="Normale 3 3 2 2 6 10" xfId="15335"/>
    <cellStyle name="Normale 3 3 2 2 6 11" xfId="24659"/>
    <cellStyle name="Normale 3 3 2 2 6 12" xfId="30147"/>
    <cellStyle name="Normale 3 3 2 2 6 13" xfId="31079"/>
    <cellStyle name="Normale 3 3 2 2 6 14" xfId="32000"/>
    <cellStyle name="Normale 3 3 2 2 6 15" xfId="32923"/>
    <cellStyle name="Normale 3 3 2 2 6 16" xfId="33862"/>
    <cellStyle name="Normale 3 3 2 2 6 17" xfId="34792"/>
    <cellStyle name="Normale 3 3 2 2 6 18" xfId="35718"/>
    <cellStyle name="Normale 3 3 2 2 6 19" xfId="36644"/>
    <cellStyle name="Normale 3 3 2 2 6 2" xfId="1429"/>
    <cellStyle name="Normale 3 3 2 2 6 2 2" xfId="8892"/>
    <cellStyle name="Normale 3 3 2 2 6 2 3" xfId="16300"/>
    <cellStyle name="Normale 3 3 2 2 6 2 4" xfId="27798"/>
    <cellStyle name="Normale 3 3 2 2 6 20" xfId="37562"/>
    <cellStyle name="Normale 3 3 2 2 6 3" xfId="2360"/>
    <cellStyle name="Normale 3 3 2 2 6 3 2" xfId="9823"/>
    <cellStyle name="Normale 3 3 2 2 6 3 3" xfId="17231"/>
    <cellStyle name="Normale 3 3 2 2 6 3 4" xfId="26442"/>
    <cellStyle name="Normale 3 3 2 2 6 4" xfId="3282"/>
    <cellStyle name="Normale 3 3 2 2 6 4 2" xfId="10745"/>
    <cellStyle name="Normale 3 3 2 2 6 4 3" xfId="18153"/>
    <cellStyle name="Normale 3 3 2 2 6 4 4" xfId="24739"/>
    <cellStyle name="Normale 3 3 2 2 6 5" xfId="4215"/>
    <cellStyle name="Normale 3 3 2 2 6 5 2" xfId="11678"/>
    <cellStyle name="Normale 3 3 2 2 6 5 3" xfId="19086"/>
    <cellStyle name="Normale 3 3 2 2 6 5 4" xfId="27209"/>
    <cellStyle name="Normale 3 3 2 2 6 6" xfId="5138"/>
    <cellStyle name="Normale 3 3 2 2 6 6 2" xfId="12601"/>
    <cellStyle name="Normale 3 3 2 2 6 6 3" xfId="20009"/>
    <cellStyle name="Normale 3 3 2 2 6 6 4" xfId="23119"/>
    <cellStyle name="Normale 3 3 2 2 6 7" xfId="6066"/>
    <cellStyle name="Normale 3 3 2 2 6 7 2" xfId="13529"/>
    <cellStyle name="Normale 3 3 2 2 6 7 3" xfId="20937"/>
    <cellStyle name="Normale 3 3 2 2 6 7 4" xfId="24622"/>
    <cellStyle name="Normale 3 3 2 2 6 8" xfId="6984"/>
    <cellStyle name="Normale 3 3 2 2 6 8 2" xfId="14447"/>
    <cellStyle name="Normale 3 3 2 2 6 8 3" xfId="21855"/>
    <cellStyle name="Normale 3 3 2 2 6 8 4" xfId="26557"/>
    <cellStyle name="Normale 3 3 2 2 6 9" xfId="7925"/>
    <cellStyle name="Normale 3 3 2 2 7" xfId="510"/>
    <cellStyle name="Normale 3 3 2 2 7 10" xfId="15383"/>
    <cellStyle name="Normale 3 3 2 2 7 11" xfId="24550"/>
    <cellStyle name="Normale 3 3 2 2 7 12" xfId="30194"/>
    <cellStyle name="Normale 3 3 2 2 7 13" xfId="31127"/>
    <cellStyle name="Normale 3 3 2 2 7 14" xfId="32047"/>
    <cellStyle name="Normale 3 3 2 2 7 15" xfId="32969"/>
    <cellStyle name="Normale 3 3 2 2 7 16" xfId="33910"/>
    <cellStyle name="Normale 3 3 2 2 7 17" xfId="34840"/>
    <cellStyle name="Normale 3 3 2 2 7 18" xfId="35766"/>
    <cellStyle name="Normale 3 3 2 2 7 19" xfId="36692"/>
    <cellStyle name="Normale 3 3 2 2 7 2" xfId="1477"/>
    <cellStyle name="Normale 3 3 2 2 7 2 2" xfId="8940"/>
    <cellStyle name="Normale 3 3 2 2 7 2 3" xfId="16348"/>
    <cellStyle name="Normale 3 3 2 2 7 2 4" xfId="26175"/>
    <cellStyle name="Normale 3 3 2 2 7 20" xfId="37608"/>
    <cellStyle name="Normale 3 3 2 2 7 3" xfId="2408"/>
    <cellStyle name="Normale 3 3 2 2 7 3 2" xfId="9871"/>
    <cellStyle name="Normale 3 3 2 2 7 3 3" xfId="17279"/>
    <cellStyle name="Normale 3 3 2 2 7 3 4" xfId="25228"/>
    <cellStyle name="Normale 3 3 2 2 7 4" xfId="3329"/>
    <cellStyle name="Normale 3 3 2 2 7 4 2" xfId="10792"/>
    <cellStyle name="Normale 3 3 2 2 7 4 3" xfId="18200"/>
    <cellStyle name="Normale 3 3 2 2 7 4 4" xfId="27664"/>
    <cellStyle name="Normale 3 3 2 2 7 5" xfId="4263"/>
    <cellStyle name="Normale 3 3 2 2 7 5 2" xfId="11726"/>
    <cellStyle name="Normale 3 3 2 2 7 5 3" xfId="19134"/>
    <cellStyle name="Normale 3 3 2 2 7 5 4" xfId="27688"/>
    <cellStyle name="Normale 3 3 2 2 7 6" xfId="5185"/>
    <cellStyle name="Normale 3 3 2 2 7 6 2" xfId="12648"/>
    <cellStyle name="Normale 3 3 2 2 7 6 3" xfId="20056"/>
    <cellStyle name="Normale 3 3 2 2 7 6 4" xfId="22588"/>
    <cellStyle name="Normale 3 3 2 2 7 7" xfId="6114"/>
    <cellStyle name="Normale 3 3 2 2 7 7 2" xfId="13577"/>
    <cellStyle name="Normale 3 3 2 2 7 7 3" xfId="20985"/>
    <cellStyle name="Normale 3 3 2 2 7 7 4" xfId="24408"/>
    <cellStyle name="Normale 3 3 2 2 7 8" xfId="7030"/>
    <cellStyle name="Normale 3 3 2 2 7 8 2" xfId="14493"/>
    <cellStyle name="Normale 3 3 2 2 7 8 3" xfId="21901"/>
    <cellStyle name="Normale 3 3 2 2 7 8 4" xfId="28592"/>
    <cellStyle name="Normale 3 3 2 2 7 9" xfId="7973"/>
    <cellStyle name="Normale 3 3 2 2 8" xfId="562"/>
    <cellStyle name="Normale 3 3 2 2 8 10" xfId="15435"/>
    <cellStyle name="Normale 3 3 2 2 8 11" xfId="28568"/>
    <cellStyle name="Normale 3 3 2 2 8 12" xfId="30245"/>
    <cellStyle name="Normale 3 3 2 2 8 13" xfId="31179"/>
    <cellStyle name="Normale 3 3 2 2 8 14" xfId="32098"/>
    <cellStyle name="Normale 3 3 2 2 8 15" xfId="33019"/>
    <cellStyle name="Normale 3 3 2 2 8 16" xfId="33962"/>
    <cellStyle name="Normale 3 3 2 2 8 17" xfId="34892"/>
    <cellStyle name="Normale 3 3 2 2 8 18" xfId="35818"/>
    <cellStyle name="Normale 3 3 2 2 8 19" xfId="36744"/>
    <cellStyle name="Normale 3 3 2 2 8 2" xfId="1529"/>
    <cellStyle name="Normale 3 3 2 2 8 2 2" xfId="8992"/>
    <cellStyle name="Normale 3 3 2 2 8 2 3" xfId="16400"/>
    <cellStyle name="Normale 3 3 2 2 8 2 4" xfId="23729"/>
    <cellStyle name="Normale 3 3 2 2 8 20" xfId="37658"/>
    <cellStyle name="Normale 3 3 2 2 8 3" xfId="2460"/>
    <cellStyle name="Normale 3 3 2 2 8 3 2" xfId="9923"/>
    <cellStyle name="Normale 3 3 2 2 8 3 3" xfId="17331"/>
    <cellStyle name="Normale 3 3 2 2 8 3 4" xfId="22946"/>
    <cellStyle name="Normale 3 3 2 2 8 4" xfId="3380"/>
    <cellStyle name="Normale 3 3 2 2 8 4 2" xfId="10843"/>
    <cellStyle name="Normale 3 3 2 2 8 4 3" xfId="18251"/>
    <cellStyle name="Normale 3 3 2 2 8 4 4" xfId="23037"/>
    <cellStyle name="Normale 3 3 2 2 8 5" xfId="4315"/>
    <cellStyle name="Normale 3 3 2 2 8 5 2" xfId="11778"/>
    <cellStyle name="Normale 3 3 2 2 8 5 3" xfId="19186"/>
    <cellStyle name="Normale 3 3 2 2 8 5 4" xfId="28262"/>
    <cellStyle name="Normale 3 3 2 2 8 6" xfId="5236"/>
    <cellStyle name="Normale 3 3 2 2 8 6 2" xfId="12699"/>
    <cellStyle name="Normale 3 3 2 2 8 6 3" xfId="20107"/>
    <cellStyle name="Normale 3 3 2 2 8 6 4" xfId="28257"/>
    <cellStyle name="Normale 3 3 2 2 8 7" xfId="6166"/>
    <cellStyle name="Normale 3 3 2 2 8 7 2" xfId="13629"/>
    <cellStyle name="Normale 3 3 2 2 8 7 3" xfId="21037"/>
    <cellStyle name="Normale 3 3 2 2 8 7 4" xfId="28531"/>
    <cellStyle name="Normale 3 3 2 2 8 8" xfId="7080"/>
    <cellStyle name="Normale 3 3 2 2 8 8 2" xfId="14543"/>
    <cellStyle name="Normale 3 3 2 2 8 8 3" xfId="21951"/>
    <cellStyle name="Normale 3 3 2 2 8 8 4" xfId="26412"/>
    <cellStyle name="Normale 3 3 2 2 8 9" xfId="8025"/>
    <cellStyle name="Normale 3 3 2 2 9" xfId="622"/>
    <cellStyle name="Normale 3 3 2 2 9 10" xfId="15494"/>
    <cellStyle name="Normale 3 3 2 2 9 11" xfId="28032"/>
    <cellStyle name="Normale 3 3 2 2 9 12" xfId="30301"/>
    <cellStyle name="Normale 3 3 2 2 9 13" xfId="31238"/>
    <cellStyle name="Normale 3 3 2 2 9 14" xfId="32155"/>
    <cellStyle name="Normale 3 3 2 2 9 15" xfId="33074"/>
    <cellStyle name="Normale 3 3 2 2 9 16" xfId="34021"/>
    <cellStyle name="Normale 3 3 2 2 9 17" xfId="34952"/>
    <cellStyle name="Normale 3 3 2 2 9 18" xfId="35878"/>
    <cellStyle name="Normale 3 3 2 2 9 19" xfId="36803"/>
    <cellStyle name="Normale 3 3 2 2 9 2" xfId="1588"/>
    <cellStyle name="Normale 3 3 2 2 9 2 2" xfId="9051"/>
    <cellStyle name="Normale 3 3 2 2 9 2 3" xfId="16459"/>
    <cellStyle name="Normale 3 3 2 2 9 2 4" xfId="27278"/>
    <cellStyle name="Normale 3 3 2 2 9 20" xfId="37713"/>
    <cellStyle name="Normale 3 3 2 2 9 3" xfId="2520"/>
    <cellStyle name="Normale 3 3 2 2 9 3 2" xfId="9983"/>
    <cellStyle name="Normale 3 3 2 2 9 3 3" xfId="17391"/>
    <cellStyle name="Normale 3 3 2 2 9 3 4" xfId="25417"/>
    <cellStyle name="Normale 3 3 2 2 9 4" xfId="3438"/>
    <cellStyle name="Normale 3 3 2 2 9 4 2" xfId="10901"/>
    <cellStyle name="Normale 3 3 2 2 9 4 3" xfId="18309"/>
    <cellStyle name="Normale 3 3 2 2 9 4 4" xfId="28472"/>
    <cellStyle name="Normale 3 3 2 2 9 5" xfId="4375"/>
    <cellStyle name="Normale 3 3 2 2 9 5 2" xfId="11838"/>
    <cellStyle name="Normale 3 3 2 2 9 5 3" xfId="19246"/>
    <cellStyle name="Normale 3 3 2 2 9 5 4" xfId="23534"/>
    <cellStyle name="Normale 3 3 2 2 9 6" xfId="5293"/>
    <cellStyle name="Normale 3 3 2 2 9 6 2" xfId="12756"/>
    <cellStyle name="Normale 3 3 2 2 9 6 3" xfId="20164"/>
    <cellStyle name="Normale 3 3 2 2 9 6 4" xfId="26273"/>
    <cellStyle name="Normale 3 3 2 2 9 7" xfId="6226"/>
    <cellStyle name="Normale 3 3 2 2 9 7 2" xfId="13689"/>
    <cellStyle name="Normale 3 3 2 2 9 7 3" xfId="21097"/>
    <cellStyle name="Normale 3 3 2 2 9 7 4" xfId="23295"/>
    <cellStyle name="Normale 3 3 2 2 9 8" xfId="7135"/>
    <cellStyle name="Normale 3 3 2 2 9 8 2" xfId="14598"/>
    <cellStyle name="Normale 3 3 2 2 9 8 3" xfId="22006"/>
    <cellStyle name="Normale 3 3 2 2 9 8 4" xfId="7484"/>
    <cellStyle name="Normale 3 3 2 2 9 9" xfId="8085"/>
    <cellStyle name="Normale 3 3 2 20" xfId="3810"/>
    <cellStyle name="Normale 3 3 2 20 2" xfId="11273"/>
    <cellStyle name="Normale 3 3 2 20 3" xfId="18681"/>
    <cellStyle name="Normale 3 3 2 20 4" xfId="24271"/>
    <cellStyle name="Normale 3 3 2 21" xfId="4737"/>
    <cellStyle name="Normale 3 3 2 21 2" xfId="12200"/>
    <cellStyle name="Normale 3 3 2 21 3" xfId="19608"/>
    <cellStyle name="Normale 3 3 2 21 4" xfId="25990"/>
    <cellStyle name="Normale 3 3 2 22" xfId="5664"/>
    <cellStyle name="Normale 3 3 2 22 2" xfId="13127"/>
    <cellStyle name="Normale 3 3 2 22 3" xfId="20535"/>
    <cellStyle name="Normale 3 3 2 22 4" xfId="24725"/>
    <cellStyle name="Normale 3 3 2 23" xfId="6586"/>
    <cellStyle name="Normale 3 3 2 23 2" xfId="14049"/>
    <cellStyle name="Normale 3 3 2 23 3" xfId="21457"/>
    <cellStyle name="Normale 3 3 2 23 4" xfId="23122"/>
    <cellStyle name="Normale 3 3 2 24" xfId="7520"/>
    <cellStyle name="Normale 3 3 2 25" xfId="8198"/>
    <cellStyle name="Normale 3 3 2 26" xfId="25286"/>
    <cellStyle name="Normale 3 3 2 27" xfId="29746"/>
    <cellStyle name="Normale 3 3 2 28" xfId="30676"/>
    <cellStyle name="Normale 3 3 2 29" xfId="31599"/>
    <cellStyle name="Normale 3 3 2 3" xfId="60"/>
    <cellStyle name="Normale 3 3 2 3 10" xfId="701"/>
    <cellStyle name="Normale 3 3 2 3 10 10" xfId="15572"/>
    <cellStyle name="Normale 3 3 2 3 10 11" xfId="23032"/>
    <cellStyle name="Normale 3 3 2 3 10 12" xfId="30375"/>
    <cellStyle name="Normale 3 3 2 3 10 13" xfId="31316"/>
    <cellStyle name="Normale 3 3 2 3 10 14" xfId="32229"/>
    <cellStyle name="Normale 3 3 2 3 10 15" xfId="33147"/>
    <cellStyle name="Normale 3 3 2 3 10 16" xfId="34099"/>
    <cellStyle name="Normale 3 3 2 3 10 17" xfId="35031"/>
    <cellStyle name="Normale 3 3 2 3 10 18" xfId="35957"/>
    <cellStyle name="Normale 3 3 2 3 10 19" xfId="36882"/>
    <cellStyle name="Normale 3 3 2 3 10 2" xfId="1666"/>
    <cellStyle name="Normale 3 3 2 3 10 2 2" xfId="9129"/>
    <cellStyle name="Normale 3 3 2 3 10 2 3" xfId="16537"/>
    <cellStyle name="Normale 3 3 2 3 10 2 4" xfId="22757"/>
    <cellStyle name="Normale 3 3 2 3 10 20" xfId="37786"/>
    <cellStyle name="Normale 3 3 2 3 10 3" xfId="2599"/>
    <cellStyle name="Normale 3 3 2 3 10 3 2" xfId="10062"/>
    <cellStyle name="Normale 3 3 2 3 10 3 3" xfId="17470"/>
    <cellStyle name="Normale 3 3 2 3 10 3 4" xfId="27046"/>
    <cellStyle name="Normale 3 3 2 3 10 4" xfId="3515"/>
    <cellStyle name="Normale 3 3 2 3 10 4 2" xfId="10978"/>
    <cellStyle name="Normale 3 3 2 3 10 4 3" xfId="18386"/>
    <cellStyle name="Normale 3 3 2 3 10 4 4" xfId="23555"/>
    <cellStyle name="Normale 3 3 2 3 10 5" xfId="4454"/>
    <cellStyle name="Normale 3 3 2 3 10 5 2" xfId="11917"/>
    <cellStyle name="Normale 3 3 2 3 10 5 3" xfId="19325"/>
    <cellStyle name="Normale 3 3 2 3 10 5 4" xfId="28466"/>
    <cellStyle name="Normale 3 3 2 3 10 6" xfId="5370"/>
    <cellStyle name="Normale 3 3 2 3 10 6 2" xfId="12833"/>
    <cellStyle name="Normale 3 3 2 3 10 6 3" xfId="20241"/>
    <cellStyle name="Normale 3 3 2 3 10 6 4" xfId="22734"/>
    <cellStyle name="Normale 3 3 2 3 10 7" xfId="6303"/>
    <cellStyle name="Normale 3 3 2 3 10 7 2" xfId="13766"/>
    <cellStyle name="Normale 3 3 2 3 10 7 3" xfId="21174"/>
    <cellStyle name="Normale 3 3 2 3 10 7 4" xfId="27604"/>
    <cellStyle name="Normale 3 3 2 3 10 8" xfId="7208"/>
    <cellStyle name="Normale 3 3 2 3 10 8 2" xfId="14671"/>
    <cellStyle name="Normale 3 3 2 3 10 8 3" xfId="22079"/>
    <cellStyle name="Normale 3 3 2 3 10 8 4" xfId="23645"/>
    <cellStyle name="Normale 3 3 2 3 10 9" xfId="8164"/>
    <cellStyle name="Normale 3 3 2 3 11" xfId="773"/>
    <cellStyle name="Normale 3 3 2 3 11 10" xfId="15644"/>
    <cellStyle name="Normale 3 3 2 3 11 11" xfId="29184"/>
    <cellStyle name="Normale 3 3 2 3 11 12" xfId="30445"/>
    <cellStyle name="Normale 3 3 2 3 11 13" xfId="31388"/>
    <cellStyle name="Normale 3 3 2 3 11 14" xfId="32300"/>
    <cellStyle name="Normale 3 3 2 3 11 15" xfId="33216"/>
    <cellStyle name="Normale 3 3 2 3 11 16" xfId="34171"/>
    <cellStyle name="Normale 3 3 2 3 11 17" xfId="35103"/>
    <cellStyle name="Normale 3 3 2 3 11 18" xfId="36029"/>
    <cellStyle name="Normale 3 3 2 3 11 19" xfId="36954"/>
    <cellStyle name="Normale 3 3 2 3 11 2" xfId="1738"/>
    <cellStyle name="Normale 3 3 2 3 11 2 2" xfId="9201"/>
    <cellStyle name="Normale 3 3 2 3 11 2 3" xfId="16609"/>
    <cellStyle name="Normale 3 3 2 3 11 2 4" xfId="23227"/>
    <cellStyle name="Normale 3 3 2 3 11 20" xfId="37855"/>
    <cellStyle name="Normale 3 3 2 3 11 3" xfId="2671"/>
    <cellStyle name="Normale 3 3 2 3 11 3 2" xfId="10134"/>
    <cellStyle name="Normale 3 3 2 3 11 3 3" xfId="17542"/>
    <cellStyle name="Normale 3 3 2 3 11 3 4" xfId="27250"/>
    <cellStyle name="Normale 3 3 2 3 11 4" xfId="3586"/>
    <cellStyle name="Normale 3 3 2 3 11 4 2" xfId="11049"/>
    <cellStyle name="Normale 3 3 2 3 11 4 3" xfId="18457"/>
    <cellStyle name="Normale 3 3 2 3 11 4 4" xfId="24737"/>
    <cellStyle name="Normale 3 3 2 3 11 5" xfId="4526"/>
    <cellStyle name="Normale 3 3 2 3 11 5 2" xfId="11989"/>
    <cellStyle name="Normale 3 3 2 3 11 5 3" xfId="19397"/>
    <cellStyle name="Normale 3 3 2 3 11 5 4" xfId="22977"/>
    <cellStyle name="Normale 3 3 2 3 11 6" xfId="5441"/>
    <cellStyle name="Normale 3 3 2 3 11 6 2" xfId="12904"/>
    <cellStyle name="Normale 3 3 2 3 11 6 3" xfId="20312"/>
    <cellStyle name="Normale 3 3 2 3 11 6 4" xfId="23313"/>
    <cellStyle name="Normale 3 3 2 3 11 7" xfId="6375"/>
    <cellStyle name="Normale 3 3 2 3 11 7 2" xfId="13838"/>
    <cellStyle name="Normale 3 3 2 3 11 7 3" xfId="21246"/>
    <cellStyle name="Normale 3 3 2 3 11 7 4" xfId="27589"/>
    <cellStyle name="Normale 3 3 2 3 11 8" xfId="7277"/>
    <cellStyle name="Normale 3 3 2 3 11 8 2" xfId="14740"/>
    <cellStyle name="Normale 3 3 2 3 11 8 3" xfId="22148"/>
    <cellStyle name="Normale 3 3 2 3 11 8 4" xfId="26892"/>
    <cellStyle name="Normale 3 3 2 3 11 9" xfId="8236"/>
    <cellStyle name="Normale 3 3 2 3 12" xfId="846"/>
    <cellStyle name="Normale 3 3 2 3 12 10" xfId="15717"/>
    <cellStyle name="Normale 3 3 2 3 12 11" xfId="28785"/>
    <cellStyle name="Normale 3 3 2 3 12 12" xfId="30515"/>
    <cellStyle name="Normale 3 3 2 3 12 13" xfId="31461"/>
    <cellStyle name="Normale 3 3 2 3 12 14" xfId="32372"/>
    <cellStyle name="Normale 3 3 2 3 12 15" xfId="33285"/>
    <cellStyle name="Normale 3 3 2 3 12 16" xfId="34244"/>
    <cellStyle name="Normale 3 3 2 3 12 17" xfId="35176"/>
    <cellStyle name="Normale 3 3 2 3 12 18" xfId="36102"/>
    <cellStyle name="Normale 3 3 2 3 12 19" xfId="37027"/>
    <cellStyle name="Normale 3 3 2 3 12 2" xfId="1811"/>
    <cellStyle name="Normale 3 3 2 3 12 2 2" xfId="9274"/>
    <cellStyle name="Normale 3 3 2 3 12 2 3" xfId="16682"/>
    <cellStyle name="Normale 3 3 2 3 12 2 4" xfId="26446"/>
    <cellStyle name="Normale 3 3 2 3 12 20" xfId="37924"/>
    <cellStyle name="Normale 3 3 2 3 12 3" xfId="2744"/>
    <cellStyle name="Normale 3 3 2 3 12 3 2" xfId="10207"/>
    <cellStyle name="Normale 3 3 2 3 12 3 3" xfId="17615"/>
    <cellStyle name="Normale 3 3 2 3 12 3 4" xfId="23385"/>
    <cellStyle name="Normale 3 3 2 3 12 4" xfId="3658"/>
    <cellStyle name="Normale 3 3 2 3 12 4 2" xfId="11121"/>
    <cellStyle name="Normale 3 3 2 3 12 4 3" xfId="18529"/>
    <cellStyle name="Normale 3 3 2 3 12 4 4" xfId="23361"/>
    <cellStyle name="Normale 3 3 2 3 12 5" xfId="4599"/>
    <cellStyle name="Normale 3 3 2 3 12 5 2" xfId="12062"/>
    <cellStyle name="Normale 3 3 2 3 12 5 3" xfId="19470"/>
    <cellStyle name="Normale 3 3 2 3 12 5 4" xfId="27200"/>
    <cellStyle name="Normale 3 3 2 3 12 6" xfId="5513"/>
    <cellStyle name="Normale 3 3 2 3 12 6 2" xfId="12976"/>
    <cellStyle name="Normale 3 3 2 3 12 6 3" xfId="20384"/>
    <cellStyle name="Normale 3 3 2 3 12 6 4" xfId="28255"/>
    <cellStyle name="Normale 3 3 2 3 12 7" xfId="6448"/>
    <cellStyle name="Normale 3 3 2 3 12 7 2" xfId="13911"/>
    <cellStyle name="Normale 3 3 2 3 12 7 3" xfId="21319"/>
    <cellStyle name="Normale 3 3 2 3 12 7 4" xfId="24400"/>
    <cellStyle name="Normale 3 3 2 3 12 8" xfId="7346"/>
    <cellStyle name="Normale 3 3 2 3 12 8 2" xfId="14809"/>
    <cellStyle name="Normale 3 3 2 3 12 8 3" xfId="22217"/>
    <cellStyle name="Normale 3 3 2 3 12 8 4" xfId="28959"/>
    <cellStyle name="Normale 3 3 2 3 12 9" xfId="8309"/>
    <cellStyle name="Normale 3 3 2 3 13" xfId="916"/>
    <cellStyle name="Normale 3 3 2 3 13 10" xfId="15787"/>
    <cellStyle name="Normale 3 3 2 3 13 11" xfId="22508"/>
    <cellStyle name="Normale 3 3 2 3 13 12" xfId="30582"/>
    <cellStyle name="Normale 3 3 2 3 13 13" xfId="31530"/>
    <cellStyle name="Normale 3 3 2 3 13 14" xfId="32441"/>
    <cellStyle name="Normale 3 3 2 3 13 15" xfId="33351"/>
    <cellStyle name="Normale 3 3 2 3 13 16" xfId="34314"/>
    <cellStyle name="Normale 3 3 2 3 13 17" xfId="35246"/>
    <cellStyle name="Normale 3 3 2 3 13 18" xfId="36171"/>
    <cellStyle name="Normale 3 3 2 3 13 19" xfId="37097"/>
    <cellStyle name="Normale 3 3 2 3 13 2" xfId="1881"/>
    <cellStyle name="Normale 3 3 2 3 13 2 2" xfId="9344"/>
    <cellStyle name="Normale 3 3 2 3 13 2 3" xfId="16752"/>
    <cellStyle name="Normale 3 3 2 3 13 2 4" xfId="28771"/>
    <cellStyle name="Normale 3 3 2 3 13 20" xfId="37990"/>
    <cellStyle name="Normale 3 3 2 3 13 3" xfId="2813"/>
    <cellStyle name="Normale 3 3 2 3 13 3 2" xfId="10276"/>
    <cellStyle name="Normale 3 3 2 3 13 3 3" xfId="17684"/>
    <cellStyle name="Normale 3 3 2 3 13 3 4" xfId="26141"/>
    <cellStyle name="Normale 3 3 2 3 13 4" xfId="3728"/>
    <cellStyle name="Normale 3 3 2 3 13 4 2" xfId="11191"/>
    <cellStyle name="Normale 3 3 2 3 13 4 3" xfId="18599"/>
    <cellStyle name="Normale 3 3 2 3 13 4 4" xfId="26528"/>
    <cellStyle name="Normale 3 3 2 3 13 5" xfId="4669"/>
    <cellStyle name="Normale 3 3 2 3 13 5 2" xfId="12132"/>
    <cellStyle name="Normale 3 3 2 3 13 5 3" xfId="19540"/>
    <cellStyle name="Normale 3 3 2 3 13 5 4" xfId="29028"/>
    <cellStyle name="Normale 3 3 2 3 13 6" xfId="5583"/>
    <cellStyle name="Normale 3 3 2 3 13 6 2" xfId="13046"/>
    <cellStyle name="Normale 3 3 2 3 13 6 3" xfId="20454"/>
    <cellStyle name="Normale 3 3 2 3 13 6 4" xfId="23203"/>
    <cellStyle name="Normale 3 3 2 3 13 7" xfId="6518"/>
    <cellStyle name="Normale 3 3 2 3 13 7 2" xfId="13981"/>
    <cellStyle name="Normale 3 3 2 3 13 7 3" xfId="21389"/>
    <cellStyle name="Normale 3 3 2 3 13 7 4" xfId="26239"/>
    <cellStyle name="Normale 3 3 2 3 13 8" xfId="7412"/>
    <cellStyle name="Normale 3 3 2 3 13 8 2" xfId="14875"/>
    <cellStyle name="Normale 3 3 2 3 13 8 3" xfId="22283"/>
    <cellStyle name="Normale 3 3 2 3 13 8 4" xfId="27810"/>
    <cellStyle name="Normale 3 3 2 3 13 9" xfId="8379"/>
    <cellStyle name="Normale 3 3 2 3 14" xfId="1033"/>
    <cellStyle name="Normale 3 3 2 3 14 2" xfId="8496"/>
    <cellStyle name="Normale 3 3 2 3 14 3" xfId="15904"/>
    <cellStyle name="Normale 3 3 2 3 14 4" xfId="26013"/>
    <cellStyle name="Normale 3 3 2 3 15" xfId="1960"/>
    <cellStyle name="Normale 3 3 2 3 15 2" xfId="9423"/>
    <cellStyle name="Normale 3 3 2 3 15 3" xfId="16831"/>
    <cellStyle name="Normale 3 3 2 3 15 4" xfId="24748"/>
    <cellStyle name="Normale 3 3 2 3 16" xfId="2886"/>
    <cellStyle name="Normale 3 3 2 3 16 2" xfId="10349"/>
    <cellStyle name="Normale 3 3 2 3 16 3" xfId="17757"/>
    <cellStyle name="Normale 3 3 2 3 16 4" xfId="26794"/>
    <cellStyle name="Normale 3 3 2 3 17" xfId="3815"/>
    <cellStyle name="Normale 3 3 2 3 17 2" xfId="11278"/>
    <cellStyle name="Normale 3 3 2 3 17 3" xfId="18686"/>
    <cellStyle name="Normale 3 3 2 3 17 4" xfId="27831"/>
    <cellStyle name="Normale 3 3 2 3 18" xfId="4742"/>
    <cellStyle name="Normale 3 3 2 3 18 2" xfId="12205"/>
    <cellStyle name="Normale 3 3 2 3 18 3" xfId="19613"/>
    <cellStyle name="Normale 3 3 2 3 18 4" xfId="28685"/>
    <cellStyle name="Normale 3 3 2 3 19" xfId="5669"/>
    <cellStyle name="Normale 3 3 2 3 19 2" xfId="13132"/>
    <cellStyle name="Normale 3 3 2 3 19 3" xfId="20540"/>
    <cellStyle name="Normale 3 3 2 3 19 4" xfId="27425"/>
    <cellStyle name="Normale 3 3 2 3 2" xfId="61"/>
    <cellStyle name="Normale 3 3 2 3 2 10" xfId="6592"/>
    <cellStyle name="Normale 3 3 2 3 2 10 2" xfId="14055"/>
    <cellStyle name="Normale 3 3 2 3 2 10 3" xfId="21463"/>
    <cellStyle name="Normale 3 3 2 3 2 10 4" xfId="24986"/>
    <cellStyle name="Normale 3 3 2 3 2 11" xfId="7526"/>
    <cellStyle name="Normale 3 3 2 3 2 12" xfId="14935"/>
    <cellStyle name="Normale 3 3 2 3 2 13" xfId="27313"/>
    <cellStyle name="Normale 3 3 2 3 2 14" xfId="29752"/>
    <cellStyle name="Normale 3 3 2 3 2 15" xfId="30682"/>
    <cellStyle name="Normale 3 3 2 3 2 16" xfId="31605"/>
    <cellStyle name="Normale 3 3 2 3 2 17" xfId="32531"/>
    <cellStyle name="Normale 3 3 2 3 2 18" xfId="33465"/>
    <cellStyle name="Normale 3 3 2 3 2 19" xfId="34393"/>
    <cellStyle name="Normale 3 3 2 3 2 2" xfId="62"/>
    <cellStyle name="Normale 3 3 2 3 2 2 10" xfId="7527"/>
    <cellStyle name="Normale 3 3 2 3 2 2 11" xfId="14936"/>
    <cellStyle name="Normale 3 3 2 3 2 2 12" xfId="26405"/>
    <cellStyle name="Normale 3 3 2 3 2 2 13" xfId="29753"/>
    <cellStyle name="Normale 3 3 2 3 2 2 14" xfId="30683"/>
    <cellStyle name="Normale 3 3 2 3 2 2 15" xfId="31606"/>
    <cellStyle name="Normale 3 3 2 3 2 2 16" xfId="32532"/>
    <cellStyle name="Normale 3 3 2 3 2 2 17" xfId="33466"/>
    <cellStyle name="Normale 3 3 2 3 2 2 18" xfId="34394"/>
    <cellStyle name="Normale 3 3 2 3 2 2 19" xfId="35322"/>
    <cellStyle name="Normale 3 3 2 3 2 2 2" xfId="260"/>
    <cellStyle name="Normale 3 3 2 3 2 2 2 10" xfId="15133"/>
    <cellStyle name="Normale 3 3 2 3 2 2 2 11" xfId="26612"/>
    <cellStyle name="Normale 3 3 2 3 2 2 2 12" xfId="29945"/>
    <cellStyle name="Normale 3 3 2 3 2 2 2 13" xfId="30877"/>
    <cellStyle name="Normale 3 3 2 3 2 2 2 14" xfId="31798"/>
    <cellStyle name="Normale 3 3 2 3 2 2 2 15" xfId="32723"/>
    <cellStyle name="Normale 3 3 2 3 2 2 2 16" xfId="33660"/>
    <cellStyle name="Normale 3 3 2 3 2 2 2 17" xfId="34590"/>
    <cellStyle name="Normale 3 3 2 3 2 2 2 18" xfId="35516"/>
    <cellStyle name="Normale 3 3 2 3 2 2 2 19" xfId="36442"/>
    <cellStyle name="Normale 3 3 2 3 2 2 2 2" xfId="1227"/>
    <cellStyle name="Normale 3 3 2 3 2 2 2 2 2" xfId="8690"/>
    <cellStyle name="Normale 3 3 2 3 2 2 2 2 3" xfId="16098"/>
    <cellStyle name="Normale 3 3 2 3 2 2 2 2 4" xfId="23730"/>
    <cellStyle name="Normale 3 3 2 3 2 2 2 20" xfId="37362"/>
    <cellStyle name="Normale 3 3 2 3 2 2 2 3" xfId="2158"/>
    <cellStyle name="Normale 3 3 2 3 2 2 2 3 2" xfId="9621"/>
    <cellStyle name="Normale 3 3 2 3 2 2 2 3 3" xfId="17029"/>
    <cellStyle name="Normale 3 3 2 3 2 2 2 3 4" xfId="28185"/>
    <cellStyle name="Normale 3 3 2 3 2 2 2 4" xfId="3080"/>
    <cellStyle name="Normale 3 3 2 3 2 2 2 4 2" xfId="10543"/>
    <cellStyle name="Normale 3 3 2 3 2 2 2 4 3" xfId="17951"/>
    <cellStyle name="Normale 3 3 2 3 2 2 2 4 4" xfId="29068"/>
    <cellStyle name="Normale 3 3 2 3 2 2 2 5" xfId="4013"/>
    <cellStyle name="Normale 3 3 2 3 2 2 2 5 2" xfId="11476"/>
    <cellStyle name="Normale 3 3 2 3 2 2 2 5 3" xfId="18884"/>
    <cellStyle name="Normale 3 3 2 3 2 2 2 5 4" xfId="29312"/>
    <cellStyle name="Normale 3 3 2 3 2 2 2 6" xfId="4936"/>
    <cellStyle name="Normale 3 3 2 3 2 2 2 6 2" xfId="12399"/>
    <cellStyle name="Normale 3 3 2 3 2 2 2 6 3" xfId="19807"/>
    <cellStyle name="Normale 3 3 2 3 2 2 2 6 4" xfId="26426"/>
    <cellStyle name="Normale 3 3 2 3 2 2 2 7" xfId="5864"/>
    <cellStyle name="Normale 3 3 2 3 2 2 2 7 2" xfId="13327"/>
    <cellStyle name="Normale 3 3 2 3 2 2 2 7 3" xfId="20735"/>
    <cellStyle name="Normale 3 3 2 3 2 2 2 7 4" xfId="26609"/>
    <cellStyle name="Normale 3 3 2 3 2 2 2 8" xfId="6784"/>
    <cellStyle name="Normale 3 3 2 3 2 2 2 8 2" xfId="14247"/>
    <cellStyle name="Normale 3 3 2 3 2 2 2 8 3" xfId="21655"/>
    <cellStyle name="Normale 3 3 2 3 2 2 2 8 4" xfId="29155"/>
    <cellStyle name="Normale 3 3 2 3 2 2 2 9" xfId="7723"/>
    <cellStyle name="Normale 3 3 2 3 2 2 20" xfId="36248"/>
    <cellStyle name="Normale 3 3 2 3 2 2 21" xfId="37171"/>
    <cellStyle name="Normale 3 3 2 3 2 2 3" xfId="1035"/>
    <cellStyle name="Normale 3 3 2 3 2 2 3 2" xfId="8498"/>
    <cellStyle name="Normale 3 3 2 3 2 2 3 3" xfId="15906"/>
    <cellStyle name="Normale 3 3 2 3 2 2 3 4" xfId="24178"/>
    <cellStyle name="Normale 3 3 2 3 2 2 4" xfId="1962"/>
    <cellStyle name="Normale 3 3 2 3 2 2 4 2" xfId="9425"/>
    <cellStyle name="Normale 3 3 2 3 2 2 4 3" xfId="16833"/>
    <cellStyle name="Normale 3 3 2 3 2 2 4 4" xfId="22846"/>
    <cellStyle name="Normale 3 3 2 3 2 2 5" xfId="2888"/>
    <cellStyle name="Normale 3 3 2 3 2 2 5 2" xfId="10351"/>
    <cellStyle name="Normale 3 3 2 3 2 2 5 3" xfId="17759"/>
    <cellStyle name="Normale 3 3 2 3 2 2 5 4" xfId="24950"/>
    <cellStyle name="Normale 3 3 2 3 2 2 6" xfId="3817"/>
    <cellStyle name="Normale 3 3 2 3 2 2 6 2" xfId="11280"/>
    <cellStyle name="Normale 3 3 2 3 2 2 6 3" xfId="18688"/>
    <cellStyle name="Normale 3 3 2 3 2 2 6 4" xfId="25995"/>
    <cellStyle name="Normale 3 3 2 3 2 2 7" xfId="4744"/>
    <cellStyle name="Normale 3 3 2 3 2 2 7 2" xfId="12207"/>
    <cellStyle name="Normale 3 3 2 3 2 2 7 3" xfId="19615"/>
    <cellStyle name="Normale 3 3 2 3 2 2 7 4" xfId="26854"/>
    <cellStyle name="Normale 3 3 2 3 2 2 8" xfId="5671"/>
    <cellStyle name="Normale 3 3 2 3 2 2 8 2" xfId="13134"/>
    <cellStyle name="Normale 3 3 2 3 2 2 8 3" xfId="20542"/>
    <cellStyle name="Normale 3 3 2 3 2 2 8 4" xfId="25588"/>
    <cellStyle name="Normale 3 3 2 3 2 2 9" xfId="6593"/>
    <cellStyle name="Normale 3 3 2 3 2 2 9 2" xfId="14056"/>
    <cellStyle name="Normale 3 3 2 3 2 2 9 3" xfId="21464"/>
    <cellStyle name="Normale 3 3 2 3 2 2 9 4" xfId="24060"/>
    <cellStyle name="Normale 3 3 2 3 2 20" xfId="35321"/>
    <cellStyle name="Normale 3 3 2 3 2 21" xfId="36247"/>
    <cellStyle name="Normale 3 3 2 3 2 22" xfId="37170"/>
    <cellStyle name="Normale 3 3 2 3 2 3" xfId="259"/>
    <cellStyle name="Normale 3 3 2 3 2 3 10" xfId="15132"/>
    <cellStyle name="Normale 3 3 2 3 2 3 11" xfId="27518"/>
    <cellStyle name="Normale 3 3 2 3 2 3 12" xfId="29944"/>
    <cellStyle name="Normale 3 3 2 3 2 3 13" xfId="30876"/>
    <cellStyle name="Normale 3 3 2 3 2 3 14" xfId="31797"/>
    <cellStyle name="Normale 3 3 2 3 2 3 15" xfId="32722"/>
    <cellStyle name="Normale 3 3 2 3 2 3 16" xfId="33659"/>
    <cellStyle name="Normale 3 3 2 3 2 3 17" xfId="34589"/>
    <cellStyle name="Normale 3 3 2 3 2 3 18" xfId="35515"/>
    <cellStyle name="Normale 3 3 2 3 2 3 19" xfId="36441"/>
    <cellStyle name="Normale 3 3 2 3 2 3 2" xfId="1226"/>
    <cellStyle name="Normale 3 3 2 3 2 3 2 2" xfId="8689"/>
    <cellStyle name="Normale 3 3 2 3 2 3 2 3" xfId="16097"/>
    <cellStyle name="Normale 3 3 2 3 2 3 2 4" xfId="24652"/>
    <cellStyle name="Normale 3 3 2 3 2 3 20" xfId="37361"/>
    <cellStyle name="Normale 3 3 2 3 2 3 3" xfId="2157"/>
    <cellStyle name="Normale 3 3 2 3 2 3 3 2" xfId="9620"/>
    <cellStyle name="Normale 3 3 2 3 2 3 3 3" xfId="17028"/>
    <cellStyle name="Normale 3 3 2 3 2 3 3 4" xfId="29095"/>
    <cellStyle name="Normale 3 3 2 3 2 3 4" xfId="3079"/>
    <cellStyle name="Normale 3 3 2 3 2 3 4 2" xfId="10542"/>
    <cellStyle name="Normale 3 3 2 3 2 3 4 3" xfId="17950"/>
    <cellStyle name="Normale 3 3 2 3 2 3 4 4" xfId="22638"/>
    <cellStyle name="Normale 3 3 2 3 2 3 5" xfId="4012"/>
    <cellStyle name="Normale 3 3 2 3 2 3 5 2" xfId="11475"/>
    <cellStyle name="Normale 3 3 2 3 2 3 5 3" xfId="18883"/>
    <cellStyle name="Normale 3 3 2 3 2 3 5 4" xfId="22883"/>
    <cellStyle name="Normale 3 3 2 3 2 3 6" xfId="4935"/>
    <cellStyle name="Normale 3 3 2 3 2 3 6 2" xfId="12398"/>
    <cellStyle name="Normale 3 3 2 3 2 3 6 3" xfId="19806"/>
    <cellStyle name="Normale 3 3 2 3 2 3 6 4" xfId="27334"/>
    <cellStyle name="Normale 3 3 2 3 2 3 7" xfId="5863"/>
    <cellStyle name="Normale 3 3 2 3 2 3 7 2" xfId="13326"/>
    <cellStyle name="Normale 3 3 2 3 2 3 7 3" xfId="20734"/>
    <cellStyle name="Normale 3 3 2 3 2 3 7 4" xfId="27515"/>
    <cellStyle name="Normale 3 3 2 3 2 3 8" xfId="6783"/>
    <cellStyle name="Normale 3 3 2 3 2 3 8 2" xfId="14246"/>
    <cellStyle name="Normale 3 3 2 3 2 3 8 3" xfId="21654"/>
    <cellStyle name="Normale 3 3 2 3 2 3 8 4" xfId="22725"/>
    <cellStyle name="Normale 3 3 2 3 2 3 9" xfId="7722"/>
    <cellStyle name="Normale 3 3 2 3 2 4" xfId="1034"/>
    <cellStyle name="Normale 3 3 2 3 2 4 2" xfId="8497"/>
    <cellStyle name="Normale 3 3 2 3 2 4 3" xfId="15905"/>
    <cellStyle name="Normale 3 3 2 3 2 4 4" xfId="25103"/>
    <cellStyle name="Normale 3 3 2 3 2 5" xfId="1961"/>
    <cellStyle name="Normale 3 3 2 3 2 5 2" xfId="9424"/>
    <cellStyle name="Normale 3 3 2 3 2 5 3" xfId="16832"/>
    <cellStyle name="Normale 3 3 2 3 2 5 4" xfId="23825"/>
    <cellStyle name="Normale 3 3 2 3 2 6" xfId="2887"/>
    <cellStyle name="Normale 3 3 2 3 2 6 2" xfId="10350"/>
    <cellStyle name="Normale 3 3 2 3 2 6 3" xfId="17758"/>
    <cellStyle name="Normale 3 3 2 3 2 6 4" xfId="25861"/>
    <cellStyle name="Normale 3 3 2 3 2 7" xfId="3816"/>
    <cellStyle name="Normale 3 3 2 3 2 7 2" xfId="11279"/>
    <cellStyle name="Normale 3 3 2 3 2 7 3" xfId="18687"/>
    <cellStyle name="Normale 3 3 2 3 2 7 4" xfId="26929"/>
    <cellStyle name="Normale 3 3 2 3 2 8" xfId="4743"/>
    <cellStyle name="Normale 3 3 2 3 2 8 2" xfId="12206"/>
    <cellStyle name="Normale 3 3 2 3 2 8 3" xfId="19614"/>
    <cellStyle name="Normale 3 3 2 3 2 8 4" xfId="27757"/>
    <cellStyle name="Normale 3 3 2 3 2 9" xfId="5670"/>
    <cellStyle name="Normale 3 3 2 3 2 9 2" xfId="13133"/>
    <cellStyle name="Normale 3 3 2 3 2 9 3" xfId="20541"/>
    <cellStyle name="Normale 3 3 2 3 2 9 4" xfId="26517"/>
    <cellStyle name="Normale 3 3 2 3 20" xfId="6591"/>
    <cellStyle name="Normale 3 3 2 3 20 2" xfId="14054"/>
    <cellStyle name="Normale 3 3 2 3 20 3" xfId="21462"/>
    <cellStyle name="Normale 3 3 2 3 20 4" xfId="25897"/>
    <cellStyle name="Normale 3 3 2 3 21" xfId="7525"/>
    <cellStyle name="Normale 3 3 2 3 22" xfId="14934"/>
    <cellStyle name="Normale 3 3 2 3 23" xfId="28237"/>
    <cellStyle name="Normale 3 3 2 3 24" xfId="29751"/>
    <cellStyle name="Normale 3 3 2 3 25" xfId="30681"/>
    <cellStyle name="Normale 3 3 2 3 26" xfId="31604"/>
    <cellStyle name="Normale 3 3 2 3 27" xfId="32530"/>
    <cellStyle name="Normale 3 3 2 3 28" xfId="33464"/>
    <cellStyle name="Normale 3 3 2 3 29" xfId="34392"/>
    <cellStyle name="Normale 3 3 2 3 3" xfId="63"/>
    <cellStyle name="Normale 3 3 2 3 3 10" xfId="7528"/>
    <cellStyle name="Normale 3 3 2 3 3 11" xfId="14937"/>
    <cellStyle name="Normale 3 3 2 3 3 12" xfId="25477"/>
    <cellStyle name="Normale 3 3 2 3 3 13" xfId="29754"/>
    <cellStyle name="Normale 3 3 2 3 3 14" xfId="30684"/>
    <cellStyle name="Normale 3 3 2 3 3 15" xfId="31607"/>
    <cellStyle name="Normale 3 3 2 3 3 16" xfId="32533"/>
    <cellStyle name="Normale 3 3 2 3 3 17" xfId="33467"/>
    <cellStyle name="Normale 3 3 2 3 3 18" xfId="34395"/>
    <cellStyle name="Normale 3 3 2 3 3 19" xfId="35323"/>
    <cellStyle name="Normale 3 3 2 3 3 2" xfId="261"/>
    <cellStyle name="Normale 3 3 2 3 3 2 10" xfId="15134"/>
    <cellStyle name="Normale 3 3 2 3 3 2 11" xfId="25681"/>
    <cellStyle name="Normale 3 3 2 3 3 2 12" xfId="29946"/>
    <cellStyle name="Normale 3 3 2 3 3 2 13" xfId="30878"/>
    <cellStyle name="Normale 3 3 2 3 3 2 14" xfId="31799"/>
    <cellStyle name="Normale 3 3 2 3 3 2 15" xfId="32724"/>
    <cellStyle name="Normale 3 3 2 3 3 2 16" xfId="33661"/>
    <cellStyle name="Normale 3 3 2 3 3 2 17" xfId="34591"/>
    <cellStyle name="Normale 3 3 2 3 3 2 18" xfId="35517"/>
    <cellStyle name="Normale 3 3 2 3 3 2 19" xfId="36443"/>
    <cellStyle name="Normale 3 3 2 3 3 2 2" xfId="1228"/>
    <cellStyle name="Normale 3 3 2 3 3 2 2 2" xfId="8691"/>
    <cellStyle name="Normale 3 3 2 3 3 2 2 3" xfId="16099"/>
    <cellStyle name="Normale 3 3 2 3 3 2 2 4" xfId="22759"/>
    <cellStyle name="Normale 3 3 2 3 3 2 20" xfId="37363"/>
    <cellStyle name="Normale 3 3 2 3 3 2 3" xfId="2159"/>
    <cellStyle name="Normale 3 3 2 3 3 2 3 2" xfId="9622"/>
    <cellStyle name="Normale 3 3 2 3 3 2 3 3" xfId="17030"/>
    <cellStyle name="Normale 3 3 2 3 3 2 3 4" xfId="27263"/>
    <cellStyle name="Normale 3 3 2 3 3 2 4" xfId="3081"/>
    <cellStyle name="Normale 3 3 2 3 3 2 4 2" xfId="10544"/>
    <cellStyle name="Normale 3 3 2 3 3 2 4 3" xfId="17952"/>
    <cellStyle name="Normale 3 3 2 3 3 2 4 4" xfId="28158"/>
    <cellStyle name="Normale 3 3 2 3 3 2 5" xfId="4014"/>
    <cellStyle name="Normale 3 3 2 3 3 2 5 2" xfId="11477"/>
    <cellStyle name="Normale 3 3 2 3 3 2 5 3" xfId="18885"/>
    <cellStyle name="Normale 3 3 2 3 3 2 5 4" xfId="28411"/>
    <cellStyle name="Normale 3 3 2 3 3 2 6" xfId="4937"/>
    <cellStyle name="Normale 3 3 2 3 3 2 6 2" xfId="12400"/>
    <cellStyle name="Normale 3 3 2 3 3 2 6 3" xfId="19808"/>
    <cellStyle name="Normale 3 3 2 3 3 2 6 4" xfId="25498"/>
    <cellStyle name="Normale 3 3 2 3 3 2 7" xfId="5865"/>
    <cellStyle name="Normale 3 3 2 3 3 2 7 2" xfId="13328"/>
    <cellStyle name="Normale 3 3 2 3 3 2 7 3" xfId="20736"/>
    <cellStyle name="Normale 3 3 2 3 3 2 7 4" xfId="25678"/>
    <cellStyle name="Normale 3 3 2 3 3 2 8" xfId="6785"/>
    <cellStyle name="Normale 3 3 2 3 3 2 8 2" xfId="14248"/>
    <cellStyle name="Normale 3 3 2 3 3 2 8 3" xfId="21656"/>
    <cellStyle name="Normale 3 3 2 3 3 2 8 4" xfId="28247"/>
    <cellStyle name="Normale 3 3 2 3 3 2 9" xfId="7724"/>
    <cellStyle name="Normale 3 3 2 3 3 20" xfId="36249"/>
    <cellStyle name="Normale 3 3 2 3 3 21" xfId="37172"/>
    <cellStyle name="Normale 3 3 2 3 3 3" xfId="1036"/>
    <cellStyle name="Normale 3 3 2 3 3 3 2" xfId="8499"/>
    <cellStyle name="Normale 3 3 2 3 3 3 3" xfId="15907"/>
    <cellStyle name="Normale 3 3 2 3 3 3 4" xfId="23166"/>
    <cellStyle name="Normale 3 3 2 3 3 4" xfId="1963"/>
    <cellStyle name="Normale 3 3 2 3 3 4 2" xfId="9426"/>
    <cellStyle name="Normale 3 3 2 3 3 4 3" xfId="16834"/>
    <cellStyle name="Normale 3 3 2 3 3 4 4" xfId="29277"/>
    <cellStyle name="Normale 3 3 2 3 3 5" xfId="2889"/>
    <cellStyle name="Normale 3 3 2 3 3 5 2" xfId="10352"/>
    <cellStyle name="Normale 3 3 2 3 3 5 3" xfId="17760"/>
    <cellStyle name="Normale 3 3 2 3 3 5 4" xfId="24025"/>
    <cellStyle name="Normale 3 3 2 3 3 6" xfId="3818"/>
    <cellStyle name="Normale 3 3 2 3 3 6 2" xfId="11281"/>
    <cellStyle name="Normale 3 3 2 3 3 6 3" xfId="18689"/>
    <cellStyle name="Normale 3 3 2 3 3 6 4" xfId="25085"/>
    <cellStyle name="Normale 3 3 2 3 3 7" xfId="4745"/>
    <cellStyle name="Normale 3 3 2 3 3 7 2" xfId="12208"/>
    <cellStyle name="Normale 3 3 2 3 3 7 3" xfId="19616"/>
    <cellStyle name="Normale 3 3 2 3 3 7 4" xfId="25920"/>
    <cellStyle name="Normale 3 3 2 3 3 8" xfId="5672"/>
    <cellStyle name="Normale 3 3 2 3 3 8 2" xfId="13135"/>
    <cellStyle name="Normale 3 3 2 3 3 8 3" xfId="20543"/>
    <cellStyle name="Normale 3 3 2 3 3 8 4" xfId="24673"/>
    <cellStyle name="Normale 3 3 2 3 3 9" xfId="6594"/>
    <cellStyle name="Normale 3 3 2 3 3 9 2" xfId="14057"/>
    <cellStyle name="Normale 3 3 2 3 3 9 3" xfId="21465"/>
    <cellStyle name="Normale 3 3 2 3 3 9 4" xfId="23053"/>
    <cellStyle name="Normale 3 3 2 3 30" xfId="35320"/>
    <cellStyle name="Normale 3 3 2 3 31" xfId="36246"/>
    <cellStyle name="Normale 3 3 2 3 32" xfId="37169"/>
    <cellStyle name="Normale 3 3 2 3 4" xfId="258"/>
    <cellStyle name="Normale 3 3 2 3 4 10" xfId="15131"/>
    <cellStyle name="Normale 3 3 2 3 4 11" xfId="28444"/>
    <cellStyle name="Normale 3 3 2 3 4 12" xfId="29943"/>
    <cellStyle name="Normale 3 3 2 3 4 13" xfId="30875"/>
    <cellStyle name="Normale 3 3 2 3 4 14" xfId="31796"/>
    <cellStyle name="Normale 3 3 2 3 4 15" xfId="32721"/>
    <cellStyle name="Normale 3 3 2 3 4 16" xfId="33658"/>
    <cellStyle name="Normale 3 3 2 3 4 17" xfId="34588"/>
    <cellStyle name="Normale 3 3 2 3 4 18" xfId="35514"/>
    <cellStyle name="Normale 3 3 2 3 4 19" xfId="36440"/>
    <cellStyle name="Normale 3 3 2 3 4 2" xfId="1225"/>
    <cellStyle name="Normale 3 3 2 3 4 2 2" xfId="8688"/>
    <cellStyle name="Normale 3 3 2 3 4 2 3" xfId="16096"/>
    <cellStyle name="Normale 3 3 2 3 4 2 4" xfId="25569"/>
    <cellStyle name="Normale 3 3 2 3 4 20" xfId="37360"/>
    <cellStyle name="Normale 3 3 2 3 4 3" xfId="2156"/>
    <cellStyle name="Normale 3 3 2 3 4 3 2" xfId="9619"/>
    <cellStyle name="Normale 3 3 2 3 4 3 3" xfId="17027"/>
    <cellStyle name="Normale 3 3 2 3 4 3 4" xfId="22665"/>
    <cellStyle name="Normale 3 3 2 3 4 4" xfId="3078"/>
    <cellStyle name="Normale 3 3 2 3 4 4 2" xfId="10541"/>
    <cellStyle name="Normale 3 3 2 3 4 4 3" xfId="17949"/>
    <cellStyle name="Normale 3 3 2 3 4 4 4" xfId="23672"/>
    <cellStyle name="Normale 3 3 2 3 4 5" xfId="4011"/>
    <cellStyle name="Normale 3 3 2 3 4 5 2" xfId="11474"/>
    <cellStyle name="Normale 3 3 2 3 4 5 3" xfId="18882"/>
    <cellStyle name="Normale 3 3 2 3 4 5 4" xfId="23870"/>
    <cellStyle name="Normale 3 3 2 3 4 6" xfId="4934"/>
    <cellStyle name="Normale 3 3 2 3 4 6 2" xfId="12397"/>
    <cellStyle name="Normale 3 3 2 3 4 6 3" xfId="19805"/>
    <cellStyle name="Normale 3 3 2 3 4 6 4" xfId="28258"/>
    <cellStyle name="Normale 3 3 2 3 4 7" xfId="5862"/>
    <cellStyle name="Normale 3 3 2 3 4 7 2" xfId="13325"/>
    <cellStyle name="Normale 3 3 2 3 4 7 3" xfId="20733"/>
    <cellStyle name="Normale 3 3 2 3 4 7 4" xfId="28441"/>
    <cellStyle name="Normale 3 3 2 3 4 8" xfId="6782"/>
    <cellStyle name="Normale 3 3 2 3 4 8 2" xfId="14245"/>
    <cellStyle name="Normale 3 3 2 3 4 8 3" xfId="21653"/>
    <cellStyle name="Normale 3 3 2 3 4 8 4" xfId="23696"/>
    <cellStyle name="Normale 3 3 2 3 4 9" xfId="7721"/>
    <cellStyle name="Normale 3 3 2 3 5" xfId="415"/>
    <cellStyle name="Normale 3 3 2 3 5 10" xfId="15288"/>
    <cellStyle name="Normale 3 3 2 3 5 11" xfId="24112"/>
    <cellStyle name="Normale 3 3 2 3 5 12" xfId="30100"/>
    <cellStyle name="Normale 3 3 2 3 5 13" xfId="31032"/>
    <cellStyle name="Normale 3 3 2 3 5 14" xfId="31953"/>
    <cellStyle name="Normale 3 3 2 3 5 15" xfId="32877"/>
    <cellStyle name="Normale 3 3 2 3 5 16" xfId="33815"/>
    <cellStyle name="Normale 3 3 2 3 5 17" xfId="34745"/>
    <cellStyle name="Normale 3 3 2 3 5 18" xfId="35671"/>
    <cellStyle name="Normale 3 3 2 3 5 19" xfId="36597"/>
    <cellStyle name="Normale 3 3 2 3 5 2" xfId="1382"/>
    <cellStyle name="Normale 3 3 2 3 5 2 2" xfId="8845"/>
    <cellStyle name="Normale 3 3 2 3 5 2 3" xfId="16253"/>
    <cellStyle name="Normale 3 3 2 3 5 2 4" xfId="28672"/>
    <cellStyle name="Normale 3 3 2 3 5 20" xfId="37516"/>
    <cellStyle name="Normale 3 3 2 3 5 3" xfId="2313"/>
    <cellStyle name="Normale 3 3 2 3 5 3 2" xfId="9776"/>
    <cellStyle name="Normale 3 3 2 3 5 3 3" xfId="17184"/>
    <cellStyle name="Normale 3 3 2 3 5 3 4" xfId="25864"/>
    <cellStyle name="Normale 3 3 2 3 5 4" xfId="3235"/>
    <cellStyle name="Normale 3 3 2 3 5 4 2" xfId="10698"/>
    <cellStyle name="Normale 3 3 2 3 5 4 3" xfId="18106"/>
    <cellStyle name="Normale 3 3 2 3 5 4 4" xfId="23370"/>
    <cellStyle name="Normale 3 3 2 3 5 5" xfId="4168"/>
    <cellStyle name="Normale 3 3 2 3 5 5 2" xfId="11631"/>
    <cellStyle name="Normale 3 3 2 3 5 5 3" xfId="19039"/>
    <cellStyle name="Normale 3 3 2 3 5 5 4" xfId="26479"/>
    <cellStyle name="Normale 3 3 2 3 5 6" xfId="5091"/>
    <cellStyle name="Normale 3 3 2 3 5 6 2" xfId="12554"/>
    <cellStyle name="Normale 3 3 2 3 5 6 3" xfId="19962"/>
    <cellStyle name="Normale 3 3 2 3 5 6 4" xfId="24073"/>
    <cellStyle name="Normale 3 3 2 3 5 7" xfId="6019"/>
    <cellStyle name="Normale 3 3 2 3 5 7 2" xfId="13482"/>
    <cellStyle name="Normale 3 3 2 3 5 7 3" xfId="20890"/>
    <cellStyle name="Normale 3 3 2 3 5 7 4" xfId="23972"/>
    <cellStyle name="Normale 3 3 2 3 5 8" xfId="6938"/>
    <cellStyle name="Normale 3 3 2 3 5 8 2" xfId="14401"/>
    <cellStyle name="Normale 3 3 2 3 5 8 3" xfId="21809"/>
    <cellStyle name="Normale 3 3 2 3 5 8 4" xfId="22815"/>
    <cellStyle name="Normale 3 3 2 3 5 9" xfId="7878"/>
    <cellStyle name="Normale 3 3 2 3 6" xfId="463"/>
    <cellStyle name="Normale 3 3 2 3 6 10" xfId="15336"/>
    <cellStyle name="Normale 3 3 2 3 6 11" xfId="23737"/>
    <cellStyle name="Normale 3 3 2 3 6 12" xfId="30148"/>
    <cellStyle name="Normale 3 3 2 3 6 13" xfId="31080"/>
    <cellStyle name="Normale 3 3 2 3 6 14" xfId="32001"/>
    <cellStyle name="Normale 3 3 2 3 6 15" xfId="32924"/>
    <cellStyle name="Normale 3 3 2 3 6 16" xfId="33863"/>
    <cellStyle name="Normale 3 3 2 3 6 17" xfId="34793"/>
    <cellStyle name="Normale 3 3 2 3 6 18" xfId="35719"/>
    <cellStyle name="Normale 3 3 2 3 6 19" xfId="36645"/>
    <cellStyle name="Normale 3 3 2 3 6 2" xfId="1430"/>
    <cellStyle name="Normale 3 3 2 3 6 2 2" xfId="8893"/>
    <cellStyle name="Normale 3 3 2 3 6 2 3" xfId="16301"/>
    <cellStyle name="Normale 3 3 2 3 6 2 4" xfId="26896"/>
    <cellStyle name="Normale 3 3 2 3 6 20" xfId="37563"/>
    <cellStyle name="Normale 3 3 2 3 6 3" xfId="2361"/>
    <cellStyle name="Normale 3 3 2 3 6 3 2" xfId="9824"/>
    <cellStyle name="Normale 3 3 2 3 6 3 3" xfId="17232"/>
    <cellStyle name="Normale 3 3 2 3 6 3 4" xfId="25514"/>
    <cellStyle name="Normale 3 3 2 3 6 4" xfId="3283"/>
    <cellStyle name="Normale 3 3 2 3 6 4 2" xfId="10746"/>
    <cellStyle name="Normale 3 3 2 3 6 4 3" xfId="18154"/>
    <cellStyle name="Normale 3 3 2 3 6 4 4" xfId="23816"/>
    <cellStyle name="Normale 3 3 2 3 6 5" xfId="4216"/>
    <cellStyle name="Normale 3 3 2 3 6 5 2" xfId="11679"/>
    <cellStyle name="Normale 3 3 2 3 6 5 3" xfId="19087"/>
    <cellStyle name="Normale 3 3 2 3 6 5 4" xfId="26299"/>
    <cellStyle name="Normale 3 3 2 3 6 6" xfId="5139"/>
    <cellStyle name="Normale 3 3 2 3 6 6 2" xfId="12602"/>
    <cellStyle name="Normale 3 3 2 3 6 6 3" xfId="20010"/>
    <cellStyle name="Normale 3 3 2 3 6 6 4" xfId="29548"/>
    <cellStyle name="Normale 3 3 2 3 6 7" xfId="6067"/>
    <cellStyle name="Normale 3 3 2 3 6 7 2" xfId="13530"/>
    <cellStyle name="Normale 3 3 2 3 6 7 3" xfId="20938"/>
    <cellStyle name="Normale 3 3 2 3 6 7 4" xfId="23700"/>
    <cellStyle name="Normale 3 3 2 3 6 8" xfId="6985"/>
    <cellStyle name="Normale 3 3 2 3 6 8 2" xfId="14448"/>
    <cellStyle name="Normale 3 3 2 3 6 8 3" xfId="21856"/>
    <cellStyle name="Normale 3 3 2 3 6 8 4" xfId="25627"/>
    <cellStyle name="Normale 3 3 2 3 6 9" xfId="7926"/>
    <cellStyle name="Normale 3 3 2 3 7" xfId="511"/>
    <cellStyle name="Normale 3 3 2 3 7 10" xfId="15384"/>
    <cellStyle name="Normale 3 3 2 3 7 11" xfId="23628"/>
    <cellStyle name="Normale 3 3 2 3 7 12" xfId="30195"/>
    <cellStyle name="Normale 3 3 2 3 7 13" xfId="31128"/>
    <cellStyle name="Normale 3 3 2 3 7 14" xfId="32048"/>
    <cellStyle name="Normale 3 3 2 3 7 15" xfId="32970"/>
    <cellStyle name="Normale 3 3 2 3 7 16" xfId="33911"/>
    <cellStyle name="Normale 3 3 2 3 7 17" xfId="34841"/>
    <cellStyle name="Normale 3 3 2 3 7 18" xfId="35767"/>
    <cellStyle name="Normale 3 3 2 3 7 19" xfId="36693"/>
    <cellStyle name="Normale 3 3 2 3 7 2" xfId="1478"/>
    <cellStyle name="Normale 3 3 2 3 7 2 2" xfId="8941"/>
    <cellStyle name="Normale 3 3 2 3 7 2 3" xfId="16349"/>
    <cellStyle name="Normale 3 3 2 3 7 2 4" xfId="25252"/>
    <cellStyle name="Normale 3 3 2 3 7 20" xfId="37609"/>
    <cellStyle name="Normale 3 3 2 3 7 3" xfId="2409"/>
    <cellStyle name="Normale 3 3 2 3 7 3 2" xfId="9872"/>
    <cellStyle name="Normale 3 3 2 3 7 3 3" xfId="17280"/>
    <cellStyle name="Normale 3 3 2 3 7 3 4" xfId="24309"/>
    <cellStyle name="Normale 3 3 2 3 7 4" xfId="3330"/>
    <cellStyle name="Normale 3 3 2 3 7 4 2" xfId="10793"/>
    <cellStyle name="Normale 3 3 2 3 7 4 3" xfId="18201"/>
    <cellStyle name="Normale 3 3 2 3 7 4 4" xfId="26760"/>
    <cellStyle name="Normale 3 3 2 3 7 5" xfId="4264"/>
    <cellStyle name="Normale 3 3 2 3 7 5 2" xfId="11727"/>
    <cellStyle name="Normale 3 3 2 3 7 5 3" xfId="19135"/>
    <cellStyle name="Normale 3 3 2 3 7 5 4" xfId="26785"/>
    <cellStyle name="Normale 3 3 2 3 7 6" xfId="5186"/>
    <cellStyle name="Normale 3 3 2 3 7 6 2" xfId="12649"/>
    <cellStyle name="Normale 3 3 2 3 7 6 3" xfId="20057"/>
    <cellStyle name="Normale 3 3 2 3 7 6 4" xfId="29018"/>
    <cellStyle name="Normale 3 3 2 3 7 7" xfId="6115"/>
    <cellStyle name="Normale 3 3 2 3 7 7 2" xfId="13578"/>
    <cellStyle name="Normale 3 3 2 3 7 7 3" xfId="20986"/>
    <cellStyle name="Normale 3 3 2 3 7 7 4" xfId="23489"/>
    <cellStyle name="Normale 3 3 2 3 7 8" xfId="7031"/>
    <cellStyle name="Normale 3 3 2 3 7 8 2" xfId="14494"/>
    <cellStyle name="Normale 3 3 2 3 7 8 3" xfId="21902"/>
    <cellStyle name="Normale 3 3 2 3 7 8 4" xfId="27666"/>
    <cellStyle name="Normale 3 3 2 3 7 9" xfId="7974"/>
    <cellStyle name="Normale 3 3 2 3 8" xfId="563"/>
    <cellStyle name="Normale 3 3 2 3 8 10" xfId="15436"/>
    <cellStyle name="Normale 3 3 2 3 8 11" xfId="27642"/>
    <cellStyle name="Normale 3 3 2 3 8 12" xfId="30246"/>
    <cellStyle name="Normale 3 3 2 3 8 13" xfId="31180"/>
    <cellStyle name="Normale 3 3 2 3 8 14" xfId="32099"/>
    <cellStyle name="Normale 3 3 2 3 8 15" xfId="33020"/>
    <cellStyle name="Normale 3 3 2 3 8 16" xfId="33963"/>
    <cellStyle name="Normale 3 3 2 3 8 17" xfId="34893"/>
    <cellStyle name="Normale 3 3 2 3 8 18" xfId="35819"/>
    <cellStyle name="Normale 3 3 2 3 8 19" xfId="36745"/>
    <cellStyle name="Normale 3 3 2 3 8 2" xfId="1530"/>
    <cellStyle name="Normale 3 3 2 3 8 2 2" xfId="8993"/>
    <cellStyle name="Normale 3 3 2 3 8 2 3" xfId="16401"/>
    <cellStyle name="Normale 3 3 2 3 8 2 4" xfId="22758"/>
    <cellStyle name="Normale 3 3 2 3 8 20" xfId="37659"/>
    <cellStyle name="Normale 3 3 2 3 8 3" xfId="2461"/>
    <cellStyle name="Normale 3 3 2 3 8 3 2" xfId="9924"/>
    <cellStyle name="Normale 3 3 2 3 8 3 3" xfId="17332"/>
    <cellStyle name="Normale 3 3 2 3 8 3 4" xfId="29375"/>
    <cellStyle name="Normale 3 3 2 3 8 4" xfId="3381"/>
    <cellStyle name="Normale 3 3 2 3 8 4 2" xfId="10844"/>
    <cellStyle name="Normale 3 3 2 3 8 4 3" xfId="18252"/>
    <cellStyle name="Normale 3 3 2 3 8 4 4" xfId="29466"/>
    <cellStyle name="Normale 3 3 2 3 8 5" xfId="4316"/>
    <cellStyle name="Normale 3 3 2 3 8 5 2" xfId="11779"/>
    <cellStyle name="Normale 3 3 2 3 8 5 3" xfId="19187"/>
    <cellStyle name="Normale 3 3 2 3 8 5 4" xfId="27338"/>
    <cellStyle name="Normale 3 3 2 3 8 6" xfId="5237"/>
    <cellStyle name="Normale 3 3 2 3 8 6 2" xfId="12700"/>
    <cellStyle name="Normale 3 3 2 3 8 6 3" xfId="20108"/>
    <cellStyle name="Normale 3 3 2 3 8 6 4" xfId="27333"/>
    <cellStyle name="Normale 3 3 2 3 8 7" xfId="6167"/>
    <cellStyle name="Normale 3 3 2 3 8 7 2" xfId="13630"/>
    <cellStyle name="Normale 3 3 2 3 8 7 3" xfId="21038"/>
    <cellStyle name="Normale 3 3 2 3 8 7 4" xfId="27605"/>
    <cellStyle name="Normale 3 3 2 3 8 8" xfId="7081"/>
    <cellStyle name="Normale 3 3 2 3 8 8 2" xfId="14544"/>
    <cellStyle name="Normale 3 3 2 3 8 8 3" xfId="21952"/>
    <cellStyle name="Normale 3 3 2 3 8 8 4" xfId="25484"/>
    <cellStyle name="Normale 3 3 2 3 8 9" xfId="8026"/>
    <cellStyle name="Normale 3 3 2 3 9" xfId="623"/>
    <cellStyle name="Normale 3 3 2 3 9 10" xfId="15495"/>
    <cellStyle name="Normale 3 3 2 3 9 11" xfId="27111"/>
    <cellStyle name="Normale 3 3 2 3 9 12" xfId="30302"/>
    <cellStyle name="Normale 3 3 2 3 9 13" xfId="31239"/>
    <cellStyle name="Normale 3 3 2 3 9 14" xfId="32156"/>
    <cellStyle name="Normale 3 3 2 3 9 15" xfId="33075"/>
    <cellStyle name="Normale 3 3 2 3 9 16" xfId="34022"/>
    <cellStyle name="Normale 3 3 2 3 9 17" xfId="34953"/>
    <cellStyle name="Normale 3 3 2 3 9 18" xfId="35879"/>
    <cellStyle name="Normale 3 3 2 3 9 19" xfId="36804"/>
    <cellStyle name="Normale 3 3 2 3 9 2" xfId="1589"/>
    <cellStyle name="Normale 3 3 2 3 9 2 2" xfId="9052"/>
    <cellStyle name="Normale 3 3 2 3 9 2 3" xfId="16460"/>
    <cellStyle name="Normale 3 3 2 3 9 2 4" xfId="26368"/>
    <cellStyle name="Normale 3 3 2 3 9 20" xfId="37714"/>
    <cellStyle name="Normale 3 3 2 3 9 3" xfId="2521"/>
    <cellStyle name="Normale 3 3 2 3 9 3 2" xfId="9984"/>
    <cellStyle name="Normale 3 3 2 3 9 3 3" xfId="17392"/>
    <cellStyle name="Normale 3 3 2 3 9 3 4" xfId="24501"/>
    <cellStyle name="Normale 3 3 2 3 9 4" xfId="3439"/>
    <cellStyle name="Normale 3 3 2 3 9 4 2" xfId="10902"/>
    <cellStyle name="Normale 3 3 2 3 9 4 3" xfId="18310"/>
    <cellStyle name="Normale 3 3 2 3 9 4 4" xfId="27545"/>
    <cellStyle name="Normale 3 3 2 3 9 5" xfId="4376"/>
    <cellStyle name="Normale 3 3 2 3 9 5 2" xfId="11839"/>
    <cellStyle name="Normale 3 3 2 3 9 5 3" xfId="19247"/>
    <cellStyle name="Normale 3 3 2 3 9 5 4" xfId="22419"/>
    <cellStyle name="Normale 3 3 2 3 9 6" xfId="5294"/>
    <cellStyle name="Normale 3 3 2 3 9 6 2" xfId="12757"/>
    <cellStyle name="Normale 3 3 2 3 9 6 3" xfId="20165"/>
    <cellStyle name="Normale 3 3 2 3 9 6 4" xfId="25346"/>
    <cellStyle name="Normale 3 3 2 3 9 7" xfId="6227"/>
    <cellStyle name="Normale 3 3 2 3 9 7 2" xfId="13690"/>
    <cellStyle name="Normale 3 3 2 3 9 7 3" xfId="21098"/>
    <cellStyle name="Normale 3 3 2 3 9 7 4" xfId="22561"/>
    <cellStyle name="Normale 3 3 2 3 9 8" xfId="7136"/>
    <cellStyle name="Normale 3 3 2 3 9 8 2" xfId="14599"/>
    <cellStyle name="Normale 3 3 2 3 9 8 3" xfId="22007"/>
    <cellStyle name="Normale 3 3 2 3 9 8 4" xfId="27816"/>
    <cellStyle name="Normale 3 3 2 3 9 9" xfId="8086"/>
    <cellStyle name="Normale 3 3 2 30" xfId="32525"/>
    <cellStyle name="Normale 3 3 2 31" xfId="33459"/>
    <cellStyle name="Normale 3 3 2 32" xfId="34387"/>
    <cellStyle name="Normale 3 3 2 33" xfId="35315"/>
    <cellStyle name="Normale 3 3 2 34" xfId="36241"/>
    <cellStyle name="Normale 3 3 2 35" xfId="37164"/>
    <cellStyle name="Normale 3 3 2 4" xfId="64"/>
    <cellStyle name="Normale 3 3 2 4 10" xfId="702"/>
    <cellStyle name="Normale 3 3 2 4 10 10" xfId="15573"/>
    <cellStyle name="Normale 3 3 2 4 10 11" xfId="29461"/>
    <cellStyle name="Normale 3 3 2 4 10 12" xfId="30376"/>
    <cellStyle name="Normale 3 3 2 4 10 13" xfId="31317"/>
    <cellStyle name="Normale 3 3 2 4 10 14" xfId="32230"/>
    <cellStyle name="Normale 3 3 2 4 10 15" xfId="33148"/>
    <cellStyle name="Normale 3 3 2 4 10 16" xfId="34100"/>
    <cellStyle name="Normale 3 3 2 4 10 17" xfId="35032"/>
    <cellStyle name="Normale 3 3 2 4 10 18" xfId="35958"/>
    <cellStyle name="Normale 3 3 2 4 10 19" xfId="36883"/>
    <cellStyle name="Normale 3 3 2 4 10 2" xfId="1667"/>
    <cellStyle name="Normale 3 3 2 4 10 2 2" xfId="9130"/>
    <cellStyle name="Normale 3 3 2 4 10 2 3" xfId="16538"/>
    <cellStyle name="Normale 3 3 2 4 10 2 4" xfId="29187"/>
    <cellStyle name="Normale 3 3 2 4 10 20" xfId="37787"/>
    <cellStyle name="Normale 3 3 2 4 10 3" xfId="2600"/>
    <cellStyle name="Normale 3 3 2 4 10 3 2" xfId="10063"/>
    <cellStyle name="Normale 3 3 2 4 10 3 3" xfId="17471"/>
    <cellStyle name="Normale 3 3 2 4 10 3 4" xfId="26128"/>
    <cellStyle name="Normale 3 3 2 4 10 4" xfId="3516"/>
    <cellStyle name="Normale 3 3 2 4 10 4 2" xfId="10979"/>
    <cellStyle name="Normale 3 3 2 4 10 4 3" xfId="18387"/>
    <cellStyle name="Normale 3 3 2 4 10 4 4" xfId="28873"/>
    <cellStyle name="Normale 3 3 2 4 10 5" xfId="4455"/>
    <cellStyle name="Normale 3 3 2 4 10 5 2" xfId="11918"/>
    <cellStyle name="Normale 3 3 2 4 10 5 3" xfId="19326"/>
    <cellStyle name="Normale 3 3 2 4 10 5 4" xfId="27539"/>
    <cellStyle name="Normale 3 3 2 4 10 6" xfId="5371"/>
    <cellStyle name="Normale 3 3 2 4 10 6 2" xfId="12834"/>
    <cellStyle name="Normale 3 3 2 4 10 6 3" xfId="20242"/>
    <cellStyle name="Normale 3 3 2 4 10 6 4" xfId="29164"/>
    <cellStyle name="Normale 3 3 2 4 10 7" xfId="6304"/>
    <cellStyle name="Normale 3 3 2 4 10 7 2" xfId="13767"/>
    <cellStyle name="Normale 3 3 2 4 10 7 3" xfId="21175"/>
    <cellStyle name="Normale 3 3 2 4 10 7 4" xfId="26700"/>
    <cellStyle name="Normale 3 3 2 4 10 8" xfId="7209"/>
    <cellStyle name="Normale 3 3 2 4 10 8 2" xfId="14672"/>
    <cellStyle name="Normale 3 3 2 4 10 8 3" xfId="22080"/>
    <cellStyle name="Normale 3 3 2 4 10 8 4" xfId="22533"/>
    <cellStyle name="Normale 3 3 2 4 10 9" xfId="8165"/>
    <cellStyle name="Normale 3 3 2 4 11" xfId="774"/>
    <cellStyle name="Normale 3 3 2 4 11 10" xfId="15645"/>
    <cellStyle name="Normale 3 3 2 4 11 11" xfId="28276"/>
    <cellStyle name="Normale 3 3 2 4 11 12" xfId="30446"/>
    <cellStyle name="Normale 3 3 2 4 11 13" xfId="31389"/>
    <cellStyle name="Normale 3 3 2 4 11 14" xfId="32301"/>
    <cellStyle name="Normale 3 3 2 4 11 15" xfId="33217"/>
    <cellStyle name="Normale 3 3 2 4 11 16" xfId="34172"/>
    <cellStyle name="Normale 3 3 2 4 11 17" xfId="35104"/>
    <cellStyle name="Normale 3 3 2 4 11 18" xfId="36030"/>
    <cellStyle name="Normale 3 3 2 4 11 19" xfId="36955"/>
    <cellStyle name="Normale 3 3 2 4 11 2" xfId="1739"/>
    <cellStyle name="Normale 3 3 2 4 11 2 2" xfId="9202"/>
    <cellStyle name="Normale 3 3 2 4 11 2 3" xfId="16610"/>
    <cellStyle name="Normale 3 3 2 4 11 2 4" xfId="29657"/>
    <cellStyle name="Normale 3 3 2 4 11 20" xfId="37856"/>
    <cellStyle name="Normale 3 3 2 4 11 3" xfId="2672"/>
    <cellStyle name="Normale 3 3 2 4 11 3 2" xfId="10135"/>
    <cellStyle name="Normale 3 3 2 4 11 3 3" xfId="17543"/>
    <cellStyle name="Normale 3 3 2 4 11 3 4" xfId="26340"/>
    <cellStyle name="Normale 3 3 2 4 11 4" xfId="3587"/>
    <cellStyle name="Normale 3 3 2 4 11 4 2" xfId="11050"/>
    <cellStyle name="Normale 3 3 2 4 11 4 3" xfId="18458"/>
    <cellStyle name="Normale 3 3 2 4 11 4 4" xfId="23814"/>
    <cellStyle name="Normale 3 3 2 4 11 5" xfId="4527"/>
    <cellStyle name="Normale 3 3 2 4 11 5 2" xfId="11990"/>
    <cellStyle name="Normale 3 3 2 4 11 5 3" xfId="19398"/>
    <cellStyle name="Normale 3 3 2 4 11 5 4" xfId="29406"/>
    <cellStyle name="Normale 3 3 2 4 11 6" xfId="5442"/>
    <cellStyle name="Normale 3 3 2 4 11 6 2" xfId="12905"/>
    <cellStyle name="Normale 3 3 2 4 11 6 3" xfId="20313"/>
    <cellStyle name="Normale 3 3 2 4 11 6 4" xfId="23204"/>
    <cellStyle name="Normale 3 3 2 4 11 7" xfId="6376"/>
    <cellStyle name="Normale 3 3 2 4 11 7 2" xfId="13839"/>
    <cellStyle name="Normale 3 3 2 4 11 7 3" xfId="21247"/>
    <cellStyle name="Normale 3 3 2 4 11 7 4" xfId="26685"/>
    <cellStyle name="Normale 3 3 2 4 11 8" xfId="7278"/>
    <cellStyle name="Normale 3 3 2 4 11 8 2" xfId="14741"/>
    <cellStyle name="Normale 3 3 2 4 11 8 3" xfId="22149"/>
    <cellStyle name="Normale 3 3 2 4 11 8 4" xfId="25958"/>
    <cellStyle name="Normale 3 3 2 4 11 9" xfId="8237"/>
    <cellStyle name="Normale 3 3 2 4 12" xfId="847"/>
    <cellStyle name="Normale 3 3 2 4 12 10" xfId="15718"/>
    <cellStyle name="Normale 3 3 2 4 12 11" xfId="27858"/>
    <cellStyle name="Normale 3 3 2 4 12 12" xfId="30516"/>
    <cellStyle name="Normale 3 3 2 4 12 13" xfId="31462"/>
    <cellStyle name="Normale 3 3 2 4 12 14" xfId="32373"/>
    <cellStyle name="Normale 3 3 2 4 12 15" xfId="33286"/>
    <cellStyle name="Normale 3 3 2 4 12 16" xfId="34245"/>
    <cellStyle name="Normale 3 3 2 4 12 17" xfId="35177"/>
    <cellStyle name="Normale 3 3 2 4 12 18" xfId="36103"/>
    <cellStyle name="Normale 3 3 2 4 12 19" xfId="37028"/>
    <cellStyle name="Normale 3 3 2 4 12 2" xfId="1812"/>
    <cellStyle name="Normale 3 3 2 4 12 2 2" xfId="9275"/>
    <cellStyle name="Normale 3 3 2 4 12 2 3" xfId="16683"/>
    <cellStyle name="Normale 3 3 2 4 12 2 4" xfId="25518"/>
    <cellStyle name="Normale 3 3 2 4 12 20" xfId="37925"/>
    <cellStyle name="Normale 3 3 2 4 12 3" xfId="2745"/>
    <cellStyle name="Normale 3 3 2 4 12 3 2" xfId="10208"/>
    <cellStyle name="Normale 3 3 2 4 12 3 3" xfId="17616"/>
    <cellStyle name="Normale 3 3 2 4 12 3 4" xfId="22651"/>
    <cellStyle name="Normale 3 3 2 4 12 4" xfId="3659"/>
    <cellStyle name="Normale 3 3 2 4 12 4 2" xfId="11122"/>
    <cellStyle name="Normale 3 3 2 4 12 4 3" xfId="18530"/>
    <cellStyle name="Normale 3 3 2 4 12 4 4" xfId="22627"/>
    <cellStyle name="Normale 3 3 2 4 12 5" xfId="4600"/>
    <cellStyle name="Normale 3 3 2 4 12 5 2" xfId="12063"/>
    <cellStyle name="Normale 3 3 2 4 12 5 3" xfId="19471"/>
    <cellStyle name="Normale 3 3 2 4 12 5 4" xfId="26290"/>
    <cellStyle name="Normale 3 3 2 4 12 6" xfId="5514"/>
    <cellStyle name="Normale 3 3 2 4 12 6 2" xfId="12977"/>
    <cellStyle name="Normale 3 3 2 4 12 6 3" xfId="20385"/>
    <cellStyle name="Normale 3 3 2 4 12 6 4" xfId="27331"/>
    <cellStyle name="Normale 3 3 2 4 12 7" xfId="6449"/>
    <cellStyle name="Normale 3 3 2 4 12 7 2" xfId="13912"/>
    <cellStyle name="Normale 3 3 2 4 12 7 3" xfId="21320"/>
    <cellStyle name="Normale 3 3 2 4 12 7 4" xfId="23481"/>
    <cellStyle name="Normale 3 3 2 4 12 8" xfId="7347"/>
    <cellStyle name="Normale 3 3 2 4 12 8 2" xfId="14810"/>
    <cellStyle name="Normale 3 3 2 4 12 8 3" xfId="22218"/>
    <cellStyle name="Normale 3 3 2 4 12 8 4" xfId="28049"/>
    <cellStyle name="Normale 3 3 2 4 12 9" xfId="8310"/>
    <cellStyle name="Normale 3 3 2 4 13" xfId="917"/>
    <cellStyle name="Normale 3 3 2 4 13 10" xfId="15788"/>
    <cellStyle name="Normale 3 3 2 4 13 11" xfId="28938"/>
    <cellStyle name="Normale 3 3 2 4 13 12" xfId="30583"/>
    <cellStyle name="Normale 3 3 2 4 13 13" xfId="31531"/>
    <cellStyle name="Normale 3 3 2 4 13 14" xfId="32442"/>
    <cellStyle name="Normale 3 3 2 4 13 15" xfId="33352"/>
    <cellStyle name="Normale 3 3 2 4 13 16" xfId="34315"/>
    <cellStyle name="Normale 3 3 2 4 13 17" xfId="35247"/>
    <cellStyle name="Normale 3 3 2 4 13 18" xfId="36172"/>
    <cellStyle name="Normale 3 3 2 4 13 19" xfId="37098"/>
    <cellStyle name="Normale 3 3 2 4 13 2" xfId="1882"/>
    <cellStyle name="Normale 3 3 2 4 13 2 2" xfId="9345"/>
    <cellStyle name="Normale 3 3 2 4 13 2 3" xfId="16753"/>
    <cellStyle name="Normale 3 3 2 4 13 2 4" xfId="27844"/>
    <cellStyle name="Normale 3 3 2 4 13 20" xfId="37991"/>
    <cellStyle name="Normale 3 3 2 4 13 3" xfId="2814"/>
    <cellStyle name="Normale 3 3 2 4 13 3 2" xfId="10277"/>
    <cellStyle name="Normale 3 3 2 4 13 3 3" xfId="17685"/>
    <cellStyle name="Normale 3 3 2 4 13 3 4" xfId="25218"/>
    <cellStyle name="Normale 3 3 2 4 13 4" xfId="3729"/>
    <cellStyle name="Normale 3 3 2 4 13 4 2" xfId="11192"/>
    <cellStyle name="Normale 3 3 2 4 13 4 3" xfId="18600"/>
    <cellStyle name="Normale 3 3 2 4 13 4 4" xfId="25599"/>
    <cellStyle name="Normale 3 3 2 4 13 5" xfId="4670"/>
    <cellStyle name="Normale 3 3 2 4 13 5 2" xfId="12133"/>
    <cellStyle name="Normale 3 3 2 4 13 5 3" xfId="19541"/>
    <cellStyle name="Normale 3 3 2 4 13 5 4" xfId="28118"/>
    <cellStyle name="Normale 3 3 2 4 13 6" xfId="5584"/>
    <cellStyle name="Normale 3 3 2 4 13 6 2" xfId="13047"/>
    <cellStyle name="Normale 3 3 2 4 13 6 3" xfId="20455"/>
    <cellStyle name="Normale 3 3 2 4 13 6 4" xfId="29633"/>
    <cellStyle name="Normale 3 3 2 4 13 7" xfId="6519"/>
    <cellStyle name="Normale 3 3 2 4 13 7 2" xfId="13982"/>
    <cellStyle name="Normale 3 3 2 4 13 7 3" xfId="21390"/>
    <cellStyle name="Normale 3 3 2 4 13 7 4" xfId="25312"/>
    <cellStyle name="Normale 3 3 2 4 13 8" xfId="7413"/>
    <cellStyle name="Normale 3 3 2 4 13 8 2" xfId="14876"/>
    <cellStyle name="Normale 3 3 2 4 13 8 3" xfId="22284"/>
    <cellStyle name="Normale 3 3 2 4 13 8 4" xfId="26908"/>
    <cellStyle name="Normale 3 3 2 4 13 9" xfId="8380"/>
    <cellStyle name="Normale 3 3 2 4 14" xfId="1037"/>
    <cellStyle name="Normale 3 3 2 4 14 2" xfId="8500"/>
    <cellStyle name="Normale 3 3 2 4 14 3" xfId="15908"/>
    <cellStyle name="Normale 3 3 2 4 14 4" xfId="29595"/>
    <cellStyle name="Normale 3 3 2 4 15" xfId="1964"/>
    <cellStyle name="Normale 3 3 2 4 15 2" xfId="9427"/>
    <cellStyle name="Normale 3 3 2 4 15 3" xfId="16835"/>
    <cellStyle name="Normale 3 3 2 4 15 4" xfId="28372"/>
    <cellStyle name="Normale 3 3 2 4 16" xfId="2890"/>
    <cellStyle name="Normale 3 3 2 4 16 2" xfId="10353"/>
    <cellStyle name="Normale 3 3 2 4 16 3" xfId="17761"/>
    <cellStyle name="Normale 3 3 2 4 16 4" xfId="23017"/>
    <cellStyle name="Normale 3 3 2 4 17" xfId="3819"/>
    <cellStyle name="Normale 3 3 2 4 17 2" xfId="11282"/>
    <cellStyle name="Normale 3 3 2 4 17 3" xfId="18690"/>
    <cellStyle name="Normale 3 3 2 4 17 4" xfId="24160"/>
    <cellStyle name="Normale 3 3 2 4 18" xfId="4746"/>
    <cellStyle name="Normale 3 3 2 4 18 2" xfId="12209"/>
    <cellStyle name="Normale 3 3 2 4 18 3" xfId="19617"/>
    <cellStyle name="Normale 3 3 2 4 18 4" xfId="25011"/>
    <cellStyle name="Normale 3 3 2 4 19" xfId="5673"/>
    <cellStyle name="Normale 3 3 2 4 19 2" xfId="13136"/>
    <cellStyle name="Normale 3 3 2 4 19 3" xfId="20544"/>
    <cellStyle name="Normale 3 3 2 4 19 4" xfId="23750"/>
    <cellStyle name="Normale 3 3 2 4 2" xfId="65"/>
    <cellStyle name="Normale 3 3 2 4 2 10" xfId="6596"/>
    <cellStyle name="Normale 3 3 2 4 2 10 2" xfId="14059"/>
    <cellStyle name="Normale 3 3 2 4 2 10 3" xfId="21467"/>
    <cellStyle name="Normale 3 3 2 4 2 10 4" xfId="28589"/>
    <cellStyle name="Normale 3 3 2 4 2 11" xfId="7530"/>
    <cellStyle name="Normale 3 3 2 4 2 12" xfId="14939"/>
    <cellStyle name="Normale 3 3 2 4 2 13" xfId="23639"/>
    <cellStyle name="Normale 3 3 2 4 2 14" xfId="29756"/>
    <cellStyle name="Normale 3 3 2 4 2 15" xfId="30686"/>
    <cellStyle name="Normale 3 3 2 4 2 16" xfId="31609"/>
    <cellStyle name="Normale 3 3 2 4 2 17" xfId="32535"/>
    <cellStyle name="Normale 3 3 2 4 2 18" xfId="33469"/>
    <cellStyle name="Normale 3 3 2 4 2 19" xfId="34397"/>
    <cellStyle name="Normale 3 3 2 4 2 2" xfId="66"/>
    <cellStyle name="Normale 3 3 2 4 2 2 10" xfId="7531"/>
    <cellStyle name="Normale 3 3 2 4 2 2 11" xfId="14940"/>
    <cellStyle name="Normale 3 3 2 4 2 2 12" xfId="28957"/>
    <cellStyle name="Normale 3 3 2 4 2 2 13" xfId="29757"/>
    <cellStyle name="Normale 3 3 2 4 2 2 14" xfId="30687"/>
    <cellStyle name="Normale 3 3 2 4 2 2 15" xfId="31610"/>
    <cellStyle name="Normale 3 3 2 4 2 2 16" xfId="32536"/>
    <cellStyle name="Normale 3 3 2 4 2 2 17" xfId="33470"/>
    <cellStyle name="Normale 3 3 2 4 2 2 18" xfId="34398"/>
    <cellStyle name="Normale 3 3 2 4 2 2 19" xfId="35326"/>
    <cellStyle name="Normale 3 3 2 4 2 2 2" xfId="264"/>
    <cellStyle name="Normale 3 3 2 4 2 2 2 10" xfId="15137"/>
    <cellStyle name="Normale 3 3 2 4 2 2 2 11" xfId="22712"/>
    <cellStyle name="Normale 3 3 2 4 2 2 2 12" xfId="29949"/>
    <cellStyle name="Normale 3 3 2 4 2 2 2 13" xfId="30881"/>
    <cellStyle name="Normale 3 3 2 4 2 2 2 14" xfId="31802"/>
    <cellStyle name="Normale 3 3 2 4 2 2 2 15" xfId="32727"/>
    <cellStyle name="Normale 3 3 2 4 2 2 2 16" xfId="33664"/>
    <cellStyle name="Normale 3 3 2 4 2 2 2 17" xfId="34594"/>
    <cellStyle name="Normale 3 3 2 4 2 2 2 18" xfId="35520"/>
    <cellStyle name="Normale 3 3 2 4 2 2 2 19" xfId="36446"/>
    <cellStyle name="Normale 3 3 2 4 2 2 2 2" xfId="1231"/>
    <cellStyle name="Normale 3 3 2 4 2 2 2 2 2" xfId="8694"/>
    <cellStyle name="Normale 3 3 2 4 2 2 2 2 3" xfId="16102"/>
    <cellStyle name="Normale 3 3 2 4 2 2 2 2 4" xfId="27357"/>
    <cellStyle name="Normale 3 3 2 4 2 2 2 20" xfId="37366"/>
    <cellStyle name="Normale 3 3 2 4 2 2 2 3" xfId="2162"/>
    <cellStyle name="Normale 3 3 2 4 2 2 2 3 2" xfId="9625"/>
    <cellStyle name="Normale 3 3 2 4 2 2 2 3 3" xfId="17033"/>
    <cellStyle name="Normale 3 3 2 4 2 2 2 3 4" xfId="24510"/>
    <cellStyle name="Normale 3 3 2 4 2 2 2 4" xfId="3084"/>
    <cellStyle name="Normale 3 3 2 4 2 2 2 4 2" xfId="10547"/>
    <cellStyle name="Normale 3 3 2 4 2 2 2 4 3" xfId="17955"/>
    <cellStyle name="Normale 3 3 2 4 2 2 2 4 4" xfId="25399"/>
    <cellStyle name="Normale 3 3 2 4 2 2 2 5" xfId="4017"/>
    <cellStyle name="Normale 3 3 2 4 2 2 2 5 2" xfId="11480"/>
    <cellStyle name="Normale 3 3 2 4 2 2 2 5 3" xfId="18888"/>
    <cellStyle name="Normale 3 3 2 4 2 2 2 5 4" xfId="25649"/>
    <cellStyle name="Normale 3 3 2 4 2 2 2 6" xfId="4940"/>
    <cellStyle name="Normale 3 3 2 4 2 2 2 6 2" xfId="12403"/>
    <cellStyle name="Normale 3 3 2 4 2 2 2 6 3" xfId="19811"/>
    <cellStyle name="Normale 3 3 2 4 2 2 2 6 4" xfId="22590"/>
    <cellStyle name="Normale 3 3 2 4 2 2 2 7" xfId="5868"/>
    <cellStyle name="Normale 3 3 2 4 2 2 2 7 2" xfId="13331"/>
    <cellStyle name="Normale 3 3 2 4 2 2 2 7 3" xfId="20739"/>
    <cellStyle name="Normale 3 3 2 4 2 2 2 7 4" xfId="22570"/>
    <cellStyle name="Normale 3 3 2 4 2 2 2 8" xfId="6788"/>
    <cellStyle name="Normale 3 3 2 4 2 2 2 8 2" xfId="14251"/>
    <cellStyle name="Normale 3 3 2 4 2 2 2 8 3" xfId="21659"/>
    <cellStyle name="Normale 3 3 2 4 2 2 2 8 4" xfId="25487"/>
    <cellStyle name="Normale 3 3 2 4 2 2 2 9" xfId="7727"/>
    <cellStyle name="Normale 3 3 2 4 2 2 20" xfId="36252"/>
    <cellStyle name="Normale 3 3 2 4 2 2 21" xfId="37175"/>
    <cellStyle name="Normale 3 3 2 4 2 2 3" xfId="1039"/>
    <cellStyle name="Normale 3 3 2 4 2 2 3 2" xfId="8502"/>
    <cellStyle name="Normale 3 3 2 4 2 2 3 3" xfId="15910"/>
    <cellStyle name="Normale 3 3 2 4 2 2 3 4" xfId="27779"/>
    <cellStyle name="Normale 3 3 2 4 2 2 4" xfId="1966"/>
    <cellStyle name="Normale 3 3 2 4 2 2 4 2" xfId="9429"/>
    <cellStyle name="Normale 3 3 2 4 2 2 4 3" xfId="16837"/>
    <cellStyle name="Normale 3 3 2 4 2 2 4 4" xfId="26540"/>
    <cellStyle name="Normale 3 3 2 4 2 2 5" xfId="2892"/>
    <cellStyle name="Normale 3 3 2 4 2 2 5 2" xfId="10355"/>
    <cellStyle name="Normale 3 3 2 4 2 2 5 3" xfId="17763"/>
    <cellStyle name="Normale 3 3 2 4 2 2 5 4" xfId="28552"/>
    <cellStyle name="Normale 3 3 2 4 2 2 6" xfId="3821"/>
    <cellStyle name="Normale 3 3 2 4 2 2 6 2" xfId="11284"/>
    <cellStyle name="Normale 3 3 2 4 2 2 6 3" xfId="18692"/>
    <cellStyle name="Normale 3 3 2 4 2 2 6 4" xfId="29577"/>
    <cellStyle name="Normale 3 3 2 4 2 2 7" xfId="4748"/>
    <cellStyle name="Normale 3 3 2 4 2 2 7 2" xfId="12211"/>
    <cellStyle name="Normale 3 3 2 4 2 2 7 3" xfId="19619"/>
    <cellStyle name="Normale 3 3 2 4 2 2 7 4" xfId="23074"/>
    <cellStyle name="Normale 3 3 2 4 2 2 8" xfId="5675"/>
    <cellStyle name="Normale 3 3 2 4 2 2 8 2" xfId="13138"/>
    <cellStyle name="Normale 3 3 2 4 2 2 8 3" xfId="20546"/>
    <cellStyle name="Normale 3 3 2 4 2 2 8 4" xfId="23307"/>
    <cellStyle name="Normale 3 3 2 4 2 2 9" xfId="6597"/>
    <cellStyle name="Normale 3 3 2 4 2 2 9 2" xfId="14060"/>
    <cellStyle name="Normale 3 3 2 4 2 2 9 3" xfId="21468"/>
    <cellStyle name="Normale 3 3 2 4 2 2 9 4" xfId="27663"/>
    <cellStyle name="Normale 3 3 2 4 2 20" xfId="35325"/>
    <cellStyle name="Normale 3 3 2 4 2 21" xfId="36251"/>
    <cellStyle name="Normale 3 3 2 4 2 22" xfId="37174"/>
    <cellStyle name="Normale 3 3 2 4 2 3" xfId="263"/>
    <cellStyle name="Normale 3 3 2 4 2 3 10" xfId="15136"/>
    <cellStyle name="Normale 3 3 2 4 2 3 11" xfId="23845"/>
    <cellStyle name="Normale 3 3 2 4 2 3 12" xfId="29948"/>
    <cellStyle name="Normale 3 3 2 4 2 3 13" xfId="30880"/>
    <cellStyle name="Normale 3 3 2 4 2 3 14" xfId="31801"/>
    <cellStyle name="Normale 3 3 2 4 2 3 15" xfId="32726"/>
    <cellStyle name="Normale 3 3 2 4 2 3 16" xfId="33663"/>
    <cellStyle name="Normale 3 3 2 4 2 3 17" xfId="34593"/>
    <cellStyle name="Normale 3 3 2 4 2 3 18" xfId="35519"/>
    <cellStyle name="Normale 3 3 2 4 2 3 19" xfId="36445"/>
    <cellStyle name="Normale 3 3 2 4 2 3 2" xfId="1230"/>
    <cellStyle name="Normale 3 3 2 4 2 3 2 2" xfId="8693"/>
    <cellStyle name="Normale 3 3 2 4 2 3 2 3" xfId="16101"/>
    <cellStyle name="Normale 3 3 2 4 2 3 2 4" xfId="28281"/>
    <cellStyle name="Normale 3 3 2 4 2 3 20" xfId="37365"/>
    <cellStyle name="Normale 3 3 2 4 2 3 3" xfId="2161"/>
    <cellStyle name="Normale 3 3 2 4 2 3 3 2" xfId="9624"/>
    <cellStyle name="Normale 3 3 2 4 2 3 3 3" xfId="17032"/>
    <cellStyle name="Normale 3 3 2 4 2 3 3 4" xfId="25426"/>
    <cellStyle name="Normale 3 3 2 4 2 3 4" xfId="3083"/>
    <cellStyle name="Normale 3 3 2 4 2 3 4 2" xfId="10546"/>
    <cellStyle name="Normale 3 3 2 4 2 3 4 3" xfId="17954"/>
    <cellStyle name="Normale 3 3 2 4 2 3 4 4" xfId="26326"/>
    <cellStyle name="Normale 3 3 2 4 2 3 5" xfId="4016"/>
    <cellStyle name="Normale 3 3 2 4 2 3 5 2" xfId="11479"/>
    <cellStyle name="Normale 3 3 2 4 2 3 5 3" xfId="18887"/>
    <cellStyle name="Normale 3 3 2 4 2 3 5 4" xfId="26579"/>
    <cellStyle name="Normale 3 3 2 4 2 3 6" xfId="4939"/>
    <cellStyle name="Normale 3 3 2 4 2 3 6 2" xfId="12402"/>
    <cellStyle name="Normale 3 3 2 4 2 3 6 3" xfId="19810"/>
    <cellStyle name="Normale 3 3 2 4 2 3 6 4" xfId="23660"/>
    <cellStyle name="Normale 3 3 2 4 2 3 7" xfId="5867"/>
    <cellStyle name="Normale 3 3 2 4 2 3 7 2" xfId="13330"/>
    <cellStyle name="Normale 3 3 2 4 2 3 7 3" xfId="20738"/>
    <cellStyle name="Normale 3 3 2 4 2 3 7 4" xfId="23842"/>
    <cellStyle name="Normale 3 3 2 4 2 3 8" xfId="6787"/>
    <cellStyle name="Normale 3 3 2 4 2 3 8 2" xfId="14250"/>
    <cellStyle name="Normale 3 3 2 4 2 3 8 3" xfId="21658"/>
    <cellStyle name="Normale 3 3 2 4 2 3 8 4" xfId="26415"/>
    <cellStyle name="Normale 3 3 2 4 2 3 9" xfId="7726"/>
    <cellStyle name="Normale 3 3 2 4 2 4" xfId="1038"/>
    <cellStyle name="Normale 3 3 2 4 2 4 2" xfId="8501"/>
    <cellStyle name="Normale 3 3 2 4 2 4 3" xfId="15909"/>
    <cellStyle name="Normale 3 3 2 4 2 4 4" xfId="28707"/>
    <cellStyle name="Normale 3 3 2 4 2 5" xfId="1965"/>
    <cellStyle name="Normale 3 3 2 4 2 5 2" xfId="9428"/>
    <cellStyle name="Normale 3 3 2 4 2 5 3" xfId="16836"/>
    <cellStyle name="Normale 3 3 2 4 2 5 4" xfId="27448"/>
    <cellStyle name="Normale 3 3 2 4 2 6" xfId="2891"/>
    <cellStyle name="Normale 3 3 2 4 2 6 2" xfId="10354"/>
    <cellStyle name="Normale 3 3 2 4 2 6 3" xfId="17762"/>
    <cellStyle name="Normale 3 3 2 4 2 6 4" xfId="29446"/>
    <cellStyle name="Normale 3 3 2 4 2 7" xfId="3820"/>
    <cellStyle name="Normale 3 3 2 4 2 7 2" xfId="11283"/>
    <cellStyle name="Normale 3 3 2 4 2 7 3" xfId="18691"/>
    <cellStyle name="Normale 3 3 2 4 2 7 4" xfId="23148"/>
    <cellStyle name="Normale 3 3 2 4 2 8" xfId="4747"/>
    <cellStyle name="Normale 3 3 2 4 2 8 2" xfId="12210"/>
    <cellStyle name="Normale 3 3 2 4 2 8 3" xfId="19618"/>
    <cellStyle name="Normale 3 3 2 4 2 8 4" xfId="24085"/>
    <cellStyle name="Normale 3 3 2 4 2 9" xfId="5674"/>
    <cellStyle name="Normale 3 3 2 4 2 9 2" xfId="13137"/>
    <cellStyle name="Normale 3 3 2 4 2 9 3" xfId="20545"/>
    <cellStyle name="Normale 3 3 2 4 2 9 4" xfId="24223"/>
    <cellStyle name="Normale 3 3 2 4 20" xfId="6595"/>
    <cellStyle name="Normale 3 3 2 4 20 2" xfId="14058"/>
    <cellStyle name="Normale 3 3 2 4 20 3" xfId="21466"/>
    <cellStyle name="Normale 3 3 2 4 20 4" xfId="29482"/>
    <cellStyle name="Normale 3 3 2 4 21" xfId="7529"/>
    <cellStyle name="Normale 3 3 2 4 22" xfId="14938"/>
    <cellStyle name="Normale 3 3 2 4 23" xfId="24561"/>
    <cellStyle name="Normale 3 3 2 4 24" xfId="29755"/>
    <cellStyle name="Normale 3 3 2 4 25" xfId="30685"/>
    <cellStyle name="Normale 3 3 2 4 26" xfId="31608"/>
    <cellStyle name="Normale 3 3 2 4 27" xfId="32534"/>
    <cellStyle name="Normale 3 3 2 4 28" xfId="33468"/>
    <cellStyle name="Normale 3 3 2 4 29" xfId="34396"/>
    <cellStyle name="Normale 3 3 2 4 3" xfId="67"/>
    <cellStyle name="Normale 3 3 2 4 3 10" xfId="7532"/>
    <cellStyle name="Normale 3 3 2 4 3 11" xfId="14941"/>
    <cellStyle name="Normale 3 3 2 4 3 12" xfId="28046"/>
    <cellStyle name="Normale 3 3 2 4 3 13" xfId="29758"/>
    <cellStyle name="Normale 3 3 2 4 3 14" xfId="30688"/>
    <cellStyle name="Normale 3 3 2 4 3 15" xfId="31611"/>
    <cellStyle name="Normale 3 3 2 4 3 16" xfId="32537"/>
    <cellStyle name="Normale 3 3 2 4 3 17" xfId="33471"/>
    <cellStyle name="Normale 3 3 2 4 3 18" xfId="34399"/>
    <cellStyle name="Normale 3 3 2 4 3 19" xfId="35327"/>
    <cellStyle name="Normale 3 3 2 4 3 2" xfId="265"/>
    <cellStyle name="Normale 3 3 2 4 3 2 10" xfId="15138"/>
    <cellStyle name="Normale 3 3 2 4 3 2 11" xfId="29143"/>
    <cellStyle name="Normale 3 3 2 4 3 2 12" xfId="29950"/>
    <cellStyle name="Normale 3 3 2 4 3 2 13" xfId="30882"/>
    <cellStyle name="Normale 3 3 2 4 3 2 14" xfId="31803"/>
    <cellStyle name="Normale 3 3 2 4 3 2 15" xfId="32728"/>
    <cellStyle name="Normale 3 3 2 4 3 2 16" xfId="33665"/>
    <cellStyle name="Normale 3 3 2 4 3 2 17" xfId="34595"/>
    <cellStyle name="Normale 3 3 2 4 3 2 18" xfId="35521"/>
    <cellStyle name="Normale 3 3 2 4 3 2 19" xfId="36447"/>
    <cellStyle name="Normale 3 3 2 4 3 2 2" xfId="1232"/>
    <cellStyle name="Normale 3 3 2 4 3 2 2 2" xfId="8695"/>
    <cellStyle name="Normale 3 3 2 4 3 2 2 3" xfId="16103"/>
    <cellStyle name="Normale 3 3 2 4 3 2 2 4" xfId="26449"/>
    <cellStyle name="Normale 3 3 2 4 3 2 20" xfId="37367"/>
    <cellStyle name="Normale 3 3 2 4 3 2 3" xfId="2163"/>
    <cellStyle name="Normale 3 3 2 4 3 2 3 2" xfId="9626"/>
    <cellStyle name="Normale 3 3 2 4 3 2 3 3" xfId="17034"/>
    <cellStyle name="Normale 3 3 2 4 3 2 3 4" xfId="23590"/>
    <cellStyle name="Normale 3 3 2 4 3 2 4" xfId="3085"/>
    <cellStyle name="Normale 3 3 2 4 3 2 4 2" xfId="10548"/>
    <cellStyle name="Normale 3 3 2 4 3 2 4 3" xfId="17956"/>
    <cellStyle name="Normale 3 3 2 4 3 2 4 4" xfId="24483"/>
    <cellStyle name="Normale 3 3 2 4 3 2 5" xfId="4018"/>
    <cellStyle name="Normale 3 3 2 4 3 2 5 2" xfId="11481"/>
    <cellStyle name="Normale 3 3 2 4 3 2 5 3" xfId="18889"/>
    <cellStyle name="Normale 3 3 2 4 3 2 5 4" xfId="24735"/>
    <cellStyle name="Normale 3 3 2 4 3 2 6" xfId="4941"/>
    <cellStyle name="Normale 3 3 2 4 3 2 6 2" xfId="12404"/>
    <cellStyle name="Normale 3 3 2 4 3 2 6 3" xfId="19812"/>
    <cellStyle name="Normale 3 3 2 4 3 2 6 4" xfId="29020"/>
    <cellStyle name="Normale 3 3 2 4 3 2 7" xfId="5869"/>
    <cellStyle name="Normale 3 3 2 4 3 2 7 2" xfId="13332"/>
    <cellStyle name="Normale 3 3 2 4 3 2 7 3" xfId="20740"/>
    <cellStyle name="Normale 3 3 2 4 3 2 7 4" xfId="29000"/>
    <cellStyle name="Normale 3 3 2 4 3 2 8" xfId="6789"/>
    <cellStyle name="Normale 3 3 2 4 3 2 8 2" xfId="14252"/>
    <cellStyle name="Normale 3 3 2 4 3 2 8 3" xfId="21660"/>
    <cellStyle name="Normale 3 3 2 4 3 2 8 4" xfId="24571"/>
    <cellStyle name="Normale 3 3 2 4 3 2 9" xfId="7728"/>
    <cellStyle name="Normale 3 3 2 4 3 20" xfId="36253"/>
    <cellStyle name="Normale 3 3 2 4 3 21" xfId="37176"/>
    <cellStyle name="Normale 3 3 2 4 3 3" xfId="1040"/>
    <cellStyle name="Normale 3 3 2 4 3 3 2" xfId="8503"/>
    <cellStyle name="Normale 3 3 2 4 3 3 3" xfId="15911"/>
    <cellStyle name="Normale 3 3 2 4 3 3 4" xfId="26877"/>
    <cellStyle name="Normale 3 3 2 4 3 4" xfId="1967"/>
    <cellStyle name="Normale 3 3 2 4 3 4 2" xfId="9430"/>
    <cellStyle name="Normale 3 3 2 4 3 4 3" xfId="16838"/>
    <cellStyle name="Normale 3 3 2 4 3 4 4" xfId="25611"/>
    <cellStyle name="Normale 3 3 2 4 3 5" xfId="2893"/>
    <cellStyle name="Normale 3 3 2 4 3 5 2" xfId="10356"/>
    <cellStyle name="Normale 3 3 2 4 3 5 3" xfId="17764"/>
    <cellStyle name="Normale 3 3 2 4 3 5 4" xfId="27626"/>
    <cellStyle name="Normale 3 3 2 4 3 6" xfId="3822"/>
    <cellStyle name="Normale 3 3 2 4 3 6 2" xfId="11285"/>
    <cellStyle name="Normale 3 3 2 4 3 6 3" xfId="18693"/>
    <cellStyle name="Normale 3 3 2 4 3 6 4" xfId="28689"/>
    <cellStyle name="Normale 3 3 2 4 3 7" xfId="4749"/>
    <cellStyle name="Normale 3 3 2 4 3 7 2" xfId="12212"/>
    <cellStyle name="Normale 3 3 2 4 3 7 3" xfId="19620"/>
    <cellStyle name="Normale 3 3 2 4 3 7 4" xfId="29503"/>
    <cellStyle name="Normale 3 3 2 4 3 8" xfId="5676"/>
    <cellStyle name="Normale 3 3 2 4 3 8 2" xfId="13139"/>
    <cellStyle name="Normale 3 3 2 4 3 8 3" xfId="20547"/>
    <cellStyle name="Normale 3 3 2 4 3 8 4" xfId="23098"/>
    <cellStyle name="Normale 3 3 2 4 3 9" xfId="6598"/>
    <cellStyle name="Normale 3 3 2 4 3 9 2" xfId="14061"/>
    <cellStyle name="Normale 3 3 2 4 3 9 3" xfId="21469"/>
    <cellStyle name="Normale 3 3 2 4 3 9 4" xfId="26759"/>
    <cellStyle name="Normale 3 3 2 4 30" xfId="35324"/>
    <cellStyle name="Normale 3 3 2 4 31" xfId="36250"/>
    <cellStyle name="Normale 3 3 2 4 32" xfId="37173"/>
    <cellStyle name="Normale 3 3 2 4 4" xfId="262"/>
    <cellStyle name="Normale 3 3 2 4 4 10" xfId="15135"/>
    <cellStyle name="Normale 3 3 2 4 4 11" xfId="24768"/>
    <cellStyle name="Normale 3 3 2 4 4 12" xfId="29947"/>
    <cellStyle name="Normale 3 3 2 4 4 13" xfId="30879"/>
    <cellStyle name="Normale 3 3 2 4 4 14" xfId="31800"/>
    <cellStyle name="Normale 3 3 2 4 4 15" xfId="32725"/>
    <cellStyle name="Normale 3 3 2 4 4 16" xfId="33662"/>
    <cellStyle name="Normale 3 3 2 4 4 17" xfId="34592"/>
    <cellStyle name="Normale 3 3 2 4 4 18" xfId="35518"/>
    <cellStyle name="Normale 3 3 2 4 4 19" xfId="36444"/>
    <cellStyle name="Normale 3 3 2 4 4 2" xfId="1229"/>
    <cellStyle name="Normale 3 3 2 4 4 2 2" xfId="8692"/>
    <cellStyle name="Normale 3 3 2 4 4 2 3" xfId="16100"/>
    <cellStyle name="Normale 3 3 2 4 4 2 4" xfId="29189"/>
    <cellStyle name="Normale 3 3 2 4 4 20" xfId="37364"/>
    <cellStyle name="Normale 3 3 2 4 4 3" xfId="2160"/>
    <cellStyle name="Normale 3 3 2 4 4 3 2" xfId="9623"/>
    <cellStyle name="Normale 3 3 2 4 4 3 3" xfId="17031"/>
    <cellStyle name="Normale 3 3 2 4 4 3 4" xfId="26353"/>
    <cellStyle name="Normale 3 3 2 4 4 4" xfId="3082"/>
    <cellStyle name="Normale 3 3 2 4 4 4 2" xfId="10545"/>
    <cellStyle name="Normale 3 3 2 4 4 4 3" xfId="17953"/>
    <cellStyle name="Normale 3 3 2 4 4 4 4" xfId="27236"/>
    <cellStyle name="Normale 3 3 2 4 4 5" xfId="4015"/>
    <cellStyle name="Normale 3 3 2 4 4 5 2" xfId="11478"/>
    <cellStyle name="Normale 3 3 2 4 4 5 3" xfId="18886"/>
    <cellStyle name="Normale 3 3 2 4 4 5 4" xfId="27486"/>
    <cellStyle name="Normale 3 3 2 4 4 6" xfId="4938"/>
    <cellStyle name="Normale 3 3 2 4 4 6 2" xfId="12401"/>
    <cellStyle name="Normale 3 3 2 4 4 6 3" xfId="19809"/>
    <cellStyle name="Normale 3 3 2 4 4 6 4" xfId="24581"/>
    <cellStyle name="Normale 3 3 2 4 4 7" xfId="5866"/>
    <cellStyle name="Normale 3 3 2 4 4 7 2" xfId="13329"/>
    <cellStyle name="Normale 3 3 2 4 4 7 3" xfId="20737"/>
    <cellStyle name="Normale 3 3 2 4 4 7 4" xfId="24765"/>
    <cellStyle name="Normale 3 3 2 4 4 8" xfId="6786"/>
    <cellStyle name="Normale 3 3 2 4 4 8 2" xfId="14249"/>
    <cellStyle name="Normale 3 3 2 4 4 8 3" xfId="21657"/>
    <cellStyle name="Normale 3 3 2 4 4 8 4" xfId="27323"/>
    <cellStyle name="Normale 3 3 2 4 4 9" xfId="7725"/>
    <cellStyle name="Normale 3 3 2 4 5" xfId="416"/>
    <cellStyle name="Normale 3 3 2 4 5 10" xfId="15289"/>
    <cellStyle name="Normale 3 3 2 4 5 11" xfId="23103"/>
    <cellStyle name="Normale 3 3 2 4 5 12" xfId="30101"/>
    <cellStyle name="Normale 3 3 2 4 5 13" xfId="31033"/>
    <cellStyle name="Normale 3 3 2 4 5 14" xfId="31954"/>
    <cellStyle name="Normale 3 3 2 4 5 15" xfId="32878"/>
    <cellStyle name="Normale 3 3 2 4 5 16" xfId="33816"/>
    <cellStyle name="Normale 3 3 2 4 5 17" xfId="34746"/>
    <cellStyle name="Normale 3 3 2 4 5 18" xfId="35672"/>
    <cellStyle name="Normale 3 3 2 4 5 19" xfId="36598"/>
    <cellStyle name="Normale 3 3 2 4 5 2" xfId="1383"/>
    <cellStyle name="Normale 3 3 2 4 5 2 2" xfId="8846"/>
    <cellStyle name="Normale 3 3 2 4 5 2 3" xfId="16254"/>
    <cellStyle name="Normale 3 3 2 4 5 2 4" xfId="27745"/>
    <cellStyle name="Normale 3 3 2 4 5 20" xfId="37517"/>
    <cellStyle name="Normale 3 3 2 4 5 3" xfId="2314"/>
    <cellStyle name="Normale 3 3 2 4 5 3 2" xfId="9777"/>
    <cellStyle name="Normale 3 3 2 4 5 3 3" xfId="17185"/>
    <cellStyle name="Normale 3 3 2 4 5 3 4" xfId="24953"/>
    <cellStyle name="Normale 3 3 2 4 5 4" xfId="3236"/>
    <cellStyle name="Normale 3 3 2 4 5 4 2" xfId="10699"/>
    <cellStyle name="Normale 3 3 2 4 5 4 3" xfId="18107"/>
    <cellStyle name="Normale 3 3 2 4 5 4 4" xfId="23216"/>
    <cellStyle name="Normale 3 3 2 4 5 5" xfId="4169"/>
    <cellStyle name="Normale 3 3 2 4 5 5 2" xfId="11632"/>
    <cellStyle name="Normale 3 3 2 4 5 5 3" xfId="19040"/>
    <cellStyle name="Normale 3 3 2 4 5 5 4" xfId="25551"/>
    <cellStyle name="Normale 3 3 2 4 5 6" xfId="5092"/>
    <cellStyle name="Normale 3 3 2 4 5 6 2" xfId="12555"/>
    <cellStyle name="Normale 3 3 2 4 5 6 3" xfId="19963"/>
    <cellStyle name="Normale 3 3 2 4 5 6 4" xfId="23066"/>
    <cellStyle name="Normale 3 3 2 4 5 7" xfId="6020"/>
    <cellStyle name="Normale 3 3 2 4 5 7 2" xfId="13483"/>
    <cellStyle name="Normale 3 3 2 4 5 7 3" xfId="20891"/>
    <cellStyle name="Normale 3 3 2 4 5 7 4" xfId="22984"/>
    <cellStyle name="Normale 3 3 2 4 5 8" xfId="6939"/>
    <cellStyle name="Normale 3 3 2 4 5 8 2" xfId="14402"/>
    <cellStyle name="Normale 3 3 2 4 5 8 3" xfId="21810"/>
    <cellStyle name="Normale 3 3 2 4 5 8 4" xfId="29246"/>
    <cellStyle name="Normale 3 3 2 4 5 9" xfId="7879"/>
    <cellStyle name="Normale 3 3 2 4 6" xfId="464"/>
    <cellStyle name="Normale 3 3 2 4 6 10" xfId="15337"/>
    <cellStyle name="Normale 3 3 2 4 6 11" xfId="22766"/>
    <cellStyle name="Normale 3 3 2 4 6 12" xfId="30149"/>
    <cellStyle name="Normale 3 3 2 4 6 13" xfId="31081"/>
    <cellStyle name="Normale 3 3 2 4 6 14" xfId="32002"/>
    <cellStyle name="Normale 3 3 2 4 6 15" xfId="32925"/>
    <cellStyle name="Normale 3 3 2 4 6 16" xfId="33864"/>
    <cellStyle name="Normale 3 3 2 4 6 17" xfId="34794"/>
    <cellStyle name="Normale 3 3 2 4 6 18" xfId="35720"/>
    <cellStyle name="Normale 3 3 2 4 6 19" xfId="36646"/>
    <cellStyle name="Normale 3 3 2 4 6 2" xfId="1431"/>
    <cellStyle name="Normale 3 3 2 4 6 2 2" xfId="8894"/>
    <cellStyle name="Normale 3 3 2 4 6 2 3" xfId="16302"/>
    <cellStyle name="Normale 3 3 2 4 6 2 4" xfId="25962"/>
    <cellStyle name="Normale 3 3 2 4 6 20" xfId="37564"/>
    <cellStyle name="Normale 3 3 2 4 6 3" xfId="2362"/>
    <cellStyle name="Normale 3 3 2 4 6 3 2" xfId="9825"/>
    <cellStyle name="Normale 3 3 2 4 6 3 3" xfId="17233"/>
    <cellStyle name="Normale 3 3 2 4 6 3 4" xfId="24597"/>
    <cellStyle name="Normale 3 3 2 4 6 4" xfId="3284"/>
    <cellStyle name="Normale 3 3 2 4 6 4 2" xfId="10747"/>
    <cellStyle name="Normale 3 3 2 4 6 4 3" xfId="18155"/>
    <cellStyle name="Normale 3 3 2 4 6 4 4" xfId="22837"/>
    <cellStyle name="Normale 3 3 2 4 6 5" xfId="4217"/>
    <cellStyle name="Normale 3 3 2 4 6 5 2" xfId="11680"/>
    <cellStyle name="Normale 3 3 2 4 6 5 3" xfId="19088"/>
    <cellStyle name="Normale 3 3 2 4 6 5 4" xfId="25372"/>
    <cellStyle name="Normale 3 3 2 4 6 6" xfId="5140"/>
    <cellStyle name="Normale 3 3 2 4 6 6 2" xfId="12603"/>
    <cellStyle name="Normale 3 3 2 4 6 6 3" xfId="20011"/>
    <cellStyle name="Normale 3 3 2 4 6 6 4" xfId="28657"/>
    <cellStyle name="Normale 3 3 2 4 6 7" xfId="6068"/>
    <cellStyle name="Normale 3 3 2 4 6 7 2" xfId="13531"/>
    <cellStyle name="Normale 3 3 2 4 6 7 3" xfId="20939"/>
    <cellStyle name="Normale 3 3 2 4 6 7 4" xfId="22729"/>
    <cellStyle name="Normale 3 3 2 4 6 8" xfId="6986"/>
    <cellStyle name="Normale 3 3 2 4 6 8 2" xfId="14449"/>
    <cellStyle name="Normale 3 3 2 4 6 8 3" xfId="21857"/>
    <cellStyle name="Normale 3 3 2 4 6 8 4" xfId="24713"/>
    <cellStyle name="Normale 3 3 2 4 6 9" xfId="7927"/>
    <cellStyle name="Normale 3 3 2 4 7" xfId="512"/>
    <cellStyle name="Normale 3 3 2 4 7 10" xfId="15385"/>
    <cellStyle name="Normale 3 3 2 4 7 11" xfId="28946"/>
    <cellStyle name="Normale 3 3 2 4 7 12" xfId="30196"/>
    <cellStyle name="Normale 3 3 2 4 7 13" xfId="31129"/>
    <cellStyle name="Normale 3 3 2 4 7 14" xfId="32049"/>
    <cellStyle name="Normale 3 3 2 4 7 15" xfId="32971"/>
    <cellStyle name="Normale 3 3 2 4 7 16" xfId="33912"/>
    <cellStyle name="Normale 3 3 2 4 7 17" xfId="34842"/>
    <cellStyle name="Normale 3 3 2 4 7 18" xfId="35768"/>
    <cellStyle name="Normale 3 3 2 4 7 19" xfId="36694"/>
    <cellStyle name="Normale 3 3 2 4 7 2" xfId="1479"/>
    <cellStyle name="Normale 3 3 2 4 7 2 2" xfId="8942"/>
    <cellStyle name="Normale 3 3 2 4 7 2 3" xfId="16350"/>
    <cellStyle name="Normale 3 3 2 4 7 2 4" xfId="24333"/>
    <cellStyle name="Normale 3 3 2 4 7 20" xfId="37610"/>
    <cellStyle name="Normale 3 3 2 4 7 3" xfId="2410"/>
    <cellStyle name="Normale 3 3 2 4 7 3 2" xfId="9873"/>
    <cellStyle name="Normale 3 3 2 4 7 3 3" xfId="17281"/>
    <cellStyle name="Normale 3 3 2 4 7 3 4" xfId="23393"/>
    <cellStyle name="Normale 3 3 2 4 7 4" xfId="3331"/>
    <cellStyle name="Normale 3 3 2 4 7 4 2" xfId="10794"/>
    <cellStyle name="Normale 3 3 2 4 7 4 3" xfId="18202"/>
    <cellStyle name="Normale 3 3 2 4 7 4 4" xfId="25828"/>
    <cellStyle name="Normale 3 3 2 4 7 5" xfId="4265"/>
    <cellStyle name="Normale 3 3 2 4 7 5 2" xfId="11728"/>
    <cellStyle name="Normale 3 3 2 4 7 5 3" xfId="19136"/>
    <cellStyle name="Normale 3 3 2 4 7 5 4" xfId="25852"/>
    <cellStyle name="Normale 3 3 2 4 7 6" xfId="5187"/>
    <cellStyle name="Normale 3 3 2 4 7 6 2" xfId="12650"/>
    <cellStyle name="Normale 3 3 2 4 7 6 3" xfId="20058"/>
    <cellStyle name="Normale 3 3 2 4 7 6 4" xfId="28108"/>
    <cellStyle name="Normale 3 3 2 4 7 7" xfId="6116"/>
    <cellStyle name="Normale 3 3 2 4 7 7 2" xfId="13579"/>
    <cellStyle name="Normale 3 3 2 4 7 7 3" xfId="20987"/>
    <cellStyle name="Normale 3 3 2 4 7 7 4" xfId="28668"/>
    <cellStyle name="Normale 3 3 2 4 7 8" xfId="7032"/>
    <cellStyle name="Normale 3 3 2 4 7 8 2" xfId="14495"/>
    <cellStyle name="Normale 3 3 2 4 7 8 3" xfId="21903"/>
    <cellStyle name="Normale 3 3 2 4 7 8 4" xfId="26762"/>
    <cellStyle name="Normale 3 3 2 4 7 9" xfId="7975"/>
    <cellStyle name="Normale 3 3 2 4 8" xfId="564"/>
    <cellStyle name="Normale 3 3 2 4 8 10" xfId="15437"/>
    <cellStyle name="Normale 3 3 2 4 8 11" xfId="26738"/>
    <cellStyle name="Normale 3 3 2 4 8 12" xfId="30247"/>
    <cellStyle name="Normale 3 3 2 4 8 13" xfId="31181"/>
    <cellStyle name="Normale 3 3 2 4 8 14" xfId="32100"/>
    <cellStyle name="Normale 3 3 2 4 8 15" xfId="33021"/>
    <cellStyle name="Normale 3 3 2 4 8 16" xfId="33964"/>
    <cellStyle name="Normale 3 3 2 4 8 17" xfId="34894"/>
    <cellStyle name="Normale 3 3 2 4 8 18" xfId="35820"/>
    <cellStyle name="Normale 3 3 2 4 8 19" xfId="36746"/>
    <cellStyle name="Normale 3 3 2 4 8 2" xfId="1531"/>
    <cellStyle name="Normale 3 3 2 4 8 2 2" xfId="8994"/>
    <cellStyle name="Normale 3 3 2 4 8 2 3" xfId="16402"/>
    <cellStyle name="Normale 3 3 2 4 8 2 4" xfId="29188"/>
    <cellStyle name="Normale 3 3 2 4 8 20" xfId="37660"/>
    <cellStyle name="Normale 3 3 2 4 8 3" xfId="2462"/>
    <cellStyle name="Normale 3 3 2 4 8 3 2" xfId="9925"/>
    <cellStyle name="Normale 3 3 2 4 8 3 3" xfId="17333"/>
    <cellStyle name="Normale 3 3 2 4 8 3 4" xfId="28478"/>
    <cellStyle name="Normale 3 3 2 4 8 4" xfId="3382"/>
    <cellStyle name="Normale 3 3 2 4 8 4 2" xfId="10845"/>
    <cellStyle name="Normale 3 3 2 4 8 4 3" xfId="18253"/>
    <cellStyle name="Normale 3 3 2 4 8 4 4" xfId="28573"/>
    <cellStyle name="Normale 3 3 2 4 8 5" xfId="4317"/>
    <cellStyle name="Normale 3 3 2 4 8 5 2" xfId="11780"/>
    <cellStyle name="Normale 3 3 2 4 8 5 3" xfId="19188"/>
    <cellStyle name="Normale 3 3 2 4 8 5 4" xfId="26430"/>
    <cellStyle name="Normale 3 3 2 4 8 6" xfId="5238"/>
    <cellStyle name="Normale 3 3 2 4 8 6 2" xfId="12701"/>
    <cellStyle name="Normale 3 3 2 4 8 6 3" xfId="20109"/>
    <cellStyle name="Normale 3 3 2 4 8 6 4" xfId="26425"/>
    <cellStyle name="Normale 3 3 2 4 8 7" xfId="6168"/>
    <cellStyle name="Normale 3 3 2 4 8 7 2" xfId="13631"/>
    <cellStyle name="Normale 3 3 2 4 8 7 3" xfId="21039"/>
    <cellStyle name="Normale 3 3 2 4 8 7 4" xfId="26701"/>
    <cellStyle name="Normale 3 3 2 4 8 8" xfId="7082"/>
    <cellStyle name="Normale 3 3 2 4 8 8 2" xfId="14545"/>
    <cellStyle name="Normale 3 3 2 4 8 8 3" xfId="21953"/>
    <cellStyle name="Normale 3 3 2 4 8 8 4" xfId="24568"/>
    <cellStyle name="Normale 3 3 2 4 8 9" xfId="8027"/>
    <cellStyle name="Normale 3 3 2 4 9" xfId="624"/>
    <cellStyle name="Normale 3 3 2 4 9 10" xfId="15496"/>
    <cellStyle name="Normale 3 3 2 4 9 11" xfId="26198"/>
    <cellStyle name="Normale 3 3 2 4 9 12" xfId="30303"/>
    <cellStyle name="Normale 3 3 2 4 9 13" xfId="31240"/>
    <cellStyle name="Normale 3 3 2 4 9 14" xfId="32157"/>
    <cellStyle name="Normale 3 3 2 4 9 15" xfId="33076"/>
    <cellStyle name="Normale 3 3 2 4 9 16" xfId="34023"/>
    <cellStyle name="Normale 3 3 2 4 9 17" xfId="34954"/>
    <cellStyle name="Normale 3 3 2 4 9 18" xfId="35880"/>
    <cellStyle name="Normale 3 3 2 4 9 19" xfId="36805"/>
    <cellStyle name="Normale 3 3 2 4 9 2" xfId="1590"/>
    <cellStyle name="Normale 3 3 2 4 9 2 2" xfId="9053"/>
    <cellStyle name="Normale 3 3 2 4 9 2 3" xfId="16461"/>
    <cellStyle name="Normale 3 3 2 4 9 2 4" xfId="25441"/>
    <cellStyle name="Normale 3 3 2 4 9 20" xfId="37715"/>
    <cellStyle name="Normale 3 3 2 4 9 3" xfId="2522"/>
    <cellStyle name="Normale 3 3 2 4 9 3 2" xfId="9985"/>
    <cellStyle name="Normale 3 3 2 4 9 3 3" xfId="17393"/>
    <cellStyle name="Normale 3 3 2 4 9 3 4" xfId="23581"/>
    <cellStyle name="Normale 3 3 2 4 9 4" xfId="3440"/>
    <cellStyle name="Normale 3 3 2 4 9 4 2" xfId="10903"/>
    <cellStyle name="Normale 3 3 2 4 9 4 3" xfId="18311"/>
    <cellStyle name="Normale 3 3 2 4 9 4 4" xfId="26641"/>
    <cellStyle name="Normale 3 3 2 4 9 5" xfId="4377"/>
    <cellStyle name="Normale 3 3 2 4 9 5 2" xfId="11840"/>
    <cellStyle name="Normale 3 3 2 4 9 5 3" xfId="19248"/>
    <cellStyle name="Normale 3 3 2 4 9 5 4" xfId="22418"/>
    <cellStyle name="Normale 3 3 2 4 9 6" xfId="5295"/>
    <cellStyle name="Normale 3 3 2 4 9 6 2" xfId="12758"/>
    <cellStyle name="Normale 3 3 2 4 9 6 3" xfId="20166"/>
    <cellStyle name="Normale 3 3 2 4 9 6 4" xfId="24430"/>
    <cellStyle name="Normale 3 3 2 4 9 7" xfId="6228"/>
    <cellStyle name="Normale 3 3 2 4 9 7 2" xfId="13691"/>
    <cellStyle name="Normale 3 3 2 4 9 7 3" xfId="21099"/>
    <cellStyle name="Normale 3 3 2 4 9 7 4" xfId="28991"/>
    <cellStyle name="Normale 3 3 2 4 9 8" xfId="7137"/>
    <cellStyle name="Normale 3 3 2 4 9 8 2" xfId="14600"/>
    <cellStyle name="Normale 3 3 2 4 9 8 3" xfId="22008"/>
    <cellStyle name="Normale 3 3 2 4 9 8 4" xfId="26675"/>
    <cellStyle name="Normale 3 3 2 4 9 9" xfId="8087"/>
    <cellStyle name="Normale 3 3 2 5" xfId="68"/>
    <cellStyle name="Normale 3 3 2 5 10" xfId="1041"/>
    <cellStyle name="Normale 3 3 2 5 10 2" xfId="8504"/>
    <cellStyle name="Normale 3 3 2 5 10 3" xfId="15912"/>
    <cellStyle name="Normale 3 3 2 5 10 4" xfId="25943"/>
    <cellStyle name="Normale 3 3 2 5 11" xfId="1968"/>
    <cellStyle name="Normale 3 3 2 5 11 2" xfId="9431"/>
    <cellStyle name="Normale 3 3 2 5 11 3" xfId="16839"/>
    <cellStyle name="Normale 3 3 2 5 11 4" xfId="24696"/>
    <cellStyle name="Normale 3 3 2 5 12" xfId="2894"/>
    <cellStyle name="Normale 3 3 2 5 12 2" xfId="10357"/>
    <cellStyle name="Normale 3 3 2 5 12 3" xfId="17765"/>
    <cellStyle name="Normale 3 3 2 5 12 4" xfId="26722"/>
    <cellStyle name="Normale 3 3 2 5 13" xfId="3823"/>
    <cellStyle name="Normale 3 3 2 5 13 2" xfId="11286"/>
    <cellStyle name="Normale 3 3 2 5 13 3" xfId="18694"/>
    <cellStyle name="Normale 3 3 2 5 13 4" xfId="27762"/>
    <cellStyle name="Normale 3 3 2 5 14" xfId="4750"/>
    <cellStyle name="Normale 3 3 2 5 14 2" xfId="12213"/>
    <cellStyle name="Normale 3 3 2 5 14 3" xfId="19621"/>
    <cellStyle name="Normale 3 3 2 5 14 4" xfId="28612"/>
    <cellStyle name="Normale 3 3 2 5 15" xfId="5677"/>
    <cellStyle name="Normale 3 3 2 5 15 2" xfId="13140"/>
    <cellStyle name="Normale 3 3 2 5 15 3" xfId="20548"/>
    <cellStyle name="Normale 3 3 2 5 15 4" xfId="29527"/>
    <cellStyle name="Normale 3 3 2 5 16" xfId="6599"/>
    <cellStyle name="Normale 3 3 2 5 16 2" xfId="14062"/>
    <cellStyle name="Normale 3 3 2 5 16 3" xfId="21470"/>
    <cellStyle name="Normale 3 3 2 5 16 4" xfId="25827"/>
    <cellStyle name="Normale 3 3 2 5 17" xfId="7533"/>
    <cellStyle name="Normale 3 3 2 5 18" xfId="14942"/>
    <cellStyle name="Normale 3 3 2 5 19" xfId="27124"/>
    <cellStyle name="Normale 3 3 2 5 2" xfId="69"/>
    <cellStyle name="Normale 3 3 2 5 2 10" xfId="7534"/>
    <cellStyle name="Normale 3 3 2 5 2 11" xfId="14943"/>
    <cellStyle name="Normale 3 3 2 5 2 12" xfId="26214"/>
    <cellStyle name="Normale 3 3 2 5 2 13" xfId="29760"/>
    <cellStyle name="Normale 3 3 2 5 2 14" xfId="30690"/>
    <cellStyle name="Normale 3 3 2 5 2 15" xfId="31613"/>
    <cellStyle name="Normale 3 3 2 5 2 16" xfId="32539"/>
    <cellStyle name="Normale 3 3 2 5 2 17" xfId="33473"/>
    <cellStyle name="Normale 3 3 2 5 2 18" xfId="34401"/>
    <cellStyle name="Normale 3 3 2 5 2 19" xfId="35329"/>
    <cellStyle name="Normale 3 3 2 5 2 2" xfId="267"/>
    <cellStyle name="Normale 3 3 2 5 2 2 10" xfId="15140"/>
    <cellStyle name="Normale 3 3 2 5 2 2 11" xfId="27309"/>
    <cellStyle name="Normale 3 3 2 5 2 2 12" xfId="29952"/>
    <cellStyle name="Normale 3 3 2 5 2 2 13" xfId="30884"/>
    <cellStyle name="Normale 3 3 2 5 2 2 14" xfId="31805"/>
    <cellStyle name="Normale 3 3 2 5 2 2 15" xfId="32730"/>
    <cellStyle name="Normale 3 3 2 5 2 2 16" xfId="33667"/>
    <cellStyle name="Normale 3 3 2 5 2 2 17" xfId="34597"/>
    <cellStyle name="Normale 3 3 2 5 2 2 18" xfId="35523"/>
    <cellStyle name="Normale 3 3 2 5 2 2 19" xfId="36449"/>
    <cellStyle name="Normale 3 3 2 5 2 2 2" xfId="1234"/>
    <cellStyle name="Normale 3 3 2 5 2 2 2 2" xfId="8697"/>
    <cellStyle name="Normale 3 3 2 5 2 2 2 3" xfId="16105"/>
    <cellStyle name="Normale 3 3 2 5 2 2 2 4" xfId="24604"/>
    <cellStyle name="Normale 3 3 2 5 2 2 20" xfId="37369"/>
    <cellStyle name="Normale 3 3 2 5 2 2 3" xfId="2165"/>
    <cellStyle name="Normale 3 3 2 5 2 2 3 2" xfId="9628"/>
    <cellStyle name="Normale 3 3 2 5 2 2 3 3" xfId="17036"/>
    <cellStyle name="Normale 3 3 2 5 2 2 3 4" xfId="27995"/>
    <cellStyle name="Normale 3 3 2 5 2 2 4" xfId="3087"/>
    <cellStyle name="Normale 3 3 2 5 2 2 4 2" xfId="10550"/>
    <cellStyle name="Normale 3 3 2 5 2 2 4 3" xfId="17958"/>
    <cellStyle name="Normale 3 3 2 5 2 2 4 4" xfId="28883"/>
    <cellStyle name="Normale 3 3 2 5 2 2 5" xfId="4020"/>
    <cellStyle name="Normale 3 3 2 5 2 2 5 2" xfId="11483"/>
    <cellStyle name="Normale 3 3 2 5 2 2 5 3" xfId="18891"/>
    <cellStyle name="Normale 3 3 2 5 2 2 5 4" xfId="22833"/>
    <cellStyle name="Normale 3 3 2 5 2 2 6" xfId="4943"/>
    <cellStyle name="Normale 3 3 2 5 2 2 6 2" xfId="12406"/>
    <cellStyle name="Normale 3 3 2 5 2 2 6 3" xfId="19814"/>
    <cellStyle name="Normale 3 3 2 5 2 2 6 4" xfId="27188"/>
    <cellStyle name="Normale 3 3 2 5 2 2 7" xfId="5871"/>
    <cellStyle name="Normale 3 3 2 5 2 2 7 2" xfId="13334"/>
    <cellStyle name="Normale 3 3 2 5 2 2 7 3" xfId="20742"/>
    <cellStyle name="Normale 3 3 2 5 2 2 7 4" xfId="27168"/>
    <cellStyle name="Normale 3 3 2 5 2 2 8" xfId="6791"/>
    <cellStyle name="Normale 3 3 2 5 2 2 8 2" xfId="14254"/>
    <cellStyle name="Normale 3 3 2 5 2 2 8 3" xfId="21662"/>
    <cellStyle name="Normale 3 3 2 5 2 2 8 4" xfId="22543"/>
    <cellStyle name="Normale 3 3 2 5 2 2 9" xfId="7730"/>
    <cellStyle name="Normale 3 3 2 5 2 20" xfId="36255"/>
    <cellStyle name="Normale 3 3 2 5 2 21" xfId="37178"/>
    <cellStyle name="Normale 3 3 2 5 2 3" xfId="1042"/>
    <cellStyle name="Normale 3 3 2 5 2 3 2" xfId="8505"/>
    <cellStyle name="Normale 3 3 2 5 2 3 3" xfId="15913"/>
    <cellStyle name="Normale 3 3 2 5 2 3 4" xfId="25034"/>
    <cellStyle name="Normale 3 3 2 5 2 4" xfId="1969"/>
    <cellStyle name="Normale 3 3 2 5 2 4 2" xfId="9432"/>
    <cellStyle name="Normale 3 3 2 5 2 4 3" xfId="16840"/>
    <cellStyle name="Normale 3 3 2 5 2 4 4" xfId="23773"/>
    <cellStyle name="Normale 3 3 2 5 2 5" xfId="2895"/>
    <cellStyle name="Normale 3 3 2 5 2 5 2" xfId="10358"/>
    <cellStyle name="Normale 3 3 2 5 2 5 3" xfId="17766"/>
    <cellStyle name="Normale 3 3 2 5 2 5 4" xfId="25790"/>
    <cellStyle name="Normale 3 3 2 5 2 6" xfId="3824"/>
    <cellStyle name="Normale 3 3 2 5 2 6 2" xfId="11287"/>
    <cellStyle name="Normale 3 3 2 5 2 6 3" xfId="18695"/>
    <cellStyle name="Normale 3 3 2 5 2 6 4" xfId="26859"/>
    <cellStyle name="Normale 3 3 2 5 2 7" xfId="4751"/>
    <cellStyle name="Normale 3 3 2 5 2 7 2" xfId="12214"/>
    <cellStyle name="Normale 3 3 2 5 2 7 3" xfId="19622"/>
    <cellStyle name="Normale 3 3 2 5 2 7 4" xfId="27685"/>
    <cellStyle name="Normale 3 3 2 5 2 8" xfId="5678"/>
    <cellStyle name="Normale 3 3 2 5 2 8 2" xfId="13141"/>
    <cellStyle name="Normale 3 3 2 5 2 8 3" xfId="20549"/>
    <cellStyle name="Normale 3 3 2 5 2 8 4" xfId="28636"/>
    <cellStyle name="Normale 3 3 2 5 2 9" xfId="6600"/>
    <cellStyle name="Normale 3 3 2 5 2 9 2" xfId="14063"/>
    <cellStyle name="Normale 3 3 2 5 2 9 3" xfId="21471"/>
    <cellStyle name="Normale 3 3 2 5 2 9 4" xfId="24915"/>
    <cellStyle name="Normale 3 3 2 5 20" xfId="29759"/>
    <cellStyle name="Normale 3 3 2 5 21" xfId="30689"/>
    <cellStyle name="Normale 3 3 2 5 22" xfId="31612"/>
    <cellStyle name="Normale 3 3 2 5 23" xfId="32538"/>
    <cellStyle name="Normale 3 3 2 5 24" xfId="33472"/>
    <cellStyle name="Normale 3 3 2 5 25" xfId="34400"/>
    <cellStyle name="Normale 3 3 2 5 26" xfId="35328"/>
    <cellStyle name="Normale 3 3 2 5 27" xfId="36254"/>
    <cellStyle name="Normale 3 3 2 5 28" xfId="37177"/>
    <cellStyle name="Normale 3 3 2 5 3" xfId="266"/>
    <cellStyle name="Normale 3 3 2 5 3 10" xfId="15139"/>
    <cellStyle name="Normale 3 3 2 5 3 11" xfId="28233"/>
    <cellStyle name="Normale 3 3 2 5 3 12" xfId="29951"/>
    <cellStyle name="Normale 3 3 2 5 3 13" xfId="30883"/>
    <cellStyle name="Normale 3 3 2 5 3 14" xfId="31804"/>
    <cellStyle name="Normale 3 3 2 5 3 15" xfId="32729"/>
    <cellStyle name="Normale 3 3 2 5 3 16" xfId="33666"/>
    <cellStyle name="Normale 3 3 2 5 3 17" xfId="34596"/>
    <cellStyle name="Normale 3 3 2 5 3 18" xfId="35522"/>
    <cellStyle name="Normale 3 3 2 5 3 19" xfId="36448"/>
    <cellStyle name="Normale 3 3 2 5 3 2" xfId="1233"/>
    <cellStyle name="Normale 3 3 2 5 3 2 2" xfId="8696"/>
    <cellStyle name="Normale 3 3 2 5 3 2 3" xfId="16104"/>
    <cellStyle name="Normale 3 3 2 5 3 2 4" xfId="25521"/>
    <cellStyle name="Normale 3 3 2 5 3 20" xfId="37368"/>
    <cellStyle name="Normale 3 3 2 5 3 3" xfId="2164"/>
    <cellStyle name="Normale 3 3 2 5 3 3 2" xfId="9627"/>
    <cellStyle name="Normale 3 3 2 5 3 3 3" xfId="17035"/>
    <cellStyle name="Normale 3 3 2 5 3 3 4" xfId="28908"/>
    <cellStyle name="Normale 3 3 2 5 3 4" xfId="3086"/>
    <cellStyle name="Normale 3 3 2 5 3 4 2" xfId="10549"/>
    <cellStyle name="Normale 3 3 2 5 3 4 3" xfId="17957"/>
    <cellStyle name="Normale 3 3 2 5 3 4 4" xfId="23563"/>
    <cellStyle name="Normale 3 3 2 5 3 5" xfId="4019"/>
    <cellStyle name="Normale 3 3 2 5 3 5 2" xfId="11482"/>
    <cellStyle name="Normale 3 3 2 5 3 5 3" xfId="18890"/>
    <cellStyle name="Normale 3 3 2 5 3 5 4" xfId="23812"/>
    <cellStyle name="Normale 3 3 2 5 3 6" xfId="4942"/>
    <cellStyle name="Normale 3 3 2 5 3 6 2" xfId="12405"/>
    <cellStyle name="Normale 3 3 2 5 3 6 3" xfId="19813"/>
    <cellStyle name="Normale 3 3 2 5 3 6 4" xfId="28110"/>
    <cellStyle name="Normale 3 3 2 5 3 7" xfId="5870"/>
    <cellStyle name="Normale 3 3 2 5 3 7 2" xfId="13333"/>
    <cellStyle name="Normale 3 3 2 5 3 7 3" xfId="20741"/>
    <cellStyle name="Normale 3 3 2 5 3 7 4" xfId="28090"/>
    <cellStyle name="Normale 3 3 2 5 3 8" xfId="6790"/>
    <cellStyle name="Normale 3 3 2 5 3 8 2" xfId="14253"/>
    <cellStyle name="Normale 3 3 2 5 3 8 3" xfId="21661"/>
    <cellStyle name="Normale 3 3 2 5 3 8 4" xfId="23649"/>
    <cellStyle name="Normale 3 3 2 5 3 9" xfId="7729"/>
    <cellStyle name="Normale 3 3 2 5 4" xfId="611"/>
    <cellStyle name="Normale 3 3 2 5 4 10" xfId="15483"/>
    <cellStyle name="Normale 3 3 2 5 4 11" xfId="24610"/>
    <cellStyle name="Normale 3 3 2 5 4 12" xfId="30292"/>
    <cellStyle name="Normale 3 3 2 5 4 13" xfId="31227"/>
    <cellStyle name="Normale 3 3 2 5 4 14" xfId="32145"/>
    <cellStyle name="Normale 3 3 2 5 4 15" xfId="33065"/>
    <cellStyle name="Normale 3 3 2 5 4 16" xfId="34010"/>
    <cellStyle name="Normale 3 3 2 5 4 17" xfId="34941"/>
    <cellStyle name="Normale 3 3 2 5 4 18" xfId="35867"/>
    <cellStyle name="Normale 3 3 2 5 4 19" xfId="36792"/>
    <cellStyle name="Normale 3 3 2 5 4 2" xfId="1577"/>
    <cellStyle name="Normale 3 3 2 5 4 2 2" xfId="9040"/>
    <cellStyle name="Normale 3 3 2 5 4 2 3" xfId="16448"/>
    <cellStyle name="Normale 3 3 2 5 4 2 4" xfId="23604"/>
    <cellStyle name="Normale 3 3 2 5 4 20" xfId="37704"/>
    <cellStyle name="Normale 3 3 2 5 4 3" xfId="2509"/>
    <cellStyle name="Normale 3 3 2 5 4 3 2" xfId="9972"/>
    <cellStyle name="Normale 3 3 2 5 4 3 3" xfId="17380"/>
    <cellStyle name="Normale 3 3 2 5 4 3 4" xfId="27985"/>
    <cellStyle name="Normale 3 3 2 5 4 4" xfId="3427"/>
    <cellStyle name="Normale 3 3 2 5 4 4 2" xfId="10890"/>
    <cellStyle name="Normale 3 3 2 5 4 4 3" xfId="18298"/>
    <cellStyle name="Normale 3 3 2 5 4 4 4" xfId="22445"/>
    <cellStyle name="Normale 3 3 2 5 4 5" xfId="4364"/>
    <cellStyle name="Normale 3 3 2 5 4 5 2" xfId="11827"/>
    <cellStyle name="Normale 3 3 2 5 4 5 3" xfId="19235"/>
    <cellStyle name="Normale 3 3 2 5 4 5 4" xfId="26100"/>
    <cellStyle name="Normale 3 3 2 5 4 6" xfId="5283"/>
    <cellStyle name="Normale 3 3 2 5 4 6 2" xfId="12746"/>
    <cellStyle name="Normale 3 3 2 5 4 6 3" xfId="20154"/>
    <cellStyle name="Normale 3 3 2 5 4 6 4" xfId="27914"/>
    <cellStyle name="Normale 3 3 2 5 4 7" xfId="6215"/>
    <cellStyle name="Normale 3 3 2 5 4 7 2" xfId="13678"/>
    <cellStyle name="Normale 3 3 2 5 4 7 3" xfId="21086"/>
    <cellStyle name="Normale 3 3 2 5 4 7 4" xfId="27156"/>
    <cellStyle name="Normale 3 3 2 5 4 8" xfId="7126"/>
    <cellStyle name="Normale 3 3 2 5 4 8 2" xfId="14589"/>
    <cellStyle name="Normale 3 3 2 5 4 8 3" xfId="21997"/>
    <cellStyle name="Normale 3 3 2 5 4 8 4" xfId="27137"/>
    <cellStyle name="Normale 3 3 2 5 4 9" xfId="8074"/>
    <cellStyle name="Normale 3 3 2 5 5" xfId="666"/>
    <cellStyle name="Normale 3 3 2 5 5 10" xfId="15538"/>
    <cellStyle name="Normale 3 3 2 5 5 11" xfId="24547"/>
    <cellStyle name="Normale 3 3 2 5 5 12" xfId="30345"/>
    <cellStyle name="Normale 3 3 2 5 5 13" xfId="31282"/>
    <cellStyle name="Normale 3 3 2 5 5 14" xfId="32199"/>
    <cellStyle name="Normale 3 3 2 5 5 15" xfId="33118"/>
    <cellStyle name="Normale 3 3 2 5 5 16" xfId="34065"/>
    <cellStyle name="Normale 3 3 2 5 5 17" xfId="34996"/>
    <cellStyle name="Normale 3 3 2 5 5 18" xfId="35922"/>
    <cellStyle name="Normale 3 3 2 5 5 19" xfId="36847"/>
    <cellStyle name="Normale 3 3 2 5 5 2" xfId="1632"/>
    <cellStyle name="Normale 3 3 2 5 5 2 2" xfId="9095"/>
    <cellStyle name="Normale 3 3 2 5 5 2 3" xfId="16503"/>
    <cellStyle name="Normale 3 3 2 5 5 2 4" xfId="24886"/>
    <cellStyle name="Normale 3 3 2 5 5 20" xfId="37757"/>
    <cellStyle name="Normale 3 3 2 5 5 3" xfId="2564"/>
    <cellStyle name="Normale 3 3 2 5 5 3 2" xfId="10027"/>
    <cellStyle name="Normale 3 3 2 5 5 3 3" xfId="17435"/>
    <cellStyle name="Normale 3 3 2 5 5 3 4" xfId="23221"/>
    <cellStyle name="Normale 3 3 2 5 5 4" xfId="3482"/>
    <cellStyle name="Normale 3 3 2 5 5 4 2" xfId="10945"/>
    <cellStyle name="Normale 3 3 2 5 5 4 3" xfId="18353"/>
    <cellStyle name="Normale 3 3 2 5 5 4 4" xfId="24474"/>
    <cellStyle name="Normale 3 3 2 5 5 5" xfId="4419"/>
    <cellStyle name="Normale 3 3 2 5 5 5 2" xfId="11882"/>
    <cellStyle name="Normale 3 3 2 5 5 5 3" xfId="19290"/>
    <cellStyle name="Normale 3 3 2 5 5 5 4" xfId="23339"/>
    <cellStyle name="Normale 3 3 2 5 5 6" xfId="5337"/>
    <cellStyle name="Normale 3 3 2 5 5 6 2" xfId="12800"/>
    <cellStyle name="Normale 3 3 2 5 5 6 3" xfId="20208"/>
    <cellStyle name="Normale 3 3 2 5 5 6 4" xfId="23938"/>
    <cellStyle name="Normale 3 3 2 5 5 7" xfId="6270"/>
    <cellStyle name="Normale 3 3 2 5 5 7 2" xfId="13733"/>
    <cellStyle name="Normale 3 3 2 5 5 7 3" xfId="21141"/>
    <cellStyle name="Normale 3 3 2 5 5 7 4" xfId="27887"/>
    <cellStyle name="Normale 3 3 2 5 5 8" xfId="7179"/>
    <cellStyle name="Normale 3 3 2 5 5 8 2" xfId="14642"/>
    <cellStyle name="Normale 3 3 2 5 5 8 3" xfId="22050"/>
    <cellStyle name="Normale 3 3 2 5 5 8 4" xfId="28388"/>
    <cellStyle name="Normale 3 3 2 5 5 9" xfId="8129"/>
    <cellStyle name="Normale 3 3 2 5 6" xfId="751"/>
    <cellStyle name="Normale 3 3 2 5 6 10" xfId="15622"/>
    <cellStyle name="Normale 3 3 2 5 6 11" xfId="23890"/>
    <cellStyle name="Normale 3 3 2 5 6 12" xfId="30425"/>
    <cellStyle name="Normale 3 3 2 5 6 13" xfId="31366"/>
    <cellStyle name="Normale 3 3 2 5 6 14" xfId="32279"/>
    <cellStyle name="Normale 3 3 2 5 6 15" xfId="33196"/>
    <cellStyle name="Normale 3 3 2 5 6 16" xfId="34149"/>
    <cellStyle name="Normale 3 3 2 5 6 17" xfId="35081"/>
    <cellStyle name="Normale 3 3 2 5 6 18" xfId="36007"/>
    <cellStyle name="Normale 3 3 2 5 6 19" xfId="36932"/>
    <cellStyle name="Normale 3 3 2 5 6 2" xfId="1716"/>
    <cellStyle name="Normale 3 3 2 5 6 2 2" xfId="9179"/>
    <cellStyle name="Normale 3 3 2 5 6 2 3" xfId="16587"/>
    <cellStyle name="Normale 3 3 2 5 6 2 4" xfId="27086"/>
    <cellStyle name="Normale 3 3 2 5 6 20" xfId="37835"/>
    <cellStyle name="Normale 3 3 2 5 6 3" xfId="2649"/>
    <cellStyle name="Normale 3 3 2 5 6 3 2" xfId="10112"/>
    <cellStyle name="Normale 3 3 2 5 6 3 3" xfId="17520"/>
    <cellStyle name="Normale 3 3 2 5 6 3 4" xfId="25906"/>
    <cellStyle name="Normale 3 3 2 5 6 4" xfId="3565"/>
    <cellStyle name="Normale 3 3 2 5 6 4 2" xfId="11028"/>
    <cellStyle name="Normale 3 3 2 5 6 4 3" xfId="18436"/>
    <cellStyle name="Normale 3 3 2 5 6 4 4" xfId="29441"/>
    <cellStyle name="Normale 3 3 2 5 6 5" xfId="4504"/>
    <cellStyle name="Normale 3 3 2 5 6 5 2" xfId="11967"/>
    <cellStyle name="Normale 3 3 2 5 6 5 3" xfId="19375"/>
    <cellStyle name="Normale 3 3 2 5 6 5 4" xfId="28735"/>
    <cellStyle name="Normale 3 3 2 5 6 6" xfId="5420"/>
    <cellStyle name="Normale 3 3 2 5 6 6 2" xfId="12883"/>
    <cellStyle name="Normale 3 3 2 5 6 6 3" xfId="20291"/>
    <cellStyle name="Normale 3 3 2 5 6 6 4" xfId="26992"/>
    <cellStyle name="Normale 3 3 2 5 6 7" xfId="6353"/>
    <cellStyle name="Normale 3 3 2 5 6 7 2" xfId="13816"/>
    <cellStyle name="Normale 3 3 2 5 6 7 3" xfId="21224"/>
    <cellStyle name="Normale 3 3 2 5 6 7 4" xfId="25977"/>
    <cellStyle name="Normale 3 3 2 5 6 8" xfId="7257"/>
    <cellStyle name="Normale 3 3 2 5 6 8 2" xfId="14720"/>
    <cellStyle name="Normale 3 3 2 5 6 8 3" xfId="22128"/>
    <cellStyle name="Normale 3 3 2 5 6 8 4" xfId="28965"/>
    <cellStyle name="Normale 3 3 2 5 6 9" xfId="8214"/>
    <cellStyle name="Normale 3 3 2 5 7" xfId="822"/>
    <cellStyle name="Normale 3 3 2 5 7 10" xfId="15693"/>
    <cellStyle name="Normale 3 3 2 5 7 11" xfId="22976"/>
    <cellStyle name="Normale 3 3 2 5 7 12" xfId="30494"/>
    <cellStyle name="Normale 3 3 2 5 7 13" xfId="31437"/>
    <cellStyle name="Normale 3 3 2 5 7 14" xfId="32349"/>
    <cellStyle name="Normale 3 3 2 5 7 15" xfId="33265"/>
    <cellStyle name="Normale 3 3 2 5 7 16" xfId="34220"/>
    <cellStyle name="Normale 3 3 2 5 7 17" xfId="35152"/>
    <cellStyle name="Normale 3 3 2 5 7 18" xfId="36078"/>
    <cellStyle name="Normale 3 3 2 5 7 19" xfId="37003"/>
    <cellStyle name="Normale 3 3 2 5 7 2" xfId="1787"/>
    <cellStyle name="Normale 3 3 2 5 7 2 2" xfId="9250"/>
    <cellStyle name="Normale 3 3 2 5 7 2 3" xfId="16658"/>
    <cellStyle name="Normale 3 3 2 5 7 2 4" xfId="26593"/>
    <cellStyle name="Normale 3 3 2 5 7 20" xfId="37904"/>
    <cellStyle name="Normale 3 3 2 5 7 3" xfId="2720"/>
    <cellStyle name="Normale 3 3 2 5 7 3 2" xfId="10183"/>
    <cellStyle name="Normale 3 3 2 5 7 3 3" xfId="17591"/>
    <cellStyle name="Normale 3 3 2 5 7 3 4" xfId="24826"/>
    <cellStyle name="Normale 3 3 2 5 7 4" xfId="3635"/>
    <cellStyle name="Normale 3 3 2 5 7 4 2" xfId="11098"/>
    <cellStyle name="Normale 3 3 2 5 7 4 3" xfId="18506"/>
    <cellStyle name="Normale 3 3 2 5 7 4 4" xfId="22439"/>
    <cellStyle name="Normale 3 3 2 5 7 5" xfId="4575"/>
    <cellStyle name="Normale 3 3 2 5 7 5 2" xfId="12038"/>
    <cellStyle name="Normale 3 3 2 5 7 5 3" xfId="19446"/>
    <cellStyle name="Normale 3 3 2 5 7 5 4" xfId="27653"/>
    <cellStyle name="Normale 3 3 2 5 7 6" xfId="5490"/>
    <cellStyle name="Normale 3 3 2 5 7 6 2" xfId="12953"/>
    <cellStyle name="Normale 3 3 2 5 7 6 3" xfId="20361"/>
    <cellStyle name="Normale 3 3 2 5 7 6 4" xfId="27477"/>
    <cellStyle name="Normale 3 3 2 5 7 7" xfId="6424"/>
    <cellStyle name="Normale 3 3 2 5 7 7 2" xfId="13887"/>
    <cellStyle name="Normale 3 3 2 5 7 7 3" xfId="21295"/>
    <cellStyle name="Normale 3 3 2 5 7 7 4" xfId="24910"/>
    <cellStyle name="Normale 3 3 2 5 7 8" xfId="7326"/>
    <cellStyle name="Normale 3 3 2 5 7 8 2" xfId="14789"/>
    <cellStyle name="Normale 3 3 2 5 7 8 3" xfId="22197"/>
    <cellStyle name="Normale 3 3 2 5 7 8 4" xfId="25573"/>
    <cellStyle name="Normale 3 3 2 5 7 9" xfId="8285"/>
    <cellStyle name="Normale 3 3 2 5 8" xfId="893"/>
    <cellStyle name="Normale 3 3 2 5 8 10" xfId="15764"/>
    <cellStyle name="Normale 3 3 2 5 8 11" xfId="29127"/>
    <cellStyle name="Normale 3 3 2 5 8 12" xfId="30562"/>
    <cellStyle name="Normale 3 3 2 5 8 13" xfId="31508"/>
    <cellStyle name="Normale 3 3 2 5 8 14" xfId="32419"/>
    <cellStyle name="Normale 3 3 2 5 8 15" xfId="33331"/>
    <cellStyle name="Normale 3 3 2 5 8 16" xfId="34291"/>
    <cellStyle name="Normale 3 3 2 5 8 17" xfId="35223"/>
    <cellStyle name="Normale 3 3 2 5 8 18" xfId="36149"/>
    <cellStyle name="Normale 3 3 2 5 8 19" xfId="37074"/>
    <cellStyle name="Normale 3 3 2 5 8 2" xfId="1858"/>
    <cellStyle name="Normale 3 3 2 5 8 2 2" xfId="9321"/>
    <cellStyle name="Normale 3 3 2 5 8 2 3" xfId="16729"/>
    <cellStyle name="Normale 3 3 2 5 8 2 4" xfId="26164"/>
    <cellStyle name="Normale 3 3 2 5 8 20" xfId="37970"/>
    <cellStyle name="Normale 3 3 2 5 8 3" xfId="2791"/>
    <cellStyle name="Normale 3 3 2 5 8 3 2" xfId="10254"/>
    <cellStyle name="Normale 3 3 2 5 8 3 3" xfId="17662"/>
    <cellStyle name="Normale 3 3 2 5 8 3 4" xfId="25560"/>
    <cellStyle name="Normale 3 3 2 5 8 4" xfId="3705"/>
    <cellStyle name="Normale 3 3 2 5 8 4 2" xfId="11168"/>
    <cellStyle name="Normale 3 3 2 5 8 4 3" xfId="18576"/>
    <cellStyle name="Normale 3 3 2 5 8 4 4" xfId="25784"/>
    <cellStyle name="Normale 3 3 2 5 8 5" xfId="4646"/>
    <cellStyle name="Normale 3 3 2 5 8 5 2" xfId="12109"/>
    <cellStyle name="Normale 3 3 2 5 8 5 3" xfId="19517"/>
    <cellStyle name="Normale 3 3 2 5 8 5 4" xfId="28355"/>
    <cellStyle name="Normale 3 3 2 5 8 6" xfId="5560"/>
    <cellStyle name="Normale 3 3 2 5 8 6 2" xfId="13023"/>
    <cellStyle name="Normale 3 3 2 5 8 6 3" xfId="20431"/>
    <cellStyle name="Normale 3 3 2 5 8 6 4" xfId="27906"/>
    <cellStyle name="Normale 3 3 2 5 8 7" xfId="6495"/>
    <cellStyle name="Normale 3 3 2 5 8 7 2" xfId="13958"/>
    <cellStyle name="Normale 3 3 2 5 8 7 3" xfId="21366"/>
    <cellStyle name="Normale 3 3 2 5 8 7 4" xfId="25583"/>
    <cellStyle name="Normale 3 3 2 5 8 8" xfId="7392"/>
    <cellStyle name="Normale 3 3 2 5 8 8 2" xfId="14855"/>
    <cellStyle name="Normale 3 3 2 5 8 8 3" xfId="22263"/>
    <cellStyle name="Normale 3 3 2 5 8 8 4" xfId="22531"/>
    <cellStyle name="Normale 3 3 2 5 8 9" xfId="8356"/>
    <cellStyle name="Normale 3 3 2 5 9" xfId="959"/>
    <cellStyle name="Normale 3 3 2 5 9 10" xfId="15830"/>
    <cellStyle name="Normale 3 3 2 5 9 11" xfId="27359"/>
    <cellStyle name="Normale 3 3 2 5 9 12" xfId="30625"/>
    <cellStyle name="Normale 3 3 2 5 9 13" xfId="31573"/>
    <cellStyle name="Normale 3 3 2 5 9 14" xfId="32484"/>
    <cellStyle name="Normale 3 3 2 5 9 15" xfId="33394"/>
    <cellStyle name="Normale 3 3 2 5 9 16" xfId="34357"/>
    <cellStyle name="Normale 3 3 2 5 9 17" xfId="35289"/>
    <cellStyle name="Normale 3 3 2 5 9 18" xfId="36214"/>
    <cellStyle name="Normale 3 3 2 5 9 19" xfId="37140"/>
    <cellStyle name="Normale 3 3 2 5 9 2" xfId="1924"/>
    <cellStyle name="Normale 3 3 2 5 9 2 2" xfId="9387"/>
    <cellStyle name="Normale 3 3 2 5 9 2 3" xfId="16795"/>
    <cellStyle name="Normale 3 3 2 5 9 2 4" xfId="28701"/>
    <cellStyle name="Normale 3 3 2 5 9 20" xfId="38033"/>
    <cellStyle name="Normale 3 3 2 5 9 3" xfId="2856"/>
    <cellStyle name="Normale 3 3 2 5 9 3 2" xfId="10319"/>
    <cellStyle name="Normale 3 3 2 5 9 3 3" xfId="17727"/>
    <cellStyle name="Normale 3 3 2 5 9 3 4" xfId="23573"/>
    <cellStyle name="Normale 3 3 2 5 9 4" xfId="3771"/>
    <cellStyle name="Normale 3 3 2 5 9 4 2" xfId="11234"/>
    <cellStyle name="Normale 3 3 2 5 9 4 3" xfId="18642"/>
    <cellStyle name="Normale 3 3 2 5 9 4 4" xfId="22435"/>
    <cellStyle name="Normale 3 3 2 5 9 5" xfId="4712"/>
    <cellStyle name="Normale 3 3 2 5 9 5 2" xfId="12175"/>
    <cellStyle name="Normale 3 3 2 5 9 5 3" xfId="19583"/>
    <cellStyle name="Normale 3 3 2 5 9 5 4" xfId="25169"/>
    <cellStyle name="Normale 3 3 2 5 9 6" xfId="5626"/>
    <cellStyle name="Normale 3 3 2 5 9 6 2" xfId="13089"/>
    <cellStyle name="Normale 3 3 2 5 9 6 3" xfId="20497"/>
    <cellStyle name="Normale 3 3 2 5 9 6 4" xfId="23137"/>
    <cellStyle name="Normale 3 3 2 5 9 7" xfId="6561"/>
    <cellStyle name="Normale 3 3 2 5 9 7 2" xfId="14024"/>
    <cellStyle name="Normale 3 3 2 5 9 7 3" xfId="21432"/>
    <cellStyle name="Normale 3 3 2 5 9 7 4" xfId="22553"/>
    <cellStyle name="Normale 3 3 2 5 9 8" xfId="7455"/>
    <cellStyle name="Normale 3 3 2 5 9 8 2" xfId="14918"/>
    <cellStyle name="Normale 3 3 2 5 9 8 3" xfId="22326"/>
    <cellStyle name="Normale 3 3 2 5 9 8 4" xfId="17446"/>
    <cellStyle name="Normale 3 3 2 5 9 9" xfId="8422"/>
    <cellStyle name="Normale 3 3 2 6" xfId="70"/>
    <cellStyle name="Normale 3 3 2 6 10" xfId="2896"/>
    <cellStyle name="Normale 3 3 2 6 10 2" xfId="10359"/>
    <cellStyle name="Normale 3 3 2 6 10 3" xfId="17767"/>
    <cellStyle name="Normale 3 3 2 6 10 4" xfId="24878"/>
    <cellStyle name="Normale 3 3 2 6 11" xfId="3825"/>
    <cellStyle name="Normale 3 3 2 6 11 2" xfId="11288"/>
    <cellStyle name="Normale 3 3 2 6 11 3" xfId="18696"/>
    <cellStyle name="Normale 3 3 2 6 11 4" xfId="25925"/>
    <cellStyle name="Normale 3 3 2 6 12" xfId="4752"/>
    <cellStyle name="Normale 3 3 2 6 12 2" xfId="12215"/>
    <cellStyle name="Normale 3 3 2 6 12 3" xfId="19623"/>
    <cellStyle name="Normale 3 3 2 6 12 4" xfId="26782"/>
    <cellStyle name="Normale 3 3 2 6 13" xfId="5679"/>
    <cellStyle name="Normale 3 3 2 6 13 2" xfId="13142"/>
    <cellStyle name="Normale 3 3 2 6 13 3" xfId="20550"/>
    <cellStyle name="Normale 3 3 2 6 13 4" xfId="27709"/>
    <cellStyle name="Normale 3 3 2 6 14" xfId="6601"/>
    <cellStyle name="Normale 3 3 2 6 14 2" xfId="14064"/>
    <cellStyle name="Normale 3 3 2 6 14 3" xfId="21472"/>
    <cellStyle name="Normale 3 3 2 6 14 4" xfId="23990"/>
    <cellStyle name="Normale 3 3 2 6 15" xfId="7535"/>
    <cellStyle name="Normale 3 3 2 6 16" xfId="14944"/>
    <cellStyle name="Normale 3 3 2 6 17" xfId="25287"/>
    <cellStyle name="Normale 3 3 2 6 18" xfId="29761"/>
    <cellStyle name="Normale 3 3 2 6 19" xfId="30691"/>
    <cellStyle name="Normale 3 3 2 6 2" xfId="268"/>
    <cellStyle name="Normale 3 3 2 6 2 10" xfId="15141"/>
    <cellStyle name="Normale 3 3 2 6 2 11" xfId="26401"/>
    <cellStyle name="Normale 3 3 2 6 2 12" xfId="29953"/>
    <cellStyle name="Normale 3 3 2 6 2 13" xfId="30885"/>
    <cellStyle name="Normale 3 3 2 6 2 14" xfId="31806"/>
    <cellStyle name="Normale 3 3 2 6 2 15" xfId="32731"/>
    <cellStyle name="Normale 3 3 2 6 2 16" xfId="33668"/>
    <cellStyle name="Normale 3 3 2 6 2 17" xfId="34598"/>
    <cellStyle name="Normale 3 3 2 6 2 18" xfId="35524"/>
    <cellStyle name="Normale 3 3 2 6 2 19" xfId="36450"/>
    <cellStyle name="Normale 3 3 2 6 2 2" xfId="1235"/>
    <cellStyle name="Normale 3 3 2 6 2 2 2" xfId="8698"/>
    <cellStyle name="Normale 3 3 2 6 2 2 3" xfId="16106"/>
    <cellStyle name="Normale 3 3 2 6 2 2 4" xfId="23683"/>
    <cellStyle name="Normale 3 3 2 6 2 20" xfId="37370"/>
    <cellStyle name="Normale 3 3 2 6 2 3" xfId="2166"/>
    <cellStyle name="Normale 3 3 2 6 2 3 2" xfId="9629"/>
    <cellStyle name="Normale 3 3 2 6 2 3 3" xfId="17037"/>
    <cellStyle name="Normale 3 3 2 6 2 3 4" xfId="27076"/>
    <cellStyle name="Normale 3 3 2 6 2 4" xfId="3088"/>
    <cellStyle name="Normale 3 3 2 6 2 4 2" xfId="10551"/>
    <cellStyle name="Normale 3 3 2 6 2 4 3" xfId="17959"/>
    <cellStyle name="Normale 3 3 2 6 2 4 4" xfId="27970"/>
    <cellStyle name="Normale 3 3 2 6 2 5" xfId="4021"/>
    <cellStyle name="Normale 3 3 2 6 2 5 2" xfId="11484"/>
    <cellStyle name="Normale 3 3 2 6 2 5 3" xfId="18892"/>
    <cellStyle name="Normale 3 3 2 6 2 5 4" xfId="29264"/>
    <cellStyle name="Normale 3 3 2 6 2 6" xfId="4944"/>
    <cellStyle name="Normale 3 3 2 6 2 6 2" xfId="12407"/>
    <cellStyle name="Normale 3 3 2 6 2 6 3" xfId="19815"/>
    <cellStyle name="Normale 3 3 2 6 2 6 4" xfId="26278"/>
    <cellStyle name="Normale 3 3 2 6 2 7" xfId="5872"/>
    <cellStyle name="Normale 3 3 2 6 2 7 2" xfId="13335"/>
    <cellStyle name="Normale 3 3 2 6 2 7 3" xfId="20743"/>
    <cellStyle name="Normale 3 3 2 6 2 7 4" xfId="26258"/>
    <cellStyle name="Normale 3 3 2 6 2 8" xfId="6792"/>
    <cellStyle name="Normale 3 3 2 6 2 8 2" xfId="14255"/>
    <cellStyle name="Normale 3 3 2 6 2 8 3" xfId="21663"/>
    <cellStyle name="Normale 3 3 2 6 2 8 4" xfId="28973"/>
    <cellStyle name="Normale 3 3 2 6 2 9" xfId="7731"/>
    <cellStyle name="Normale 3 3 2 6 20" xfId="31614"/>
    <cellStyle name="Normale 3 3 2 6 21" xfId="32540"/>
    <cellStyle name="Normale 3 3 2 6 22" xfId="33474"/>
    <cellStyle name="Normale 3 3 2 6 23" xfId="34402"/>
    <cellStyle name="Normale 3 3 2 6 24" xfId="35330"/>
    <cellStyle name="Normale 3 3 2 6 25" xfId="36256"/>
    <cellStyle name="Normale 3 3 2 6 26" xfId="37179"/>
    <cellStyle name="Normale 3 3 2 6 3" xfId="682"/>
    <cellStyle name="Normale 3 3 2 6 3 10" xfId="15553"/>
    <cellStyle name="Normale 3 3 2 6 3 11" xfId="26015"/>
    <cellStyle name="Normale 3 3 2 6 3 12" xfId="30356"/>
    <cellStyle name="Normale 3 3 2 6 3 13" xfId="31297"/>
    <cellStyle name="Normale 3 3 2 6 3 14" xfId="32211"/>
    <cellStyle name="Normale 3 3 2 6 3 15" xfId="33129"/>
    <cellStyle name="Normale 3 3 2 6 3 16" xfId="34080"/>
    <cellStyle name="Normale 3 3 2 6 3 17" xfId="35012"/>
    <cellStyle name="Normale 3 3 2 6 3 18" xfId="35938"/>
    <cellStyle name="Normale 3 3 2 6 3 19" xfId="36863"/>
    <cellStyle name="Normale 3 3 2 6 3 2" xfId="1647"/>
    <cellStyle name="Normale 3 3 2 6 3 2 2" xfId="9110"/>
    <cellStyle name="Normale 3 3 2 6 3 2 3" xfId="16518"/>
    <cellStyle name="Normale 3 3 2 6 3 2 4" xfId="25664"/>
    <cellStyle name="Normale 3 3 2 6 3 20" xfId="37768"/>
    <cellStyle name="Normale 3 3 2 6 3 3" xfId="2580"/>
    <cellStyle name="Normale 3 3 2 6 3 3 2" xfId="10043"/>
    <cellStyle name="Normale 3 3 2 6 3 3 3" xfId="17451"/>
    <cellStyle name="Normale 3 3 2 6 3 3 4" xfId="23087"/>
    <cellStyle name="Normale 3 3 2 6 3 4" xfId="3496"/>
    <cellStyle name="Normale 3 3 2 6 3 4 2" xfId="10959"/>
    <cellStyle name="Normale 3 3 2 6 3 4 3" xfId="18367"/>
    <cellStyle name="Normale 3 3 2 6 3 4 4" xfId="25393"/>
    <cellStyle name="Normale 3 3 2 6 3 5" xfId="4435"/>
    <cellStyle name="Normale 3 3 2 6 3 5 2" xfId="11898"/>
    <cellStyle name="Normale 3 3 2 6 3 5 3" xfId="19306"/>
    <cellStyle name="Normale 3 3 2 6 3 5 4" xfId="24086"/>
    <cellStyle name="Normale 3 3 2 6 3 6" xfId="5351"/>
    <cellStyle name="Normale 3 3 2 6 3 6 2" xfId="12814"/>
    <cellStyle name="Normale 3 3 2 6 3 6 3" xfId="20222"/>
    <cellStyle name="Normale 3 3 2 6 3 6 4" xfId="25641"/>
    <cellStyle name="Normale 3 3 2 6 3 7" xfId="6284"/>
    <cellStyle name="Normale 3 3 2 6 3 7 2" xfId="13747"/>
    <cellStyle name="Normale 3 3 2 6 3 7 3" xfId="21155"/>
    <cellStyle name="Normale 3 3 2 6 3 7 4" xfId="23121"/>
    <cellStyle name="Normale 3 3 2 6 3 8" xfId="7190"/>
    <cellStyle name="Normale 3 3 2 6 3 8 2" xfId="14653"/>
    <cellStyle name="Normale 3 3 2 6 3 8 3" xfId="22061"/>
    <cellStyle name="Normale 3 3 2 6 3 8 4" xfId="25572"/>
    <cellStyle name="Normale 3 3 2 6 3 9" xfId="8145"/>
    <cellStyle name="Normale 3 3 2 6 4" xfId="767"/>
    <cellStyle name="Normale 3 3 2 6 4 10" xfId="15638"/>
    <cellStyle name="Normale 3 3 2 6 4 11" xfId="23780"/>
    <cellStyle name="Normale 3 3 2 6 4 12" xfId="30441"/>
    <cellStyle name="Normale 3 3 2 6 4 13" xfId="31382"/>
    <cellStyle name="Normale 3 3 2 6 4 14" xfId="32295"/>
    <cellStyle name="Normale 3 3 2 6 4 15" xfId="33212"/>
    <cellStyle name="Normale 3 3 2 6 4 16" xfId="34165"/>
    <cellStyle name="Normale 3 3 2 6 4 17" xfId="35097"/>
    <cellStyle name="Normale 3 3 2 6 4 18" xfId="36023"/>
    <cellStyle name="Normale 3 3 2 6 4 19" xfId="36948"/>
    <cellStyle name="Normale 3 3 2 6 4 2" xfId="1732"/>
    <cellStyle name="Normale 3 3 2 6 4 2 2" xfId="9195"/>
    <cellStyle name="Normale 3 3 2 6 4 2 3" xfId="16603"/>
    <cellStyle name="Normale 3 3 2 6 4 2 4" xfId="28003"/>
    <cellStyle name="Normale 3 3 2 6 4 20" xfId="37851"/>
    <cellStyle name="Normale 3 3 2 6 4 3" xfId="2665"/>
    <cellStyle name="Normale 3 3 2 6 4 3 2" xfId="10128"/>
    <cellStyle name="Normale 3 3 2 6 4 3 3" xfId="17536"/>
    <cellStyle name="Normale 3 3 2 6 4 3 4" xfId="25752"/>
    <cellStyle name="Normale 3 3 2 6 4 4" xfId="3581"/>
    <cellStyle name="Normale 3 3 2 6 4 4 2" xfId="11044"/>
    <cellStyle name="Normale 3 3 2 6 4 4 3" xfId="18452"/>
    <cellStyle name="Normale 3 3 2 6 4 4 4" xfId="29314"/>
    <cellStyle name="Normale 3 3 2 6 4 5" xfId="4520"/>
    <cellStyle name="Normale 3 3 2 6 4 5 2" xfId="11983"/>
    <cellStyle name="Normale 3 3 2 6 4 5 3" xfId="19391"/>
    <cellStyle name="Normale 3 3 2 6 4 5 4" xfId="28595"/>
    <cellStyle name="Normale 3 3 2 6 4 6" xfId="5436"/>
    <cellStyle name="Normale 3 3 2 6 4 6 2" xfId="12899"/>
    <cellStyle name="Normale 3 3 2 6 4 6 3" xfId="20307"/>
    <cellStyle name="Normale 3 3 2 6 4 6 4" xfId="27908"/>
    <cellStyle name="Normale 3 3 2 6 4 7" xfId="6369"/>
    <cellStyle name="Normale 3 3 2 6 4 7 2" xfId="13832"/>
    <cellStyle name="Normale 3 3 2 6 4 7 3" xfId="21240"/>
    <cellStyle name="Normale 3 3 2 6 4 7 4" xfId="25838"/>
    <cellStyle name="Normale 3 3 2 6 4 8" xfId="7273"/>
    <cellStyle name="Normale 3 3 2 6 4 8 2" xfId="14736"/>
    <cellStyle name="Normale 3 3 2 6 4 8 3" xfId="22144"/>
    <cellStyle name="Normale 3 3 2 6 4 8 4" xfId="23179"/>
    <cellStyle name="Normale 3 3 2 6 4 9" xfId="8230"/>
    <cellStyle name="Normale 3 3 2 6 5" xfId="838"/>
    <cellStyle name="Normale 3 3 2 6 5 10" xfId="15709"/>
    <cellStyle name="Normale 3 3 2 6 5 11" xfId="22510"/>
    <cellStyle name="Normale 3 3 2 6 5 12" xfId="30510"/>
    <cellStyle name="Normale 3 3 2 6 5 13" xfId="31453"/>
    <cellStyle name="Normale 3 3 2 6 5 14" xfId="32365"/>
    <cellStyle name="Normale 3 3 2 6 5 15" xfId="33280"/>
    <cellStyle name="Normale 3 3 2 6 5 16" xfId="34236"/>
    <cellStyle name="Normale 3 3 2 6 5 17" xfId="35168"/>
    <cellStyle name="Normale 3 3 2 6 5 18" xfId="36094"/>
    <cellStyle name="Normale 3 3 2 6 5 19" xfId="37019"/>
    <cellStyle name="Normale 3 3 2 6 5 2" xfId="1803"/>
    <cellStyle name="Normale 3 3 2 6 5 2 2" xfId="9266"/>
    <cellStyle name="Normale 3 3 2 6 5 2 3" xfId="16674"/>
    <cellStyle name="Normale 3 3 2 6 5 2 4" xfId="26494"/>
    <cellStyle name="Normale 3 3 2 6 5 20" xfId="37919"/>
    <cellStyle name="Normale 3 3 2 6 5 3" xfId="2736"/>
    <cellStyle name="Normale 3 3 2 6 5 3 2" xfId="10199"/>
    <cellStyle name="Normale 3 3 2 6 5 3 3" xfId="17607"/>
    <cellStyle name="Normale 3 3 2 6 5 3 4" xfId="24495"/>
    <cellStyle name="Normale 3 3 2 6 5 4" xfId="3651"/>
    <cellStyle name="Normale 3 3 2 6 5 4 2" xfId="11114"/>
    <cellStyle name="Normale 3 3 2 6 5 4 3" xfId="18522"/>
    <cellStyle name="Normale 3 3 2 6 5 4 4" xfId="23551"/>
    <cellStyle name="Normale 3 3 2 6 5 5" xfId="4591"/>
    <cellStyle name="Normale 3 3 2 6 5 5 2" xfId="12054"/>
    <cellStyle name="Normale 3 3 2 6 5 5 3" xfId="19462"/>
    <cellStyle name="Normale 3 3 2 6 5 5 4" xfId="27517"/>
    <cellStyle name="Normale 3 3 2 6 5 6" xfId="5506"/>
    <cellStyle name="Normale 3 3 2 6 5 6 2" xfId="12969"/>
    <cellStyle name="Normale 3 3 2 6 5 6 3" xfId="20377"/>
    <cellStyle name="Normale 3 3 2 6 5 6 4" xfId="27379"/>
    <cellStyle name="Normale 3 3 2 6 5 7" xfId="6440"/>
    <cellStyle name="Normale 3 3 2 6 5 7 2" xfId="13903"/>
    <cellStyle name="Normale 3 3 2 6 5 7 3" xfId="21311"/>
    <cellStyle name="Normale 3 3 2 6 5 7 4" xfId="24772"/>
    <cellStyle name="Normale 3 3 2 6 5 8" xfId="7341"/>
    <cellStyle name="Normale 3 3 2 6 5 8 2" xfId="14804"/>
    <cellStyle name="Normale 3 3 2 6 5 8 3" xfId="22212"/>
    <cellStyle name="Normale 3 3 2 6 5 8 4" xfId="26410"/>
    <cellStyle name="Normale 3 3 2 6 5 9" xfId="8301"/>
    <cellStyle name="Normale 3 3 2 6 6" xfId="909"/>
    <cellStyle name="Normale 3 3 2 6 6 10" xfId="15780"/>
    <cellStyle name="Normale 3 3 2 6 6 11" xfId="28218"/>
    <cellStyle name="Normale 3 3 2 6 6 12" xfId="30578"/>
    <cellStyle name="Normale 3 3 2 6 6 13" xfId="31524"/>
    <cellStyle name="Normale 3 3 2 6 6 14" xfId="32435"/>
    <cellStyle name="Normale 3 3 2 6 6 15" xfId="33347"/>
    <cellStyle name="Normale 3 3 2 6 6 16" xfId="34307"/>
    <cellStyle name="Normale 3 3 2 6 6 17" xfId="35239"/>
    <cellStyle name="Normale 3 3 2 6 6 18" xfId="36165"/>
    <cellStyle name="Normale 3 3 2 6 6 19" xfId="37090"/>
    <cellStyle name="Normale 3 3 2 6 6 2" xfId="1874"/>
    <cellStyle name="Normale 3 3 2 6 6 2 2" xfId="9337"/>
    <cellStyle name="Normale 3 3 2 6 6 2 3" xfId="16745"/>
    <cellStyle name="Normale 3 3 2 6 6 2 4" xfId="27080"/>
    <cellStyle name="Normale 3 3 2 6 6 20" xfId="37986"/>
    <cellStyle name="Normale 3 3 2 6 6 3" xfId="2807"/>
    <cellStyle name="Normale 3 3 2 6 6 3 2" xfId="10270"/>
    <cellStyle name="Normale 3 3 2 6 6 3 3" xfId="17678"/>
    <cellStyle name="Normale 3 3 2 6 6 3 4" xfId="25407"/>
    <cellStyle name="Normale 3 3 2 6 6 4" xfId="3721"/>
    <cellStyle name="Normale 3 3 2 6 6 4 2" xfId="11184"/>
    <cellStyle name="Normale 3 3 2 6 6 4 3" xfId="18592"/>
    <cellStyle name="Normale 3 3 2 6 6 4 4" xfId="25650"/>
    <cellStyle name="Normale 3 3 2 6 6 5" xfId="4662"/>
    <cellStyle name="Normale 3 3 2 6 6 5 2" xfId="12125"/>
    <cellStyle name="Normale 3 3 2 6 6 5 3" xfId="19533"/>
    <cellStyle name="Normale 3 3 2 6 6 5 4" xfId="28260"/>
    <cellStyle name="Normale 3 3 2 6 6 6" xfId="5576"/>
    <cellStyle name="Normale 3 3 2 6 6 6 2" xfId="13039"/>
    <cellStyle name="Normale 3 3 2 6 6 6 3" xfId="20447"/>
    <cellStyle name="Normale 3 3 2 6 6 6 4" xfId="28818"/>
    <cellStyle name="Normale 3 3 2 6 6 7" xfId="6511"/>
    <cellStyle name="Normale 3 3 2 6 6 7 2" xfId="13974"/>
    <cellStyle name="Normale 3 3 2 6 6 7 3" xfId="21382"/>
    <cellStyle name="Normale 3 3 2 6 6 7 4" xfId="25489"/>
    <cellStyle name="Normale 3 3 2 6 6 8" xfId="7408"/>
    <cellStyle name="Normale 3 3 2 6 6 8 2" xfId="14871"/>
    <cellStyle name="Normale 3 3 2 6 6 8 3" xfId="22279"/>
    <cellStyle name="Normale 3 3 2 6 6 8 4" xfId="23260"/>
    <cellStyle name="Normale 3 3 2 6 6 9" xfId="8372"/>
    <cellStyle name="Normale 3 3 2 6 7" xfId="970"/>
    <cellStyle name="Normale 3 3 2 6 7 10" xfId="15841"/>
    <cellStyle name="Normale 3 3 2 6 7 11" xfId="24538"/>
    <cellStyle name="Normale 3 3 2 6 7 12" xfId="30636"/>
    <cellStyle name="Normale 3 3 2 6 7 13" xfId="31584"/>
    <cellStyle name="Normale 3 3 2 6 7 14" xfId="32495"/>
    <cellStyle name="Normale 3 3 2 6 7 15" xfId="33405"/>
    <cellStyle name="Normale 3 3 2 6 7 16" xfId="34368"/>
    <cellStyle name="Normale 3 3 2 6 7 17" xfId="35300"/>
    <cellStyle name="Normale 3 3 2 6 7 18" xfId="36225"/>
    <cellStyle name="Normale 3 3 2 6 7 19" xfId="37151"/>
    <cellStyle name="Normale 3 3 2 6 7 2" xfId="1935"/>
    <cellStyle name="Normale 3 3 2 6 7 2 2" xfId="9398"/>
    <cellStyle name="Normale 3 3 2 6 7 2 3" xfId="16806"/>
    <cellStyle name="Normale 3 3 2 6 7 2 4" xfId="25866"/>
    <cellStyle name="Normale 3 3 2 6 7 20" xfId="38044"/>
    <cellStyle name="Normale 3 3 2 6 7 3" xfId="2867"/>
    <cellStyle name="Normale 3 3 2 6 7 3 2" xfId="10330"/>
    <cellStyle name="Normale 3 3 2 6 7 3 3" xfId="17738"/>
    <cellStyle name="Normale 3 3 2 6 7 3 4" xfId="29650"/>
    <cellStyle name="Normale 3 3 2 6 7 4" xfId="3782"/>
    <cellStyle name="Normale 3 3 2 6 7 4 2" xfId="11245"/>
    <cellStyle name="Normale 3 3 2 6 7 4 3" xfId="18653"/>
    <cellStyle name="Normale 3 3 2 6 7 4 4" xfId="28142"/>
    <cellStyle name="Normale 3 3 2 6 7 5" xfId="4723"/>
    <cellStyle name="Normale 3 3 2 6 7 5 2" xfId="12186"/>
    <cellStyle name="Normale 3 3 2 6 7 5 3" xfId="19594"/>
    <cellStyle name="Normale 3 3 2 6 7 5 4" xfId="22411"/>
    <cellStyle name="Normale 3 3 2 6 7 6" xfId="5637"/>
    <cellStyle name="Normale 3 3 2 6 7 6 2" xfId="13100"/>
    <cellStyle name="Normale 3 3 2 6 7 6 3" xfId="20508"/>
    <cellStyle name="Normale 3 3 2 6 7 6 4" xfId="27679"/>
    <cellStyle name="Normale 3 3 2 6 7 7" xfId="6572"/>
    <cellStyle name="Normale 3 3 2 6 7 7 2" xfId="14035"/>
    <cellStyle name="Normale 3 3 2 6 7 7 3" xfId="21443"/>
    <cellStyle name="Normale 3 3 2 6 7 7 4" xfId="27784"/>
    <cellStyle name="Normale 3 3 2 6 7 8" xfId="7466"/>
    <cellStyle name="Normale 3 3 2 6 7 8 2" xfId="14929"/>
    <cellStyle name="Normale 3 3 2 6 7 8 3" xfId="22337"/>
    <cellStyle name="Normale 3 3 2 6 7 8 4" xfId="29694"/>
    <cellStyle name="Normale 3 3 2 6 7 9" xfId="8433"/>
    <cellStyle name="Normale 3 3 2 6 8" xfId="1043"/>
    <cellStyle name="Normale 3 3 2 6 8 2" xfId="8506"/>
    <cellStyle name="Normale 3 3 2 6 8 3" xfId="15914"/>
    <cellStyle name="Normale 3 3 2 6 8 4" xfId="24108"/>
    <cellStyle name="Normale 3 3 2 6 9" xfId="1970"/>
    <cellStyle name="Normale 3 3 2 6 9 2" xfId="9433"/>
    <cellStyle name="Normale 3 3 2 6 9 3" xfId="16841"/>
    <cellStyle name="Normale 3 3 2 6 9 4" xfId="24318"/>
    <cellStyle name="Normale 3 3 2 7" xfId="253"/>
    <cellStyle name="Normale 3 3 2 7 10" xfId="15126"/>
    <cellStyle name="Normale 3 3 2 7 11" xfId="25736"/>
    <cellStyle name="Normale 3 3 2 7 12" xfId="29938"/>
    <cellStyle name="Normale 3 3 2 7 13" xfId="30870"/>
    <cellStyle name="Normale 3 3 2 7 14" xfId="31791"/>
    <cellStyle name="Normale 3 3 2 7 15" xfId="32716"/>
    <cellStyle name="Normale 3 3 2 7 16" xfId="33653"/>
    <cellStyle name="Normale 3 3 2 7 17" xfId="34583"/>
    <cellStyle name="Normale 3 3 2 7 18" xfId="35509"/>
    <cellStyle name="Normale 3 3 2 7 19" xfId="36435"/>
    <cellStyle name="Normale 3 3 2 7 2" xfId="1220"/>
    <cellStyle name="Normale 3 3 2 7 2 2" xfId="8683"/>
    <cellStyle name="Normale 3 3 2 7 2 3" xfId="16091"/>
    <cellStyle name="Normale 3 3 2 7 2 4" xfId="22805"/>
    <cellStyle name="Normale 3 3 2 7 20" xfId="37355"/>
    <cellStyle name="Normale 3 3 2 7 3" xfId="2151"/>
    <cellStyle name="Normale 3 3 2 7 3 2" xfId="9614"/>
    <cellStyle name="Normale 3 3 2 7 3 3" xfId="17022"/>
    <cellStyle name="Normale 3 3 2 7 3 4" xfId="27514"/>
    <cellStyle name="Normale 3 3 2 7 4" xfId="3073"/>
    <cellStyle name="Normale 3 3 2 7 4 2" xfId="10536"/>
    <cellStyle name="Normale 3 3 2 7 4 3" xfId="17944"/>
    <cellStyle name="Normale 3 3 2 7 4 4" xfId="28270"/>
    <cellStyle name="Normale 3 3 2 7 5" xfId="4006"/>
    <cellStyle name="Normale 3 3 2 7 5 2" xfId="11469"/>
    <cellStyle name="Normale 3 3 2 7 5 3" xfId="18877"/>
    <cellStyle name="Normale 3 3 2 7 5 4" xfId="28469"/>
    <cellStyle name="Normale 3 3 2 7 6" xfId="4929"/>
    <cellStyle name="Normale 3 3 2 7 6 2" xfId="12392"/>
    <cellStyle name="Normale 3 3 2 7 6 3" xfId="19800"/>
    <cellStyle name="Normale 3 3 2 7 6 4" xfId="25546"/>
    <cellStyle name="Normale 3 3 2 7 7" xfId="5857"/>
    <cellStyle name="Normale 3 3 2 7 7 2" xfId="13320"/>
    <cellStyle name="Normale 3 3 2 7 7 3" xfId="20728"/>
    <cellStyle name="Normale 3 3 2 7 7 4" xfId="25733"/>
    <cellStyle name="Normale 3 3 2 7 8" xfId="6777"/>
    <cellStyle name="Normale 3 3 2 7 8 2" xfId="14240"/>
    <cellStyle name="Normale 3 3 2 7 8 3" xfId="21648"/>
    <cellStyle name="Normale 3 3 2 7 8 4" xfId="28295"/>
    <cellStyle name="Normale 3 3 2 7 9" xfId="7716"/>
    <cellStyle name="Normale 3 3 2 8" xfId="413"/>
    <cellStyle name="Normale 3 3 2 8 10" xfId="15286"/>
    <cellStyle name="Normale 3 3 2 8 11" xfId="25947"/>
    <cellStyle name="Normale 3 3 2 8 12" xfId="30098"/>
    <cellStyle name="Normale 3 3 2 8 13" xfId="31030"/>
    <cellStyle name="Normale 3 3 2 8 14" xfId="31951"/>
    <cellStyle name="Normale 3 3 2 8 15" xfId="32875"/>
    <cellStyle name="Normale 3 3 2 8 16" xfId="33813"/>
    <cellStyle name="Normale 3 3 2 8 17" xfId="34743"/>
    <cellStyle name="Normale 3 3 2 8 18" xfId="35669"/>
    <cellStyle name="Normale 3 3 2 8 19" xfId="36595"/>
    <cellStyle name="Normale 3 3 2 8 2" xfId="1380"/>
    <cellStyle name="Normale 3 3 2 8 2 2" xfId="8843"/>
    <cellStyle name="Normale 3 3 2 8 2 3" xfId="16251"/>
    <cellStyle name="Normale 3 3 2 8 2 4" xfId="23133"/>
    <cellStyle name="Normale 3 3 2 8 20" xfId="37514"/>
    <cellStyle name="Normale 3 3 2 8 3" xfId="2311"/>
    <cellStyle name="Normale 3 3 2 8 3 2" xfId="9774"/>
    <cellStyle name="Normale 3 3 2 8 3 3" xfId="17182"/>
    <cellStyle name="Normale 3 3 2 8 3 4" xfId="27700"/>
    <cellStyle name="Normale 3 3 2 8 4" xfId="3233"/>
    <cellStyle name="Normale 3 3 2 8 4 2" xfId="10696"/>
    <cellStyle name="Normale 3 3 2 8 4 3" xfId="18104"/>
    <cellStyle name="Normale 3 3 2 8 4 4" xfId="23765"/>
    <cellStyle name="Normale 3 3 2 8 5" xfId="4166"/>
    <cellStyle name="Normale 3 3 2 8 5 2" xfId="11629"/>
    <cellStyle name="Normale 3 3 2 8 5 3" xfId="19037"/>
    <cellStyle name="Normale 3 3 2 8 5 4" xfId="28311"/>
    <cellStyle name="Normale 3 3 2 8 6" xfId="5089"/>
    <cellStyle name="Normale 3 3 2 8 6 2" xfId="12552"/>
    <cellStyle name="Normale 3 3 2 8 6 3" xfId="19960"/>
    <cellStyle name="Normale 3 3 2 8 6 4" xfId="25909"/>
    <cellStyle name="Normale 3 3 2 8 7" xfId="6017"/>
    <cellStyle name="Normale 3 3 2 8 7 2" xfId="13480"/>
    <cellStyle name="Normale 3 3 2 8 7 3" xfId="20888"/>
    <cellStyle name="Normale 3 3 2 8 7 4" xfId="25809"/>
    <cellStyle name="Normale 3 3 2 8 8" xfId="6936"/>
    <cellStyle name="Normale 3 3 2 8 8 2" xfId="14399"/>
    <cellStyle name="Normale 3 3 2 8 8 3" xfId="21807"/>
    <cellStyle name="Normale 3 3 2 8 8 4" xfId="24717"/>
    <cellStyle name="Normale 3 3 2 8 9" xfId="7876"/>
    <cellStyle name="Normale 3 3 2 9" xfId="461"/>
    <cellStyle name="Normale 3 3 2 9 10" xfId="15334"/>
    <cellStyle name="Normale 3 3 2 9 11" xfId="25576"/>
    <cellStyle name="Normale 3 3 2 9 12" xfId="30146"/>
    <cellStyle name="Normale 3 3 2 9 13" xfId="31078"/>
    <cellStyle name="Normale 3 3 2 9 14" xfId="31999"/>
    <cellStyle name="Normale 3 3 2 9 15" xfId="32922"/>
    <cellStyle name="Normale 3 3 2 9 16" xfId="33861"/>
    <cellStyle name="Normale 3 3 2 9 17" xfId="34791"/>
    <cellStyle name="Normale 3 3 2 9 18" xfId="35717"/>
    <cellStyle name="Normale 3 3 2 9 19" xfId="36643"/>
    <cellStyle name="Normale 3 3 2 9 2" xfId="1428"/>
    <cellStyle name="Normale 3 3 2 9 2 2" xfId="8891"/>
    <cellStyle name="Normale 3 3 2 9 2 3" xfId="16299"/>
    <cellStyle name="Normale 3 3 2 9 2 4" xfId="28725"/>
    <cellStyle name="Normale 3 3 2 9 20" xfId="37561"/>
    <cellStyle name="Normale 3 3 2 9 3" xfId="2359"/>
    <cellStyle name="Normale 3 3 2 9 3 2" xfId="9822"/>
    <cellStyle name="Normale 3 3 2 9 3 3" xfId="17230"/>
    <cellStyle name="Normale 3 3 2 9 3 4" xfId="27350"/>
    <cellStyle name="Normale 3 3 2 9 4" xfId="3281"/>
    <cellStyle name="Normale 3 3 2 9 4 2" xfId="10744"/>
    <cellStyle name="Normale 3 3 2 9 4 3" xfId="18152"/>
    <cellStyle name="Normale 3 3 2 9 4 4" xfId="25653"/>
    <cellStyle name="Normale 3 3 2 9 5" xfId="4214"/>
    <cellStyle name="Normale 3 3 2 9 5 2" xfId="11677"/>
    <cellStyle name="Normale 3 3 2 9 5 3" xfId="19085"/>
    <cellStyle name="Normale 3 3 2 9 5 4" xfId="28131"/>
    <cellStyle name="Normale 3 3 2 9 6" xfId="5137"/>
    <cellStyle name="Normale 3 3 2 9 6 2" xfId="12600"/>
    <cellStyle name="Normale 3 3 2 9 6 3" xfId="20008"/>
    <cellStyle name="Normale 3 3 2 9 6 4" xfId="24128"/>
    <cellStyle name="Normale 3 3 2 9 7" xfId="6065"/>
    <cellStyle name="Normale 3 3 2 9 7 2" xfId="13528"/>
    <cellStyle name="Normale 3 3 2 9 7 3" xfId="20936"/>
    <cellStyle name="Normale 3 3 2 9 7 4" xfId="25539"/>
    <cellStyle name="Normale 3 3 2 9 8" xfId="6983"/>
    <cellStyle name="Normale 3 3 2 9 8 2" xfId="14446"/>
    <cellStyle name="Normale 3 3 2 9 8 3" xfId="21854"/>
    <cellStyle name="Normale 3 3 2 9 8 4" xfId="27464"/>
    <cellStyle name="Normale 3 3 2 9 9" xfId="7924"/>
    <cellStyle name="Normale 3 3 20" xfId="2880"/>
    <cellStyle name="Normale 3 3 20 2" xfId="10343"/>
    <cellStyle name="Normale 3 3 20 3" xfId="17751"/>
    <cellStyle name="Normale 3 3 20 4" xfId="25023"/>
    <cellStyle name="Normale 3 3 21" xfId="3809"/>
    <cellStyle name="Normale 3 3 21 2" xfId="11272"/>
    <cellStyle name="Normale 3 3 21 3" xfId="18680"/>
    <cellStyle name="Normale 3 3 21 4" xfId="25190"/>
    <cellStyle name="Normale 3 3 22" xfId="4736"/>
    <cellStyle name="Normale 3 3 22 2" xfId="12199"/>
    <cellStyle name="Normale 3 3 22 3" xfId="19607"/>
    <cellStyle name="Normale 3 3 22 4" xfId="26924"/>
    <cellStyle name="Normale 3 3 23" xfId="5663"/>
    <cellStyle name="Normale 3 3 23 2" xfId="13126"/>
    <cellStyle name="Normale 3 3 23 3" xfId="20534"/>
    <cellStyle name="Normale 3 3 23 4" xfId="25639"/>
    <cellStyle name="Normale 3 3 24" xfId="6585"/>
    <cellStyle name="Normale 3 3 24 2" xfId="14048"/>
    <cellStyle name="Normale 3 3 24 3" xfId="21456"/>
    <cellStyle name="Normale 3 3 24 4" xfId="24116"/>
    <cellStyle name="Normale 3 3 25" xfId="7519"/>
    <cellStyle name="Normale 3 3 26" xfId="8296"/>
    <cellStyle name="Normale 3 3 27" xfId="26213"/>
    <cellStyle name="Normale 3 3 28" xfId="29745"/>
    <cellStyle name="Normale 3 3 29" xfId="30675"/>
    <cellStyle name="Normale 3 3 3" xfId="71"/>
    <cellStyle name="Normale 3 3 3 10" xfId="703"/>
    <cellStyle name="Normale 3 3 3 10 10" xfId="15574"/>
    <cellStyle name="Normale 3 3 3 10 11" xfId="28567"/>
    <cellStyle name="Normale 3 3 3 10 12" xfId="30377"/>
    <cellStyle name="Normale 3 3 3 10 13" xfId="31318"/>
    <cellStyle name="Normale 3 3 3 10 14" xfId="32231"/>
    <cellStyle name="Normale 3 3 3 10 15" xfId="33149"/>
    <cellStyle name="Normale 3 3 3 10 16" xfId="34101"/>
    <cellStyle name="Normale 3 3 3 10 17" xfId="35033"/>
    <cellStyle name="Normale 3 3 3 10 18" xfId="35959"/>
    <cellStyle name="Normale 3 3 3 10 19" xfId="36884"/>
    <cellStyle name="Normale 3 3 3 10 2" xfId="1668"/>
    <cellStyle name="Normale 3 3 3 10 2 2" xfId="9131"/>
    <cellStyle name="Normale 3 3 3 10 2 3" xfId="16539"/>
    <cellStyle name="Normale 3 3 3 10 2 4" xfId="28279"/>
    <cellStyle name="Normale 3 3 3 10 20" xfId="37788"/>
    <cellStyle name="Normale 3 3 3 10 3" xfId="2601"/>
    <cellStyle name="Normale 3 3 3 10 3 2" xfId="10064"/>
    <cellStyle name="Normale 3 3 3 10 3 3" xfId="17472"/>
    <cellStyle name="Normale 3 3 3 10 3 4" xfId="25205"/>
    <cellStyle name="Normale 3 3 3 10 4" xfId="3517"/>
    <cellStyle name="Normale 3 3 3 10 4 2" xfId="10980"/>
    <cellStyle name="Normale 3 3 3 10 4 3" xfId="18388"/>
    <cellStyle name="Normale 3 3 3 10 4 4" xfId="27960"/>
    <cellStyle name="Normale 3 3 3 10 5" xfId="4456"/>
    <cellStyle name="Normale 3 3 3 10 5 2" xfId="11919"/>
    <cellStyle name="Normale 3 3 3 10 5 3" xfId="19327"/>
    <cellStyle name="Normale 3 3 3 10 5 4" xfId="26635"/>
    <cellStyle name="Normale 3 3 3 10 6" xfId="5372"/>
    <cellStyle name="Normale 3 3 3 10 6 2" xfId="12835"/>
    <cellStyle name="Normale 3 3 3 10 6 3" xfId="20243"/>
    <cellStyle name="Normale 3 3 3 10 6 4" xfId="28256"/>
    <cellStyle name="Normale 3 3 3 10 7" xfId="6305"/>
    <cellStyle name="Normale 3 3 3 10 7 2" xfId="13768"/>
    <cellStyle name="Normale 3 3 3 10 7 3" xfId="21176"/>
    <cellStyle name="Normale 3 3 3 10 7 4" xfId="25768"/>
    <cellStyle name="Normale 3 3 3 10 8" xfId="7210"/>
    <cellStyle name="Normale 3 3 3 10 8 2" xfId="14673"/>
    <cellStyle name="Normale 3 3 3 10 8 3" xfId="22081"/>
    <cellStyle name="Normale 3 3 3 10 8 4" xfId="28963"/>
    <cellStyle name="Normale 3 3 3 10 9" xfId="8166"/>
    <cellStyle name="Normale 3 3 3 11" xfId="775"/>
    <cellStyle name="Normale 3 3 3 11 10" xfId="15646"/>
    <cellStyle name="Normale 3 3 3 11 11" xfId="27352"/>
    <cellStyle name="Normale 3 3 3 11 12" xfId="30447"/>
    <cellStyle name="Normale 3 3 3 11 13" xfId="31390"/>
    <cellStyle name="Normale 3 3 3 11 14" xfId="32302"/>
    <cellStyle name="Normale 3 3 3 11 15" xfId="33218"/>
    <cellStyle name="Normale 3 3 3 11 16" xfId="34173"/>
    <cellStyle name="Normale 3 3 3 11 17" xfId="35105"/>
    <cellStyle name="Normale 3 3 3 11 18" xfId="36031"/>
    <cellStyle name="Normale 3 3 3 11 19" xfId="36956"/>
    <cellStyle name="Normale 3 3 3 11 2" xfId="1740"/>
    <cellStyle name="Normale 3 3 3 11 2 2" xfId="9203"/>
    <cellStyle name="Normale 3 3 3 11 2 3" xfId="16611"/>
    <cellStyle name="Normale 3 3 3 11 2 4" xfId="28772"/>
    <cellStyle name="Normale 3 3 3 11 20" xfId="37857"/>
    <cellStyle name="Normale 3 3 3 11 3" xfId="2673"/>
    <cellStyle name="Normale 3 3 3 11 3 2" xfId="10136"/>
    <cellStyle name="Normale 3 3 3 11 3 3" xfId="17544"/>
    <cellStyle name="Normale 3 3 3 11 3 4" xfId="25413"/>
    <cellStyle name="Normale 3 3 3 11 4" xfId="3588"/>
    <cellStyle name="Normale 3 3 3 11 4 2" xfId="11051"/>
    <cellStyle name="Normale 3 3 3 11 4 3" xfId="18459"/>
    <cellStyle name="Normale 3 3 3 11 4 4" xfId="22835"/>
    <cellStyle name="Normale 3 3 3 11 5" xfId="4528"/>
    <cellStyle name="Normale 3 3 3 11 5 2" xfId="11991"/>
    <cellStyle name="Normale 3 3 3 11 5 3" xfId="19399"/>
    <cellStyle name="Normale 3 3 3 11 5 4" xfId="28511"/>
    <cellStyle name="Normale 3 3 3 11 6" xfId="5443"/>
    <cellStyle name="Normale 3 3 3 11 6 2" xfId="12906"/>
    <cellStyle name="Normale 3 3 3 11 6 3" xfId="20314"/>
    <cellStyle name="Normale 3 3 3 11 6 4" xfId="29634"/>
    <cellStyle name="Normale 3 3 3 11 7" xfId="6377"/>
    <cellStyle name="Normale 3 3 3 11 7 2" xfId="13840"/>
    <cellStyle name="Normale 3 3 3 11 7 3" xfId="21248"/>
    <cellStyle name="Normale 3 3 3 11 7 4" xfId="25753"/>
    <cellStyle name="Normale 3 3 3 11 8" xfId="7279"/>
    <cellStyle name="Normale 3 3 3 11 8 2" xfId="14742"/>
    <cellStyle name="Normale 3 3 3 11 8 3" xfId="22150"/>
    <cellStyle name="Normale 3 3 3 11 8 4" xfId="25049"/>
    <cellStyle name="Normale 3 3 3 11 9" xfId="8238"/>
    <cellStyle name="Normale 3 3 3 12" xfId="848"/>
    <cellStyle name="Normale 3 3 3 12 10" xfId="15719"/>
    <cellStyle name="Normale 3 3 3 12 11" xfId="26955"/>
    <cellStyle name="Normale 3 3 3 12 12" xfId="30517"/>
    <cellStyle name="Normale 3 3 3 12 13" xfId="31463"/>
    <cellStyle name="Normale 3 3 3 12 14" xfId="32374"/>
    <cellStyle name="Normale 3 3 3 12 15" xfId="33287"/>
    <cellStyle name="Normale 3 3 3 12 16" xfId="34246"/>
    <cellStyle name="Normale 3 3 3 12 17" xfId="35178"/>
    <cellStyle name="Normale 3 3 3 12 18" xfId="36104"/>
    <cellStyle name="Normale 3 3 3 12 19" xfId="37029"/>
    <cellStyle name="Normale 3 3 3 12 2" xfId="1813"/>
    <cellStyle name="Normale 3 3 3 12 2 2" xfId="9276"/>
    <cellStyle name="Normale 3 3 3 12 2 3" xfId="16684"/>
    <cellStyle name="Normale 3 3 3 12 2 4" xfId="24601"/>
    <cellStyle name="Normale 3 3 3 12 20" xfId="37926"/>
    <cellStyle name="Normale 3 3 3 12 3" xfId="2746"/>
    <cellStyle name="Normale 3 3 3 12 3 2" xfId="10209"/>
    <cellStyle name="Normale 3 3 3 12 3 3" xfId="17617"/>
    <cellStyle name="Normale 3 3 3 12 3 4" xfId="29081"/>
    <cellStyle name="Normale 3 3 3 12 4" xfId="3660"/>
    <cellStyle name="Normale 3 3 3 12 4 2" xfId="11123"/>
    <cellStyle name="Normale 3 3 3 12 4 3" xfId="18531"/>
    <cellStyle name="Normale 3 3 3 12 4 4" xfId="29057"/>
    <cellStyle name="Normale 3 3 3 12 5" xfId="4601"/>
    <cellStyle name="Normale 3 3 3 12 5 2" xfId="12064"/>
    <cellStyle name="Normale 3 3 3 12 5 3" xfId="19472"/>
    <cellStyle name="Normale 3 3 3 12 5 4" xfId="25363"/>
    <cellStyle name="Normale 3 3 3 12 6" xfId="5515"/>
    <cellStyle name="Normale 3 3 3 12 6 2" xfId="12978"/>
    <cellStyle name="Normale 3 3 3 12 6 3" xfId="20386"/>
    <cellStyle name="Normale 3 3 3 12 6 4" xfId="26423"/>
    <cellStyle name="Normale 3 3 3 12 7" xfId="6450"/>
    <cellStyle name="Normale 3 3 3 12 7 2" xfId="13913"/>
    <cellStyle name="Normale 3 3 3 12 7 3" xfId="21321"/>
    <cellStyle name="Normale 3 3 3 12 7 4" xfId="28437"/>
    <cellStyle name="Normale 3 3 3 12 8" xfId="7348"/>
    <cellStyle name="Normale 3 3 3 12 8 2" xfId="14811"/>
    <cellStyle name="Normale 3 3 3 12 8 3" xfId="22219"/>
    <cellStyle name="Normale 3 3 3 12 8 4" xfId="27127"/>
    <cellStyle name="Normale 3 3 3 12 9" xfId="8311"/>
    <cellStyle name="Normale 3 3 3 13" xfId="918"/>
    <cellStyle name="Normale 3 3 3 13 10" xfId="15789"/>
    <cellStyle name="Normale 3 3 3 13 11" xfId="28025"/>
    <cellStyle name="Normale 3 3 3 13 12" xfId="30584"/>
    <cellStyle name="Normale 3 3 3 13 13" xfId="31532"/>
    <cellStyle name="Normale 3 3 3 13 14" xfId="32443"/>
    <cellStyle name="Normale 3 3 3 13 15" xfId="33353"/>
    <cellStyle name="Normale 3 3 3 13 16" xfId="34316"/>
    <cellStyle name="Normale 3 3 3 13 17" xfId="35248"/>
    <cellStyle name="Normale 3 3 3 13 18" xfId="36173"/>
    <cellStyle name="Normale 3 3 3 13 19" xfId="37099"/>
    <cellStyle name="Normale 3 3 3 13 2" xfId="1883"/>
    <cellStyle name="Normale 3 3 3 13 2 2" xfId="9346"/>
    <cellStyle name="Normale 3 3 3 13 2 3" xfId="16754"/>
    <cellStyle name="Normale 3 3 3 13 2 4" xfId="26941"/>
    <cellStyle name="Normale 3 3 3 13 20" xfId="37992"/>
    <cellStyle name="Normale 3 3 3 13 3" xfId="2815"/>
    <cellStyle name="Normale 3 3 3 13 3 2" xfId="10278"/>
    <cellStyle name="Normale 3 3 3 13 3 3" xfId="17686"/>
    <cellStyle name="Normale 3 3 3 13 3 4" xfId="24299"/>
    <cellStyle name="Normale 3 3 3 13 4" xfId="3730"/>
    <cellStyle name="Normale 3 3 3 13 4 2" xfId="11193"/>
    <cellStyle name="Normale 3 3 3 13 4 3" xfId="18601"/>
    <cellStyle name="Normale 3 3 3 13 4 4" xfId="24684"/>
    <cellStyle name="Normale 3 3 3 13 5" xfId="4671"/>
    <cellStyle name="Normale 3 3 3 13 5 2" xfId="12134"/>
    <cellStyle name="Normale 3 3 3 13 5 3" xfId="19542"/>
    <cellStyle name="Normale 3 3 3 13 5 4" xfId="27196"/>
    <cellStyle name="Normale 3 3 3 13 6" xfId="5585"/>
    <cellStyle name="Normale 3 3 3 13 6 2" xfId="13048"/>
    <cellStyle name="Normale 3 3 3 13 6 3" xfId="20456"/>
    <cellStyle name="Normale 3 3 3 13 6 4" xfId="28748"/>
    <cellStyle name="Normale 3 3 3 13 7" xfId="6520"/>
    <cellStyle name="Normale 3 3 3 13 7 2" xfId="13983"/>
    <cellStyle name="Normale 3 3 3 13 7 3" xfId="21391"/>
    <cellStyle name="Normale 3 3 3 13 7 4" xfId="24396"/>
    <cellStyle name="Normale 3 3 3 13 8" xfId="7414"/>
    <cellStyle name="Normale 3 3 3 13 8 2" xfId="14877"/>
    <cellStyle name="Normale 3 3 3 13 8 3" xfId="22285"/>
    <cellStyle name="Normale 3 3 3 13 8 4" xfId="25974"/>
    <cellStyle name="Normale 3 3 3 13 9" xfId="8381"/>
    <cellStyle name="Normale 3 3 3 14" xfId="1044"/>
    <cellStyle name="Normale 3 3 3 14 2" xfId="8507"/>
    <cellStyle name="Normale 3 3 3 14 3" xfId="15915"/>
    <cellStyle name="Normale 3 3 3 14 4" xfId="23097"/>
    <cellStyle name="Normale 3 3 3 15" xfId="1971"/>
    <cellStyle name="Normale 3 3 3 15 2" xfId="9434"/>
    <cellStyle name="Normale 3 3 3 15 3" xfId="16842"/>
    <cellStyle name="Normale 3 3 3 15 4" xfId="23402"/>
    <cellStyle name="Normale 3 3 3 16" xfId="2897"/>
    <cellStyle name="Normale 3 3 3 16 2" xfId="10360"/>
    <cellStyle name="Normale 3 3 3 16 3" xfId="17768"/>
    <cellStyle name="Normale 3 3 3 16 4" xfId="23953"/>
    <cellStyle name="Normale 3 3 3 17" xfId="3826"/>
    <cellStyle name="Normale 3 3 3 17 2" xfId="11289"/>
    <cellStyle name="Normale 3 3 3 17 3" xfId="18697"/>
    <cellStyle name="Normale 3 3 3 17 4" xfId="25016"/>
    <cellStyle name="Normale 3 3 3 18" xfId="4753"/>
    <cellStyle name="Normale 3 3 3 18 2" xfId="12216"/>
    <cellStyle name="Normale 3 3 3 18 3" xfId="19624"/>
    <cellStyle name="Normale 3 3 3 18 4" xfId="25849"/>
    <cellStyle name="Normale 3 3 3 19" xfId="5680"/>
    <cellStyle name="Normale 3 3 3 19 2" xfId="13143"/>
    <cellStyle name="Normale 3 3 3 19 3" xfId="20551"/>
    <cellStyle name="Normale 3 3 3 19 4" xfId="26806"/>
    <cellStyle name="Normale 3 3 3 2" xfId="72"/>
    <cellStyle name="Normale 3 3 3 2 10" xfId="6603"/>
    <cellStyle name="Normale 3 3 3 2 10 2" xfId="14066"/>
    <cellStyle name="Normale 3 3 3 2 10 3" xfId="21474"/>
    <cellStyle name="Normale 3 3 3 2 10 4" xfId="29423"/>
    <cellStyle name="Normale 3 3 3 2 11" xfId="7537"/>
    <cellStyle name="Normale 3 3 3 2 12" xfId="14946"/>
    <cellStyle name="Normale 3 3 3 2 13" xfId="23452"/>
    <cellStyle name="Normale 3 3 3 2 14" xfId="29763"/>
    <cellStyle name="Normale 3 3 3 2 15" xfId="30693"/>
    <cellStyle name="Normale 3 3 3 2 16" xfId="31616"/>
    <cellStyle name="Normale 3 3 3 2 17" xfId="32542"/>
    <cellStyle name="Normale 3 3 3 2 18" xfId="33476"/>
    <cellStyle name="Normale 3 3 3 2 19" xfId="34404"/>
    <cellStyle name="Normale 3 3 3 2 2" xfId="73"/>
    <cellStyle name="Normale 3 3 3 2 2 10" xfId="7538"/>
    <cellStyle name="Normale 3 3 3 2 2 11" xfId="14947"/>
    <cellStyle name="Normale 3 3 3 2 2 12" xfId="22717"/>
    <cellStyle name="Normale 3 3 3 2 2 13" xfId="29764"/>
    <cellStyle name="Normale 3 3 3 2 2 14" xfId="30694"/>
    <cellStyle name="Normale 3 3 3 2 2 15" xfId="31617"/>
    <cellStyle name="Normale 3 3 3 2 2 16" xfId="32543"/>
    <cellStyle name="Normale 3 3 3 2 2 17" xfId="33477"/>
    <cellStyle name="Normale 3 3 3 2 2 18" xfId="34405"/>
    <cellStyle name="Normale 3 3 3 2 2 19" xfId="35333"/>
    <cellStyle name="Normale 3 3 3 2 2 2" xfId="271"/>
    <cellStyle name="Normale 3 3 3 2 2 2 10" xfId="15144"/>
    <cellStyle name="Normale 3 3 3 2 2 2 11" xfId="23635"/>
    <cellStyle name="Normale 3 3 3 2 2 2 12" xfId="29956"/>
    <cellStyle name="Normale 3 3 3 2 2 2 13" xfId="30888"/>
    <cellStyle name="Normale 3 3 3 2 2 2 14" xfId="31809"/>
    <cellStyle name="Normale 3 3 3 2 2 2 15" xfId="32734"/>
    <cellStyle name="Normale 3 3 3 2 2 2 16" xfId="33671"/>
    <cellStyle name="Normale 3 3 3 2 2 2 17" xfId="34601"/>
    <cellStyle name="Normale 3 3 3 2 2 2 18" xfId="35527"/>
    <cellStyle name="Normale 3 3 3 2 2 2 19" xfId="36453"/>
    <cellStyle name="Normale 3 3 3 2 2 2 2" xfId="1238"/>
    <cellStyle name="Normale 3 3 3 2 2 2 2 2" xfId="8701"/>
    <cellStyle name="Normale 3 3 3 2 2 2 2 3" xfId="16109"/>
    <cellStyle name="Normale 3 3 3 2 2 2 2 4" xfId="28205"/>
    <cellStyle name="Normale 3 3 3 2 2 2 20" xfId="37373"/>
    <cellStyle name="Normale 3 3 3 2 2 2 3" xfId="2169"/>
    <cellStyle name="Normale 3 3 3 2 2 2 3 2" xfId="9632"/>
    <cellStyle name="Normale 3 3 3 2 2 2 3 3" xfId="17040"/>
    <cellStyle name="Normale 3 3 3 2 2 2 3 4" xfId="24316"/>
    <cellStyle name="Normale 3 3 3 2 2 2 4" xfId="3091"/>
    <cellStyle name="Normale 3 3 3 2 2 2 4 2" xfId="10554"/>
    <cellStyle name="Normale 3 3 3 2 2 2 4 3" xfId="17962"/>
    <cellStyle name="Normale 3 3 3 2 2 2 4 4" xfId="25210"/>
    <cellStyle name="Normale 3 3 3 2 2 2 5" xfId="4024"/>
    <cellStyle name="Normale 3 3 3 2 2 2 5 2" xfId="11487"/>
    <cellStyle name="Normale 3 3 3 2 2 2 5 3" xfId="18895"/>
    <cellStyle name="Normale 3 3 3 2 2 2 5 4" xfId="26527"/>
    <cellStyle name="Normale 3 3 3 2 2 2 6" xfId="4947"/>
    <cellStyle name="Normale 3 3 3 2 2 2 6 2" xfId="12410"/>
    <cellStyle name="Normale 3 3 3 2 2 2 6 3" xfId="19818"/>
    <cellStyle name="Normale 3 3 3 2 2 2 6 4" xfId="23516"/>
    <cellStyle name="Normale 3 3 3 2 2 2 7" xfId="5875"/>
    <cellStyle name="Normale 3 3 3 2 2 2 7 2" xfId="13338"/>
    <cellStyle name="Normale 3 3 3 2 2 2 7 3" xfId="20746"/>
    <cellStyle name="Normale 3 3 3 2 2 2 7 4" xfId="23496"/>
    <cellStyle name="Normale 3 3 3 2 2 2 8" xfId="6795"/>
    <cellStyle name="Normale 3 3 3 2 2 2 8 2" xfId="14258"/>
    <cellStyle name="Normale 3 3 3 2 2 2 8 3" xfId="21666"/>
    <cellStyle name="Normale 3 3 3 2 2 2 8 4" xfId="26231"/>
    <cellStyle name="Normale 3 3 3 2 2 2 9" xfId="7734"/>
    <cellStyle name="Normale 3 3 3 2 2 20" xfId="36259"/>
    <cellStyle name="Normale 3 3 3 2 2 21" xfId="37182"/>
    <cellStyle name="Normale 3 3 3 2 2 3" xfId="1046"/>
    <cellStyle name="Normale 3 3 3 2 2 3 2" xfId="8509"/>
    <cellStyle name="Normale 3 3 3 2 2 3 3" xfId="15917"/>
    <cellStyle name="Normale 3 3 3 2 2 3 4" xfId="28635"/>
    <cellStyle name="Normale 3 3 3 2 2 4" xfId="1973"/>
    <cellStyle name="Normale 3 3 3 2 2 4 2" xfId="9436"/>
    <cellStyle name="Normale 3 3 3 2 2 4 3" xfId="16844"/>
    <cellStyle name="Normale 3 3 3 2 2 4 4" xfId="29654"/>
    <cellStyle name="Normale 3 3 3 2 2 5" xfId="2899"/>
    <cellStyle name="Normale 3 3 3 2 2 5 2" xfId="10362"/>
    <cellStyle name="Normale 3 3 3 2 2 5 3" xfId="17770"/>
    <cellStyle name="Normale 3 3 3 2 2 5 4" xfId="29373"/>
    <cellStyle name="Normale 3 3 3 2 2 6" xfId="3828"/>
    <cellStyle name="Normale 3 3 3 2 2 6 2" xfId="11291"/>
    <cellStyle name="Normale 3 3 3 2 2 6 3" xfId="18699"/>
    <cellStyle name="Normale 3 3 3 2 2 6 4" xfId="23079"/>
    <cellStyle name="Normale 3 3 3 2 2 7" xfId="4755"/>
    <cellStyle name="Normale 3 3 3 2 2 7 2" xfId="12218"/>
    <cellStyle name="Normale 3 3 3 2 2 7 3" xfId="19626"/>
    <cellStyle name="Normale 3 3 3 2 2 7 4" xfId="24013"/>
    <cellStyle name="Normale 3 3 3 2 2 8" xfId="5682"/>
    <cellStyle name="Normale 3 3 3 2 2 8 2" xfId="13145"/>
    <cellStyle name="Normale 3 3 3 2 2 8 3" xfId="20553"/>
    <cellStyle name="Normale 3 3 3 2 2 8 4" xfId="24962"/>
    <cellStyle name="Normale 3 3 3 2 2 9" xfId="6604"/>
    <cellStyle name="Normale 3 3 3 2 2 9 2" xfId="14067"/>
    <cellStyle name="Normale 3 3 3 2 2 9 3" xfId="21475"/>
    <cellStyle name="Normale 3 3 3 2 2 9 4" xfId="28529"/>
    <cellStyle name="Normale 3 3 3 2 20" xfId="35332"/>
    <cellStyle name="Normale 3 3 3 2 21" xfId="36258"/>
    <cellStyle name="Normale 3 3 3 2 22" xfId="37181"/>
    <cellStyle name="Normale 3 3 3 2 3" xfId="270"/>
    <cellStyle name="Normale 3 3 3 2 3 10" xfId="15143"/>
    <cellStyle name="Normale 3 3 3 2 3 11" xfId="24557"/>
    <cellStyle name="Normale 3 3 3 2 3 12" xfId="29955"/>
    <cellStyle name="Normale 3 3 3 2 3 13" xfId="30887"/>
    <cellStyle name="Normale 3 3 3 2 3 14" xfId="31808"/>
    <cellStyle name="Normale 3 3 3 2 3 15" xfId="32733"/>
    <cellStyle name="Normale 3 3 3 2 3 16" xfId="33670"/>
    <cellStyle name="Normale 3 3 3 2 3 17" xfId="34600"/>
    <cellStyle name="Normale 3 3 3 2 3 18" xfId="35526"/>
    <cellStyle name="Normale 3 3 3 2 3 19" xfId="36452"/>
    <cellStyle name="Normale 3 3 3 2 3 2" xfId="1237"/>
    <cellStyle name="Normale 3 3 3 2 3 2 2" xfId="8700"/>
    <cellStyle name="Normale 3 3 3 2 3 2 3" xfId="16108"/>
    <cellStyle name="Normale 3 3 3 2 3 2 4" xfId="29115"/>
    <cellStyle name="Normale 3 3 3 2 3 20" xfId="37372"/>
    <cellStyle name="Normale 3 3 3 2 3 3" xfId="2168"/>
    <cellStyle name="Normale 3 3 3 2 3 3 2" xfId="9631"/>
    <cellStyle name="Normale 3 3 3 2 3 3 3" xfId="17039"/>
    <cellStyle name="Normale 3 3 3 2 3 3 4" xfId="25235"/>
    <cellStyle name="Normale 3 3 3 2 3 4" xfId="3090"/>
    <cellStyle name="Normale 3 3 3 2 3 4 2" xfId="10553"/>
    <cellStyle name="Normale 3 3 3 2 3 4 3" xfId="17961"/>
    <cellStyle name="Normale 3 3 3 2 3 4 4" xfId="26133"/>
    <cellStyle name="Normale 3 3 3 2 3 5" xfId="4023"/>
    <cellStyle name="Normale 3 3 3 2 3 5 2" xfId="11486"/>
    <cellStyle name="Normale 3 3 3 2 3 5 3" xfId="18894"/>
    <cellStyle name="Normale 3 3 3 2 3 5 4" xfId="27435"/>
    <cellStyle name="Normale 3 3 3 2 3 6" xfId="4946"/>
    <cellStyle name="Normale 3 3 3 2 3 6 2" xfId="12409"/>
    <cellStyle name="Normale 3 3 3 2 3 6 3" xfId="19817"/>
    <cellStyle name="Normale 3 3 3 2 3 6 4" xfId="24435"/>
    <cellStyle name="Normale 3 3 3 2 3 7" xfId="5874"/>
    <cellStyle name="Normale 3 3 3 2 3 7 2" xfId="13337"/>
    <cellStyle name="Normale 3 3 3 2 3 7 3" xfId="20745"/>
    <cellStyle name="Normale 3 3 3 2 3 7 4" xfId="24415"/>
    <cellStyle name="Normale 3 3 3 2 3 8" xfId="6794"/>
    <cellStyle name="Normale 3 3 3 2 3 8 2" xfId="14257"/>
    <cellStyle name="Normale 3 3 3 2 3 8 3" xfId="21665"/>
    <cellStyle name="Normale 3 3 3 2 3 8 4" xfId="27141"/>
    <cellStyle name="Normale 3 3 3 2 3 9" xfId="7733"/>
    <cellStyle name="Normale 3 3 3 2 4" xfId="1045"/>
    <cellStyle name="Normale 3 3 3 2 4 2" xfId="8508"/>
    <cellStyle name="Normale 3 3 3 2 4 3" xfId="15916"/>
    <cellStyle name="Normale 3 3 3 2 4 4" xfId="29526"/>
    <cellStyle name="Normale 3 3 3 2 5" xfId="1972"/>
    <cellStyle name="Normale 3 3 3 2 5 2" xfId="9435"/>
    <cellStyle name="Normale 3 3 3 2 5 3" xfId="16843"/>
    <cellStyle name="Normale 3 3 3 2 5 4" xfId="23224"/>
    <cellStyle name="Normale 3 3 3 2 6" xfId="2898"/>
    <cellStyle name="Normale 3 3 3 2 6 2" xfId="10361"/>
    <cellStyle name="Normale 3 3 3 2 6 3" xfId="17769"/>
    <cellStyle name="Normale 3 3 3 2 6 4" xfId="22944"/>
    <cellStyle name="Normale 3 3 3 2 7" xfId="3827"/>
    <cellStyle name="Normale 3 3 3 2 7 2" xfId="11290"/>
    <cellStyle name="Normale 3 3 3 2 7 3" xfId="18698"/>
    <cellStyle name="Normale 3 3 3 2 7 4" xfId="24090"/>
    <cellStyle name="Normale 3 3 3 2 8" xfId="4754"/>
    <cellStyle name="Normale 3 3 3 2 8 2" xfId="12217"/>
    <cellStyle name="Normale 3 3 3 2 8 3" xfId="19625"/>
    <cellStyle name="Normale 3 3 3 2 8 4" xfId="24938"/>
    <cellStyle name="Normale 3 3 3 2 9" xfId="5681"/>
    <cellStyle name="Normale 3 3 3 2 9 2" xfId="13144"/>
    <cellStyle name="Normale 3 3 3 2 9 3" xfId="20552"/>
    <cellStyle name="Normale 3 3 3 2 9 4" xfId="25873"/>
    <cellStyle name="Normale 3 3 3 20" xfId="6602"/>
    <cellStyle name="Normale 3 3 3 20 2" xfId="14065"/>
    <cellStyle name="Normale 3 3 3 20 3" xfId="21473"/>
    <cellStyle name="Normale 3 3 3 20 4" xfId="22994"/>
    <cellStyle name="Normale 3 3 3 21" xfId="7536"/>
    <cellStyle name="Normale 3 3 3 22" xfId="14945"/>
    <cellStyle name="Normale 3 3 3 23" xfId="24371"/>
    <cellStyle name="Normale 3 3 3 24" xfId="29762"/>
    <cellStyle name="Normale 3 3 3 25" xfId="30692"/>
    <cellStyle name="Normale 3 3 3 26" xfId="31615"/>
    <cellStyle name="Normale 3 3 3 27" xfId="32541"/>
    <cellStyle name="Normale 3 3 3 28" xfId="33475"/>
    <cellStyle name="Normale 3 3 3 29" xfId="34403"/>
    <cellStyle name="Normale 3 3 3 3" xfId="74"/>
    <cellStyle name="Normale 3 3 3 3 10" xfId="7539"/>
    <cellStyle name="Normale 3 3 3 3 11" xfId="14948"/>
    <cellStyle name="Normale 3 3 3 3 12" xfId="29147"/>
    <cellStyle name="Normale 3 3 3 3 13" xfId="29765"/>
    <cellStyle name="Normale 3 3 3 3 14" xfId="30695"/>
    <cellStyle name="Normale 3 3 3 3 15" xfId="31618"/>
    <cellStyle name="Normale 3 3 3 3 16" xfId="32544"/>
    <cellStyle name="Normale 3 3 3 3 17" xfId="33478"/>
    <cellStyle name="Normale 3 3 3 3 18" xfId="34406"/>
    <cellStyle name="Normale 3 3 3 3 19" xfId="35334"/>
    <cellStyle name="Normale 3 3 3 3 2" xfId="272"/>
    <cellStyle name="Normale 3 3 3 3 2 10" xfId="15145"/>
    <cellStyle name="Normale 3 3 3 3 2 11" xfId="28953"/>
    <cellStyle name="Normale 3 3 3 3 2 12" xfId="29957"/>
    <cellStyle name="Normale 3 3 3 3 2 13" xfId="30889"/>
    <cellStyle name="Normale 3 3 3 3 2 14" xfId="31810"/>
    <cellStyle name="Normale 3 3 3 3 2 15" xfId="32735"/>
    <cellStyle name="Normale 3 3 3 3 2 16" xfId="33672"/>
    <cellStyle name="Normale 3 3 3 3 2 17" xfId="34602"/>
    <cellStyle name="Normale 3 3 3 3 2 18" xfId="35528"/>
    <cellStyle name="Normale 3 3 3 3 2 19" xfId="36454"/>
    <cellStyle name="Normale 3 3 3 3 2 2" xfId="1239"/>
    <cellStyle name="Normale 3 3 3 3 2 2 2" xfId="8702"/>
    <cellStyle name="Normale 3 3 3 3 2 2 3" xfId="16110"/>
    <cellStyle name="Normale 3 3 3 3 2 2 4" xfId="27283"/>
    <cellStyle name="Normale 3 3 3 3 2 20" xfId="37374"/>
    <cellStyle name="Normale 3 3 3 3 2 3" xfId="2170"/>
    <cellStyle name="Normale 3 3 3 3 2 3 2" xfId="9633"/>
    <cellStyle name="Normale 3 3 3 3 2 3 3" xfId="17041"/>
    <cellStyle name="Normale 3 3 3 3 2 3 4" xfId="23400"/>
    <cellStyle name="Normale 3 3 3 3 2 4" xfId="3092"/>
    <cellStyle name="Normale 3 3 3 3 2 4 2" xfId="10555"/>
    <cellStyle name="Normale 3 3 3 3 2 4 3" xfId="17963"/>
    <cellStyle name="Normale 3 3 3 3 2 4 4" xfId="24291"/>
    <cellStyle name="Normale 3 3 3 3 2 5" xfId="4025"/>
    <cellStyle name="Normale 3 3 3 3 2 5 2" xfId="11488"/>
    <cellStyle name="Normale 3 3 3 3 2 5 3" xfId="18896"/>
    <cellStyle name="Normale 3 3 3 3 2 5 4" xfId="25598"/>
    <cellStyle name="Normale 3 3 3 3 2 6" xfId="4948"/>
    <cellStyle name="Normale 3 3 3 3 2 6 2" xfId="12411"/>
    <cellStyle name="Normale 3 3 3 3 2 6 3" xfId="19819"/>
    <cellStyle name="Normale 3 3 3 3 2 6 4" xfId="28835"/>
    <cellStyle name="Normale 3 3 3 3 2 7" xfId="5876"/>
    <cellStyle name="Normale 3 3 3 3 2 7 2" xfId="13339"/>
    <cellStyle name="Normale 3 3 3 3 2 7 3" xfId="20747"/>
    <cellStyle name="Normale 3 3 3 3 2 7 4" xfId="28813"/>
    <cellStyle name="Normale 3 3 3 3 2 8" xfId="6796"/>
    <cellStyle name="Normale 3 3 3 3 2 8 2" xfId="14259"/>
    <cellStyle name="Normale 3 3 3 3 2 8 3" xfId="21667"/>
    <cellStyle name="Normale 3 3 3 3 2 8 4" xfId="25304"/>
    <cellStyle name="Normale 3 3 3 3 2 9" xfId="7735"/>
    <cellStyle name="Normale 3 3 3 3 20" xfId="36260"/>
    <cellStyle name="Normale 3 3 3 3 21" xfId="37183"/>
    <cellStyle name="Normale 3 3 3 3 3" xfId="1047"/>
    <cellStyle name="Normale 3 3 3 3 3 2" xfId="8510"/>
    <cellStyle name="Normale 3 3 3 3 3 3" xfId="15918"/>
    <cellStyle name="Normale 3 3 3 3 3 4" xfId="27708"/>
    <cellStyle name="Normale 3 3 3 3 4" xfId="1974"/>
    <cellStyle name="Normale 3 3 3 3 4 2" xfId="9437"/>
    <cellStyle name="Normale 3 3 3 3 4 3" xfId="16845"/>
    <cellStyle name="Normale 3 3 3 3 4 4" xfId="28769"/>
    <cellStyle name="Normale 3 3 3 3 5" xfId="2900"/>
    <cellStyle name="Normale 3 3 3 3 5 2" xfId="10363"/>
    <cellStyle name="Normale 3 3 3 3 5 3" xfId="17771"/>
    <cellStyle name="Normale 3 3 3 3 5 4" xfId="28476"/>
    <cellStyle name="Normale 3 3 3 3 6" xfId="3829"/>
    <cellStyle name="Normale 3 3 3 3 6 2" xfId="11292"/>
    <cellStyle name="Normale 3 3 3 3 6 3" xfId="18700"/>
    <cellStyle name="Normale 3 3 3 3 6 4" xfId="29508"/>
    <cellStyle name="Normale 3 3 3 3 7" xfId="4756"/>
    <cellStyle name="Normale 3 3 3 3 7 2" xfId="12219"/>
    <cellStyle name="Normale 3 3 3 3 7 3" xfId="19627"/>
    <cellStyle name="Normale 3 3 3 3 7 4" xfId="23005"/>
    <cellStyle name="Normale 3 3 3 3 8" xfId="5683"/>
    <cellStyle name="Normale 3 3 3 3 8 2" xfId="13146"/>
    <cellStyle name="Normale 3 3 3 3 8 3" xfId="20554"/>
    <cellStyle name="Normale 3 3 3 3 8 4" xfId="24037"/>
    <cellStyle name="Normale 3 3 3 3 9" xfId="6605"/>
    <cellStyle name="Normale 3 3 3 3 9 2" xfId="14068"/>
    <cellStyle name="Normale 3 3 3 3 9 3" xfId="21476"/>
    <cellStyle name="Normale 3 3 3 3 9 4" xfId="27603"/>
    <cellStyle name="Normale 3 3 3 30" xfId="35331"/>
    <cellStyle name="Normale 3 3 3 31" xfId="36257"/>
    <cellStyle name="Normale 3 3 3 32" xfId="37180"/>
    <cellStyle name="Normale 3 3 3 4" xfId="269"/>
    <cellStyle name="Normale 3 3 3 4 10" xfId="15142"/>
    <cellStyle name="Normale 3 3 3 4 11" xfId="25474"/>
    <cellStyle name="Normale 3 3 3 4 12" xfId="29954"/>
    <cellStyle name="Normale 3 3 3 4 13" xfId="30886"/>
    <cellStyle name="Normale 3 3 3 4 14" xfId="31807"/>
    <cellStyle name="Normale 3 3 3 4 15" xfId="32732"/>
    <cellStyle name="Normale 3 3 3 4 16" xfId="33669"/>
    <cellStyle name="Normale 3 3 3 4 17" xfId="34599"/>
    <cellStyle name="Normale 3 3 3 4 18" xfId="35525"/>
    <cellStyle name="Normale 3 3 3 4 19" xfId="36451"/>
    <cellStyle name="Normale 3 3 3 4 2" xfId="1236"/>
    <cellStyle name="Normale 3 3 3 4 2 2" xfId="8699"/>
    <cellStyle name="Normale 3 3 3 4 2 3" xfId="16107"/>
    <cellStyle name="Normale 3 3 3 4 2 4" xfId="22685"/>
    <cellStyle name="Normale 3 3 3 4 20" xfId="37371"/>
    <cellStyle name="Normale 3 3 3 4 3" xfId="2167"/>
    <cellStyle name="Normale 3 3 3 4 3 2" xfId="9630"/>
    <cellStyle name="Normale 3 3 3 4 3 3" xfId="17038"/>
    <cellStyle name="Normale 3 3 3 4 3 4" xfId="26158"/>
    <cellStyle name="Normale 3 3 3 4 4" xfId="3089"/>
    <cellStyle name="Normale 3 3 3 4 4 2" xfId="10552"/>
    <cellStyle name="Normale 3 3 3 4 4 3" xfId="17960"/>
    <cellStyle name="Normale 3 3 3 4 4 4" xfId="27051"/>
    <cellStyle name="Normale 3 3 3 4 5" xfId="4022"/>
    <cellStyle name="Normale 3 3 3 4 5 2" xfId="11485"/>
    <cellStyle name="Normale 3 3 3 4 5 3" xfId="18893"/>
    <cellStyle name="Normale 3 3 3 4 5 4" xfId="28359"/>
    <cellStyle name="Normale 3 3 3 4 6" xfId="4945"/>
    <cellStyle name="Normale 3 3 3 4 6 2" xfId="12408"/>
    <cellStyle name="Normale 3 3 3 4 6 3" xfId="19816"/>
    <cellStyle name="Normale 3 3 3 4 6 4" xfId="25351"/>
    <cellStyle name="Normale 3 3 3 4 7" xfId="5873"/>
    <cellStyle name="Normale 3 3 3 4 7 2" xfId="13336"/>
    <cellStyle name="Normale 3 3 3 4 7 3" xfId="20744"/>
    <cellStyle name="Normale 3 3 3 4 7 4" xfId="25331"/>
    <cellStyle name="Normale 3 3 3 4 8" xfId="6793"/>
    <cellStyle name="Normale 3 3 3 4 8 2" xfId="14256"/>
    <cellStyle name="Normale 3 3 3 4 8 3" xfId="21664"/>
    <cellStyle name="Normale 3 3 3 4 8 4" xfId="28063"/>
    <cellStyle name="Normale 3 3 3 4 9" xfId="7732"/>
    <cellStyle name="Normale 3 3 3 5" xfId="417"/>
    <cellStyle name="Normale 3 3 3 5 10" xfId="15290"/>
    <cellStyle name="Normale 3 3 3 5 11" xfId="29532"/>
    <cellStyle name="Normale 3 3 3 5 12" xfId="30102"/>
    <cellStyle name="Normale 3 3 3 5 13" xfId="31034"/>
    <cellStyle name="Normale 3 3 3 5 14" xfId="31955"/>
    <cellStyle name="Normale 3 3 3 5 15" xfId="32879"/>
    <cellStyle name="Normale 3 3 3 5 16" xfId="33817"/>
    <cellStyle name="Normale 3 3 3 5 17" xfId="34747"/>
    <cellStyle name="Normale 3 3 3 5 18" xfId="35673"/>
    <cellStyle name="Normale 3 3 3 5 19" xfId="36599"/>
    <cellStyle name="Normale 3 3 3 5 2" xfId="1384"/>
    <cellStyle name="Normale 3 3 3 5 2 2" xfId="8847"/>
    <cellStyle name="Normale 3 3 3 5 2 3" xfId="16255"/>
    <cellStyle name="Normale 3 3 3 5 2 4" xfId="26841"/>
    <cellStyle name="Normale 3 3 3 5 20" xfId="37518"/>
    <cellStyle name="Normale 3 3 3 5 3" xfId="2315"/>
    <cellStyle name="Normale 3 3 3 5 3 2" xfId="9778"/>
    <cellStyle name="Normale 3 3 3 5 3 3" xfId="17186"/>
    <cellStyle name="Normale 3 3 3 5 3 4" xfId="24028"/>
    <cellStyle name="Normale 3 3 3 5 4" xfId="3237"/>
    <cellStyle name="Normale 3 3 3 5 4 2" xfId="10700"/>
    <cellStyle name="Normale 3 3 3 5 4 3" xfId="18108"/>
    <cellStyle name="Normale 3 3 3 5 4 4" xfId="29646"/>
    <cellStyle name="Normale 3 3 3 5 5" xfId="4170"/>
    <cellStyle name="Normale 3 3 3 5 5 2" xfId="11633"/>
    <cellStyle name="Normale 3 3 3 5 5 3" xfId="19041"/>
    <cellStyle name="Normale 3 3 3 5 5 4" xfId="24634"/>
    <cellStyle name="Normale 3 3 3 5 6" xfId="5093"/>
    <cellStyle name="Normale 3 3 3 5 6 2" xfId="12556"/>
    <cellStyle name="Normale 3 3 3 5 6 3" xfId="19964"/>
    <cellStyle name="Normale 3 3 3 5 6 4" xfId="29495"/>
    <cellStyle name="Normale 3 3 3 5 7" xfId="6021"/>
    <cellStyle name="Normale 3 3 3 5 7 2" xfId="13484"/>
    <cellStyle name="Normale 3 3 3 5 7 3" xfId="20892"/>
    <cellStyle name="Normale 3 3 3 5 7 4" xfId="29413"/>
    <cellStyle name="Normale 3 3 3 5 8" xfId="6940"/>
    <cellStyle name="Normale 3 3 3 5 8 2" xfId="14403"/>
    <cellStyle name="Normale 3 3 3 5 8 3" xfId="21811"/>
    <cellStyle name="Normale 3 3 3 5 8 4" xfId="28341"/>
    <cellStyle name="Normale 3 3 3 5 9" xfId="7880"/>
    <cellStyle name="Normale 3 3 3 6" xfId="465"/>
    <cellStyle name="Normale 3 3 3 6 10" xfId="15338"/>
    <cellStyle name="Normale 3 3 3 6 11" xfId="29195"/>
    <cellStyle name="Normale 3 3 3 6 12" xfId="30150"/>
    <cellStyle name="Normale 3 3 3 6 13" xfId="31082"/>
    <cellStyle name="Normale 3 3 3 6 14" xfId="32003"/>
    <cellStyle name="Normale 3 3 3 6 15" xfId="32926"/>
    <cellStyle name="Normale 3 3 3 6 16" xfId="33865"/>
    <cellStyle name="Normale 3 3 3 6 17" xfId="34795"/>
    <cellStyle name="Normale 3 3 3 6 18" xfId="35721"/>
    <cellStyle name="Normale 3 3 3 6 19" xfId="36647"/>
    <cellStyle name="Normale 3 3 3 6 2" xfId="1432"/>
    <cellStyle name="Normale 3 3 3 6 2 2" xfId="8895"/>
    <cellStyle name="Normale 3 3 3 6 2 3" xfId="16303"/>
    <cellStyle name="Normale 3 3 3 6 2 4" xfId="25053"/>
    <cellStyle name="Normale 3 3 3 6 20" xfId="37565"/>
    <cellStyle name="Normale 3 3 3 6 3" xfId="2363"/>
    <cellStyle name="Normale 3 3 3 6 3 2" xfId="9826"/>
    <cellStyle name="Normale 3 3 3 6 3 3" xfId="17234"/>
    <cellStyle name="Normale 3 3 3 6 3 4" xfId="23676"/>
    <cellStyle name="Normale 3 3 3 6 4" xfId="3285"/>
    <cellStyle name="Normale 3 3 3 6 4 2" xfId="10748"/>
    <cellStyle name="Normale 3 3 3 6 4 3" xfId="18156"/>
    <cellStyle name="Normale 3 3 3 6 4 4" xfId="29268"/>
    <cellStyle name="Normale 3 3 3 6 5" xfId="4218"/>
    <cellStyle name="Normale 3 3 3 6 5 2" xfId="11681"/>
    <cellStyle name="Normale 3 3 3 6 5 3" xfId="19089"/>
    <cellStyle name="Normale 3 3 3 6 5 4" xfId="24456"/>
    <cellStyle name="Normale 3 3 3 6 6" xfId="5141"/>
    <cellStyle name="Normale 3 3 3 6 6 2" xfId="12604"/>
    <cellStyle name="Normale 3 3 3 6 6 3" xfId="20012"/>
    <cellStyle name="Normale 3 3 3 6 6 4" xfId="27730"/>
    <cellStyle name="Normale 3 3 3 6 7" xfId="6069"/>
    <cellStyle name="Normale 3 3 3 6 7 2" xfId="13532"/>
    <cellStyle name="Normale 3 3 3 6 7 3" xfId="20940"/>
    <cellStyle name="Normale 3 3 3 6 7 4" xfId="29159"/>
    <cellStyle name="Normale 3 3 3 6 8" xfId="6987"/>
    <cellStyle name="Normale 3 3 3 6 8 2" xfId="14450"/>
    <cellStyle name="Normale 3 3 3 6 8 3" xfId="21858"/>
    <cellStyle name="Normale 3 3 3 6 8 4" xfId="23790"/>
    <cellStyle name="Normale 3 3 3 6 9" xfId="7928"/>
    <cellStyle name="Normale 3 3 3 7" xfId="513"/>
    <cellStyle name="Normale 3 3 3 7 10" xfId="15386"/>
    <cellStyle name="Normale 3 3 3 7 11" xfId="28035"/>
    <cellStyle name="Normale 3 3 3 7 12" xfId="30197"/>
    <cellStyle name="Normale 3 3 3 7 13" xfId="31130"/>
    <cellStyle name="Normale 3 3 3 7 14" xfId="32050"/>
    <cellStyle name="Normale 3 3 3 7 15" xfId="32972"/>
    <cellStyle name="Normale 3 3 3 7 16" xfId="33913"/>
    <cellStyle name="Normale 3 3 3 7 17" xfId="34843"/>
    <cellStyle name="Normale 3 3 3 7 18" xfId="35769"/>
    <cellStyle name="Normale 3 3 3 7 19" xfId="36695"/>
    <cellStyle name="Normale 3 3 3 7 2" xfId="1480"/>
    <cellStyle name="Normale 3 3 3 7 2 2" xfId="8943"/>
    <cellStyle name="Normale 3 3 3 7 2 3" xfId="16351"/>
    <cellStyle name="Normale 3 3 3 7 2 4" xfId="23417"/>
    <cellStyle name="Normale 3 3 3 7 20" xfId="37611"/>
    <cellStyle name="Normale 3 3 3 7 3" xfId="2411"/>
    <cellStyle name="Normale 3 3 3 7 3 2" xfId="9874"/>
    <cellStyle name="Normale 3 3 3 7 3 3" xfId="17282"/>
    <cellStyle name="Normale 3 3 3 7 3 4" xfId="22659"/>
    <cellStyle name="Normale 3 3 3 7 4" xfId="3332"/>
    <cellStyle name="Normale 3 3 3 7 4 2" xfId="10795"/>
    <cellStyle name="Normale 3 3 3 7 4 3" xfId="18203"/>
    <cellStyle name="Normale 3 3 3 7 4 4" xfId="24916"/>
    <cellStyle name="Normale 3 3 3 7 5" xfId="4266"/>
    <cellStyle name="Normale 3 3 3 7 5 2" xfId="11729"/>
    <cellStyle name="Normale 3 3 3 7 5 3" xfId="19137"/>
    <cellStyle name="Normale 3 3 3 7 5 4" xfId="24941"/>
    <cellStyle name="Normale 3 3 3 7 6" xfId="5188"/>
    <cellStyle name="Normale 3 3 3 7 6 2" xfId="12651"/>
    <cellStyle name="Normale 3 3 3 7 6 3" xfId="20059"/>
    <cellStyle name="Normale 3 3 3 7 6 4" xfId="27186"/>
    <cellStyle name="Normale 3 3 3 7 7" xfId="6117"/>
    <cellStyle name="Normale 3 3 3 7 7 2" xfId="13580"/>
    <cellStyle name="Normale 3 3 3 7 7 3" xfId="20988"/>
    <cellStyle name="Normale 3 3 3 7 7 4" xfId="27893"/>
    <cellStyle name="Normale 3 3 3 7 8" xfId="7033"/>
    <cellStyle name="Normale 3 3 3 7 8 2" xfId="14496"/>
    <cellStyle name="Normale 3 3 3 7 8 3" xfId="21904"/>
    <cellStyle name="Normale 3 3 3 7 8 4" xfId="25830"/>
    <cellStyle name="Normale 3 3 3 7 9" xfId="7976"/>
    <cellStyle name="Normale 3 3 3 8" xfId="565"/>
    <cellStyle name="Normale 3 3 3 8 10" xfId="15438"/>
    <cellStyle name="Normale 3 3 3 8 11" xfId="25806"/>
    <cellStyle name="Normale 3 3 3 8 12" xfId="30248"/>
    <cellStyle name="Normale 3 3 3 8 13" xfId="31182"/>
    <cellStyle name="Normale 3 3 3 8 14" xfId="32101"/>
    <cellStyle name="Normale 3 3 3 8 15" xfId="33022"/>
    <cellStyle name="Normale 3 3 3 8 16" xfId="33965"/>
    <cellStyle name="Normale 3 3 3 8 17" xfId="34895"/>
    <cellStyle name="Normale 3 3 3 8 18" xfId="35821"/>
    <cellStyle name="Normale 3 3 3 8 19" xfId="36747"/>
    <cellStyle name="Normale 3 3 3 8 2" xfId="1532"/>
    <cellStyle name="Normale 3 3 3 8 2 2" xfId="8995"/>
    <cellStyle name="Normale 3 3 3 8 2 3" xfId="16403"/>
    <cellStyle name="Normale 3 3 3 8 2 4" xfId="28280"/>
    <cellStyle name="Normale 3 3 3 8 20" xfId="37661"/>
    <cellStyle name="Normale 3 3 3 8 3" xfId="2463"/>
    <cellStyle name="Normale 3 3 3 8 3 2" xfId="9926"/>
    <cellStyle name="Normale 3 3 3 8 3 3" xfId="17334"/>
    <cellStyle name="Normale 3 3 3 8 3 4" xfId="27551"/>
    <cellStyle name="Normale 3 3 3 8 4" xfId="3383"/>
    <cellStyle name="Normale 3 3 3 8 4 2" xfId="10846"/>
    <cellStyle name="Normale 3 3 3 8 4 3" xfId="18254"/>
    <cellStyle name="Normale 3 3 3 8 4 4" xfId="27647"/>
    <cellStyle name="Normale 3 3 3 8 5" xfId="4318"/>
    <cellStyle name="Normale 3 3 3 8 5 2" xfId="11781"/>
    <cellStyle name="Normale 3 3 3 8 5 3" xfId="19189"/>
    <cellStyle name="Normale 3 3 3 8 5 4" xfId="25502"/>
    <cellStyle name="Normale 3 3 3 8 6" xfId="5239"/>
    <cellStyle name="Normale 3 3 3 8 6 2" xfId="12702"/>
    <cellStyle name="Normale 3 3 3 8 6 3" xfId="20110"/>
    <cellStyle name="Normale 3 3 3 8 6 4" xfId="25497"/>
    <cellStyle name="Normale 3 3 3 8 7" xfId="6169"/>
    <cellStyle name="Normale 3 3 3 8 7 2" xfId="13632"/>
    <cellStyle name="Normale 3 3 3 8 7 3" xfId="21040"/>
    <cellStyle name="Normale 3 3 3 8 7 4" xfId="25769"/>
    <cellStyle name="Normale 3 3 3 8 8" xfId="7083"/>
    <cellStyle name="Normale 3 3 3 8 8 2" xfId="14546"/>
    <cellStyle name="Normale 3 3 3 8 8 3" xfId="21954"/>
    <cellStyle name="Normale 3 3 3 8 8 4" xfId="23646"/>
    <cellStyle name="Normale 3 3 3 8 9" xfId="8028"/>
    <cellStyle name="Normale 3 3 3 9" xfId="625"/>
    <cellStyle name="Normale 3 3 3 9 10" xfId="15497"/>
    <cellStyle name="Normale 3 3 3 9 11" xfId="25273"/>
    <cellStyle name="Normale 3 3 3 9 12" xfId="30304"/>
    <cellStyle name="Normale 3 3 3 9 13" xfId="31241"/>
    <cellStyle name="Normale 3 3 3 9 14" xfId="32158"/>
    <cellStyle name="Normale 3 3 3 9 15" xfId="33077"/>
    <cellStyle name="Normale 3 3 3 9 16" xfId="34024"/>
    <cellStyle name="Normale 3 3 3 9 17" xfId="34955"/>
    <cellStyle name="Normale 3 3 3 9 18" xfId="35881"/>
    <cellStyle name="Normale 3 3 3 9 19" xfId="36806"/>
    <cellStyle name="Normale 3 3 3 9 2" xfId="1591"/>
    <cellStyle name="Normale 3 3 3 9 2 2" xfId="9054"/>
    <cellStyle name="Normale 3 3 3 9 2 3" xfId="16462"/>
    <cellStyle name="Normale 3 3 3 9 2 4" xfId="24525"/>
    <cellStyle name="Normale 3 3 3 9 20" xfId="37716"/>
    <cellStyle name="Normale 3 3 3 9 3" xfId="2523"/>
    <cellStyle name="Normale 3 3 3 9 3 2" xfId="9986"/>
    <cellStyle name="Normale 3 3 3 9 3 3" xfId="17394"/>
    <cellStyle name="Normale 3 3 3 9 3 4" xfId="22467"/>
    <cellStyle name="Normale 3 3 3 9 4" xfId="3441"/>
    <cellStyle name="Normale 3 3 3 9 4 2" xfId="10904"/>
    <cellStyle name="Normale 3 3 3 9 4 3" xfId="18312"/>
    <cellStyle name="Normale 3 3 3 9 4 4" xfId="25709"/>
    <cellStyle name="Normale 3 3 3 9 5" xfId="4378"/>
    <cellStyle name="Normale 3 3 3 9 5 2" xfId="11841"/>
    <cellStyle name="Normale 3 3 3 9 5 3" xfId="19249"/>
    <cellStyle name="Normale 3 3 3 9 5 4" xfId="28849"/>
    <cellStyle name="Normale 3 3 3 9 6" xfId="5296"/>
    <cellStyle name="Normale 3 3 3 9 6 2" xfId="12759"/>
    <cellStyle name="Normale 3 3 3 9 6 3" xfId="20167"/>
    <cellStyle name="Normale 3 3 3 9 6 4" xfId="23511"/>
    <cellStyle name="Normale 3 3 3 9 7" xfId="6229"/>
    <cellStyle name="Normale 3 3 3 9 7 2" xfId="13692"/>
    <cellStyle name="Normale 3 3 3 9 7 3" xfId="21100"/>
    <cellStyle name="Normale 3 3 3 9 7 4" xfId="28081"/>
    <cellStyle name="Normale 3 3 3 9 8" xfId="7138"/>
    <cellStyle name="Normale 3 3 3 9 8 2" xfId="14601"/>
    <cellStyle name="Normale 3 3 3 9 8 3" xfId="22009"/>
    <cellStyle name="Normale 3 3 3 9 8 4" xfId="25841"/>
    <cellStyle name="Normale 3 3 3 9 9" xfId="8088"/>
    <cellStyle name="Normale 3 3 30" xfId="31598"/>
    <cellStyle name="Normale 3 3 31" xfId="32524"/>
    <cellStyle name="Normale 3 3 32" xfId="33458"/>
    <cellStyle name="Normale 3 3 33" xfId="34386"/>
    <cellStyle name="Normale 3 3 34" xfId="35314"/>
    <cellStyle name="Normale 3 3 35" xfId="36240"/>
    <cellStyle name="Normale 3 3 36" xfId="37163"/>
    <cellStyle name="Normale 3 3 4" xfId="75"/>
    <cellStyle name="Normale 3 3 4 10" xfId="704"/>
    <cellStyle name="Normale 3 3 4 10 10" xfId="15575"/>
    <cellStyle name="Normale 3 3 4 10 11" xfId="27641"/>
    <cellStyle name="Normale 3 3 4 10 12" xfId="30378"/>
    <cellStyle name="Normale 3 3 4 10 13" xfId="31319"/>
    <cellStyle name="Normale 3 3 4 10 14" xfId="32232"/>
    <cellStyle name="Normale 3 3 4 10 15" xfId="33150"/>
    <cellStyle name="Normale 3 3 4 10 16" xfId="34102"/>
    <cellStyle name="Normale 3 3 4 10 17" xfId="35034"/>
    <cellStyle name="Normale 3 3 4 10 18" xfId="35960"/>
    <cellStyle name="Normale 3 3 4 10 19" xfId="36885"/>
    <cellStyle name="Normale 3 3 4 10 2" xfId="1669"/>
    <cellStyle name="Normale 3 3 4 10 2 2" xfId="9132"/>
    <cellStyle name="Normale 3 3 4 10 2 3" xfId="16540"/>
    <cellStyle name="Normale 3 3 4 10 2 4" xfId="27355"/>
    <cellStyle name="Normale 3 3 4 10 20" xfId="37789"/>
    <cellStyle name="Normale 3 3 4 10 3" xfId="2602"/>
    <cellStyle name="Normale 3 3 4 10 3 2" xfId="10065"/>
    <cellStyle name="Normale 3 3 4 10 3 3" xfId="17473"/>
    <cellStyle name="Normale 3 3 4 10 3 4" xfId="22793"/>
    <cellStyle name="Normale 3 3 4 10 4" xfId="3518"/>
    <cellStyle name="Normale 3 3 4 10 4 2" xfId="10981"/>
    <cellStyle name="Normale 3 3 4 10 4 3" xfId="18389"/>
    <cellStyle name="Normale 3 3 4 10 4 4" xfId="27041"/>
    <cellStyle name="Normale 3 3 4 10 5" xfId="4457"/>
    <cellStyle name="Normale 3 3 4 10 5 2" xfId="11920"/>
    <cellStyle name="Normale 3 3 4 10 5 3" xfId="19328"/>
    <cellStyle name="Normale 3 3 4 10 5 4" xfId="25703"/>
    <cellStyle name="Normale 3 3 4 10 6" xfId="5373"/>
    <cellStyle name="Normale 3 3 4 10 6 2" xfId="12836"/>
    <cellStyle name="Normale 3 3 4 10 6 3" xfId="20244"/>
    <cellStyle name="Normale 3 3 4 10 6 4" xfId="27332"/>
    <cellStyle name="Normale 3 3 4 10 7" xfId="6306"/>
    <cellStyle name="Normale 3 3 4 10 7 2" xfId="13769"/>
    <cellStyle name="Normale 3 3 4 10 7 3" xfId="21177"/>
    <cellStyle name="Normale 3 3 4 10 7 4" xfId="24856"/>
    <cellStyle name="Normale 3 3 4 10 8" xfId="7211"/>
    <cellStyle name="Normale 3 3 4 10 8 2" xfId="14674"/>
    <cellStyle name="Normale 3 3 4 10 8 3" xfId="22082"/>
    <cellStyle name="Normale 3 3 4 10 8 4" xfId="28053"/>
    <cellStyle name="Normale 3 3 4 10 9" xfId="8167"/>
    <cellStyle name="Normale 3 3 4 11" xfId="776"/>
    <cellStyle name="Normale 3 3 4 11 10" xfId="15647"/>
    <cellStyle name="Normale 3 3 4 11 11" xfId="26444"/>
    <cellStyle name="Normale 3 3 4 11 12" xfId="30448"/>
    <cellStyle name="Normale 3 3 4 11 13" xfId="31391"/>
    <cellStyle name="Normale 3 3 4 11 14" xfId="32303"/>
    <cellStyle name="Normale 3 3 4 11 15" xfId="33219"/>
    <cellStyle name="Normale 3 3 4 11 16" xfId="34174"/>
    <cellStyle name="Normale 3 3 4 11 17" xfId="35106"/>
    <cellStyle name="Normale 3 3 4 11 18" xfId="36032"/>
    <cellStyle name="Normale 3 3 4 11 19" xfId="36957"/>
    <cellStyle name="Normale 3 3 4 11 2" xfId="1741"/>
    <cellStyle name="Normale 3 3 4 11 2 2" xfId="9204"/>
    <cellStyle name="Normale 3 3 4 11 2 3" xfId="16612"/>
    <cellStyle name="Normale 3 3 4 11 2 4" xfId="27845"/>
    <cellStyle name="Normale 3 3 4 11 20" xfId="37858"/>
    <cellStyle name="Normale 3 3 4 11 3" xfId="2674"/>
    <cellStyle name="Normale 3 3 4 11 3 2" xfId="10137"/>
    <cellStyle name="Normale 3 3 4 11 3 3" xfId="17545"/>
    <cellStyle name="Normale 3 3 4 11 3 4" xfId="24497"/>
    <cellStyle name="Normale 3 3 4 11 4" xfId="3589"/>
    <cellStyle name="Normale 3 3 4 11 4 2" xfId="11052"/>
    <cellStyle name="Normale 3 3 4 11 4 3" xfId="18460"/>
    <cellStyle name="Normale 3 3 4 11 4 4" xfId="29266"/>
    <cellStyle name="Normale 3 3 4 11 5" xfId="4529"/>
    <cellStyle name="Normale 3 3 4 11 5 2" xfId="11992"/>
    <cellStyle name="Normale 3 3 4 11 5 3" xfId="19400"/>
    <cellStyle name="Normale 3 3 4 11 5 4" xfId="27585"/>
    <cellStyle name="Normale 3 3 4 11 6" xfId="5444"/>
    <cellStyle name="Normale 3 3 4 11 6 2" xfId="12907"/>
    <cellStyle name="Normale 3 3 4 11 6 3" xfId="20315"/>
    <cellStyle name="Normale 3 3 4 11 6 4" xfId="28749"/>
    <cellStyle name="Normale 3 3 4 11 7" xfId="6378"/>
    <cellStyle name="Normale 3 3 4 11 7 2" xfId="13841"/>
    <cellStyle name="Normale 3 3 4 11 7 3" xfId="21249"/>
    <cellStyle name="Normale 3 3 4 11 7 4" xfId="24841"/>
    <cellStyle name="Normale 3 3 4 11 8" xfId="7280"/>
    <cellStyle name="Normale 3 3 4 11 8 2" xfId="14743"/>
    <cellStyle name="Normale 3 3 4 11 8 3" xfId="22151"/>
    <cellStyle name="Normale 3 3 4 11 8 4" xfId="24123"/>
    <cellStyle name="Normale 3 3 4 11 9" xfId="8239"/>
    <cellStyle name="Normale 3 3 4 12" xfId="849"/>
    <cellStyle name="Normale 3 3 4 12 10" xfId="15720"/>
    <cellStyle name="Normale 3 3 4 12 11" xfId="26022"/>
    <cellStyle name="Normale 3 3 4 12 12" xfId="30518"/>
    <cellStyle name="Normale 3 3 4 12 13" xfId="31464"/>
    <cellStyle name="Normale 3 3 4 12 14" xfId="32375"/>
    <cellStyle name="Normale 3 3 4 12 15" xfId="33288"/>
    <cellStyle name="Normale 3 3 4 12 16" xfId="34247"/>
    <cellStyle name="Normale 3 3 4 12 17" xfId="35179"/>
    <cellStyle name="Normale 3 3 4 12 18" xfId="36105"/>
    <cellStyle name="Normale 3 3 4 12 19" xfId="37030"/>
    <cellStyle name="Normale 3 3 4 12 2" xfId="1814"/>
    <cellStyle name="Normale 3 3 4 12 2 2" xfId="9277"/>
    <cellStyle name="Normale 3 3 4 12 2 3" xfId="16685"/>
    <cellStyle name="Normale 3 3 4 12 2 4" xfId="23680"/>
    <cellStyle name="Normale 3 3 4 12 20" xfId="37927"/>
    <cellStyle name="Normale 3 3 4 12 3" xfId="2747"/>
    <cellStyle name="Normale 3 3 4 12 3 2" xfId="10210"/>
    <cellStyle name="Normale 3 3 4 12 3 3" xfId="17618"/>
    <cellStyle name="Normale 3 3 4 12 3 4" xfId="28171"/>
    <cellStyle name="Normale 3 3 4 12 4" xfId="3661"/>
    <cellStyle name="Normale 3 3 4 12 4 2" xfId="11124"/>
    <cellStyle name="Normale 3 3 4 12 4 3" xfId="18532"/>
    <cellStyle name="Normale 3 3 4 12 4 4" xfId="28147"/>
    <cellStyle name="Normale 3 3 4 12 5" xfId="4602"/>
    <cellStyle name="Normale 3 3 4 12 5 2" xfId="12065"/>
    <cellStyle name="Normale 3 3 4 12 5 3" xfId="19473"/>
    <cellStyle name="Normale 3 3 4 12 5 4" xfId="24447"/>
    <cellStyle name="Normale 3 3 4 12 6" xfId="5516"/>
    <cellStyle name="Normale 3 3 4 12 6 2" xfId="12979"/>
    <cellStyle name="Normale 3 3 4 12 6 3" xfId="20387"/>
    <cellStyle name="Normale 3 3 4 12 6 4" xfId="25495"/>
    <cellStyle name="Normale 3 3 4 12 7" xfId="6451"/>
    <cellStyle name="Normale 3 3 4 12 7 2" xfId="13914"/>
    <cellStyle name="Normale 3 3 4 12 7 3" xfId="21322"/>
    <cellStyle name="Normale 3 3 4 12 7 4" xfId="27885"/>
    <cellStyle name="Normale 3 3 4 12 8" xfId="7349"/>
    <cellStyle name="Normale 3 3 4 12 8 2" xfId="14812"/>
    <cellStyle name="Normale 3 3 4 12 8 3" xfId="22220"/>
    <cellStyle name="Normale 3 3 4 12 8 4" xfId="26217"/>
    <cellStyle name="Normale 3 3 4 12 9" xfId="8312"/>
    <cellStyle name="Normale 3 3 4 13" xfId="919"/>
    <cellStyle name="Normale 3 3 4 13 10" xfId="15790"/>
    <cellStyle name="Normale 3 3 4 13 11" xfId="27106"/>
    <cellStyle name="Normale 3 3 4 13 12" xfId="30585"/>
    <cellStyle name="Normale 3 3 4 13 13" xfId="31533"/>
    <cellStyle name="Normale 3 3 4 13 14" xfId="32444"/>
    <cellStyle name="Normale 3 3 4 13 15" xfId="33354"/>
    <cellStyle name="Normale 3 3 4 13 16" xfId="34317"/>
    <cellStyle name="Normale 3 3 4 13 17" xfId="35249"/>
    <cellStyle name="Normale 3 3 4 13 18" xfId="36174"/>
    <cellStyle name="Normale 3 3 4 13 19" xfId="37100"/>
    <cellStyle name="Normale 3 3 4 13 2" xfId="1884"/>
    <cellStyle name="Normale 3 3 4 13 2 2" xfId="9347"/>
    <cellStyle name="Normale 3 3 4 13 2 3" xfId="16755"/>
    <cellStyle name="Normale 3 3 4 13 2 4" xfId="26008"/>
    <cellStyle name="Normale 3 3 4 13 20" xfId="37993"/>
    <cellStyle name="Normale 3 3 4 13 3" xfId="2816"/>
    <cellStyle name="Normale 3 3 4 13 3 2" xfId="10279"/>
    <cellStyle name="Normale 3 3 4 13 3 3" xfId="17687"/>
    <cellStyle name="Normale 3 3 4 13 3 4" xfId="23383"/>
    <cellStyle name="Normale 3 3 4 13 4" xfId="3731"/>
    <cellStyle name="Normale 3 3 4 13 4 2" xfId="11194"/>
    <cellStyle name="Normale 3 3 4 13 4 3" xfId="18602"/>
    <cellStyle name="Normale 3 3 4 13 4 4" xfId="23761"/>
    <cellStyle name="Normale 3 3 4 13 5" xfId="4672"/>
    <cellStyle name="Normale 3 3 4 13 5 2" xfId="12135"/>
    <cellStyle name="Normale 3 3 4 13 5 3" xfId="19543"/>
    <cellStyle name="Normale 3 3 4 13 5 4" xfId="26286"/>
    <cellStyle name="Normale 3 3 4 13 6" xfId="5586"/>
    <cellStyle name="Normale 3 3 4 13 6 2" xfId="13049"/>
    <cellStyle name="Normale 3 3 4 13 6 3" xfId="20457"/>
    <cellStyle name="Normale 3 3 4 13 6 4" xfId="27821"/>
    <cellStyle name="Normale 3 3 4 13 7" xfId="6521"/>
    <cellStyle name="Normale 3 3 4 13 7 2" xfId="13984"/>
    <cellStyle name="Normale 3 3 4 13 7 3" xfId="21392"/>
    <cellStyle name="Normale 3 3 4 13 7 4" xfId="23477"/>
    <cellStyle name="Normale 3 3 4 13 8" xfId="7415"/>
    <cellStyle name="Normale 3 3 4 13 8 2" xfId="14878"/>
    <cellStyle name="Normale 3 3 4 13 8 3" xfId="22286"/>
    <cellStyle name="Normale 3 3 4 13 8 4" xfId="25065"/>
    <cellStyle name="Normale 3 3 4 13 9" xfId="8382"/>
    <cellStyle name="Normale 3 3 4 14" xfId="1048"/>
    <cellStyle name="Normale 3 3 4 14 2" xfId="8511"/>
    <cellStyle name="Normale 3 3 4 14 3" xfId="15919"/>
    <cellStyle name="Normale 3 3 4 14 4" xfId="26805"/>
    <cellStyle name="Normale 3 3 4 15" xfId="1975"/>
    <cellStyle name="Normale 3 3 4 15 2" xfId="9438"/>
    <cellStyle name="Normale 3 3 4 15 3" xfId="16846"/>
    <cellStyle name="Normale 3 3 4 15 4" xfId="27842"/>
    <cellStyle name="Normale 3 3 4 16" xfId="2901"/>
    <cellStyle name="Normale 3 3 4 16 2" xfId="10364"/>
    <cellStyle name="Normale 3 3 4 16 3" xfId="17772"/>
    <cellStyle name="Normale 3 3 4 16 4" xfId="27549"/>
    <cellStyle name="Normale 3 3 4 17" xfId="3830"/>
    <cellStyle name="Normale 3 3 4 17 2" xfId="11293"/>
    <cellStyle name="Normale 3 3 4 17 3" xfId="18701"/>
    <cellStyle name="Normale 3 3 4 17 4" xfId="28617"/>
    <cellStyle name="Normale 3 3 4 18" xfId="4757"/>
    <cellStyle name="Normale 3 3 4 18 2" xfId="12220"/>
    <cellStyle name="Normale 3 3 4 18 3" xfId="19628"/>
    <cellStyle name="Normale 3 3 4 18 4" xfId="29434"/>
    <cellStyle name="Normale 3 3 4 19" xfId="5684"/>
    <cellStyle name="Normale 3 3 4 19 2" xfId="13147"/>
    <cellStyle name="Normale 3 3 4 19 3" xfId="20555"/>
    <cellStyle name="Normale 3 3 4 19 4" xfId="23136"/>
    <cellStyle name="Normale 3 3 4 2" xfId="76"/>
    <cellStyle name="Normale 3 3 4 2 10" xfId="6607"/>
    <cellStyle name="Normale 3 3 4 2 10 2" xfId="14070"/>
    <cellStyle name="Normale 3 3 4 2 10 3" xfId="21478"/>
    <cellStyle name="Normale 3 3 4 2 10 4" xfId="25767"/>
    <cellStyle name="Normale 3 3 4 2 11" xfId="7541"/>
    <cellStyle name="Normale 3 3 4 2 12" xfId="14950"/>
    <cellStyle name="Normale 3 3 4 2 13" xfId="27314"/>
    <cellStyle name="Normale 3 3 4 2 14" xfId="29767"/>
    <cellStyle name="Normale 3 3 4 2 15" xfId="30697"/>
    <cellStyle name="Normale 3 3 4 2 16" xfId="31620"/>
    <cellStyle name="Normale 3 3 4 2 17" xfId="32546"/>
    <cellStyle name="Normale 3 3 4 2 18" xfId="33480"/>
    <cellStyle name="Normale 3 3 4 2 19" xfId="34408"/>
    <cellStyle name="Normale 3 3 4 2 2" xfId="77"/>
    <cellStyle name="Normale 3 3 4 2 2 10" xfId="7542"/>
    <cellStyle name="Normale 3 3 4 2 2 11" xfId="14951"/>
    <cellStyle name="Normale 3 3 4 2 2 12" xfId="26406"/>
    <cellStyle name="Normale 3 3 4 2 2 13" xfId="29768"/>
    <cellStyle name="Normale 3 3 4 2 2 14" xfId="30698"/>
    <cellStyle name="Normale 3 3 4 2 2 15" xfId="31621"/>
    <cellStyle name="Normale 3 3 4 2 2 16" xfId="32547"/>
    <cellStyle name="Normale 3 3 4 2 2 17" xfId="33481"/>
    <cellStyle name="Normale 3 3 4 2 2 18" xfId="34409"/>
    <cellStyle name="Normale 3 3 4 2 2 19" xfId="35337"/>
    <cellStyle name="Normale 3 3 4 2 2 2" xfId="275"/>
    <cellStyle name="Normale 3 3 4 2 2 2 10" xfId="15148"/>
    <cellStyle name="Normale 3 3 4 2 2 2 11" xfId="26208"/>
    <cellStyle name="Normale 3 3 4 2 2 2 12" xfId="29960"/>
    <cellStyle name="Normale 3 3 4 2 2 2 13" xfId="30892"/>
    <cellStyle name="Normale 3 3 4 2 2 2 14" xfId="31813"/>
    <cellStyle name="Normale 3 3 4 2 2 2 15" xfId="32738"/>
    <cellStyle name="Normale 3 3 4 2 2 2 16" xfId="33675"/>
    <cellStyle name="Normale 3 3 4 2 2 2 17" xfId="34605"/>
    <cellStyle name="Normale 3 3 4 2 2 2 18" xfId="35531"/>
    <cellStyle name="Normale 3 3 4 2 2 2 19" xfId="36457"/>
    <cellStyle name="Normale 3 3 4 2 2 2 2" xfId="1242"/>
    <cellStyle name="Normale 3 3 4 2 2 2 2 2" xfId="8705"/>
    <cellStyle name="Normale 3 3 4 2 2 2 2 3" xfId="16113"/>
    <cellStyle name="Normale 3 3 4 2 2 2 2 4" xfId="24530"/>
    <cellStyle name="Normale 3 3 4 2 2 2 20" xfId="37377"/>
    <cellStyle name="Normale 3 3 4 2 2 2 3" xfId="2173"/>
    <cellStyle name="Normale 3 3 4 2 2 2 3 2" xfId="9636"/>
    <cellStyle name="Normale 3 3 4 2 2 2 3 3" xfId="17044"/>
    <cellStyle name="Normale 3 3 4 2 2 2 3 4" xfId="28186"/>
    <cellStyle name="Normale 3 3 4 2 2 2 4" xfId="3095"/>
    <cellStyle name="Normale 3 3 4 2 2 2 4 2" xfId="10558"/>
    <cellStyle name="Normale 3 3 4 2 2 2 4 3" xfId="17966"/>
    <cellStyle name="Normale 3 3 4 2 2 2 4 4" xfId="29071"/>
    <cellStyle name="Normale 3 3 4 2 2 2 5" xfId="4028"/>
    <cellStyle name="Normale 3 3 4 2 2 2 5 2" xfId="11491"/>
    <cellStyle name="Normale 3 3 4 2 2 2 5 3" xfId="18899"/>
    <cellStyle name="Normale 3 3 4 2 2 2 5 4" xfId="22788"/>
    <cellStyle name="Normale 3 3 4 2 2 2 6" xfId="4951"/>
    <cellStyle name="Normale 3 3 4 2 2 2 6 2" xfId="12414"/>
    <cellStyle name="Normale 3 3 4 2 2 2 6 3" xfId="19822"/>
    <cellStyle name="Normale 3 3 4 2 2 2 6 4" xfId="26086"/>
    <cellStyle name="Normale 3 3 4 2 2 2 7" xfId="5879"/>
    <cellStyle name="Normale 3 3 4 2 2 2 7 2" xfId="13342"/>
    <cellStyle name="Normale 3 3 4 2 2 2 7 3" xfId="20750"/>
    <cellStyle name="Normale 3 3 4 2 2 2 7 4" xfId="26064"/>
    <cellStyle name="Normale 3 3 4 2 2 2 8" xfId="6799"/>
    <cellStyle name="Normale 3 3 4 2 2 2 8 2" xfId="14262"/>
    <cellStyle name="Normale 3 3 4 2 2 2 8 3" xfId="21670"/>
    <cellStyle name="Normale 3 3 4 2 2 2 8 4" xfId="28743"/>
    <cellStyle name="Normale 3 3 4 2 2 2 9" xfId="7738"/>
    <cellStyle name="Normale 3 3 4 2 2 20" xfId="36263"/>
    <cellStyle name="Normale 3 3 4 2 2 21" xfId="37186"/>
    <cellStyle name="Normale 3 3 4 2 2 3" xfId="1050"/>
    <cellStyle name="Normale 3 3 4 2 2 3 2" xfId="8513"/>
    <cellStyle name="Normale 3 3 4 2 2 3 3" xfId="15921"/>
    <cellStyle name="Normale 3 3 4 2 2 3 4" xfId="24961"/>
    <cellStyle name="Normale 3 3 4 2 2 4" xfId="1977"/>
    <cellStyle name="Normale 3 3 4 2 2 4 2" xfId="9440"/>
    <cellStyle name="Normale 3 3 4 2 2 4 3" xfId="16848"/>
    <cellStyle name="Normale 3 3 4 2 2 4 4" xfId="26006"/>
    <cellStyle name="Normale 3 3 4 2 2 5" xfId="2903"/>
    <cellStyle name="Normale 3 3 4 2 2 5 2" xfId="10366"/>
    <cellStyle name="Normale 3 3 4 2 2 5 3" xfId="17774"/>
    <cellStyle name="Normale 3 3 4 2 2 5 4" xfId="25713"/>
    <cellStyle name="Normale 3 3 4 2 2 6" xfId="3832"/>
    <cellStyle name="Normale 3 3 4 2 2 6 2" xfId="11295"/>
    <cellStyle name="Normale 3 3 4 2 2 6 3" xfId="18703"/>
    <cellStyle name="Normale 3 3 4 2 2 6 4" xfId="26787"/>
    <cellStyle name="Normale 3 3 4 2 2 7" xfId="4759"/>
    <cellStyle name="Normale 3 3 4 2 2 7 2" xfId="12222"/>
    <cellStyle name="Normale 3 3 4 2 2 7 3" xfId="19630"/>
    <cellStyle name="Normale 3 3 4 2 2 7 4" xfId="27614"/>
    <cellStyle name="Normale 3 3 4 2 2 8" xfId="5686"/>
    <cellStyle name="Normale 3 3 4 2 2 8 2" xfId="13149"/>
    <cellStyle name="Normale 3 3 4 2 2 8 3" xfId="20557"/>
    <cellStyle name="Normale 3 3 4 2 2 8 4" xfId="28678"/>
    <cellStyle name="Normale 3 3 4 2 2 9" xfId="6608"/>
    <cellStyle name="Normale 3 3 4 2 2 9 2" xfId="14071"/>
    <cellStyle name="Normale 3 3 4 2 2 9 3" xfId="21479"/>
    <cellStyle name="Normale 3 3 4 2 2 9 4" xfId="24855"/>
    <cellStyle name="Normale 3 3 4 2 20" xfId="35336"/>
    <cellStyle name="Normale 3 3 4 2 21" xfId="36262"/>
    <cellStyle name="Normale 3 3 4 2 22" xfId="37185"/>
    <cellStyle name="Normale 3 3 4 2 3" xfId="274"/>
    <cellStyle name="Normale 3 3 4 2 3 10" xfId="15147"/>
    <cellStyle name="Normale 3 3 4 2 3 11" xfId="27120"/>
    <cellStyle name="Normale 3 3 4 2 3 12" xfId="29959"/>
    <cellStyle name="Normale 3 3 4 2 3 13" xfId="30891"/>
    <cellStyle name="Normale 3 3 4 2 3 14" xfId="31812"/>
    <cellStyle name="Normale 3 3 4 2 3 15" xfId="32737"/>
    <cellStyle name="Normale 3 3 4 2 3 16" xfId="33674"/>
    <cellStyle name="Normale 3 3 4 2 3 17" xfId="34604"/>
    <cellStyle name="Normale 3 3 4 2 3 18" xfId="35530"/>
    <cellStyle name="Normale 3 3 4 2 3 19" xfId="36456"/>
    <cellStyle name="Normale 3 3 4 2 3 2" xfId="1241"/>
    <cellStyle name="Normale 3 3 4 2 3 2 2" xfId="8704"/>
    <cellStyle name="Normale 3 3 4 2 3 2 3" xfId="16112"/>
    <cellStyle name="Normale 3 3 4 2 3 2 4" xfId="25446"/>
    <cellStyle name="Normale 3 3 4 2 3 20" xfId="37376"/>
    <cellStyle name="Normale 3 3 4 2 3 3" xfId="2172"/>
    <cellStyle name="Normale 3 3 4 2 3 3 2" xfId="9635"/>
    <cellStyle name="Normale 3 3 4 2 3 3 3" xfId="17043"/>
    <cellStyle name="Normale 3 3 4 2 3 3 4" xfId="29096"/>
    <cellStyle name="Normale 3 3 4 2 3 4" xfId="3094"/>
    <cellStyle name="Normale 3 3 4 2 3 4 2" xfId="10557"/>
    <cellStyle name="Normale 3 3 4 2 3 4 3" xfId="17965"/>
    <cellStyle name="Normale 3 3 4 2 3 4 4" xfId="22641"/>
    <cellStyle name="Normale 3 3 4 2 3 5" xfId="4027"/>
    <cellStyle name="Normale 3 3 4 2 3 5 2" xfId="11490"/>
    <cellStyle name="Normale 3 3 4 2 3 5 3" xfId="18898"/>
    <cellStyle name="Normale 3 3 4 2 3 5 4" xfId="23760"/>
    <cellStyle name="Normale 3 3 4 2 3 6" xfId="4950"/>
    <cellStyle name="Normale 3 3 4 2 3 6 2" xfId="12413"/>
    <cellStyle name="Normale 3 3 4 2 3 6 3" xfId="19821"/>
    <cellStyle name="Normale 3 3 4 2 3 6 4" xfId="27004"/>
    <cellStyle name="Normale 3 3 4 2 3 7" xfId="5878"/>
    <cellStyle name="Normale 3 3 4 2 3 7 2" xfId="13341"/>
    <cellStyle name="Normale 3 3 4 2 3 7 3" xfId="20749"/>
    <cellStyle name="Normale 3 3 4 2 3 7 4" xfId="26982"/>
    <cellStyle name="Normale 3 3 4 2 3 8" xfId="6798"/>
    <cellStyle name="Normale 3 3 4 2 3 8 2" xfId="14261"/>
    <cellStyle name="Normale 3 3 4 2 3 8 3" xfId="21669"/>
    <cellStyle name="Normale 3 3 4 2 3 8 4" xfId="23469"/>
    <cellStyle name="Normale 3 3 4 2 3 9" xfId="7737"/>
    <cellStyle name="Normale 3 3 4 2 4" xfId="1049"/>
    <cellStyle name="Normale 3 3 4 2 4 2" xfId="8512"/>
    <cellStyle name="Normale 3 3 4 2 4 3" xfId="15920"/>
    <cellStyle name="Normale 3 3 4 2 4 4" xfId="25872"/>
    <cellStyle name="Normale 3 3 4 2 5" xfId="1976"/>
    <cellStyle name="Normale 3 3 4 2 5 2" xfId="9439"/>
    <cellStyle name="Normale 3 3 4 2 5 3" xfId="16847"/>
    <cellStyle name="Normale 3 3 4 2 5 4" xfId="26939"/>
    <cellStyle name="Normale 3 3 4 2 6" xfId="2902"/>
    <cellStyle name="Normale 3 3 4 2 6 2" xfId="10365"/>
    <cellStyle name="Normale 3 3 4 2 6 3" xfId="17773"/>
    <cellStyle name="Normale 3 3 4 2 6 4" xfId="26645"/>
    <cellStyle name="Normale 3 3 4 2 7" xfId="3831"/>
    <cellStyle name="Normale 3 3 4 2 7 2" xfId="11294"/>
    <cellStyle name="Normale 3 3 4 2 7 3" xfId="18702"/>
    <cellStyle name="Normale 3 3 4 2 7 4" xfId="27690"/>
    <cellStyle name="Normale 3 3 4 2 8" xfId="4758"/>
    <cellStyle name="Normale 3 3 4 2 8 2" xfId="12221"/>
    <cellStyle name="Normale 3 3 4 2 8 3" xfId="19629"/>
    <cellStyle name="Normale 3 3 4 2 8 4" xfId="28540"/>
    <cellStyle name="Normale 3 3 4 2 9" xfId="5685"/>
    <cellStyle name="Normale 3 3 4 2 9 2" xfId="13148"/>
    <cellStyle name="Normale 3 3 4 2 9 3" xfId="20556"/>
    <cellStyle name="Normale 3 3 4 2 9 4" xfId="29565"/>
    <cellStyle name="Normale 3 3 4 20" xfId="6606"/>
    <cellStyle name="Normale 3 3 4 20 2" xfId="14069"/>
    <cellStyle name="Normale 3 3 4 20 3" xfId="21477"/>
    <cellStyle name="Normale 3 3 4 20 4" xfId="26699"/>
    <cellStyle name="Normale 3 3 4 21" xfId="7540"/>
    <cellStyle name="Normale 3 3 4 22" xfId="14949"/>
    <cellStyle name="Normale 3 3 4 23" xfId="28238"/>
    <cellStyle name="Normale 3 3 4 24" xfId="29766"/>
    <cellStyle name="Normale 3 3 4 25" xfId="30696"/>
    <cellStyle name="Normale 3 3 4 26" xfId="31619"/>
    <cellStyle name="Normale 3 3 4 27" xfId="32545"/>
    <cellStyle name="Normale 3 3 4 28" xfId="33479"/>
    <cellStyle name="Normale 3 3 4 29" xfId="34407"/>
    <cellStyle name="Normale 3 3 4 3" xfId="78"/>
    <cellStyle name="Normale 3 3 4 3 10" xfId="7543"/>
    <cellStyle name="Normale 3 3 4 3 11" xfId="14952"/>
    <cellStyle name="Normale 3 3 4 3 12" xfId="25478"/>
    <cellStyle name="Normale 3 3 4 3 13" xfId="29769"/>
    <cellStyle name="Normale 3 3 4 3 14" xfId="30699"/>
    <cellStyle name="Normale 3 3 4 3 15" xfId="31622"/>
    <cellStyle name="Normale 3 3 4 3 16" xfId="32548"/>
    <cellStyle name="Normale 3 3 4 3 17" xfId="33482"/>
    <cellStyle name="Normale 3 3 4 3 18" xfId="34410"/>
    <cellStyle name="Normale 3 3 4 3 19" xfId="35338"/>
    <cellStyle name="Normale 3 3 4 3 2" xfId="276"/>
    <cellStyle name="Normale 3 3 4 3 2 10" xfId="15149"/>
    <cellStyle name="Normale 3 3 4 3 2 11" xfId="25283"/>
    <cellStyle name="Normale 3 3 4 3 2 12" xfId="29961"/>
    <cellStyle name="Normale 3 3 4 3 2 13" xfId="30893"/>
    <cellStyle name="Normale 3 3 4 3 2 14" xfId="31814"/>
    <cellStyle name="Normale 3 3 4 3 2 15" xfId="32739"/>
    <cellStyle name="Normale 3 3 4 3 2 16" xfId="33676"/>
    <cellStyle name="Normale 3 3 4 3 2 17" xfId="34606"/>
    <cellStyle name="Normale 3 3 4 3 2 18" xfId="35532"/>
    <cellStyle name="Normale 3 3 4 3 2 19" xfId="36458"/>
    <cellStyle name="Normale 3 3 4 3 2 2" xfId="1243"/>
    <cellStyle name="Normale 3 3 4 3 2 2 2" xfId="8706"/>
    <cellStyle name="Normale 3 3 4 3 2 2 3" xfId="16114"/>
    <cellStyle name="Normale 3 3 4 3 2 2 4" xfId="23610"/>
    <cellStyle name="Normale 3 3 4 3 2 20" xfId="37378"/>
    <cellStyle name="Normale 3 3 4 3 2 3" xfId="2174"/>
    <cellStyle name="Normale 3 3 4 3 2 3 2" xfId="9637"/>
    <cellStyle name="Normale 3 3 4 3 2 3 3" xfId="17045"/>
    <cellStyle name="Normale 3 3 4 3 2 3 4" xfId="27264"/>
    <cellStyle name="Normale 3 3 4 3 2 4" xfId="3096"/>
    <cellStyle name="Normale 3 3 4 3 2 4 2" xfId="10559"/>
    <cellStyle name="Normale 3 3 4 3 2 4 3" xfId="17967"/>
    <cellStyle name="Normale 3 3 4 3 2 4 4" xfId="28161"/>
    <cellStyle name="Normale 3 3 4 3 2 5" xfId="4029"/>
    <cellStyle name="Normale 3 3 4 3 2 5 2" xfId="11492"/>
    <cellStyle name="Normale 3 3 4 3 2 5 3" xfId="18900"/>
    <cellStyle name="Normale 3 3 4 3 2 5 4" xfId="29218"/>
    <cellStyle name="Normale 3 3 4 3 2 6" xfId="4952"/>
    <cellStyle name="Normale 3 3 4 3 2 6 2" xfId="12415"/>
    <cellStyle name="Normale 3 3 4 3 2 6 3" xfId="19823"/>
    <cellStyle name="Normale 3 3 4 3 2 6 4" xfId="25162"/>
    <cellStyle name="Normale 3 3 4 3 2 7" xfId="5880"/>
    <cellStyle name="Normale 3 3 4 3 2 7 2" xfId="13343"/>
    <cellStyle name="Normale 3 3 4 3 2 7 3" xfId="20751"/>
    <cellStyle name="Normale 3 3 4 3 2 7 4" xfId="25140"/>
    <cellStyle name="Normale 3 3 4 3 2 8" xfId="6800"/>
    <cellStyle name="Normale 3 3 4 3 2 8 2" xfId="14263"/>
    <cellStyle name="Normale 3 3 4 3 2 8 3" xfId="21671"/>
    <cellStyle name="Normale 3 3 4 3 2 8 4" xfId="27414"/>
    <cellStyle name="Normale 3 3 4 3 2 9" xfId="7739"/>
    <cellStyle name="Normale 3 3 4 3 20" xfId="36264"/>
    <cellStyle name="Normale 3 3 4 3 21" xfId="37187"/>
    <cellStyle name="Normale 3 3 4 3 3" xfId="1051"/>
    <cellStyle name="Normale 3 3 4 3 3 2" xfId="8514"/>
    <cellStyle name="Normale 3 3 4 3 3 3" xfId="15922"/>
    <cellStyle name="Normale 3 3 4 3 3 4" xfId="24036"/>
    <cellStyle name="Normale 3 3 4 3 4" xfId="1978"/>
    <cellStyle name="Normale 3 3 4 3 4 2" xfId="9441"/>
    <cellStyle name="Normale 3 3 4 3 4 3" xfId="16849"/>
    <cellStyle name="Normale 3 3 4 3 4 4" xfId="25096"/>
    <cellStyle name="Normale 3 3 4 3 5" xfId="2904"/>
    <cellStyle name="Normale 3 3 4 3 5 2" xfId="10367"/>
    <cellStyle name="Normale 3 3 4 3 5 3" xfId="17775"/>
    <cellStyle name="Normale 3 3 4 3 5 4" xfId="24801"/>
    <cellStyle name="Normale 3 3 4 3 6" xfId="3833"/>
    <cellStyle name="Normale 3 3 4 3 6 2" xfId="11296"/>
    <cellStyle name="Normale 3 3 4 3 6 3" xfId="18704"/>
    <cellStyle name="Normale 3 3 4 3 6 4" xfId="25854"/>
    <cellStyle name="Normale 3 3 4 3 7" xfId="4760"/>
    <cellStyle name="Normale 3 3 4 3 7 2" xfId="12223"/>
    <cellStyle name="Normale 3 3 4 3 7 3" xfId="19631"/>
    <cellStyle name="Normale 3 3 4 3 7 4" xfId="26710"/>
    <cellStyle name="Normale 3 3 4 3 8" xfId="5687"/>
    <cellStyle name="Normale 3 3 4 3 8 2" xfId="13150"/>
    <cellStyle name="Normale 3 3 4 3 8 3" xfId="20558"/>
    <cellStyle name="Normale 3 3 4 3 8 4" xfId="27750"/>
    <cellStyle name="Normale 3 3 4 3 9" xfId="6609"/>
    <cellStyle name="Normale 3 3 4 3 9 2" xfId="14072"/>
    <cellStyle name="Normale 3 3 4 3 9 3" xfId="21480"/>
    <cellStyle name="Normale 3 3 4 3 9 4" xfId="23930"/>
    <cellStyle name="Normale 3 3 4 30" xfId="35335"/>
    <cellStyle name="Normale 3 3 4 31" xfId="36261"/>
    <cellStyle name="Normale 3 3 4 32" xfId="37184"/>
    <cellStyle name="Normale 3 3 4 4" xfId="273"/>
    <cellStyle name="Normale 3 3 4 4 10" xfId="15146"/>
    <cellStyle name="Normale 3 3 4 4 11" xfId="28042"/>
    <cellStyle name="Normale 3 3 4 4 12" xfId="29958"/>
    <cellStyle name="Normale 3 3 4 4 13" xfId="30890"/>
    <cellStyle name="Normale 3 3 4 4 14" xfId="31811"/>
    <cellStyle name="Normale 3 3 4 4 15" xfId="32736"/>
    <cellStyle name="Normale 3 3 4 4 16" xfId="33673"/>
    <cellStyle name="Normale 3 3 4 4 17" xfId="34603"/>
    <cellStyle name="Normale 3 3 4 4 18" xfId="35529"/>
    <cellStyle name="Normale 3 3 4 4 19" xfId="36455"/>
    <cellStyle name="Normale 3 3 4 4 2" xfId="1240"/>
    <cellStyle name="Normale 3 3 4 4 2 2" xfId="8703"/>
    <cellStyle name="Normale 3 3 4 4 2 3" xfId="16111"/>
    <cellStyle name="Normale 3 3 4 4 2 4" xfId="26373"/>
    <cellStyle name="Normale 3 3 4 4 20" xfId="37375"/>
    <cellStyle name="Normale 3 3 4 4 3" xfId="2171"/>
    <cellStyle name="Normale 3 3 4 4 3 2" xfId="9634"/>
    <cellStyle name="Normale 3 3 4 4 3 3" xfId="17042"/>
    <cellStyle name="Normale 3 3 4 4 3 4" xfId="22666"/>
    <cellStyle name="Normale 3 3 4 4 4" xfId="3093"/>
    <cellStyle name="Normale 3 3 4 4 4 2" xfId="10556"/>
    <cellStyle name="Normale 3 3 4 4 4 3" xfId="17964"/>
    <cellStyle name="Normale 3 3 4 4 4 4" xfId="23375"/>
    <cellStyle name="Normale 3 3 4 4 5" xfId="4026"/>
    <cellStyle name="Normale 3 3 4 4 5 2" xfId="11489"/>
    <cellStyle name="Normale 3 3 4 4 5 3" xfId="18897"/>
    <cellStyle name="Normale 3 3 4 4 5 4" xfId="24683"/>
    <cellStyle name="Normale 3 3 4 4 6" xfId="4949"/>
    <cellStyle name="Normale 3 3 4 4 6 2" xfId="12412"/>
    <cellStyle name="Normale 3 3 4 4 6 3" xfId="19820"/>
    <cellStyle name="Normale 3 3 4 4 6 4" xfId="27922"/>
    <cellStyle name="Normale 3 3 4 4 7" xfId="5877"/>
    <cellStyle name="Normale 3 3 4 4 7 2" xfId="13340"/>
    <cellStyle name="Normale 3 3 4 4 7 3" xfId="20748"/>
    <cellStyle name="Normale 3 3 4 4 7 4" xfId="27900"/>
    <cellStyle name="Normale 3 3 4 4 8" xfId="6797"/>
    <cellStyle name="Normale 3 3 4 4 8 2" xfId="14260"/>
    <cellStyle name="Normale 3 3 4 4 8 3" xfId="21668"/>
    <cellStyle name="Normale 3 3 4 4 8 4" xfId="24388"/>
    <cellStyle name="Normale 3 3 4 4 9" xfId="7736"/>
    <cellStyle name="Normale 3 3 4 5" xfId="418"/>
    <cellStyle name="Normale 3 3 4 5 10" xfId="15291"/>
    <cellStyle name="Normale 3 3 4 5 11" xfId="28641"/>
    <cellStyle name="Normale 3 3 4 5 12" xfId="30103"/>
    <cellStyle name="Normale 3 3 4 5 13" xfId="31035"/>
    <cellStyle name="Normale 3 3 4 5 14" xfId="31956"/>
    <cellStyle name="Normale 3 3 4 5 15" xfId="32880"/>
    <cellStyle name="Normale 3 3 4 5 16" xfId="33818"/>
    <cellStyle name="Normale 3 3 4 5 17" xfId="34748"/>
    <cellStyle name="Normale 3 3 4 5 18" xfId="35674"/>
    <cellStyle name="Normale 3 3 4 5 19" xfId="36600"/>
    <cellStyle name="Normale 3 3 4 5 2" xfId="1385"/>
    <cellStyle name="Normale 3 3 4 5 2 2" xfId="8848"/>
    <cellStyle name="Normale 3 3 4 5 2 3" xfId="16256"/>
    <cellStyle name="Normale 3 3 4 5 2 4" xfId="25908"/>
    <cellStyle name="Normale 3 3 4 5 20" xfId="37519"/>
    <cellStyle name="Normale 3 3 4 5 3" xfId="2316"/>
    <cellStyle name="Normale 3 3 4 5 3 2" xfId="9779"/>
    <cellStyle name="Normale 3 3 4 5 3 3" xfId="17187"/>
    <cellStyle name="Normale 3 3 4 5 3 4" xfId="23020"/>
    <cellStyle name="Normale 3 3 4 5 4" xfId="3238"/>
    <cellStyle name="Normale 3 3 4 5 4 2" xfId="10701"/>
    <cellStyle name="Normale 3 3 4 5 4 3" xfId="18109"/>
    <cellStyle name="Normale 3 3 4 5 4 4" xfId="28761"/>
    <cellStyle name="Normale 3 3 4 5 5" xfId="4171"/>
    <cellStyle name="Normale 3 3 4 5 5 2" xfId="11634"/>
    <cellStyle name="Normale 3 3 4 5 5 3" xfId="19042"/>
    <cellStyle name="Normale 3 3 4 5 5 4" xfId="23712"/>
    <cellStyle name="Normale 3 3 4 5 6" xfId="5094"/>
    <cellStyle name="Normale 3 3 4 5 6 2" xfId="12557"/>
    <cellStyle name="Normale 3 3 4 5 6 3" xfId="19965"/>
    <cellStyle name="Normale 3 3 4 5 6 4" xfId="28602"/>
    <cellStyle name="Normale 3 3 4 5 7" xfId="6022"/>
    <cellStyle name="Normale 3 3 4 5 7 2" xfId="13485"/>
    <cellStyle name="Normale 3 3 4 5 7 3" xfId="20893"/>
    <cellStyle name="Normale 3 3 4 5 7 4" xfId="28518"/>
    <cellStyle name="Normale 3 3 4 5 8" xfId="6941"/>
    <cellStyle name="Normale 3 3 4 5 8 2" xfId="14404"/>
    <cellStyle name="Normale 3 3 4 5 8 3" xfId="21812"/>
    <cellStyle name="Normale 3 3 4 5 8 4" xfId="27417"/>
    <cellStyle name="Normale 3 3 4 5 9" xfId="7881"/>
    <cellStyle name="Normale 3 3 4 6" xfId="466"/>
    <cellStyle name="Normale 3 3 4 6 10" xfId="15339"/>
    <cellStyle name="Normale 3 3 4 6 11" xfId="28288"/>
    <cellStyle name="Normale 3 3 4 6 12" xfId="30151"/>
    <cellStyle name="Normale 3 3 4 6 13" xfId="31083"/>
    <cellStyle name="Normale 3 3 4 6 14" xfId="32004"/>
    <cellStyle name="Normale 3 3 4 6 15" xfId="32927"/>
    <cellStyle name="Normale 3 3 4 6 16" xfId="33866"/>
    <cellStyle name="Normale 3 3 4 6 17" xfId="34796"/>
    <cellStyle name="Normale 3 3 4 6 18" xfId="35722"/>
    <cellStyle name="Normale 3 3 4 6 19" xfId="36648"/>
    <cellStyle name="Normale 3 3 4 6 2" xfId="1433"/>
    <cellStyle name="Normale 3 3 4 6 2 2" xfId="8896"/>
    <cellStyle name="Normale 3 3 4 6 2 3" xfId="16304"/>
    <cellStyle name="Normale 3 3 4 6 2 4" xfId="24127"/>
    <cellStyle name="Normale 3 3 4 6 20" xfId="37566"/>
    <cellStyle name="Normale 3 3 4 6 3" xfId="2364"/>
    <cellStyle name="Normale 3 3 4 6 3 2" xfId="9827"/>
    <cellStyle name="Normale 3 3 4 6 3 3" xfId="17235"/>
    <cellStyle name="Normale 3 3 4 6 3 4" xfId="22657"/>
    <cellStyle name="Normale 3 3 4 6 4" xfId="3286"/>
    <cellStyle name="Normale 3 3 4 6 4 2" xfId="10749"/>
    <cellStyle name="Normale 3 3 4 6 4 3" xfId="18157"/>
    <cellStyle name="Normale 3 3 4 6 4 4" xfId="28363"/>
    <cellStyle name="Normale 3 3 4 6 5" xfId="4219"/>
    <cellStyle name="Normale 3 3 4 6 5 2" xfId="11682"/>
    <cellStyle name="Normale 3 3 4 6 5 3" xfId="19090"/>
    <cellStyle name="Normale 3 3 4 6 5 4" xfId="23537"/>
    <cellStyle name="Normale 3 3 4 6 6" xfId="5142"/>
    <cellStyle name="Normale 3 3 4 6 6 2" xfId="12605"/>
    <cellStyle name="Normale 3 3 4 6 6 3" xfId="20013"/>
    <cellStyle name="Normale 3 3 4 6 6 4" xfId="26827"/>
    <cellStyle name="Normale 3 3 4 6 7" xfId="6070"/>
    <cellStyle name="Normale 3 3 4 6 7 2" xfId="13533"/>
    <cellStyle name="Normale 3 3 4 6 7 3" xfId="20941"/>
    <cellStyle name="Normale 3 3 4 6 7 4" xfId="28251"/>
    <cellStyle name="Normale 3 3 4 6 8" xfId="6988"/>
    <cellStyle name="Normale 3 3 4 6 8 2" xfId="14451"/>
    <cellStyle name="Normale 3 3 4 6 8 3" xfId="21859"/>
    <cellStyle name="Normale 3 3 4 6 8 4" xfId="22864"/>
    <cellStyle name="Normale 3 3 4 6 9" xfId="7929"/>
    <cellStyle name="Normale 3 3 4 7" xfId="514"/>
    <cellStyle name="Normale 3 3 4 7 10" xfId="15387"/>
    <cellStyle name="Normale 3 3 4 7 11" xfId="27113"/>
    <cellStyle name="Normale 3 3 4 7 12" xfId="30198"/>
    <cellStyle name="Normale 3 3 4 7 13" xfId="31131"/>
    <cellStyle name="Normale 3 3 4 7 14" xfId="32051"/>
    <cellStyle name="Normale 3 3 4 7 15" xfId="32973"/>
    <cellStyle name="Normale 3 3 4 7 16" xfId="33914"/>
    <cellStyle name="Normale 3 3 4 7 17" xfId="34844"/>
    <cellStyle name="Normale 3 3 4 7 18" xfId="35770"/>
    <cellStyle name="Normale 3 3 4 7 19" xfId="36696"/>
    <cellStyle name="Normale 3 3 4 7 2" xfId="1481"/>
    <cellStyle name="Normale 3 3 4 7 2 2" xfId="8944"/>
    <cellStyle name="Normale 3 3 4 7 2 3" xfId="16352"/>
    <cellStyle name="Normale 3 3 4 7 2 4" xfId="22683"/>
    <cellStyle name="Normale 3 3 4 7 20" xfId="37612"/>
    <cellStyle name="Normale 3 3 4 7 3" xfId="2412"/>
    <cellStyle name="Normale 3 3 4 7 3 2" xfId="9875"/>
    <cellStyle name="Normale 3 3 4 7 3 3" xfId="17283"/>
    <cellStyle name="Normale 3 3 4 7 3 4" xfId="29089"/>
    <cellStyle name="Normale 3 3 4 7 4" xfId="3333"/>
    <cellStyle name="Normale 3 3 4 7 4 2" xfId="10796"/>
    <cellStyle name="Normale 3 3 4 7 4 3" xfId="18204"/>
    <cellStyle name="Normale 3 3 4 7 4 4" xfId="23991"/>
    <cellStyle name="Normale 3 3 4 7 5" xfId="4267"/>
    <cellStyle name="Normale 3 3 4 7 5 2" xfId="11730"/>
    <cellStyle name="Normale 3 3 4 7 5 3" xfId="19138"/>
    <cellStyle name="Normale 3 3 4 7 5 4" xfId="24016"/>
    <cellStyle name="Normale 3 3 4 7 6" xfId="5189"/>
    <cellStyle name="Normale 3 3 4 7 6 2" xfId="12652"/>
    <cellStyle name="Normale 3 3 4 7 6 3" xfId="20060"/>
    <cellStyle name="Normale 3 3 4 7 6 4" xfId="26276"/>
    <cellStyle name="Normale 3 3 4 7 7" xfId="6118"/>
    <cellStyle name="Normale 3 3 4 7 7 2" xfId="13581"/>
    <cellStyle name="Normale 3 3 4 7 7 3" xfId="20989"/>
    <cellStyle name="Normale 3 3 4 7 7 4" xfId="26837"/>
    <cellStyle name="Normale 3 3 4 7 8" xfId="7034"/>
    <cellStyle name="Normale 3 3 4 7 8 2" xfId="14497"/>
    <cellStyle name="Normale 3 3 4 7 8 3" xfId="21905"/>
    <cellStyle name="Normale 3 3 4 7 8 4" xfId="24918"/>
    <cellStyle name="Normale 3 3 4 7 9" xfId="7977"/>
    <cellStyle name="Normale 3 3 4 8" xfId="566"/>
    <cellStyle name="Normale 3 3 4 8 10" xfId="15439"/>
    <cellStyle name="Normale 3 3 4 8 11" xfId="24894"/>
    <cellStyle name="Normale 3 3 4 8 12" xfId="30249"/>
    <cellStyle name="Normale 3 3 4 8 13" xfId="31183"/>
    <cellStyle name="Normale 3 3 4 8 14" xfId="32102"/>
    <cellStyle name="Normale 3 3 4 8 15" xfId="33023"/>
    <cellStyle name="Normale 3 3 4 8 16" xfId="33966"/>
    <cellStyle name="Normale 3 3 4 8 17" xfId="34896"/>
    <cellStyle name="Normale 3 3 4 8 18" xfId="35822"/>
    <cellStyle name="Normale 3 3 4 8 19" xfId="36748"/>
    <cellStyle name="Normale 3 3 4 8 2" xfId="1533"/>
    <cellStyle name="Normale 3 3 4 8 2 2" xfId="8996"/>
    <cellStyle name="Normale 3 3 4 8 2 3" xfId="16404"/>
    <cellStyle name="Normale 3 3 4 8 2 4" xfId="27356"/>
    <cellStyle name="Normale 3 3 4 8 20" xfId="37662"/>
    <cellStyle name="Normale 3 3 4 8 3" xfId="2464"/>
    <cellStyle name="Normale 3 3 4 8 3 2" xfId="9927"/>
    <cellStyle name="Normale 3 3 4 8 3 3" xfId="17335"/>
    <cellStyle name="Normale 3 3 4 8 3 4" xfId="26647"/>
    <cellStyle name="Normale 3 3 4 8 4" xfId="3384"/>
    <cellStyle name="Normale 3 3 4 8 4 2" xfId="10847"/>
    <cellStyle name="Normale 3 3 4 8 4 3" xfId="18255"/>
    <cellStyle name="Normale 3 3 4 8 4 4" xfId="26743"/>
    <cellStyle name="Normale 3 3 4 8 5" xfId="4319"/>
    <cellStyle name="Normale 3 3 4 8 5 2" xfId="11782"/>
    <cellStyle name="Normale 3 3 4 8 5 3" xfId="19190"/>
    <cellStyle name="Normale 3 3 4 8 5 4" xfId="24585"/>
    <cellStyle name="Normale 3 3 4 8 6" xfId="5240"/>
    <cellStyle name="Normale 3 3 4 8 6 2" xfId="12703"/>
    <cellStyle name="Normale 3 3 4 8 6 3" xfId="20111"/>
    <cellStyle name="Normale 3 3 4 8 6 4" xfId="24580"/>
    <cellStyle name="Normale 3 3 4 8 7" xfId="6170"/>
    <cellStyle name="Normale 3 3 4 8 7 2" xfId="13633"/>
    <cellStyle name="Normale 3 3 4 8 7 3" xfId="21041"/>
    <cellStyle name="Normale 3 3 4 8 7 4" xfId="24857"/>
    <cellStyle name="Normale 3 3 4 8 8" xfId="7084"/>
    <cellStyle name="Normale 3 3 4 8 8 2" xfId="14547"/>
    <cellStyle name="Normale 3 3 4 8 8 3" xfId="21955"/>
    <cellStyle name="Normale 3 3 4 8 8 4" xfId="22540"/>
    <cellStyle name="Normale 3 3 4 8 9" xfId="8029"/>
    <cellStyle name="Normale 3 3 4 9" xfId="626"/>
    <cellStyle name="Normale 3 3 4 9 10" xfId="15498"/>
    <cellStyle name="Normale 3 3 4 9 11" xfId="24355"/>
    <cellStyle name="Normale 3 3 4 9 12" xfId="30305"/>
    <cellStyle name="Normale 3 3 4 9 13" xfId="31242"/>
    <cellStyle name="Normale 3 3 4 9 14" xfId="32159"/>
    <cellStyle name="Normale 3 3 4 9 15" xfId="33078"/>
    <cellStyle name="Normale 3 3 4 9 16" xfId="34025"/>
    <cellStyle name="Normale 3 3 4 9 17" xfId="34956"/>
    <cellStyle name="Normale 3 3 4 9 18" xfId="35882"/>
    <cellStyle name="Normale 3 3 4 9 19" xfId="36807"/>
    <cellStyle name="Normale 3 3 4 9 2" xfId="1592"/>
    <cellStyle name="Normale 3 3 4 9 2 2" xfId="9055"/>
    <cellStyle name="Normale 3 3 4 9 2 3" xfId="16463"/>
    <cellStyle name="Normale 3 3 4 9 2 4" xfId="23605"/>
    <cellStyle name="Normale 3 3 4 9 20" xfId="37717"/>
    <cellStyle name="Normale 3 3 4 9 3" xfId="2524"/>
    <cellStyle name="Normale 3 3 4 9 3 2" xfId="9987"/>
    <cellStyle name="Normale 3 3 4 9 3 3" xfId="17395"/>
    <cellStyle name="Normale 3 3 4 9 3 4" xfId="22464"/>
    <cellStyle name="Normale 3 3 4 9 4" xfId="3442"/>
    <cellStyle name="Normale 3 3 4 9 4 2" xfId="10905"/>
    <cellStyle name="Normale 3 3 4 9 4 3" xfId="18313"/>
    <cellStyle name="Normale 3 3 4 9 4 4" xfId="24797"/>
    <cellStyle name="Normale 3 3 4 9 5" xfId="4379"/>
    <cellStyle name="Normale 3 3 4 9 5 2" xfId="11842"/>
    <cellStyle name="Normale 3 3 4 9 5 3" xfId="19250"/>
    <cellStyle name="Normale 3 3 4 9 5 4" xfId="27935"/>
    <cellStyle name="Normale 3 3 4 9 6" xfId="5297"/>
    <cellStyle name="Normale 3 3 4 9 6 2" xfId="12760"/>
    <cellStyle name="Normale 3 3 4 9 6 3" xfId="20168"/>
    <cellStyle name="Normale 3 3 4 9 6 4" xfId="22396"/>
    <cellStyle name="Normale 3 3 4 9 7" xfId="6230"/>
    <cellStyle name="Normale 3 3 4 9 7 2" xfId="13693"/>
    <cellStyle name="Normale 3 3 4 9 7 3" xfId="21101"/>
    <cellStyle name="Normale 3 3 4 9 7 4" xfId="27159"/>
    <cellStyle name="Normale 3 3 4 9 8" xfId="7139"/>
    <cellStyle name="Normale 3 3 4 9 8 2" xfId="14602"/>
    <cellStyle name="Normale 3 3 4 9 8 3" xfId="22010"/>
    <cellStyle name="Normale 3 3 4 9 8 4" xfId="24832"/>
    <cellStyle name="Normale 3 3 4 9 9" xfId="8089"/>
    <cellStyle name="Normale 3 3 5" xfId="79"/>
    <cellStyle name="Normale 3 3 5 10" xfId="705"/>
    <cellStyle name="Normale 3 3 5 10 10" xfId="15576"/>
    <cellStyle name="Normale 3 3 5 10 11" xfId="26737"/>
    <cellStyle name="Normale 3 3 5 10 12" xfId="30379"/>
    <cellStyle name="Normale 3 3 5 10 13" xfId="31320"/>
    <cellStyle name="Normale 3 3 5 10 14" xfId="32233"/>
    <cellStyle name="Normale 3 3 5 10 15" xfId="33151"/>
    <cellStyle name="Normale 3 3 5 10 16" xfId="34103"/>
    <cellStyle name="Normale 3 3 5 10 17" xfId="35035"/>
    <cellStyle name="Normale 3 3 5 10 18" xfId="35961"/>
    <cellStyle name="Normale 3 3 5 10 19" xfId="36886"/>
    <cellStyle name="Normale 3 3 5 10 2" xfId="1670"/>
    <cellStyle name="Normale 3 3 5 10 2 2" xfId="9133"/>
    <cellStyle name="Normale 3 3 5 10 2 3" xfId="16541"/>
    <cellStyle name="Normale 3 3 5 10 2 4" xfId="26447"/>
    <cellStyle name="Normale 3 3 5 10 20" xfId="37790"/>
    <cellStyle name="Normale 3 3 5 10 3" xfId="2603"/>
    <cellStyle name="Normale 3 3 5 10 3 2" xfId="10066"/>
    <cellStyle name="Normale 3 3 5 10 3 3" xfId="17474"/>
    <cellStyle name="Normale 3 3 5 10 3 4" xfId="29223"/>
    <cellStyle name="Normale 3 3 5 10 4" xfId="3519"/>
    <cellStyle name="Normale 3 3 5 10 4 2" xfId="10982"/>
    <cellStyle name="Normale 3 3 5 10 4 3" xfId="18390"/>
    <cellStyle name="Normale 3 3 5 10 4 4" xfId="26123"/>
    <cellStyle name="Normale 3 3 5 10 5" xfId="4458"/>
    <cellStyle name="Normale 3 3 5 10 5 2" xfId="11921"/>
    <cellStyle name="Normale 3 3 5 10 5 3" xfId="19329"/>
    <cellStyle name="Normale 3 3 5 10 5 4" xfId="24791"/>
    <cellStyle name="Normale 3 3 5 10 6" xfId="5374"/>
    <cellStyle name="Normale 3 3 5 10 6 2" xfId="12837"/>
    <cellStyle name="Normale 3 3 5 10 6 3" xfId="20245"/>
    <cellStyle name="Normale 3 3 5 10 6 4" xfId="26424"/>
    <cellStyle name="Normale 3 3 5 10 7" xfId="6307"/>
    <cellStyle name="Normale 3 3 5 10 7 2" xfId="13770"/>
    <cellStyle name="Normale 3 3 5 10 7 3" xfId="21178"/>
    <cellStyle name="Normale 3 3 5 10 7 4" xfId="23931"/>
    <cellStyle name="Normale 3 3 5 10 8" xfId="7212"/>
    <cellStyle name="Normale 3 3 5 10 8 2" xfId="14675"/>
    <cellStyle name="Normale 3 3 5 10 8 3" xfId="22083"/>
    <cellStyle name="Normale 3 3 5 10 8 4" xfId="27131"/>
    <cellStyle name="Normale 3 3 5 10 9" xfId="8168"/>
    <cellStyle name="Normale 3 3 5 11" xfId="777"/>
    <cellStyle name="Normale 3 3 5 11 10" xfId="15648"/>
    <cellStyle name="Normale 3 3 5 11 11" xfId="25516"/>
    <cellStyle name="Normale 3 3 5 11 12" xfId="30449"/>
    <cellStyle name="Normale 3 3 5 11 13" xfId="31392"/>
    <cellStyle name="Normale 3 3 5 11 14" xfId="32304"/>
    <cellStyle name="Normale 3 3 5 11 15" xfId="33220"/>
    <cellStyle name="Normale 3 3 5 11 16" xfId="34175"/>
    <cellStyle name="Normale 3 3 5 11 17" xfId="35107"/>
    <cellStyle name="Normale 3 3 5 11 18" xfId="36033"/>
    <cellStyle name="Normale 3 3 5 11 19" xfId="36958"/>
    <cellStyle name="Normale 3 3 5 11 2" xfId="1742"/>
    <cellStyle name="Normale 3 3 5 11 2 2" xfId="9205"/>
    <cellStyle name="Normale 3 3 5 11 2 3" xfId="16613"/>
    <cellStyle name="Normale 3 3 5 11 2 4" xfId="26942"/>
    <cellStyle name="Normale 3 3 5 11 20" xfId="37859"/>
    <cellStyle name="Normale 3 3 5 11 3" xfId="2675"/>
    <cellStyle name="Normale 3 3 5 11 3 2" xfId="10138"/>
    <cellStyle name="Normale 3 3 5 11 3 3" xfId="17546"/>
    <cellStyle name="Normale 3 3 5 11 3 4" xfId="23577"/>
    <cellStyle name="Normale 3 3 5 11 4" xfId="3590"/>
    <cellStyle name="Normale 3 3 5 11 4 2" xfId="11053"/>
    <cellStyle name="Normale 3 3 5 11 4 3" xfId="18461"/>
    <cellStyle name="Normale 3 3 5 11 4 4" xfId="28361"/>
    <cellStyle name="Normale 3 3 5 11 5" xfId="4530"/>
    <cellStyle name="Normale 3 3 5 11 5 2" xfId="11993"/>
    <cellStyle name="Normale 3 3 5 11 5 3" xfId="19401"/>
    <cellStyle name="Normale 3 3 5 11 5 4" xfId="26681"/>
    <cellStyle name="Normale 3 3 5 11 6" xfId="5445"/>
    <cellStyle name="Normale 3 3 5 11 6 2" xfId="12908"/>
    <cellStyle name="Normale 3 3 5 11 6 3" xfId="20316"/>
    <cellStyle name="Normale 3 3 5 11 6 4" xfId="27822"/>
    <cellStyle name="Normale 3 3 5 11 7" xfId="6379"/>
    <cellStyle name="Normale 3 3 5 11 7 2" xfId="13842"/>
    <cellStyle name="Normale 3 3 5 11 7 3" xfId="21250"/>
    <cellStyle name="Normale 3 3 5 11 7 4" xfId="23916"/>
    <cellStyle name="Normale 3 3 5 11 8" xfId="7281"/>
    <cellStyle name="Normale 3 3 5 11 8 2" xfId="14744"/>
    <cellStyle name="Normale 3 3 5 11 8 3" xfId="22152"/>
    <cellStyle name="Normale 3 3 5 11 8 4" xfId="23099"/>
    <cellStyle name="Normale 3 3 5 11 9" xfId="8240"/>
    <cellStyle name="Normale 3 3 5 12" xfId="850"/>
    <cellStyle name="Normale 3 3 5 12 10" xfId="15721"/>
    <cellStyle name="Normale 3 3 5 12 11" xfId="25112"/>
    <cellStyle name="Normale 3 3 5 12 12" xfId="30519"/>
    <cellStyle name="Normale 3 3 5 12 13" xfId="31465"/>
    <cellStyle name="Normale 3 3 5 12 14" xfId="32376"/>
    <cellStyle name="Normale 3 3 5 12 15" xfId="33289"/>
    <cellStyle name="Normale 3 3 5 12 16" xfId="34248"/>
    <cellStyle name="Normale 3 3 5 12 17" xfId="35180"/>
    <cellStyle name="Normale 3 3 5 12 18" xfId="36106"/>
    <cellStyle name="Normale 3 3 5 12 19" xfId="37031"/>
    <cellStyle name="Normale 3 3 5 12 2" xfId="1815"/>
    <cellStyle name="Normale 3 3 5 12 2 2" xfId="9278"/>
    <cellStyle name="Normale 3 3 5 12 2 3" xfId="16686"/>
    <cellStyle name="Normale 3 3 5 12 2 4" xfId="22670"/>
    <cellStyle name="Normale 3 3 5 12 20" xfId="37928"/>
    <cellStyle name="Normale 3 3 5 12 3" xfId="2748"/>
    <cellStyle name="Normale 3 3 5 12 3 2" xfId="10211"/>
    <cellStyle name="Normale 3 3 5 12 3 3" xfId="17619"/>
    <cellStyle name="Normale 3 3 5 12 3 4" xfId="27249"/>
    <cellStyle name="Normale 3 3 5 12 4" xfId="3662"/>
    <cellStyle name="Normale 3 3 5 12 4 2" xfId="11125"/>
    <cellStyle name="Normale 3 3 5 12 4 3" xfId="18533"/>
    <cellStyle name="Normale 3 3 5 12 4 4" xfId="27225"/>
    <cellStyle name="Normale 3 3 5 12 5" xfId="4603"/>
    <cellStyle name="Normale 3 3 5 12 5 2" xfId="12066"/>
    <cellStyle name="Normale 3 3 5 12 5 3" xfId="19474"/>
    <cellStyle name="Normale 3 3 5 12 5 4" xfId="23528"/>
    <cellStyle name="Normale 3 3 5 12 6" xfId="5517"/>
    <cellStyle name="Normale 3 3 5 12 6 2" xfId="12980"/>
    <cellStyle name="Normale 3 3 5 12 6 3" xfId="20388"/>
    <cellStyle name="Normale 3 3 5 12 6 4" xfId="24578"/>
    <cellStyle name="Normale 3 3 5 12 7" xfId="6452"/>
    <cellStyle name="Normale 3 3 5 12 7 2" xfId="13915"/>
    <cellStyle name="Normale 3 3 5 12 7 3" xfId="21323"/>
    <cellStyle name="Normale 3 3 5 12 7 4" xfId="26605"/>
    <cellStyle name="Normale 3 3 5 12 8" xfId="7350"/>
    <cellStyle name="Normale 3 3 5 12 8 2" xfId="14813"/>
    <cellStyle name="Normale 3 3 5 12 8 3" xfId="22221"/>
    <cellStyle name="Normale 3 3 5 12 8 4" xfId="25290"/>
    <cellStyle name="Normale 3 3 5 12 9" xfId="8313"/>
    <cellStyle name="Normale 3 3 5 13" xfId="920"/>
    <cellStyle name="Normale 3 3 5 13 10" xfId="15791"/>
    <cellStyle name="Normale 3 3 5 13 11" xfId="26189"/>
    <cellStyle name="Normale 3 3 5 13 12" xfId="30586"/>
    <cellStyle name="Normale 3 3 5 13 13" xfId="31534"/>
    <cellStyle name="Normale 3 3 5 13 14" xfId="32445"/>
    <cellStyle name="Normale 3 3 5 13 15" xfId="33355"/>
    <cellStyle name="Normale 3 3 5 13 16" xfId="34318"/>
    <cellStyle name="Normale 3 3 5 13 17" xfId="35250"/>
    <cellStyle name="Normale 3 3 5 13 18" xfId="36175"/>
    <cellStyle name="Normale 3 3 5 13 19" xfId="37101"/>
    <cellStyle name="Normale 3 3 5 13 2" xfId="1885"/>
    <cellStyle name="Normale 3 3 5 13 2 2" xfId="9348"/>
    <cellStyle name="Normale 3 3 5 13 2 3" xfId="16756"/>
    <cellStyle name="Normale 3 3 5 13 2 4" xfId="25098"/>
    <cellStyle name="Normale 3 3 5 13 20" xfId="37994"/>
    <cellStyle name="Normale 3 3 5 13 3" xfId="2817"/>
    <cellStyle name="Normale 3 3 5 13 3 2" xfId="10280"/>
    <cellStyle name="Normale 3 3 5 13 3 3" xfId="17688"/>
    <cellStyle name="Normale 3 3 5 13 3 4" xfId="22649"/>
    <cellStyle name="Normale 3 3 5 13 4" xfId="3732"/>
    <cellStyle name="Normale 3 3 5 13 4 2" xfId="11195"/>
    <cellStyle name="Normale 3 3 5 13 4 3" xfId="18603"/>
    <cellStyle name="Normale 3 3 5 13 4 4" xfId="22789"/>
    <cellStyle name="Normale 3 3 5 13 5" xfId="4673"/>
    <cellStyle name="Normale 3 3 5 13 5 2" xfId="12136"/>
    <cellStyle name="Normale 3 3 5 13 5 3" xfId="19544"/>
    <cellStyle name="Normale 3 3 5 13 5 4" xfId="25359"/>
    <cellStyle name="Normale 3 3 5 13 6" xfId="5587"/>
    <cellStyle name="Normale 3 3 5 13 6 2" xfId="13050"/>
    <cellStyle name="Normale 3 3 5 13 6 3" xfId="20458"/>
    <cellStyle name="Normale 3 3 5 13 6 4" xfId="26919"/>
    <cellStyle name="Normale 3 3 5 13 7" xfId="6522"/>
    <cellStyle name="Normale 3 3 5 13 7 2" xfId="13985"/>
    <cellStyle name="Normale 3 3 5 13 7 3" xfId="21393"/>
    <cellStyle name="Normale 3 3 5 13 7 4" xfId="27580"/>
    <cellStyle name="Normale 3 3 5 13 8" xfId="7416"/>
    <cellStyle name="Normale 3 3 5 13 8 2" xfId="14879"/>
    <cellStyle name="Normale 3 3 5 13 8 3" xfId="22287"/>
    <cellStyle name="Normale 3 3 5 13 8 4" xfId="24139"/>
    <cellStyle name="Normale 3 3 5 13 9" xfId="8383"/>
    <cellStyle name="Normale 3 3 5 14" xfId="1052"/>
    <cellStyle name="Normale 3 3 5 14 2" xfId="8515"/>
    <cellStyle name="Normale 3 3 5 14 3" xfId="15923"/>
    <cellStyle name="Normale 3 3 5 14 4" xfId="23028"/>
    <cellStyle name="Normale 3 3 5 15" xfId="1979"/>
    <cellStyle name="Normale 3 3 5 15 2" xfId="9442"/>
    <cellStyle name="Normale 3 3 5 15 3" xfId="16850"/>
    <cellStyle name="Normale 3 3 5 15 4" xfId="24171"/>
    <cellStyle name="Normale 3 3 5 16" xfId="2905"/>
    <cellStyle name="Normale 3 3 5 16 2" xfId="10368"/>
    <cellStyle name="Normale 3 3 5 16 3" xfId="17776"/>
    <cellStyle name="Normale 3 3 5 16 4" xfId="23877"/>
    <cellStyle name="Normale 3 3 5 17" xfId="3834"/>
    <cellStyle name="Normale 3 3 5 17 2" xfId="11297"/>
    <cellStyle name="Normale 3 3 5 17 3" xfId="18705"/>
    <cellStyle name="Normale 3 3 5 17 4" xfId="24943"/>
    <cellStyle name="Normale 3 3 5 18" xfId="4761"/>
    <cellStyle name="Normale 3 3 5 18 2" xfId="12224"/>
    <cellStyle name="Normale 3 3 5 18 3" xfId="19632"/>
    <cellStyle name="Normale 3 3 5 18 4" xfId="25778"/>
    <cellStyle name="Normale 3 3 5 19" xfId="5688"/>
    <cellStyle name="Normale 3 3 5 19 2" xfId="13151"/>
    <cellStyle name="Normale 3 3 5 19 3" xfId="20559"/>
    <cellStyle name="Normale 3 3 5 19 4" xfId="26847"/>
    <cellStyle name="Normale 3 3 5 2" xfId="80"/>
    <cellStyle name="Normale 3 3 5 2 10" xfId="6611"/>
    <cellStyle name="Normale 3 3 5 2 10 2" xfId="14074"/>
    <cellStyle name="Normale 3 3 5 2 10 3" xfId="21482"/>
    <cellStyle name="Normale 3 3 5 2 10 4" xfId="29350"/>
    <cellStyle name="Normale 3 3 5 2 11" xfId="7545"/>
    <cellStyle name="Normale 3 3 5 2 12" xfId="14954"/>
    <cellStyle name="Normale 3 3 5 2 13" xfId="23640"/>
    <cellStyle name="Normale 3 3 5 2 14" xfId="29771"/>
    <cellStyle name="Normale 3 3 5 2 15" xfId="30701"/>
    <cellStyle name="Normale 3 3 5 2 16" xfId="31624"/>
    <cellStyle name="Normale 3 3 5 2 17" xfId="32550"/>
    <cellStyle name="Normale 3 3 5 2 18" xfId="33484"/>
    <cellStyle name="Normale 3 3 5 2 19" xfId="34412"/>
    <cellStyle name="Normale 3 3 5 2 2" xfId="81"/>
    <cellStyle name="Normale 3 3 5 2 2 10" xfId="7546"/>
    <cellStyle name="Normale 3 3 5 2 2 11" xfId="14955"/>
    <cellStyle name="Normale 3 3 5 2 2 12" xfId="22527"/>
    <cellStyle name="Normale 3 3 5 2 2 13" xfId="29772"/>
    <cellStyle name="Normale 3 3 5 2 2 14" xfId="30702"/>
    <cellStyle name="Normale 3 3 5 2 2 15" xfId="31625"/>
    <cellStyle name="Normale 3 3 5 2 2 16" xfId="32551"/>
    <cellStyle name="Normale 3 3 5 2 2 17" xfId="33485"/>
    <cellStyle name="Normale 3 3 5 2 2 18" xfId="34413"/>
    <cellStyle name="Normale 3 3 5 2 2 19" xfId="35341"/>
    <cellStyle name="Normale 3 3 5 2 2 2" xfId="279"/>
    <cellStyle name="Normale 3 3 5 2 2 2 10" xfId="15152"/>
    <cellStyle name="Normale 3 3 5 2 2 2 11" xfId="22713"/>
    <cellStyle name="Normale 3 3 5 2 2 2 12" xfId="29964"/>
    <cellStyle name="Normale 3 3 5 2 2 2 13" xfId="30896"/>
    <cellStyle name="Normale 3 3 5 2 2 2 14" xfId="31817"/>
    <cellStyle name="Normale 3 3 5 2 2 2 15" xfId="32742"/>
    <cellStyle name="Normale 3 3 5 2 2 2 16" xfId="33679"/>
    <cellStyle name="Normale 3 3 5 2 2 2 17" xfId="34609"/>
    <cellStyle name="Normale 3 3 5 2 2 2 18" xfId="35535"/>
    <cellStyle name="Normale 3 3 5 2 2 2 19" xfId="36461"/>
    <cellStyle name="Normale 3 3 5 2 2 2 2" xfId="1246"/>
    <cellStyle name="Normale 3 3 5 2 2 2 2 2" xfId="8709"/>
    <cellStyle name="Normale 3 3 5 2 2 2 2 3" xfId="16117"/>
    <cellStyle name="Normale 3 3 5 2 2 2 2 4" xfId="27098"/>
    <cellStyle name="Normale 3 3 5 2 2 2 20" xfId="37381"/>
    <cellStyle name="Normale 3 3 5 2 2 2 3" xfId="2177"/>
    <cellStyle name="Normale 3 3 5 2 2 2 3 2" xfId="9640"/>
    <cellStyle name="Normale 3 3 5 2 2 2 3 3" xfId="17048"/>
    <cellStyle name="Normale 3 3 5 2 2 2 3 4" xfId="24511"/>
    <cellStyle name="Normale 3 3 5 2 2 2 4" xfId="3099"/>
    <cellStyle name="Normale 3 3 5 2 2 2 4 2" xfId="10562"/>
    <cellStyle name="Normale 3 3 5 2 2 2 4 3" xfId="17970"/>
    <cellStyle name="Normale 3 3 5 2 2 2 4 4" xfId="25402"/>
    <cellStyle name="Normale 3 3 5 2 2 2 5" xfId="4032"/>
    <cellStyle name="Normale 3 3 5 2 2 2 5 2" xfId="11495"/>
    <cellStyle name="Normale 3 3 5 2 2 2 5 3" xfId="18903"/>
    <cellStyle name="Normale 3 3 5 2 2 2 5 4" xfId="26480"/>
    <cellStyle name="Normale 3 3 5 2 2 2 6" xfId="4955"/>
    <cellStyle name="Normale 3 3 5 2 2 2 6 2" xfId="12418"/>
    <cellStyle name="Normale 3 3 5 2 2 2 6 3" xfId="19826"/>
    <cellStyle name="Normale 3 3 5 2 2 2 6 4" xfId="22593"/>
    <cellStyle name="Normale 3 3 5 2 2 2 7" xfId="5883"/>
    <cellStyle name="Normale 3 3 5 2 2 2 7 2" xfId="13346"/>
    <cellStyle name="Normale 3 3 5 2 2 2 7 3" xfId="20754"/>
    <cellStyle name="Normale 3 3 5 2 2 2 7 4" xfId="22571"/>
    <cellStyle name="Normale 3 3 5 2 2 2 8" xfId="6803"/>
    <cellStyle name="Normale 3 3 5 2 2 2 8 2" xfId="14266"/>
    <cellStyle name="Normale 3 3 5 2 2 2 8 3" xfId="21674"/>
    <cellStyle name="Normale 3 3 5 2 2 2 8 4" xfId="25000"/>
    <cellStyle name="Normale 3 3 5 2 2 2 9" xfId="7742"/>
    <cellStyle name="Normale 3 3 5 2 2 20" xfId="36267"/>
    <cellStyle name="Normale 3 3 5 2 2 21" xfId="37190"/>
    <cellStyle name="Normale 3 3 5 2 2 3" xfId="1054"/>
    <cellStyle name="Normale 3 3 5 2 2 3 2" xfId="8517"/>
    <cellStyle name="Normale 3 3 5 2 2 3 3" xfId="15925"/>
    <cellStyle name="Normale 3 3 5 2 2 3 4" xfId="28563"/>
    <cellStyle name="Normale 3 3 5 2 2 4" xfId="1981"/>
    <cellStyle name="Normale 3 3 5 2 2 4 2" xfId="9444"/>
    <cellStyle name="Normale 3 3 5 2 2 4 3" xfId="16852"/>
    <cellStyle name="Normale 3 3 5 2 2 4 4" xfId="29588"/>
    <cellStyle name="Normale 3 3 5 2 2 5" xfId="2907"/>
    <cellStyle name="Normale 3 3 5 2 2 5 2" xfId="10370"/>
    <cellStyle name="Normale 3 3 5 2 2 5 3" xfId="17778"/>
    <cellStyle name="Normale 3 3 5 2 2 5 4" xfId="29319"/>
    <cellStyle name="Normale 3 3 5 2 2 6" xfId="3836"/>
    <cellStyle name="Normale 3 3 5 2 2 6 2" xfId="11299"/>
    <cellStyle name="Normale 3 3 5 2 2 6 3" xfId="18707"/>
    <cellStyle name="Normale 3 3 5 2 2 6 4" xfId="23010"/>
    <cellStyle name="Normale 3 3 5 2 2 7" xfId="4763"/>
    <cellStyle name="Normale 3 3 5 2 2 7 2" xfId="12226"/>
    <cellStyle name="Normale 3 3 5 2 2 7 3" xfId="19634"/>
    <cellStyle name="Normale 3 3 5 2 2 7 4" xfId="23941"/>
    <cellStyle name="Normale 3 3 5 2 2 8" xfId="5690"/>
    <cellStyle name="Normale 3 3 5 2 2 8 2" xfId="13153"/>
    <cellStyle name="Normale 3 3 5 2 2 8 3" xfId="20561"/>
    <cellStyle name="Normale 3 3 5 2 2 8 4" xfId="25004"/>
    <cellStyle name="Normale 3 3 5 2 2 9" xfId="6612"/>
    <cellStyle name="Normale 3 3 5 2 2 9 2" xfId="14075"/>
    <cellStyle name="Normale 3 3 5 2 2 9 3" xfId="21483"/>
    <cellStyle name="Normale 3 3 5 2 2 9 4" xfId="28453"/>
    <cellStyle name="Normale 3 3 5 2 20" xfId="35340"/>
    <cellStyle name="Normale 3 3 5 2 21" xfId="36266"/>
    <cellStyle name="Normale 3 3 5 2 22" xfId="37189"/>
    <cellStyle name="Normale 3 3 5 2 3" xfId="278"/>
    <cellStyle name="Normale 3 3 5 2 3 10" xfId="15151"/>
    <cellStyle name="Normale 3 3 5 2 3 11" xfId="23448"/>
    <cellStyle name="Normale 3 3 5 2 3 12" xfId="29963"/>
    <cellStyle name="Normale 3 3 5 2 3 13" xfId="30895"/>
    <cellStyle name="Normale 3 3 5 2 3 14" xfId="31816"/>
    <cellStyle name="Normale 3 3 5 2 3 15" xfId="32741"/>
    <cellStyle name="Normale 3 3 5 2 3 16" xfId="33678"/>
    <cellStyle name="Normale 3 3 5 2 3 17" xfId="34608"/>
    <cellStyle name="Normale 3 3 5 2 3 18" xfId="35534"/>
    <cellStyle name="Normale 3 3 5 2 3 19" xfId="36460"/>
    <cellStyle name="Normale 3 3 5 2 3 2" xfId="1245"/>
    <cellStyle name="Normale 3 3 5 2 3 2 2" xfId="8708"/>
    <cellStyle name="Normale 3 3 5 2 3 2 3" xfId="16116"/>
    <cellStyle name="Normale 3 3 5 2 3 2 4" xfId="28017"/>
    <cellStyle name="Normale 3 3 5 2 3 20" xfId="37380"/>
    <cellStyle name="Normale 3 3 5 2 3 3" xfId="2176"/>
    <cellStyle name="Normale 3 3 5 2 3 3 2" xfId="9639"/>
    <cellStyle name="Normale 3 3 5 2 3 3 3" xfId="17047"/>
    <cellStyle name="Normale 3 3 5 2 3 3 4" xfId="25427"/>
    <cellStyle name="Normale 3 3 5 2 3 4" xfId="3098"/>
    <cellStyle name="Normale 3 3 5 2 3 4 2" xfId="10561"/>
    <cellStyle name="Normale 3 3 5 2 3 4 3" xfId="17969"/>
    <cellStyle name="Normale 3 3 5 2 3 4 4" xfId="26329"/>
    <cellStyle name="Normale 3 3 5 2 3 5" xfId="4031"/>
    <cellStyle name="Normale 3 3 5 2 3 5 2" xfId="11494"/>
    <cellStyle name="Normale 3 3 5 2 3 5 3" xfId="18902"/>
    <cellStyle name="Normale 3 3 5 2 3 5 4" xfId="27388"/>
    <cellStyle name="Normale 3 3 5 2 3 6" xfId="4954"/>
    <cellStyle name="Normale 3 3 5 2 3 6 2" xfId="12417"/>
    <cellStyle name="Normale 3 3 5 2 3 6 3" xfId="19825"/>
    <cellStyle name="Normale 3 3 5 2 3 6 4" xfId="23327"/>
    <cellStyle name="Normale 3 3 5 2 3 7" xfId="5882"/>
    <cellStyle name="Normale 3 3 5 2 3 7 2" xfId="13345"/>
    <cellStyle name="Normale 3 3 5 2 3 7 3" xfId="20753"/>
    <cellStyle name="Normale 3 3 5 2 3 7 4" xfId="23305"/>
    <cellStyle name="Normale 3 3 5 2 3 8" xfId="6802"/>
    <cellStyle name="Normale 3 3 5 2 3 8 2" xfId="14265"/>
    <cellStyle name="Normale 3 3 5 2 3 8 3" xfId="21673"/>
    <cellStyle name="Normale 3 3 5 2 3 8 4" xfId="25481"/>
    <cellStyle name="Normale 3 3 5 2 3 9" xfId="7741"/>
    <cellStyle name="Normale 3 3 5 2 4" xfId="1053"/>
    <cellStyle name="Normale 3 3 5 2 4 2" xfId="8516"/>
    <cellStyle name="Normale 3 3 5 2 4 3" xfId="15924"/>
    <cellStyle name="Normale 3 3 5 2 4 4" xfId="29457"/>
    <cellStyle name="Normale 3 3 5 2 5" xfId="1980"/>
    <cellStyle name="Normale 3 3 5 2 5 2" xfId="9443"/>
    <cellStyle name="Normale 3 3 5 2 5 3" xfId="16851"/>
    <cellStyle name="Normale 3 3 5 2 5 4" xfId="23159"/>
    <cellStyle name="Normale 3 3 5 2 6" xfId="2906"/>
    <cellStyle name="Normale 3 3 5 2 6 2" xfId="10369"/>
    <cellStyle name="Normale 3 3 5 2 6 3" xfId="17777"/>
    <cellStyle name="Normale 3 3 5 2 6 4" xfId="22890"/>
    <cellStyle name="Normale 3 3 5 2 7" xfId="3835"/>
    <cellStyle name="Normale 3 3 5 2 7 2" xfId="11298"/>
    <cellStyle name="Normale 3 3 5 2 7 3" xfId="18706"/>
    <cellStyle name="Normale 3 3 5 2 7 4" xfId="24018"/>
    <cellStyle name="Normale 3 3 5 2 8" xfId="4762"/>
    <cellStyle name="Normale 3 3 5 2 8 2" xfId="12225"/>
    <cellStyle name="Normale 3 3 5 2 8 3" xfId="19633"/>
    <cellStyle name="Normale 3 3 5 2 8 4" xfId="24866"/>
    <cellStyle name="Normale 3 3 5 2 9" xfId="5689"/>
    <cellStyle name="Normale 3 3 5 2 9 2" xfId="13152"/>
    <cellStyle name="Normale 3 3 5 2 9 3" xfId="20560"/>
    <cellStyle name="Normale 3 3 5 2 9 4" xfId="25913"/>
    <cellStyle name="Normale 3 3 5 20" xfId="6610"/>
    <cellStyle name="Normale 3 3 5 20 2" xfId="14073"/>
    <cellStyle name="Normale 3 3 5 20 3" xfId="21481"/>
    <cellStyle name="Normale 3 3 5 20 4" xfId="22921"/>
    <cellStyle name="Normale 3 3 5 21" xfId="7544"/>
    <cellStyle name="Normale 3 3 5 22" xfId="14953"/>
    <cellStyle name="Normale 3 3 5 23" xfId="24562"/>
    <cellStyle name="Normale 3 3 5 24" xfId="29770"/>
    <cellStyle name="Normale 3 3 5 25" xfId="30700"/>
    <cellStyle name="Normale 3 3 5 26" xfId="31623"/>
    <cellStyle name="Normale 3 3 5 27" xfId="32549"/>
    <cellStyle name="Normale 3 3 5 28" xfId="33483"/>
    <cellStyle name="Normale 3 3 5 29" xfId="34411"/>
    <cellStyle name="Normale 3 3 5 3" xfId="82"/>
    <cellStyle name="Normale 3 3 5 3 10" xfId="7547"/>
    <cellStyle name="Normale 3 3 5 3 11" xfId="14956"/>
    <cellStyle name="Normale 3 3 5 3 12" xfId="22526"/>
    <cellStyle name="Normale 3 3 5 3 13" xfId="29773"/>
    <cellStyle name="Normale 3 3 5 3 14" xfId="30703"/>
    <cellStyle name="Normale 3 3 5 3 15" xfId="31626"/>
    <cellStyle name="Normale 3 3 5 3 16" xfId="32552"/>
    <cellStyle name="Normale 3 3 5 3 17" xfId="33486"/>
    <cellStyle name="Normale 3 3 5 3 18" xfId="34414"/>
    <cellStyle name="Normale 3 3 5 3 19" xfId="35342"/>
    <cellStyle name="Normale 3 3 5 3 2" xfId="280"/>
    <cellStyle name="Normale 3 3 5 3 2 10" xfId="15153"/>
    <cellStyle name="Normale 3 3 5 3 2 11" xfId="29144"/>
    <cellStyle name="Normale 3 3 5 3 2 12" xfId="29965"/>
    <cellStyle name="Normale 3 3 5 3 2 13" xfId="30897"/>
    <cellStyle name="Normale 3 3 5 3 2 14" xfId="31818"/>
    <cellStyle name="Normale 3 3 5 3 2 15" xfId="32743"/>
    <cellStyle name="Normale 3 3 5 3 2 16" xfId="33680"/>
    <cellStyle name="Normale 3 3 5 3 2 17" xfId="34610"/>
    <cellStyle name="Normale 3 3 5 3 2 18" xfId="35536"/>
    <cellStyle name="Normale 3 3 5 3 2 19" xfId="36462"/>
    <cellStyle name="Normale 3 3 5 3 2 2" xfId="1247"/>
    <cellStyle name="Normale 3 3 5 3 2 2 2" xfId="8710"/>
    <cellStyle name="Normale 3 3 5 3 2 2 3" xfId="16118"/>
    <cellStyle name="Normale 3 3 5 3 2 2 4" xfId="26180"/>
    <cellStyle name="Normale 3 3 5 3 2 20" xfId="37382"/>
    <cellStyle name="Normale 3 3 5 3 2 3" xfId="2178"/>
    <cellStyle name="Normale 3 3 5 3 2 3 2" xfId="9641"/>
    <cellStyle name="Normale 3 3 5 3 2 3 3" xfId="17049"/>
    <cellStyle name="Normale 3 3 5 3 2 3 4" xfId="23591"/>
    <cellStyle name="Normale 3 3 5 3 2 4" xfId="3100"/>
    <cellStyle name="Normale 3 3 5 3 2 4 2" xfId="10563"/>
    <cellStyle name="Normale 3 3 5 3 2 4 3" xfId="17971"/>
    <cellStyle name="Normale 3 3 5 3 2 4 4" xfId="24486"/>
    <cellStyle name="Normale 3 3 5 3 2 5" xfId="4033"/>
    <cellStyle name="Normale 3 3 5 3 2 5 2" xfId="11496"/>
    <cellStyle name="Normale 3 3 5 3 2 5 3" xfId="18904"/>
    <cellStyle name="Normale 3 3 5 3 2 5 4" xfId="25552"/>
    <cellStyle name="Normale 3 3 5 3 2 6" xfId="4956"/>
    <cellStyle name="Normale 3 3 5 3 2 6 2" xfId="12419"/>
    <cellStyle name="Normale 3 3 5 3 2 6 3" xfId="19827"/>
    <cellStyle name="Normale 3 3 5 3 2 6 4" xfId="29023"/>
    <cellStyle name="Normale 3 3 5 3 2 7" xfId="5884"/>
    <cellStyle name="Normale 3 3 5 3 2 7 2" xfId="13347"/>
    <cellStyle name="Normale 3 3 5 3 2 7 3" xfId="20755"/>
    <cellStyle name="Normale 3 3 5 3 2 7 4" xfId="29001"/>
    <cellStyle name="Normale 3 3 5 3 2 8" xfId="6804"/>
    <cellStyle name="Normale 3 3 5 3 2 8 2" xfId="14267"/>
    <cellStyle name="Normale 3 3 5 3 2 8 3" xfId="21675"/>
    <cellStyle name="Normale 3 3 5 3 2 8 4" xfId="23268"/>
    <cellStyle name="Normale 3 3 5 3 2 9" xfId="7743"/>
    <cellStyle name="Normale 3 3 5 3 20" xfId="36268"/>
    <cellStyle name="Normale 3 3 5 3 21" xfId="37191"/>
    <cellStyle name="Normale 3 3 5 3 3" xfId="1055"/>
    <cellStyle name="Normale 3 3 5 3 3 2" xfId="8518"/>
    <cellStyle name="Normale 3 3 5 3 3 3" xfId="15926"/>
    <cellStyle name="Normale 3 3 5 3 3 4" xfId="27637"/>
    <cellStyle name="Normale 3 3 5 3 4" xfId="1982"/>
    <cellStyle name="Normale 3 3 5 3 4 2" xfId="9445"/>
    <cellStyle name="Normale 3 3 5 3 4 3" xfId="16853"/>
    <cellStyle name="Normale 3 3 5 3 4 4" xfId="28700"/>
    <cellStyle name="Normale 3 3 5 3 5" xfId="2908"/>
    <cellStyle name="Normale 3 3 5 3 5 2" xfId="10371"/>
    <cellStyle name="Normale 3 3 5 3 5 3" xfId="17779"/>
    <cellStyle name="Normale 3 3 5 3 5 4" xfId="28418"/>
    <cellStyle name="Normale 3 3 5 3 6" xfId="3837"/>
    <cellStyle name="Normale 3 3 5 3 6 2" xfId="11300"/>
    <cellStyle name="Normale 3 3 5 3 6 3" xfId="18708"/>
    <cellStyle name="Normale 3 3 5 3 6 4" xfId="29439"/>
    <cellStyle name="Normale 3 3 5 3 7" xfId="4764"/>
    <cellStyle name="Normale 3 3 5 3 7 2" xfId="12227"/>
    <cellStyle name="Normale 3 3 5 3 7 3" xfId="19635"/>
    <cellStyle name="Normale 3 3 5 3 7 4" xfId="22932"/>
    <cellStyle name="Normale 3 3 5 3 8" xfId="5691"/>
    <cellStyle name="Normale 3 3 5 3 8 2" xfId="13154"/>
    <cellStyle name="Normale 3 3 5 3 8 3" xfId="20562"/>
    <cellStyle name="Normale 3 3 5 3 8 4" xfId="24078"/>
    <cellStyle name="Normale 3 3 5 3 9" xfId="6613"/>
    <cellStyle name="Normale 3 3 5 3 9 2" xfId="14076"/>
    <cellStyle name="Normale 3 3 5 3 9 3" xfId="21484"/>
    <cellStyle name="Normale 3 3 5 3 9 4" xfId="27526"/>
    <cellStyle name="Normale 3 3 5 30" xfId="35339"/>
    <cellStyle name="Normale 3 3 5 31" xfId="36265"/>
    <cellStyle name="Normale 3 3 5 32" xfId="37188"/>
    <cellStyle name="Normale 3 3 5 4" xfId="277"/>
    <cellStyle name="Normale 3 3 5 4 10" xfId="15150"/>
    <cellStyle name="Normale 3 3 5 4 11" xfId="24365"/>
    <cellStyle name="Normale 3 3 5 4 12" xfId="29962"/>
    <cellStyle name="Normale 3 3 5 4 13" xfId="30894"/>
    <cellStyle name="Normale 3 3 5 4 14" xfId="31815"/>
    <cellStyle name="Normale 3 3 5 4 15" xfId="32740"/>
    <cellStyle name="Normale 3 3 5 4 16" xfId="33677"/>
    <cellStyle name="Normale 3 3 5 4 17" xfId="34607"/>
    <cellStyle name="Normale 3 3 5 4 18" xfId="35533"/>
    <cellStyle name="Normale 3 3 5 4 19" xfId="36459"/>
    <cellStyle name="Normale 3 3 5 4 2" xfId="1244"/>
    <cellStyle name="Normale 3 3 5 4 2 2" xfId="8707"/>
    <cellStyle name="Normale 3 3 5 4 2 3" xfId="16115"/>
    <cellStyle name="Normale 3 3 5 4 2 4" xfId="28930"/>
    <cellStyle name="Normale 3 3 5 4 20" xfId="37379"/>
    <cellStyle name="Normale 3 3 5 4 3" xfId="2175"/>
    <cellStyle name="Normale 3 3 5 4 3 2" xfId="9638"/>
    <cellStyle name="Normale 3 3 5 4 3 3" xfId="17046"/>
    <cellStyle name="Normale 3 3 5 4 3 4" xfId="26354"/>
    <cellStyle name="Normale 3 3 5 4 4" xfId="3097"/>
    <cellStyle name="Normale 3 3 5 4 4 2" xfId="10560"/>
    <cellStyle name="Normale 3 3 5 4 4 3" xfId="17968"/>
    <cellStyle name="Normale 3 3 5 4 4 4" xfId="27239"/>
    <cellStyle name="Normale 3 3 5 4 5" xfId="4030"/>
    <cellStyle name="Normale 3 3 5 4 5 2" xfId="11493"/>
    <cellStyle name="Normale 3 3 5 4 5 3" xfId="18901"/>
    <cellStyle name="Normale 3 3 5 4 5 4" xfId="28312"/>
    <cellStyle name="Normale 3 3 5 4 6" xfId="4953"/>
    <cellStyle name="Normale 3 3 5 4 6 2" xfId="12416"/>
    <cellStyle name="Normale 3 3 5 4 6 3" xfId="19824"/>
    <cellStyle name="Normale 3 3 5 4 6 4" xfId="24243"/>
    <cellStyle name="Normale 3 3 5 4 7" xfId="5881"/>
    <cellStyle name="Normale 3 3 5 4 7 2" xfId="13344"/>
    <cellStyle name="Normale 3 3 5 4 7 3" xfId="20752"/>
    <cellStyle name="Normale 3 3 5 4 7 4" xfId="24221"/>
    <cellStyle name="Normale 3 3 5 4 8" xfId="6801"/>
    <cellStyle name="Normale 3 3 5 4 8 2" xfId="14264"/>
    <cellStyle name="Normale 3 3 5 4 8 3" xfId="21672"/>
    <cellStyle name="Normale 3 3 5 4 8 4" xfId="26914"/>
    <cellStyle name="Normale 3 3 5 4 9" xfId="7740"/>
    <cellStyle name="Normale 3 3 5 5" xfId="419"/>
    <cellStyle name="Normale 3 3 5 5 10" xfId="15292"/>
    <cellStyle name="Normale 3 3 5 5 11" xfId="27714"/>
    <cellStyle name="Normale 3 3 5 5 12" xfId="30104"/>
    <cellStyle name="Normale 3 3 5 5 13" xfId="31036"/>
    <cellStyle name="Normale 3 3 5 5 14" xfId="31957"/>
    <cellStyle name="Normale 3 3 5 5 15" xfId="32881"/>
    <cellStyle name="Normale 3 3 5 5 16" xfId="33819"/>
    <cellStyle name="Normale 3 3 5 5 17" xfId="34749"/>
    <cellStyle name="Normale 3 3 5 5 18" xfId="35675"/>
    <cellStyle name="Normale 3 3 5 5 19" xfId="36601"/>
    <cellStyle name="Normale 3 3 5 5 2" xfId="1386"/>
    <cellStyle name="Normale 3 3 5 5 2 2" xfId="8849"/>
    <cellStyle name="Normale 3 3 5 5 2 3" xfId="16257"/>
    <cellStyle name="Normale 3 3 5 5 2 4" xfId="24998"/>
    <cellStyle name="Normale 3 3 5 5 20" xfId="37520"/>
    <cellStyle name="Normale 3 3 5 5 3" xfId="2317"/>
    <cellStyle name="Normale 3 3 5 5 3 2" xfId="9780"/>
    <cellStyle name="Normale 3 3 5 5 3 3" xfId="17188"/>
    <cellStyle name="Normale 3 3 5 5 3 4" xfId="29449"/>
    <cellStyle name="Normale 3 3 5 5 4" xfId="3239"/>
    <cellStyle name="Normale 3 3 5 5 4 2" xfId="10702"/>
    <cellStyle name="Normale 3 3 5 5 4 3" xfId="18110"/>
    <cellStyle name="Normale 3 3 5 5 4 4" xfId="27834"/>
    <cellStyle name="Normale 3 3 5 5 5" xfId="4172"/>
    <cellStyle name="Normale 3 3 5 5 5 2" xfId="11635"/>
    <cellStyle name="Normale 3 3 5 5 5 3" xfId="19043"/>
    <cellStyle name="Normale 3 3 5 5 5 4" xfId="22741"/>
    <cellStyle name="Normale 3 3 5 5 6" xfId="5095"/>
    <cellStyle name="Normale 3 3 5 5 6 2" xfId="12558"/>
    <cellStyle name="Normale 3 3 5 5 6 3" xfId="19966"/>
    <cellStyle name="Normale 3 3 5 5 6 4" xfId="27676"/>
    <cellStyle name="Normale 3 3 5 5 7" xfId="6023"/>
    <cellStyle name="Normale 3 3 5 5 7 2" xfId="13486"/>
    <cellStyle name="Normale 3 3 5 5 7 3" xfId="20894"/>
    <cellStyle name="Normale 3 3 5 5 7 4" xfId="27592"/>
    <cellStyle name="Normale 3 3 5 5 8" xfId="6942"/>
    <cellStyle name="Normale 3 3 5 5 8 2" xfId="14405"/>
    <cellStyle name="Normale 3 3 5 5 8 3" xfId="21813"/>
    <cellStyle name="Normale 3 3 5 5 8 4" xfId="26509"/>
    <cellStyle name="Normale 3 3 5 5 9" xfId="7882"/>
    <cellStyle name="Normale 3 3 5 6" xfId="467"/>
    <cellStyle name="Normale 3 3 5 6 10" xfId="15340"/>
    <cellStyle name="Normale 3 3 5 6 11" xfId="27364"/>
    <cellStyle name="Normale 3 3 5 6 12" xfId="30152"/>
    <cellStyle name="Normale 3 3 5 6 13" xfId="31084"/>
    <cellStyle name="Normale 3 3 5 6 14" xfId="32005"/>
    <cellStyle name="Normale 3 3 5 6 15" xfId="32928"/>
    <cellStyle name="Normale 3 3 5 6 16" xfId="33867"/>
    <cellStyle name="Normale 3 3 5 6 17" xfId="34797"/>
    <cellStyle name="Normale 3 3 5 6 18" xfId="35723"/>
    <cellStyle name="Normale 3 3 5 6 19" xfId="36649"/>
    <cellStyle name="Normale 3 3 5 6 2" xfId="1434"/>
    <cellStyle name="Normale 3 3 5 6 2 2" xfId="8897"/>
    <cellStyle name="Normale 3 3 5 6 2 3" xfId="16305"/>
    <cellStyle name="Normale 3 3 5 6 2 4" xfId="23118"/>
    <cellStyle name="Normale 3 3 5 6 20" xfId="37567"/>
    <cellStyle name="Normale 3 3 5 6 3" xfId="2365"/>
    <cellStyle name="Normale 3 3 5 6 3 2" xfId="9828"/>
    <cellStyle name="Normale 3 3 5 6 3 3" xfId="17236"/>
    <cellStyle name="Normale 3 3 5 6 3 4" xfId="29087"/>
    <cellStyle name="Normale 3 3 5 6 4" xfId="3287"/>
    <cellStyle name="Normale 3 3 5 6 4 2" xfId="10750"/>
    <cellStyle name="Normale 3 3 5 6 4 3" xfId="18158"/>
    <cellStyle name="Normale 3 3 5 6 4 4" xfId="27439"/>
    <cellStyle name="Normale 3 3 5 6 5" xfId="4220"/>
    <cellStyle name="Normale 3 3 5 6 5 2" xfId="11683"/>
    <cellStyle name="Normale 3 3 5 6 5 3" xfId="19091"/>
    <cellStyle name="Normale 3 3 5 6 5 4" xfId="28854"/>
    <cellStyle name="Normale 3 3 5 6 6" xfId="5143"/>
    <cellStyle name="Normale 3 3 5 6 6 2" xfId="12606"/>
    <cellStyle name="Normale 3 3 5 6 6 3" xfId="20014"/>
    <cellStyle name="Normale 3 3 5 6 6 4" xfId="25894"/>
    <cellStyle name="Normale 3 3 5 6 7" xfId="6071"/>
    <cellStyle name="Normale 3 3 5 6 7 2" xfId="13534"/>
    <cellStyle name="Normale 3 3 5 6 7 3" xfId="20942"/>
    <cellStyle name="Normale 3 3 5 6 7 4" xfId="27327"/>
    <cellStyle name="Normale 3 3 5 6 8" xfId="6989"/>
    <cellStyle name="Normale 3 3 5 6 8 2" xfId="14452"/>
    <cellStyle name="Normale 3 3 5 6 8 3" xfId="21860"/>
    <cellStyle name="Normale 3 3 5 6 8 4" xfId="29293"/>
    <cellStyle name="Normale 3 3 5 6 9" xfId="7930"/>
    <cellStyle name="Normale 3 3 5 7" xfId="515"/>
    <cellStyle name="Normale 3 3 5 7 10" xfId="15388"/>
    <cellStyle name="Normale 3 3 5 7 11" xfId="26201"/>
    <cellStyle name="Normale 3 3 5 7 12" xfId="30199"/>
    <cellStyle name="Normale 3 3 5 7 13" xfId="31132"/>
    <cellStyle name="Normale 3 3 5 7 14" xfId="32052"/>
    <cellStyle name="Normale 3 3 5 7 15" xfId="32974"/>
    <cellStyle name="Normale 3 3 5 7 16" xfId="33915"/>
    <cellStyle name="Normale 3 3 5 7 17" xfId="34845"/>
    <cellStyle name="Normale 3 3 5 7 18" xfId="35771"/>
    <cellStyle name="Normale 3 3 5 7 19" xfId="36697"/>
    <cellStyle name="Normale 3 3 5 7 2" xfId="1482"/>
    <cellStyle name="Normale 3 3 5 7 2 2" xfId="8945"/>
    <cellStyle name="Normale 3 3 5 7 2 3" xfId="16353"/>
    <cellStyle name="Normale 3 3 5 7 2 4" xfId="29113"/>
    <cellStyle name="Normale 3 3 5 7 20" xfId="37613"/>
    <cellStyle name="Normale 3 3 5 7 3" xfId="2413"/>
    <cellStyle name="Normale 3 3 5 7 3 2" xfId="9876"/>
    <cellStyle name="Normale 3 3 5 7 3 3" xfId="17284"/>
    <cellStyle name="Normale 3 3 5 7 3 4" xfId="28179"/>
    <cellStyle name="Normale 3 3 5 7 4" xfId="3334"/>
    <cellStyle name="Normale 3 3 5 7 4 2" xfId="10797"/>
    <cellStyle name="Normale 3 3 5 7 4 3" xfId="18205"/>
    <cellStyle name="Normale 3 3 5 7 4 4" xfId="22973"/>
    <cellStyle name="Normale 3 3 5 7 5" xfId="4268"/>
    <cellStyle name="Normale 3 3 5 7 5 2" xfId="11731"/>
    <cellStyle name="Normale 3 3 5 7 5 3" xfId="19139"/>
    <cellStyle name="Normale 3 3 5 7 5 4" xfId="23008"/>
    <cellStyle name="Normale 3 3 5 7 6" xfId="5190"/>
    <cellStyle name="Normale 3 3 5 7 6 2" xfId="12653"/>
    <cellStyle name="Normale 3 3 5 7 6 3" xfId="20061"/>
    <cellStyle name="Normale 3 3 5 7 6 4" xfId="25349"/>
    <cellStyle name="Normale 3 3 5 7 7" xfId="6119"/>
    <cellStyle name="Normale 3 3 5 7 7 2" xfId="13582"/>
    <cellStyle name="Normale 3 3 5 7 7 3" xfId="20990"/>
    <cellStyle name="Normale 3 3 5 7 7 4" xfId="26057"/>
    <cellStyle name="Normale 3 3 5 7 8" xfId="7035"/>
    <cellStyle name="Normale 3 3 5 7 8 2" xfId="14498"/>
    <cellStyle name="Normale 3 3 5 7 8 3" xfId="21906"/>
    <cellStyle name="Normale 3 3 5 7 8 4" xfId="23993"/>
    <cellStyle name="Normale 3 3 5 7 9" xfId="7978"/>
    <cellStyle name="Normale 3 3 5 8" xfId="567"/>
    <cellStyle name="Normale 3 3 5 8 10" xfId="15440"/>
    <cellStyle name="Normale 3 3 5 8 11" xfId="23969"/>
    <cellStyle name="Normale 3 3 5 8 12" xfId="30250"/>
    <cellStyle name="Normale 3 3 5 8 13" xfId="31184"/>
    <cellStyle name="Normale 3 3 5 8 14" xfId="32103"/>
    <cellStyle name="Normale 3 3 5 8 15" xfId="33024"/>
    <cellStyle name="Normale 3 3 5 8 16" xfId="33967"/>
    <cellStyle name="Normale 3 3 5 8 17" xfId="34897"/>
    <cellStyle name="Normale 3 3 5 8 18" xfId="35823"/>
    <cellStyle name="Normale 3 3 5 8 19" xfId="36749"/>
    <cellStyle name="Normale 3 3 5 8 2" xfId="1534"/>
    <cellStyle name="Normale 3 3 5 8 2 2" xfId="8997"/>
    <cellStyle name="Normale 3 3 5 8 2 3" xfId="16405"/>
    <cellStyle name="Normale 3 3 5 8 2 4" xfId="26448"/>
    <cellStyle name="Normale 3 3 5 8 20" xfId="37663"/>
    <cellStyle name="Normale 3 3 5 8 3" xfId="2465"/>
    <cellStyle name="Normale 3 3 5 8 3 2" xfId="9928"/>
    <cellStyle name="Normale 3 3 5 8 3 3" xfId="17336"/>
    <cellStyle name="Normale 3 3 5 8 3 4" xfId="25715"/>
    <cellStyle name="Normale 3 3 5 8 4" xfId="3385"/>
    <cellStyle name="Normale 3 3 5 8 4 2" xfId="10848"/>
    <cellStyle name="Normale 3 3 5 8 4 3" xfId="18256"/>
    <cellStyle name="Normale 3 3 5 8 4 4" xfId="25811"/>
    <cellStyle name="Normale 3 3 5 8 5" xfId="4320"/>
    <cellStyle name="Normale 3 3 5 8 5 2" xfId="11783"/>
    <cellStyle name="Normale 3 3 5 8 5 3" xfId="19191"/>
    <cellStyle name="Normale 3 3 5 8 5 4" xfId="23664"/>
    <cellStyle name="Normale 3 3 5 8 6" xfId="5241"/>
    <cellStyle name="Normale 3 3 5 8 6 2" xfId="12704"/>
    <cellStyle name="Normale 3 3 5 8 6 3" xfId="20112"/>
    <cellStyle name="Normale 3 3 5 8 6 4" xfId="23659"/>
    <cellStyle name="Normale 3 3 5 8 7" xfId="6171"/>
    <cellStyle name="Normale 3 3 5 8 7 2" xfId="13634"/>
    <cellStyle name="Normale 3 3 5 8 7 3" xfId="21042"/>
    <cellStyle name="Normale 3 3 5 8 7 4" xfId="23932"/>
    <cellStyle name="Normale 3 3 5 8 8" xfId="7085"/>
    <cellStyle name="Normale 3 3 5 8 8 2" xfId="14548"/>
    <cellStyle name="Normale 3 3 5 8 8 3" xfId="21956"/>
    <cellStyle name="Normale 3 3 5 8 8 4" xfId="28970"/>
    <cellStyle name="Normale 3 3 5 8 9" xfId="8030"/>
    <cellStyle name="Normale 3 3 5 9" xfId="627"/>
    <cellStyle name="Normale 3 3 5 9 10" xfId="15499"/>
    <cellStyle name="Normale 3 3 5 9 11" xfId="23438"/>
    <cellStyle name="Normale 3 3 5 9 12" xfId="30306"/>
    <cellStyle name="Normale 3 3 5 9 13" xfId="31243"/>
    <cellStyle name="Normale 3 3 5 9 14" xfId="32160"/>
    <cellStyle name="Normale 3 3 5 9 15" xfId="33079"/>
    <cellStyle name="Normale 3 3 5 9 16" xfId="34026"/>
    <cellStyle name="Normale 3 3 5 9 17" xfId="34957"/>
    <cellStyle name="Normale 3 3 5 9 18" xfId="35883"/>
    <cellStyle name="Normale 3 3 5 9 19" xfId="36808"/>
    <cellStyle name="Normale 3 3 5 9 2" xfId="1593"/>
    <cellStyle name="Normale 3 3 5 9 2 2" xfId="9056"/>
    <cellStyle name="Normale 3 3 5 9 2 3" xfId="16464"/>
    <cellStyle name="Normale 3 3 5 9 2 4" xfId="22491"/>
    <cellStyle name="Normale 3 3 5 9 20" xfId="37718"/>
    <cellStyle name="Normale 3 3 5 9 3" xfId="2525"/>
    <cellStyle name="Normale 3 3 5 9 3 2" xfId="9988"/>
    <cellStyle name="Normale 3 3 5 9 3 3" xfId="17396"/>
    <cellStyle name="Normale 3 3 5 9 3 4" xfId="28895"/>
    <cellStyle name="Normale 3 3 5 9 4" xfId="3443"/>
    <cellStyle name="Normale 3 3 5 9 4 2" xfId="10906"/>
    <cellStyle name="Normale 3 3 5 9 4 3" xfId="18314"/>
    <cellStyle name="Normale 3 3 5 9 4 4" xfId="23873"/>
    <cellStyle name="Normale 3 3 5 9 5" xfId="4380"/>
    <cellStyle name="Normale 3 3 5 9 5 2" xfId="11843"/>
    <cellStyle name="Normale 3 3 5 9 5 3" xfId="19251"/>
    <cellStyle name="Normale 3 3 5 9 5 4" xfId="27016"/>
    <cellStyle name="Normale 3 3 5 9 6" xfId="5298"/>
    <cellStyle name="Normale 3 3 5 9 6 2" xfId="12761"/>
    <cellStyle name="Normale 3 3 5 9 6 3" xfId="20169"/>
    <cellStyle name="Normale 3 3 5 9 6 4" xfId="22395"/>
    <cellStyle name="Normale 3 3 5 9 7" xfId="6231"/>
    <cellStyle name="Normale 3 3 5 9 7 2" xfId="13694"/>
    <cellStyle name="Normale 3 3 5 9 7 3" xfId="21102"/>
    <cellStyle name="Normale 3 3 5 9 7 4" xfId="26249"/>
    <cellStyle name="Normale 3 3 5 9 8" xfId="7140"/>
    <cellStyle name="Normale 3 3 5 9 8 2" xfId="14603"/>
    <cellStyle name="Normale 3 3 5 9 8 3" xfId="22011"/>
    <cellStyle name="Normale 3 3 5 9 8 4" xfId="24208"/>
    <cellStyle name="Normale 3 3 5 9 9" xfId="8090"/>
    <cellStyle name="Normale 3 3 6" xfId="83"/>
    <cellStyle name="Normale 3 3 6 10" xfId="1056"/>
    <cellStyle name="Normale 3 3 6 10 2" xfId="8519"/>
    <cellStyle name="Normale 3 3 6 10 3" xfId="15927"/>
    <cellStyle name="Normale 3 3 6 10 4" xfId="26733"/>
    <cellStyle name="Normale 3 3 6 11" xfId="1983"/>
    <cellStyle name="Normale 3 3 6 11 2" xfId="9446"/>
    <cellStyle name="Normale 3 3 6 11 3" xfId="16854"/>
    <cellStyle name="Normale 3 3 6 11 4" xfId="27772"/>
    <cellStyle name="Normale 3 3 6 12" xfId="2909"/>
    <cellStyle name="Normale 3 3 6 12 2" xfId="10372"/>
    <cellStyle name="Normale 3 3 6 12 3" xfId="17780"/>
    <cellStyle name="Normale 3 3 6 12 4" xfId="27493"/>
    <cellStyle name="Normale 3 3 6 13" xfId="3838"/>
    <cellStyle name="Normale 3 3 6 13 2" xfId="11301"/>
    <cellStyle name="Normale 3 3 6 13 3" xfId="18709"/>
    <cellStyle name="Normale 3 3 6 13 4" xfId="28545"/>
    <cellStyle name="Normale 3 3 6 14" xfId="4765"/>
    <cellStyle name="Normale 3 3 6 14 2" xfId="12228"/>
    <cellStyle name="Normale 3 3 6 14 3" xfId="19636"/>
    <cellStyle name="Normale 3 3 6 14 4" xfId="29361"/>
    <cellStyle name="Normale 3 3 6 15" xfId="5692"/>
    <cellStyle name="Normale 3 3 6 15 2" xfId="13155"/>
    <cellStyle name="Normale 3 3 6 15 3" xfId="20563"/>
    <cellStyle name="Normale 3 3 6 15 4" xfId="23067"/>
    <cellStyle name="Normale 3 3 6 16" xfId="6614"/>
    <cellStyle name="Normale 3 3 6 16 2" xfId="14077"/>
    <cellStyle name="Normale 3 3 6 16 3" xfId="21485"/>
    <cellStyle name="Normale 3 3 6 16 4" xfId="26622"/>
    <cellStyle name="Normale 3 3 6 17" xfId="7548"/>
    <cellStyle name="Normale 3 3 6 18" xfId="14957"/>
    <cellStyle name="Normale 3 3 6 19" xfId="28956"/>
    <cellStyle name="Normale 3 3 6 2" xfId="84"/>
    <cellStyle name="Normale 3 3 6 2 10" xfId="7549"/>
    <cellStyle name="Normale 3 3 6 2 11" xfId="14958"/>
    <cellStyle name="Normale 3 3 6 2 12" xfId="22525"/>
    <cellStyle name="Normale 3 3 6 2 13" xfId="29775"/>
    <cellStyle name="Normale 3 3 6 2 14" xfId="30705"/>
    <cellStyle name="Normale 3 3 6 2 15" xfId="31628"/>
    <cellStyle name="Normale 3 3 6 2 16" xfId="32554"/>
    <cellStyle name="Normale 3 3 6 2 17" xfId="33488"/>
    <cellStyle name="Normale 3 3 6 2 18" xfId="34416"/>
    <cellStyle name="Normale 3 3 6 2 19" xfId="35344"/>
    <cellStyle name="Normale 3 3 6 2 2" xfId="282"/>
    <cellStyle name="Normale 3 3 6 2 2 10" xfId="15155"/>
    <cellStyle name="Normale 3 3 6 2 2 11" xfId="27310"/>
    <cellStyle name="Normale 3 3 6 2 2 12" xfId="29967"/>
    <cellStyle name="Normale 3 3 6 2 2 13" xfId="30899"/>
    <cellStyle name="Normale 3 3 6 2 2 14" xfId="31820"/>
    <cellStyle name="Normale 3 3 6 2 2 15" xfId="32745"/>
    <cellStyle name="Normale 3 3 6 2 2 16" xfId="33682"/>
    <cellStyle name="Normale 3 3 6 2 2 17" xfId="34612"/>
    <cellStyle name="Normale 3 3 6 2 2 18" xfId="35538"/>
    <cellStyle name="Normale 3 3 6 2 2 19" xfId="36464"/>
    <cellStyle name="Normale 3 3 6 2 2 2" xfId="1249"/>
    <cellStyle name="Normale 3 3 6 2 2 2 2" xfId="8712"/>
    <cellStyle name="Normale 3 3 6 2 2 2 3" xfId="16120"/>
    <cellStyle name="Normale 3 3 6 2 2 2 4" xfId="24338"/>
    <cellStyle name="Normale 3 3 6 2 2 20" xfId="37384"/>
    <cellStyle name="Normale 3 3 6 2 2 3" xfId="2180"/>
    <cellStyle name="Normale 3 3 6 2 2 3 2" xfId="9643"/>
    <cellStyle name="Normale 3 3 6 2 2 3 3" xfId="17051"/>
    <cellStyle name="Normale 3 3 6 2 2 3 4" xfId="22476"/>
    <cellStyle name="Normale 3 3 6 2 2 4" xfId="3102"/>
    <cellStyle name="Normale 3 3 6 2 2 4 2" xfId="10565"/>
    <cellStyle name="Normale 3 3 6 2 2 4 3" xfId="17973"/>
    <cellStyle name="Normale 3 3 6 2 2 4 4" xfId="22452"/>
    <cellStyle name="Normale 3 3 6 2 2 5" xfId="4035"/>
    <cellStyle name="Normale 3 3 6 2 2 5 2" xfId="11498"/>
    <cellStyle name="Normale 3 3 6 2 2 5 3" xfId="18906"/>
    <cellStyle name="Normale 3 3 6 2 2 5 4" xfId="23713"/>
    <cellStyle name="Normale 3 3 6 2 2 6" xfId="4958"/>
    <cellStyle name="Normale 3 3 6 2 2 6 2" xfId="12421"/>
    <cellStyle name="Normale 3 3 6 2 2 6 3" xfId="19829"/>
    <cellStyle name="Normale 3 3 6 2 2 6 4" xfId="27191"/>
    <cellStyle name="Normale 3 3 6 2 2 7" xfId="5886"/>
    <cellStyle name="Normale 3 3 6 2 2 7 2" xfId="13349"/>
    <cellStyle name="Normale 3 3 6 2 2 7 3" xfId="20757"/>
    <cellStyle name="Normale 3 3 6 2 2 7 4" xfId="27169"/>
    <cellStyle name="Normale 3 3 6 2 2 8" xfId="6806"/>
    <cellStyle name="Normale 3 3 6 2 2 8 2" xfId="14269"/>
    <cellStyle name="Normale 3 3 6 2 2 8 3" xfId="21677"/>
    <cellStyle name="Normale 3 3 6 2 2 8 4" xfId="22546"/>
    <cellStyle name="Normale 3 3 6 2 2 9" xfId="7745"/>
    <cellStyle name="Normale 3 3 6 2 20" xfId="36270"/>
    <cellStyle name="Normale 3 3 6 2 21" xfId="37193"/>
    <cellStyle name="Normale 3 3 6 2 3" xfId="1057"/>
    <cellStyle name="Normale 3 3 6 2 3 2" xfId="8520"/>
    <cellStyle name="Normale 3 3 6 2 3 3" xfId="15928"/>
    <cellStyle name="Normale 3 3 6 2 3 4" xfId="25801"/>
    <cellStyle name="Normale 3 3 6 2 4" xfId="1984"/>
    <cellStyle name="Normale 3 3 6 2 4 2" xfId="9447"/>
    <cellStyle name="Normale 3 3 6 2 4 3" xfId="16855"/>
    <cellStyle name="Normale 3 3 6 2 4 4" xfId="26870"/>
    <cellStyle name="Normale 3 3 6 2 5" xfId="2910"/>
    <cellStyle name="Normale 3 3 6 2 5 2" xfId="10373"/>
    <cellStyle name="Normale 3 3 6 2 5 3" xfId="17781"/>
    <cellStyle name="Normale 3 3 6 2 5 4" xfId="26586"/>
    <cellStyle name="Normale 3 3 6 2 6" xfId="3839"/>
    <cellStyle name="Normale 3 3 6 2 6 2" xfId="11302"/>
    <cellStyle name="Normale 3 3 6 2 6 3" xfId="18710"/>
    <cellStyle name="Normale 3 3 6 2 6 4" xfId="27619"/>
    <cellStyle name="Normale 3 3 6 2 7" xfId="4766"/>
    <cellStyle name="Normale 3 3 6 2 7 2" xfId="12229"/>
    <cellStyle name="Normale 3 3 6 2 7 3" xfId="19637"/>
    <cellStyle name="Normale 3 3 6 2 7 4" xfId="28464"/>
    <cellStyle name="Normale 3 3 6 2 8" xfId="5693"/>
    <cellStyle name="Normale 3 3 6 2 8 2" xfId="13156"/>
    <cellStyle name="Normale 3 3 6 2 8 3" xfId="20564"/>
    <cellStyle name="Normale 3 3 6 2 8 4" xfId="29496"/>
    <cellStyle name="Normale 3 3 6 2 9" xfId="6615"/>
    <cellStyle name="Normale 3 3 6 2 9 2" xfId="14078"/>
    <cellStyle name="Normale 3 3 6 2 9 3" xfId="21486"/>
    <cellStyle name="Normale 3 3 6 2 9 4" xfId="25690"/>
    <cellStyle name="Normale 3 3 6 20" xfId="29774"/>
    <cellStyle name="Normale 3 3 6 21" xfId="30704"/>
    <cellStyle name="Normale 3 3 6 22" xfId="31627"/>
    <cellStyle name="Normale 3 3 6 23" xfId="32553"/>
    <cellStyle name="Normale 3 3 6 24" xfId="33487"/>
    <cellStyle name="Normale 3 3 6 25" xfId="34415"/>
    <cellStyle name="Normale 3 3 6 26" xfId="35343"/>
    <cellStyle name="Normale 3 3 6 27" xfId="36269"/>
    <cellStyle name="Normale 3 3 6 28" xfId="37192"/>
    <cellStyle name="Normale 3 3 6 3" xfId="281"/>
    <cellStyle name="Normale 3 3 6 3 10" xfId="15154"/>
    <cellStyle name="Normale 3 3 6 3 11" xfId="28234"/>
    <cellStyle name="Normale 3 3 6 3 12" xfId="29966"/>
    <cellStyle name="Normale 3 3 6 3 13" xfId="30898"/>
    <cellStyle name="Normale 3 3 6 3 14" xfId="31819"/>
    <cellStyle name="Normale 3 3 6 3 15" xfId="32744"/>
    <cellStyle name="Normale 3 3 6 3 16" xfId="33681"/>
    <cellStyle name="Normale 3 3 6 3 17" xfId="34611"/>
    <cellStyle name="Normale 3 3 6 3 18" xfId="35537"/>
    <cellStyle name="Normale 3 3 6 3 19" xfId="36463"/>
    <cellStyle name="Normale 3 3 6 3 2" xfId="1248"/>
    <cellStyle name="Normale 3 3 6 3 2 2" xfId="8711"/>
    <cellStyle name="Normale 3 3 6 3 2 3" xfId="16119"/>
    <cellStyle name="Normale 3 3 6 3 2 4" xfId="25257"/>
    <cellStyle name="Normale 3 3 6 3 20" xfId="37383"/>
    <cellStyle name="Normale 3 3 6 3 3" xfId="2179"/>
    <cellStyle name="Normale 3 3 6 3 3 2" xfId="9642"/>
    <cellStyle name="Normale 3 3 6 3 3 3" xfId="17050"/>
    <cellStyle name="Normale 3 3 6 3 3 4" xfId="22477"/>
    <cellStyle name="Normale 3 3 6 3 4" xfId="3101"/>
    <cellStyle name="Normale 3 3 6 3 4 2" xfId="10564"/>
    <cellStyle name="Normale 3 3 6 3 4 3" xfId="17972"/>
    <cellStyle name="Normale 3 3 6 3 4 4" xfId="23566"/>
    <cellStyle name="Normale 3 3 6 3 5" xfId="4034"/>
    <cellStyle name="Normale 3 3 6 3 5 2" xfId="11497"/>
    <cellStyle name="Normale 3 3 6 3 5 3" xfId="18905"/>
    <cellStyle name="Normale 3 3 6 3 5 4" xfId="24635"/>
    <cellStyle name="Normale 3 3 6 3 6" xfId="4957"/>
    <cellStyle name="Normale 3 3 6 3 6 2" xfId="12420"/>
    <cellStyle name="Normale 3 3 6 3 6 3" xfId="19828"/>
    <cellStyle name="Normale 3 3 6 3 6 4" xfId="28113"/>
    <cellStyle name="Normale 3 3 6 3 7" xfId="5885"/>
    <cellStyle name="Normale 3 3 6 3 7 2" xfId="13348"/>
    <cellStyle name="Normale 3 3 6 3 7 3" xfId="20756"/>
    <cellStyle name="Normale 3 3 6 3 7 4" xfId="28091"/>
    <cellStyle name="Normale 3 3 6 3 8" xfId="6805"/>
    <cellStyle name="Normale 3 3 6 3 8 2" xfId="14268"/>
    <cellStyle name="Normale 3 3 6 3 8 3" xfId="21676"/>
    <cellStyle name="Normale 3 3 6 3 8 4" xfId="23281"/>
    <cellStyle name="Normale 3 3 6 3 9" xfId="7744"/>
    <cellStyle name="Normale 3 3 6 4" xfId="604"/>
    <cellStyle name="Normale 3 3 6 4 10" xfId="15477"/>
    <cellStyle name="Normale 3 3 6 4 11" xfId="23736"/>
    <cellStyle name="Normale 3 3 6 4 12" xfId="30286"/>
    <cellStyle name="Normale 3 3 6 4 13" xfId="31221"/>
    <cellStyle name="Normale 3 3 6 4 14" xfId="32139"/>
    <cellStyle name="Normale 3 3 6 4 15" xfId="33059"/>
    <cellStyle name="Normale 3 3 6 4 16" xfId="34004"/>
    <cellStyle name="Normale 3 3 6 4 17" xfId="34934"/>
    <cellStyle name="Normale 3 3 6 4 18" xfId="35860"/>
    <cellStyle name="Normale 3 3 6 4 19" xfId="36786"/>
    <cellStyle name="Normale 3 3 6 4 2" xfId="1571"/>
    <cellStyle name="Normale 3 3 6 4 2 2" xfId="9034"/>
    <cellStyle name="Normale 3 3 6 4 2 3" xfId="16442"/>
    <cellStyle name="Normale 3 3 6 4 2 4" xfId="29109"/>
    <cellStyle name="Normale 3 3 6 4 20" xfId="37698"/>
    <cellStyle name="Normale 3 3 6 4 3" xfId="2502"/>
    <cellStyle name="Normale 3 3 6 4 3 2" xfId="9965"/>
    <cellStyle name="Normale 3 3 6 4 3 3" xfId="17373"/>
    <cellStyle name="Normale 3 3 6 4 3 4" xfId="28173"/>
    <cellStyle name="Normale 3 3 6 4 4" xfId="3421"/>
    <cellStyle name="Normale 3 3 6 4 4 2" xfId="10884"/>
    <cellStyle name="Normale 3 3 6 4 4 3" xfId="18292"/>
    <cellStyle name="Normale 3 3 6 4 4 4" xfId="28154"/>
    <cellStyle name="Normale 3 3 6 4 5" xfId="4357"/>
    <cellStyle name="Normale 3 3 6 4 5 2" xfId="11820"/>
    <cellStyle name="Normale 3 3 6 4 5 3" xfId="19228"/>
    <cellStyle name="Normale 3 3 6 4 5 4" xfId="26295"/>
    <cellStyle name="Normale 3 3 6 4 6" xfId="5277"/>
    <cellStyle name="Normale 3 3 6 4 6 2" xfId="12740"/>
    <cellStyle name="Normale 3 3 6 4 6 3" xfId="20148"/>
    <cellStyle name="Normale 3 3 6 4 6 4" xfId="27182"/>
    <cellStyle name="Normale 3 3 6 4 7" xfId="6208"/>
    <cellStyle name="Normale 3 3 6 4 7 2" xfId="13671"/>
    <cellStyle name="Normale 3 3 6 4 7 3" xfId="21079"/>
    <cellStyle name="Normale 3 3 6 4 7 4" xfId="26418"/>
    <cellStyle name="Normale 3 3 6 4 8" xfId="7120"/>
    <cellStyle name="Normale 3 3 6 4 8 2" xfId="14583"/>
    <cellStyle name="Normale 3 3 6 4 8 3" xfId="21991"/>
    <cellStyle name="Normale 3 3 6 4 8 4" xfId="24076"/>
    <cellStyle name="Normale 3 3 6 4 9" xfId="8067"/>
    <cellStyle name="Normale 3 3 6 5" xfId="660"/>
    <cellStyle name="Normale 3 3 6 5 10" xfId="15532"/>
    <cellStyle name="Normale 3 3 6 5 11" xfId="22702"/>
    <cellStyle name="Normale 3 3 6 5 12" xfId="30339"/>
    <cellStyle name="Normale 3 3 6 5 13" xfId="31276"/>
    <cellStyle name="Normale 3 3 6 5 14" xfId="32193"/>
    <cellStyle name="Normale 3 3 6 5 15" xfId="33112"/>
    <cellStyle name="Normale 3 3 6 5 16" xfId="34059"/>
    <cellStyle name="Normale 3 3 6 5 17" xfId="34990"/>
    <cellStyle name="Normale 3 3 6 5 18" xfId="35916"/>
    <cellStyle name="Normale 3 3 6 5 19" xfId="36841"/>
    <cellStyle name="Normale 3 3 6 5 2" xfId="1626"/>
    <cellStyle name="Normale 3 3 6 5 2 2" xfId="9089"/>
    <cellStyle name="Normale 3 3 6 5 2 3" xfId="16497"/>
    <cellStyle name="Normale 3 3 6 5 2 4" xfId="23025"/>
    <cellStyle name="Normale 3 3 6 5 20" xfId="37751"/>
    <cellStyle name="Normale 3 3 6 5 3" xfId="2558"/>
    <cellStyle name="Normale 3 3 6 5 3 2" xfId="10021"/>
    <cellStyle name="Normale 3 3 6 5 3 3" xfId="17429"/>
    <cellStyle name="Normale 3 3 6 5 3 4" xfId="27982"/>
    <cellStyle name="Normale 3 3 6 5 4" xfId="3476"/>
    <cellStyle name="Normale 3 3 6 5 4 2" xfId="10939"/>
    <cellStyle name="Normale 3 3 6 5 4 3" xfId="18347"/>
    <cellStyle name="Normale 3 3 6 5 4 4" xfId="22629"/>
    <cellStyle name="Normale 3 3 6 5 5" xfId="4413"/>
    <cellStyle name="Normale 3 3 6 5 5 2" xfId="11876"/>
    <cellStyle name="Normale 3 3 6 5 5 3" xfId="19284"/>
    <cellStyle name="Normale 3 3 6 5 5 4" xfId="26712"/>
    <cellStyle name="Normale 3 3 6 5 6" xfId="5331"/>
    <cellStyle name="Normale 3 3 6 5 6 2" xfId="12794"/>
    <cellStyle name="Normale 3 3 6 5 6 3" xfId="20202"/>
    <cellStyle name="Normale 3 3 6 5 6 4" xfId="29431"/>
    <cellStyle name="Normale 3 3 6 5 7" xfId="6264"/>
    <cellStyle name="Normale 3 3 6 5 7 2" xfId="13727"/>
    <cellStyle name="Normale 3 3 6 5 7 3" xfId="21135"/>
    <cellStyle name="Normale 3 3 6 5 7 4" xfId="25321"/>
    <cellStyle name="Normale 3 3 6 5 8" xfId="7173"/>
    <cellStyle name="Normale 3 3 6 5 8 2" xfId="14636"/>
    <cellStyle name="Normale 3 3 6 5 8 3" xfId="22044"/>
    <cellStyle name="Normale 3 3 6 5 8 4" xfId="26599"/>
    <cellStyle name="Normale 3 3 6 5 9" xfId="8123"/>
    <cellStyle name="Normale 3 3 6 6" xfId="744"/>
    <cellStyle name="Normale 3 3 6 6 10" xfId="15615"/>
    <cellStyle name="Normale 3 3 6 6 11" xfId="22957"/>
    <cellStyle name="Normale 3 3 6 6 12" xfId="30418"/>
    <cellStyle name="Normale 3 3 6 6 13" xfId="31359"/>
    <cellStyle name="Normale 3 3 6 6 14" xfId="32272"/>
    <cellStyle name="Normale 3 3 6 6 15" xfId="33189"/>
    <cellStyle name="Normale 3 3 6 6 16" xfId="34142"/>
    <cellStyle name="Normale 3 3 6 6 17" xfId="35074"/>
    <cellStyle name="Normale 3 3 6 6 18" xfId="36000"/>
    <cellStyle name="Normale 3 3 6 6 19" xfId="36925"/>
    <cellStyle name="Normale 3 3 6 6 2" xfId="1709"/>
    <cellStyle name="Normale 3 3 6 6 2 2" xfId="9172"/>
    <cellStyle name="Normale 3 3 6 6 2 3" xfId="16580"/>
    <cellStyle name="Normale 3 3 6 6 2 4" xfId="27273"/>
    <cellStyle name="Normale 3 3 6 6 20" xfId="37828"/>
    <cellStyle name="Normale 3 3 6 6 3" xfId="2642"/>
    <cellStyle name="Normale 3 3 6 6 3 2" xfId="10105"/>
    <cellStyle name="Normale 3 3 6 6 3 3" xfId="17513"/>
    <cellStyle name="Normale 3 3 6 6 3 4" xfId="25067"/>
    <cellStyle name="Normale 3 3 6 6 4" xfId="3558"/>
    <cellStyle name="Normale 3 3 6 6 4 2" xfId="11021"/>
    <cellStyle name="Normale 3 3 6 6 4 3" xfId="18429"/>
    <cellStyle name="Normale 3 3 6 6 4 4" xfId="28619"/>
    <cellStyle name="Normale 3 3 6 6 5" xfId="4497"/>
    <cellStyle name="Normale 3 3 6 6 5 2" xfId="11960"/>
    <cellStyle name="Normale 3 3 6 6 5 3" xfId="19368"/>
    <cellStyle name="Normale 3 3 6 6 5 4" xfId="27870"/>
    <cellStyle name="Normale 3 3 6 6 6" xfId="5413"/>
    <cellStyle name="Normale 3 3 6 6 6 2" xfId="12876"/>
    <cellStyle name="Normale 3 3 6 6 6 3" xfId="20284"/>
    <cellStyle name="Normale 3 3 6 6 6 4" xfId="27178"/>
    <cellStyle name="Normale 3 3 6 6 7" xfId="6346"/>
    <cellStyle name="Normale 3 3 6 6 7 2" xfId="13809"/>
    <cellStyle name="Normale 3 3 6 6 7 3" xfId="21217"/>
    <cellStyle name="Normale 3 3 6 6 7 4" xfId="25128"/>
    <cellStyle name="Normale 3 3 6 6 8" xfId="7250"/>
    <cellStyle name="Normale 3 3 6 6 8 2" xfId="14713"/>
    <cellStyle name="Normale 3 3 6 6 8 3" xfId="22121"/>
    <cellStyle name="Normale 3 3 6 6 8 4" xfId="27820"/>
    <cellStyle name="Normale 3 3 6 6 9" xfId="8207"/>
    <cellStyle name="Normale 3 3 6 7" xfId="815"/>
    <cellStyle name="Normale 3 3 6 7 10" xfId="15686"/>
    <cellStyle name="Normale 3 3 6 7 11" xfId="29487"/>
    <cellStyle name="Normale 3 3 6 7 12" xfId="30487"/>
    <cellStyle name="Normale 3 3 6 7 13" xfId="31430"/>
    <cellStyle name="Normale 3 3 6 7 14" xfId="32342"/>
    <cellStyle name="Normale 3 3 6 7 15" xfId="33258"/>
    <cellStyle name="Normale 3 3 6 7 16" xfId="34213"/>
    <cellStyle name="Normale 3 3 6 7 17" xfId="35145"/>
    <cellStyle name="Normale 3 3 6 7 18" xfId="36071"/>
    <cellStyle name="Normale 3 3 6 7 19" xfId="36996"/>
    <cellStyle name="Normale 3 3 6 7 2" xfId="1780"/>
    <cellStyle name="Normale 3 3 6 7 2 2" xfId="9243"/>
    <cellStyle name="Normale 3 3 6 7 2 3" xfId="16651"/>
    <cellStyle name="Normale 3 3 6 7 2 4" xfId="25720"/>
    <cellStyle name="Normale 3 3 6 7 20" xfId="37897"/>
    <cellStyle name="Normale 3 3 6 7 3" xfId="2713"/>
    <cellStyle name="Normale 3 3 6 7 3 2" xfId="10176"/>
    <cellStyle name="Normale 3 3 6 7 3 3" xfId="17584"/>
    <cellStyle name="Normale 3 3 6 7 3 4" xfId="23984"/>
    <cellStyle name="Normale 3 3 6 7 4" xfId="3628"/>
    <cellStyle name="Normale 3 3 6 7 4 2" xfId="11091"/>
    <cellStyle name="Normale 3 3 6 7 4 3" xfId="18499"/>
    <cellStyle name="Normale 3 3 6 7 4 4" xfId="29058"/>
    <cellStyle name="Normale 3 3 6 7 5" xfId="4568"/>
    <cellStyle name="Normale 3 3 6 7 5 2" xfId="12031"/>
    <cellStyle name="Normale 3 3 6 7 5 3" xfId="19439"/>
    <cellStyle name="Normale 3 3 6 7 5 4" xfId="26820"/>
    <cellStyle name="Normale 3 3 6 7 6" xfId="5483"/>
    <cellStyle name="Normale 3 3 6 7 6 2" xfId="12946"/>
    <cellStyle name="Normale 3 3 6 7 6 3" xfId="20354"/>
    <cellStyle name="Normale 3 3 6 7 6 4" xfId="26629"/>
    <cellStyle name="Normale 3 3 6 7 7" xfId="6417"/>
    <cellStyle name="Normale 3 3 6 7 7 2" xfId="13880"/>
    <cellStyle name="Normale 3 3 6 7 7 3" xfId="21288"/>
    <cellStyle name="Normale 3 3 6 7 7 4" xfId="24055"/>
    <cellStyle name="Normale 3 3 6 7 8" xfId="7319"/>
    <cellStyle name="Normale 3 3 6 7 8 2" xfId="14782"/>
    <cellStyle name="Normale 3 3 6 7 8 3" xfId="22190"/>
    <cellStyle name="Normale 3 3 6 7 8 4" xfId="24711"/>
    <cellStyle name="Normale 3 3 6 7 9" xfId="8278"/>
    <cellStyle name="Normale 3 3 6 8" xfId="886"/>
    <cellStyle name="Normale 3 3 6 8 10" xfId="15757"/>
    <cellStyle name="Normale 3 3 6 8 11" xfId="28442"/>
    <cellStyle name="Normale 3 3 6 8 12" xfId="30555"/>
    <cellStyle name="Normale 3 3 6 8 13" xfId="31501"/>
    <cellStyle name="Normale 3 3 6 8 14" xfId="32412"/>
    <cellStyle name="Normale 3 3 6 8 15" xfId="33324"/>
    <cellStyle name="Normale 3 3 6 8 16" xfId="34284"/>
    <cellStyle name="Normale 3 3 6 8 17" xfId="35216"/>
    <cellStyle name="Normale 3 3 6 8 18" xfId="36142"/>
    <cellStyle name="Normale 3 3 6 8 19" xfId="37067"/>
    <cellStyle name="Normale 3 3 6 8 2" xfId="1851"/>
    <cellStyle name="Normale 3 3 6 8 2 2" xfId="9314"/>
    <cellStyle name="Normale 3 3 6 8 2 3" xfId="16722"/>
    <cellStyle name="Normale 3 3 6 8 2 4" xfId="26359"/>
    <cellStyle name="Normale 3 3 6 8 20" xfId="37963"/>
    <cellStyle name="Normale 3 3 6 8 3" xfId="2784"/>
    <cellStyle name="Normale 3 3 6 8 3 2" xfId="10247"/>
    <cellStyle name="Normale 3 3 6 8 3 3" xfId="17655"/>
    <cellStyle name="Normale 3 3 6 8 3 4" xfId="24691"/>
    <cellStyle name="Normale 3 3 6 8 4" xfId="3698"/>
    <cellStyle name="Normale 3 3 6 8 4 2" xfId="11161"/>
    <cellStyle name="Normale 3 3 6 8 4 3" xfId="18569"/>
    <cellStyle name="Normale 3 3 6 8 4 4" xfId="24944"/>
    <cellStyle name="Normale 3 3 6 8 5" xfId="4639"/>
    <cellStyle name="Normale 3 3 6 8 5 2" xfId="12102"/>
    <cellStyle name="Normale 3 3 6 8 5 3" xfId="19510"/>
    <cellStyle name="Normale 3 3 6 8 5 4" xfId="27482"/>
    <cellStyle name="Normale 3 3 6 8 6" xfId="5553"/>
    <cellStyle name="Normale 3 3 6 8 6 2" xfId="13016"/>
    <cellStyle name="Normale 3 3 6 8 6 3" xfId="20424"/>
    <cellStyle name="Normale 3 3 6 8 6 4" xfId="28096"/>
    <cellStyle name="Normale 3 3 6 8 7" xfId="6488"/>
    <cellStyle name="Normale 3 3 6 8 7 2" xfId="13951"/>
    <cellStyle name="Normale 3 3 6 8 7 3" xfId="21359"/>
    <cellStyle name="Normale 3 3 6 8 7 4" xfId="24720"/>
    <cellStyle name="Normale 3 3 6 8 8" xfId="7385"/>
    <cellStyle name="Normale 3 3 6 8 8 2" xfId="14848"/>
    <cellStyle name="Normale 3 3 6 8 8 3" xfId="22256"/>
    <cellStyle name="Normale 3 3 6 8 8 4" xfId="28604"/>
    <cellStyle name="Normale 3 3 6 8 9" xfId="8349"/>
    <cellStyle name="Normale 3 3 6 9" xfId="953"/>
    <cellStyle name="Normale 3 3 6 9 10" xfId="15824"/>
    <cellStyle name="Normale 3 3 6 9 11" xfId="25571"/>
    <cellStyle name="Normale 3 3 6 9 12" xfId="30619"/>
    <cellStyle name="Normale 3 3 6 9 13" xfId="31567"/>
    <cellStyle name="Normale 3 3 6 9 14" xfId="32478"/>
    <cellStyle name="Normale 3 3 6 9 15" xfId="33388"/>
    <cellStyle name="Normale 3 3 6 9 16" xfId="34351"/>
    <cellStyle name="Normale 3 3 6 9 17" xfId="35283"/>
    <cellStyle name="Normale 3 3 6 9 18" xfId="36208"/>
    <cellStyle name="Normale 3 3 6 9 19" xfId="37134"/>
    <cellStyle name="Normale 3 3 6 9 2" xfId="1918"/>
    <cellStyle name="Normale 3 3 6 9 2 2" xfId="9381"/>
    <cellStyle name="Normale 3 3 6 9 2 3" xfId="16789"/>
    <cellStyle name="Normale 3 3 6 9 2 4" xfId="26940"/>
    <cellStyle name="Normale 3 3 6 9 20" xfId="38027"/>
    <cellStyle name="Normale 3 3 6 9 3" xfId="2850"/>
    <cellStyle name="Normale 3 3 6 9 3 2" xfId="10313"/>
    <cellStyle name="Normale 3 3 6 9 3 3" xfId="17721"/>
    <cellStyle name="Normale 3 3 6 9 3 4" xfId="29078"/>
    <cellStyle name="Normale 3 3 6 9 4" xfId="3765"/>
    <cellStyle name="Normale 3 3 6 9 4 2" xfId="11228"/>
    <cellStyle name="Normale 3 3 6 9 4 3" xfId="18636"/>
    <cellStyle name="Normale 3 3 6 9 4 4" xfId="28144"/>
    <cellStyle name="Normale 3 3 6 9 5" xfId="4706"/>
    <cellStyle name="Normale 3 3 6 9 5 2" xfId="12169"/>
    <cellStyle name="Normale 3 3 6 9 5 3" xfId="19577"/>
    <cellStyle name="Normale 3 3 6 9 5 4" xfId="24444"/>
    <cellStyle name="Normale 3 3 6 9 6" xfId="5620"/>
    <cellStyle name="Normale 3 3 6 9 6 2" xfId="13083"/>
    <cellStyle name="Normale 3 3 6 9 6 3" xfId="20491"/>
    <cellStyle name="Normale 3 3 6 9 6 4" xfId="28642"/>
    <cellStyle name="Normale 3 3 6 9 7" xfId="6555"/>
    <cellStyle name="Normale 3 3 6 9 7 2" xfId="14018"/>
    <cellStyle name="Normale 3 3 6 9 7 3" xfId="21426"/>
    <cellStyle name="Normale 3 3 6 9 7 4" xfId="27644"/>
    <cellStyle name="Normale 3 3 6 9 8" xfId="7449"/>
    <cellStyle name="Normale 3 3 6 9 8 2" xfId="14912"/>
    <cellStyle name="Normale 3 3 6 9 8 3" xfId="22320"/>
    <cellStyle name="Normale 3 3 6 9 8 4" xfId="22339"/>
    <cellStyle name="Normale 3 3 6 9 9" xfId="8416"/>
    <cellStyle name="Normale 3 3 7" xfId="85"/>
    <cellStyle name="Normale 3 3 7 10" xfId="2911"/>
    <cellStyle name="Normale 3 3 7 10 2" xfId="10374"/>
    <cellStyle name="Normale 3 3 7 10 3" xfId="17782"/>
    <cellStyle name="Normale 3 3 7 10 4" xfId="25656"/>
    <cellStyle name="Normale 3 3 7 11" xfId="3840"/>
    <cellStyle name="Normale 3 3 7 11 2" xfId="11303"/>
    <cellStyle name="Normale 3 3 7 11 3" xfId="18711"/>
    <cellStyle name="Normale 3 3 7 11 4" xfId="26715"/>
    <cellStyle name="Normale 3 3 7 12" xfId="4767"/>
    <cellStyle name="Normale 3 3 7 12 2" xfId="12230"/>
    <cellStyle name="Normale 3 3 7 12 3" xfId="19638"/>
    <cellStyle name="Normale 3 3 7 12 4" xfId="27537"/>
    <cellStyle name="Normale 3 3 7 13" xfId="5694"/>
    <cellStyle name="Normale 3 3 7 13 2" xfId="13157"/>
    <cellStyle name="Normale 3 3 7 13 3" xfId="20565"/>
    <cellStyle name="Normale 3 3 7 13 4" xfId="28605"/>
    <cellStyle name="Normale 3 3 7 14" xfId="6616"/>
    <cellStyle name="Normale 3 3 7 14 2" xfId="14079"/>
    <cellStyle name="Normale 3 3 7 14 3" xfId="21487"/>
    <cellStyle name="Normale 3 3 7 14 4" xfId="24778"/>
    <cellStyle name="Normale 3 3 7 15" xfId="7550"/>
    <cellStyle name="Normale 3 3 7 16" xfId="14959"/>
    <cellStyle name="Normale 3 3 7 17" xfId="28955"/>
    <cellStyle name="Normale 3 3 7 18" xfId="29776"/>
    <cellStyle name="Normale 3 3 7 19" xfId="30706"/>
    <cellStyle name="Normale 3 3 7 2" xfId="283"/>
    <cellStyle name="Normale 3 3 7 2 10" xfId="15156"/>
    <cellStyle name="Normale 3 3 7 2 11" xfId="26402"/>
    <cellStyle name="Normale 3 3 7 2 12" xfId="29968"/>
    <cellStyle name="Normale 3 3 7 2 13" xfId="30900"/>
    <cellStyle name="Normale 3 3 7 2 14" xfId="31821"/>
    <cellStyle name="Normale 3 3 7 2 15" xfId="32746"/>
    <cellStyle name="Normale 3 3 7 2 16" xfId="33683"/>
    <cellStyle name="Normale 3 3 7 2 17" xfId="34613"/>
    <cellStyle name="Normale 3 3 7 2 18" xfId="35539"/>
    <cellStyle name="Normale 3 3 7 2 19" xfId="36465"/>
    <cellStyle name="Normale 3 3 7 2 2" xfId="1250"/>
    <cellStyle name="Normale 3 3 7 2 2 2" xfId="8713"/>
    <cellStyle name="Normale 3 3 7 2 2 3" xfId="16121"/>
    <cellStyle name="Normale 3 3 7 2 2 4" xfId="23422"/>
    <cellStyle name="Normale 3 3 7 2 20" xfId="37385"/>
    <cellStyle name="Normale 3 3 7 2 3" xfId="2181"/>
    <cellStyle name="Normale 3 3 7 2 3 2" xfId="9644"/>
    <cellStyle name="Normale 3 3 7 2 3 3" xfId="17052"/>
    <cellStyle name="Normale 3 3 7 2 3 4" xfId="28907"/>
    <cellStyle name="Normale 3 3 7 2 4" xfId="3103"/>
    <cellStyle name="Normale 3 3 7 2 4 2" xfId="10566"/>
    <cellStyle name="Normale 3 3 7 2 4 3" xfId="17974"/>
    <cellStyle name="Normale 3 3 7 2 4 4" xfId="22449"/>
    <cellStyle name="Normale 3 3 7 2 5" xfId="4036"/>
    <cellStyle name="Normale 3 3 7 2 5 2" xfId="11499"/>
    <cellStyle name="Normale 3 3 7 2 5 3" xfId="18907"/>
    <cellStyle name="Normale 3 3 7 2 5 4" xfId="22742"/>
    <cellStyle name="Normale 3 3 7 2 6" xfId="4959"/>
    <cellStyle name="Normale 3 3 7 2 6 2" xfId="12422"/>
    <cellStyle name="Normale 3 3 7 2 6 3" xfId="19830"/>
    <cellStyle name="Normale 3 3 7 2 6 4" xfId="26281"/>
    <cellStyle name="Normale 3 3 7 2 7" xfId="5887"/>
    <cellStyle name="Normale 3 3 7 2 7 2" xfId="13350"/>
    <cellStyle name="Normale 3 3 7 2 7 3" xfId="20758"/>
    <cellStyle name="Normale 3 3 7 2 7 4" xfId="26259"/>
    <cellStyle name="Normale 3 3 7 2 8" xfId="6807"/>
    <cellStyle name="Normale 3 3 7 2 8 2" xfId="14270"/>
    <cellStyle name="Normale 3 3 7 2 8 3" xfId="21678"/>
    <cellStyle name="Normale 3 3 7 2 8 4" xfId="28976"/>
    <cellStyle name="Normale 3 3 7 2 9" xfId="7746"/>
    <cellStyle name="Normale 3 3 7 20" xfId="31629"/>
    <cellStyle name="Normale 3 3 7 21" xfId="32555"/>
    <cellStyle name="Normale 3 3 7 22" xfId="33489"/>
    <cellStyle name="Normale 3 3 7 23" xfId="34417"/>
    <cellStyle name="Normale 3 3 7 24" xfId="35345"/>
    <cellStyle name="Normale 3 3 7 25" xfId="36271"/>
    <cellStyle name="Normale 3 3 7 26" xfId="37194"/>
    <cellStyle name="Normale 3 3 7 3" xfId="675"/>
    <cellStyle name="Normale 3 3 7 3 10" xfId="15547"/>
    <cellStyle name="Normale 3 3 7 3 11" xfId="24352"/>
    <cellStyle name="Normale 3 3 7 3 12" xfId="30350"/>
    <cellStyle name="Normale 3 3 7 3 13" xfId="31291"/>
    <cellStyle name="Normale 3 3 7 3 14" xfId="32205"/>
    <cellStyle name="Normale 3 3 7 3 15" xfId="33123"/>
    <cellStyle name="Normale 3 3 7 3 16" xfId="34074"/>
    <cellStyle name="Normale 3 3 7 3 17" xfId="35005"/>
    <cellStyle name="Normale 3 3 7 3 18" xfId="35931"/>
    <cellStyle name="Normale 3 3 7 3 19" xfId="36856"/>
    <cellStyle name="Normale 3 3 7 3 2" xfId="1641"/>
    <cellStyle name="Normale 3 3 7 3 2 2" xfId="9104"/>
    <cellStyle name="Normale 3 3 7 3 2 3" xfId="16512"/>
    <cellStyle name="Normale 3 3 7 3 2 4" xfId="23885"/>
    <cellStyle name="Normale 3 3 7 3 20" xfId="37762"/>
    <cellStyle name="Normale 3 3 7 3 3" xfId="2573"/>
    <cellStyle name="Normale 3 3 7 3 3 2" xfId="10036"/>
    <cellStyle name="Normale 3 3 7 3 3 3" xfId="17444"/>
    <cellStyle name="Normale 3 3 7 3 3 4" xfId="29585"/>
    <cellStyle name="Normale 3 3 7 3 4" xfId="3490"/>
    <cellStyle name="Normale 3 3 7 3 4 2" xfId="10953"/>
    <cellStyle name="Normale 3 3 7 3 4 3" xfId="18361"/>
    <cellStyle name="Normale 3 3 7 3 4 4" xfId="23366"/>
    <cellStyle name="Normale 3 3 7 3 5" xfId="4428"/>
    <cellStyle name="Normale 3 3 7 3 5 2" xfId="11891"/>
    <cellStyle name="Normale 3 3 7 3 5 3" xfId="19299"/>
    <cellStyle name="Normale 3 3 7 3 5 4" xfId="23144"/>
    <cellStyle name="Normale 3 3 7 3 6" xfId="5345"/>
    <cellStyle name="Normale 3 3 7 3 6 2" xfId="12808"/>
    <cellStyle name="Normale 3 3 7 3 6 3" xfId="20216"/>
    <cellStyle name="Normale 3 3 7 3 6 4" xfId="23862"/>
    <cellStyle name="Normale 3 3 7 3 7" xfId="6278"/>
    <cellStyle name="Normale 3 3 7 3 7 2" xfId="13741"/>
    <cellStyle name="Normale 3 3 7 3 7 3" xfId="21149"/>
    <cellStyle name="Normale 3 3 7 3 7 4" xfId="28677"/>
    <cellStyle name="Normale 3 3 7 3 8" xfId="7184"/>
    <cellStyle name="Normale 3 3 7 3 8 2" xfId="14647"/>
    <cellStyle name="Normale 3 3 7 3 8 3" xfId="22055"/>
    <cellStyle name="Normale 3 3 7 3 8 4" xfId="23789"/>
    <cellStyle name="Normale 3 3 7 3 9" xfId="8138"/>
    <cellStyle name="Normale 3 3 7 4" xfId="760"/>
    <cellStyle name="Normale 3 3 7 4 10" xfId="15631"/>
    <cellStyle name="Normale 3 3 7 4 11" xfId="22853"/>
    <cellStyle name="Normale 3 3 7 4 12" xfId="30434"/>
    <cellStyle name="Normale 3 3 7 4 13" xfId="31375"/>
    <cellStyle name="Normale 3 3 7 4 14" xfId="32288"/>
    <cellStyle name="Normale 3 3 7 4 15" xfId="33205"/>
    <cellStyle name="Normale 3 3 7 4 16" xfId="34158"/>
    <cellStyle name="Normale 3 3 7 4 17" xfId="35090"/>
    <cellStyle name="Normale 3 3 7 4 18" xfId="36016"/>
    <cellStyle name="Normale 3 3 7 4 19" xfId="36941"/>
    <cellStyle name="Normale 3 3 7 4 2" xfId="1725"/>
    <cellStyle name="Normale 3 3 7 4 2 2" xfId="9188"/>
    <cellStyle name="Normale 3 3 7 4 2 3" xfId="16596"/>
    <cellStyle name="Normale 3 3 7 4 2 4" xfId="26364"/>
    <cellStyle name="Normale 3 3 7 4 20" xfId="37844"/>
    <cellStyle name="Normale 3 3 7 4 3" xfId="2658"/>
    <cellStyle name="Normale 3 3 7 4 3 2" xfId="10121"/>
    <cellStyle name="Normale 3 3 7 4 3 3" xfId="17529"/>
    <cellStyle name="Normale 3 3 7 4 3 4" xfId="24925"/>
    <cellStyle name="Normale 3 3 7 4 4" xfId="3574"/>
    <cellStyle name="Normale 3 3 7 4 4 2" xfId="11037"/>
    <cellStyle name="Normale 3 3 7 4 4 3" xfId="18445"/>
    <cellStyle name="Normale 3 3 7 4 4 4" xfId="28471"/>
    <cellStyle name="Normale 3 3 7 4 5" xfId="4513"/>
    <cellStyle name="Normale 3 3 7 4 5 2" xfId="11976"/>
    <cellStyle name="Normale 3 3 7 4 5 3" xfId="19384"/>
    <cellStyle name="Normale 3 3 7 4 5 4" xfId="27739"/>
    <cellStyle name="Normale 3 3 7 4 6" xfId="5429"/>
    <cellStyle name="Normale 3 3 7 4 6 2" xfId="12892"/>
    <cellStyle name="Normale 3 3 7 4 6 3" xfId="20300"/>
    <cellStyle name="Normale 3 3 7 4 6 4" xfId="26269"/>
    <cellStyle name="Normale 3 3 7 4 7" xfId="6362"/>
    <cellStyle name="Normale 3 3 7 4 7 2" xfId="13825"/>
    <cellStyle name="Normale 3 3 7 4 7 3" xfId="21233"/>
    <cellStyle name="Normale 3 3 7 4 7 4" xfId="24997"/>
    <cellStyle name="Normale 3 3 7 4 8" xfId="7266"/>
    <cellStyle name="Normale 3 3 7 4 8 2" xfId="14729"/>
    <cellStyle name="Normale 3 3 7 4 8 3" xfId="22137"/>
    <cellStyle name="Normale 3 3 7 4 8 4" xfId="28384"/>
    <cellStyle name="Normale 3 3 7 4 9" xfId="8223"/>
    <cellStyle name="Normale 3 3 7 5" xfId="831"/>
    <cellStyle name="Normale 3 3 7 5 10" xfId="15702"/>
    <cellStyle name="Normale 3 3 7 5 11" xfId="29129"/>
    <cellStyle name="Normale 3 3 7 5 12" xfId="30503"/>
    <cellStyle name="Normale 3 3 7 5 13" xfId="31446"/>
    <cellStyle name="Normale 3 3 7 5 14" xfId="32358"/>
    <cellStyle name="Normale 3 3 7 5 15" xfId="33274"/>
    <cellStyle name="Normale 3 3 7 5 16" xfId="34229"/>
    <cellStyle name="Normale 3 3 7 5 17" xfId="35161"/>
    <cellStyle name="Normale 3 3 7 5 18" xfId="36087"/>
    <cellStyle name="Normale 3 3 7 5 19" xfId="37012"/>
    <cellStyle name="Normale 3 3 7 5 2" xfId="1796"/>
    <cellStyle name="Normale 3 3 7 5 2 2" xfId="9259"/>
    <cellStyle name="Normale 3 3 7 5 2 3" xfId="16667"/>
    <cellStyle name="Normale 3 3 7 5 2 4" xfId="25612"/>
    <cellStyle name="Normale 3 3 7 5 20" xfId="37913"/>
    <cellStyle name="Normale 3 3 7 5 3" xfId="2729"/>
    <cellStyle name="Normale 3 3 7 5 3 2" xfId="10192"/>
    <cellStyle name="Normale 3 3 7 5 3 3" xfId="17600"/>
    <cellStyle name="Normale 3 3 7 5 3 4" xfId="23847"/>
    <cellStyle name="Normale 3 3 7 5 4" xfId="3644"/>
    <cellStyle name="Normale 3 3 7 5 4 2" xfId="11107"/>
    <cellStyle name="Normale 3 3 7 5 4 3" xfId="18515"/>
    <cellStyle name="Normale 3 3 7 5 4 4" xfId="22626"/>
    <cellStyle name="Normale 3 3 7 5 5" xfId="4584"/>
    <cellStyle name="Normale 3 3 7 5 5 2" xfId="12047"/>
    <cellStyle name="Normale 3 3 7 5 5 3" xfId="19455"/>
    <cellStyle name="Normale 3 3 7 5 5 4" xfId="26666"/>
    <cellStyle name="Normale 3 3 7 5 6" xfId="5499"/>
    <cellStyle name="Normale 3 3 7 5 6 2" xfId="12962"/>
    <cellStyle name="Normale 3 3 7 5 6 3" xfId="20370"/>
    <cellStyle name="Normale 3 3 7 5 6 4" xfId="26518"/>
    <cellStyle name="Normale 3 3 7 5 7" xfId="6433"/>
    <cellStyle name="Normale 3 3 7 5 7 2" xfId="13896"/>
    <cellStyle name="Normale 3 3 7 5 7 3" xfId="21304"/>
    <cellStyle name="Normale 3 3 7 5 7 4" xfId="23903"/>
    <cellStyle name="Normale 3 3 7 5 8" xfId="7335"/>
    <cellStyle name="Normale 3 3 7 5 8 2" xfId="14798"/>
    <cellStyle name="Normale 3 3 7 5 8 3" xfId="22206"/>
    <cellStyle name="Normale 3 3 7 5 8 4" xfId="24608"/>
    <cellStyle name="Normale 3 3 7 5 9" xfId="8294"/>
    <cellStyle name="Normale 3 3 7 6" xfId="902"/>
    <cellStyle name="Normale 3 3 7 6 10" xfId="15773"/>
    <cellStyle name="Normale 3 3 7 6 11" xfId="27107"/>
    <cellStyle name="Normale 3 3 7 6 12" xfId="30571"/>
    <cellStyle name="Normale 3 3 7 6 13" xfId="31517"/>
    <cellStyle name="Normale 3 3 7 6 14" xfId="32428"/>
    <cellStyle name="Normale 3 3 7 6 15" xfId="33340"/>
    <cellStyle name="Normale 3 3 7 6 16" xfId="34300"/>
    <cellStyle name="Normale 3 3 7 6 17" xfId="35232"/>
    <cellStyle name="Normale 3 3 7 6 18" xfId="36158"/>
    <cellStyle name="Normale 3 3 7 6 19" xfId="37083"/>
    <cellStyle name="Normale 3 3 7 6 2" xfId="1867"/>
    <cellStyle name="Normale 3 3 7 6 2 2" xfId="9330"/>
    <cellStyle name="Normale 3 3 7 6 2 3" xfId="16738"/>
    <cellStyle name="Normale 3 3 7 6 2 4" xfId="25433"/>
    <cellStyle name="Normale 3 3 7 6 20" xfId="37979"/>
    <cellStyle name="Normale 3 3 7 6 3" xfId="2800"/>
    <cellStyle name="Normale 3 3 7 6 3 2" xfId="10263"/>
    <cellStyle name="Normale 3 3 7 6 3 3" xfId="17671"/>
    <cellStyle name="Normale 3 3 7 6 3 4" xfId="24595"/>
    <cellStyle name="Normale 3 3 7 6 4" xfId="3714"/>
    <cellStyle name="Normale 3 3 7 6 4 2" xfId="11177"/>
    <cellStyle name="Normale 3 3 7 6 4 3" xfId="18585"/>
    <cellStyle name="Normale 3 3 7 6 4 4" xfId="24795"/>
    <cellStyle name="Normale 3 3 7 6 5" xfId="4655"/>
    <cellStyle name="Normale 3 3 7 6 5 2" xfId="12118"/>
    <cellStyle name="Normale 3 3 7 6 5 3" xfId="19526"/>
    <cellStyle name="Normale 3 3 7 6 5 4" xfId="27384"/>
    <cellStyle name="Normale 3 3 7 6 6" xfId="5569"/>
    <cellStyle name="Normale 3 3 7 6 6 2" xfId="13032"/>
    <cellStyle name="Normale 3 3 7 6 6 3" xfId="20440"/>
    <cellStyle name="Normale 3 3 7 6 6 4" xfId="27175"/>
    <cellStyle name="Normale 3 3 7 6 7" xfId="6504"/>
    <cellStyle name="Normale 3 3 7 6 7 2" xfId="13967"/>
    <cellStyle name="Normale 3 3 7 6 7 3" xfId="21375"/>
    <cellStyle name="Normale 3 3 7 6 7 4" xfId="24620"/>
    <cellStyle name="Normale 3 3 7 6 8" xfId="7401"/>
    <cellStyle name="Normale 3 3 7 6 8 2" xfId="14864"/>
    <cellStyle name="Normale 3 3 7 6 8 3" xfId="22272"/>
    <cellStyle name="Normale 3 3 7 6 8 4" xfId="22341"/>
    <cellStyle name="Normale 3 3 7 6 9" xfId="8365"/>
    <cellStyle name="Normale 3 3 7 7" xfId="964"/>
    <cellStyle name="Normale 3 3 7 7 10" xfId="15835"/>
    <cellStyle name="Normale 3 3 7 7 11" xfId="22693"/>
    <cellStyle name="Normale 3 3 7 7 12" xfId="30630"/>
    <cellStyle name="Normale 3 3 7 7 13" xfId="31578"/>
    <cellStyle name="Normale 3 3 7 7 14" xfId="32489"/>
    <cellStyle name="Normale 3 3 7 7 15" xfId="33399"/>
    <cellStyle name="Normale 3 3 7 7 16" xfId="34362"/>
    <cellStyle name="Normale 3 3 7 7 17" xfId="35294"/>
    <cellStyle name="Normale 3 3 7 7 18" xfId="36219"/>
    <cellStyle name="Normale 3 3 7 7 19" xfId="37145"/>
    <cellStyle name="Normale 3 3 7 7 2" xfId="1929"/>
    <cellStyle name="Normale 3 3 7 7 2 2" xfId="9392"/>
    <cellStyle name="Normale 3 3 7 7 2 3" xfId="16800"/>
    <cellStyle name="Normale 3 3 7 7 2 4" xfId="24102"/>
    <cellStyle name="Normale 3 3 7 7 20" xfId="38038"/>
    <cellStyle name="Normale 3 3 7 7 3" xfId="2861"/>
    <cellStyle name="Normale 3 3 7 7 3 2" xfId="10324"/>
    <cellStyle name="Normale 3 3 7 7 3 3" xfId="17732"/>
    <cellStyle name="Normale 3 3 7 7 3 4" xfId="27056"/>
    <cellStyle name="Normale 3 3 7 7 4" xfId="3776"/>
    <cellStyle name="Normale 3 3 7 7 4 2" xfId="11239"/>
    <cellStyle name="Normale 3 3 7 7 4 3" xfId="18647"/>
    <cellStyle name="Normale 3 3 7 7 4 4" xfId="26114"/>
    <cellStyle name="Normale 3 3 7 7 5" xfId="4717"/>
    <cellStyle name="Normale 3 3 7 7 5 2" xfId="12180"/>
    <cellStyle name="Normale 3 3 7 7 5 3" xfId="19588"/>
    <cellStyle name="Normale 3 3 7 7 5 4" xfId="28120"/>
    <cellStyle name="Normale 3 3 7 7 6" xfId="5631"/>
    <cellStyle name="Normale 3 3 7 7 6 2" xfId="13094"/>
    <cellStyle name="Normale 3 3 7 7 6 3" xfId="20502"/>
    <cellStyle name="Normale 3 3 7 7 6 4" xfId="25914"/>
    <cellStyle name="Normale 3 3 7 7 7" xfId="6566"/>
    <cellStyle name="Normale 3 3 7 7 7 2" xfId="14029"/>
    <cellStyle name="Normale 3 3 7 7 7 3" xfId="21437"/>
    <cellStyle name="Normale 3 3 7 7 7 4" xfId="25314"/>
    <cellStyle name="Normale 3 3 7 7 8" xfId="7460"/>
    <cellStyle name="Normale 3 3 7 7 8 2" xfId="14923"/>
    <cellStyle name="Normale 3 3 7 7 8 3" xfId="22331"/>
    <cellStyle name="Normale 3 3 7 7 8 4" xfId="15606"/>
    <cellStyle name="Normale 3 3 7 7 9" xfId="8427"/>
    <cellStyle name="Normale 3 3 7 8" xfId="1058"/>
    <cellStyle name="Normale 3 3 7 8 2" xfId="8521"/>
    <cellStyle name="Normale 3 3 7 8 3" xfId="15929"/>
    <cellStyle name="Normale 3 3 7 8 4" xfId="24889"/>
    <cellStyle name="Normale 3 3 7 9" xfId="1985"/>
    <cellStyle name="Normale 3 3 7 9 2" xfId="9448"/>
    <cellStyle name="Normale 3 3 7 9 3" xfId="16856"/>
    <cellStyle name="Normale 3 3 7 9 4" xfId="25936"/>
    <cellStyle name="Normale 3 3 8" xfId="252"/>
    <cellStyle name="Normale 3 3 8 10" xfId="15125"/>
    <cellStyle name="Normale 3 3 8 11" xfId="26667"/>
    <cellStyle name="Normale 3 3 8 12" xfId="29937"/>
    <cellStyle name="Normale 3 3 8 13" xfId="30869"/>
    <cellStyle name="Normale 3 3 8 14" xfId="31790"/>
    <cellStyle name="Normale 3 3 8 15" xfId="32715"/>
    <cellStyle name="Normale 3 3 8 16" xfId="33652"/>
    <cellStyle name="Normale 3 3 8 17" xfId="34582"/>
    <cellStyle name="Normale 3 3 8 18" xfId="35508"/>
    <cellStyle name="Normale 3 3 8 19" xfId="36434"/>
    <cellStyle name="Normale 3 3 8 2" xfId="1219"/>
    <cellStyle name="Normale 3 3 8 2 2" xfId="8682"/>
    <cellStyle name="Normale 3 3 8 2 3" xfId="16090"/>
    <cellStyle name="Normale 3 3 8 2 4" xfId="23777"/>
    <cellStyle name="Normale 3 3 8 20" xfId="37354"/>
    <cellStyle name="Normale 3 3 8 3" xfId="2150"/>
    <cellStyle name="Normale 3 3 8 3 2" xfId="9613"/>
    <cellStyle name="Normale 3 3 8 3 3" xfId="17021"/>
    <cellStyle name="Normale 3 3 8 3 4" xfId="28439"/>
    <cellStyle name="Normale 3 3 8 4" xfId="3072"/>
    <cellStyle name="Normale 3 3 8 4 2" xfId="10535"/>
    <cellStyle name="Normale 3 3 8 4 3" xfId="17943"/>
    <cellStyle name="Normale 3 3 8 4 4" xfId="29178"/>
    <cellStyle name="Normale 3 3 8 5" xfId="4005"/>
    <cellStyle name="Normale 3 3 8 5 2" xfId="11468"/>
    <cellStyle name="Normale 3 3 8 5 3" xfId="18876"/>
    <cellStyle name="Normale 3 3 8 5 4" xfId="29366"/>
    <cellStyle name="Normale 3 3 8 6" xfId="4928"/>
    <cellStyle name="Normale 3 3 8 6 2" xfId="12391"/>
    <cellStyle name="Normale 3 3 8 6 3" xfId="19799"/>
    <cellStyle name="Normale 3 3 8 6 4" xfId="26474"/>
    <cellStyle name="Normale 3 3 8 7" xfId="5856"/>
    <cellStyle name="Normale 3 3 8 7 2" xfId="13319"/>
    <cellStyle name="Normale 3 3 8 7 3" xfId="20727"/>
    <cellStyle name="Normale 3 3 8 7 4" xfId="26664"/>
    <cellStyle name="Normale 3 3 8 8" xfId="6776"/>
    <cellStyle name="Normale 3 3 8 8 2" xfId="14239"/>
    <cellStyle name="Normale 3 3 8 8 3" xfId="21647"/>
    <cellStyle name="Normale 3 3 8 8 4" xfId="29201"/>
    <cellStyle name="Normale 3 3 8 9" xfId="7715"/>
    <cellStyle name="Normale 3 3 9" xfId="412"/>
    <cellStyle name="Normale 3 3 9 10" xfId="15285"/>
    <cellStyle name="Normale 3 3 9 11" xfId="26881"/>
    <cellStyle name="Normale 3 3 9 12" xfId="30097"/>
    <cellStyle name="Normale 3 3 9 13" xfId="31029"/>
    <cellStyle name="Normale 3 3 9 14" xfId="31950"/>
    <cellStyle name="Normale 3 3 9 15" xfId="32874"/>
    <cellStyle name="Normale 3 3 9 16" xfId="33812"/>
    <cellStyle name="Normale 3 3 9 17" xfId="34742"/>
    <cellStyle name="Normale 3 3 9 18" xfId="35668"/>
    <cellStyle name="Normale 3 3 9 19" xfId="36594"/>
    <cellStyle name="Normale 3 3 9 2" xfId="1379"/>
    <cellStyle name="Normale 3 3 9 2 2" xfId="8842"/>
    <cellStyle name="Normale 3 3 9 2 3" xfId="16250"/>
    <cellStyle name="Normale 3 3 9 2 4" xfId="24143"/>
    <cellStyle name="Normale 3 3 9 20" xfId="37513"/>
    <cellStyle name="Normale 3 3 9 3" xfId="2310"/>
    <cellStyle name="Normale 3 3 9 3 2" xfId="9773"/>
    <cellStyle name="Normale 3 3 9 3 3" xfId="17181"/>
    <cellStyle name="Normale 3 3 9 3 4" xfId="28627"/>
    <cellStyle name="Normale 3 3 9 4" xfId="3232"/>
    <cellStyle name="Normale 3 3 9 4 2" xfId="10695"/>
    <cellStyle name="Normale 3 3 9 4 3" xfId="18103"/>
    <cellStyle name="Normale 3 3 9 4 4" xfId="24688"/>
    <cellStyle name="Normale 3 3 9 5" xfId="4165"/>
    <cellStyle name="Normale 3 3 9 5 2" xfId="11628"/>
    <cellStyle name="Normale 3 3 9 5 3" xfId="19036"/>
    <cellStyle name="Normale 3 3 9 5 4" xfId="29217"/>
    <cellStyle name="Normale 3 3 9 6" xfId="5088"/>
    <cellStyle name="Normale 3 3 9 6 2" xfId="12551"/>
    <cellStyle name="Normale 3 3 9 6 3" xfId="19959"/>
    <cellStyle name="Normale 3 3 9 6 4" xfId="26842"/>
    <cellStyle name="Normale 3 3 9 7" xfId="6016"/>
    <cellStyle name="Normale 3 3 9 7 2" xfId="13479"/>
    <cellStyle name="Normale 3 3 9 7 3" xfId="20887"/>
    <cellStyle name="Normale 3 3 9 7 4" xfId="26741"/>
    <cellStyle name="Normale 3 3 9 8" xfId="6935"/>
    <cellStyle name="Normale 3 3 9 8 2" xfId="14398"/>
    <cellStyle name="Normale 3 3 9 8 3" xfId="21806"/>
    <cellStyle name="Normale 3 3 9 8 4" xfId="25631"/>
    <cellStyle name="Normale 3 3 9 9" xfId="7875"/>
    <cellStyle name="Normale 3 30" xfId="29712"/>
    <cellStyle name="Normale 3 31" xfId="30642"/>
    <cellStyle name="Normale 3 32" xfId="31586"/>
    <cellStyle name="Normale 3 33" xfId="32133"/>
    <cellStyle name="Normale 3 34" xfId="33425"/>
    <cellStyle name="Normale 3 35" xfId="34239"/>
    <cellStyle name="Normale 3 36" xfId="35243"/>
    <cellStyle name="Normale 3 37" xfId="36227"/>
    <cellStyle name="Normale 3 38" xfId="37094"/>
    <cellStyle name="Normale 3 4" xfId="86"/>
    <cellStyle name="Normale 3 4 10" xfId="516"/>
    <cellStyle name="Normale 3 4 10 10" xfId="15389"/>
    <cellStyle name="Normale 3 4 10 11" xfId="25276"/>
    <cellStyle name="Normale 3 4 10 12" xfId="30200"/>
    <cellStyle name="Normale 3 4 10 13" xfId="31133"/>
    <cellStyle name="Normale 3 4 10 14" xfId="32053"/>
    <cellStyle name="Normale 3 4 10 15" xfId="32975"/>
    <cellStyle name="Normale 3 4 10 16" xfId="33916"/>
    <cellStyle name="Normale 3 4 10 17" xfId="34846"/>
    <cellStyle name="Normale 3 4 10 18" xfId="35772"/>
    <cellStyle name="Normale 3 4 10 19" xfId="36698"/>
    <cellStyle name="Normale 3 4 10 2" xfId="1483"/>
    <cellStyle name="Normale 3 4 10 2 2" xfId="8946"/>
    <cellStyle name="Normale 3 4 10 2 3" xfId="16354"/>
    <cellStyle name="Normale 3 4 10 2 4" xfId="28203"/>
    <cellStyle name="Normale 3 4 10 20" xfId="37614"/>
    <cellStyle name="Normale 3 4 10 3" xfId="2414"/>
    <cellStyle name="Normale 3 4 10 3 2" xfId="9877"/>
    <cellStyle name="Normale 3 4 10 3 3" xfId="17285"/>
    <cellStyle name="Normale 3 4 10 3 4" xfId="27257"/>
    <cellStyle name="Normale 3 4 10 4" xfId="3335"/>
    <cellStyle name="Normale 3 4 10 4 2" xfId="10798"/>
    <cellStyle name="Normale 3 4 10 4 3" xfId="18206"/>
    <cellStyle name="Normale 3 4 10 4 4" xfId="29402"/>
    <cellStyle name="Normale 3 4 10 5" xfId="4269"/>
    <cellStyle name="Normale 3 4 10 5 2" xfId="11732"/>
    <cellStyle name="Normale 3 4 10 5 3" xfId="19140"/>
    <cellStyle name="Normale 3 4 10 5 4" xfId="29437"/>
    <cellStyle name="Normale 3 4 10 6" xfId="5191"/>
    <cellStyle name="Normale 3 4 10 6 2" xfId="12654"/>
    <cellStyle name="Normale 3 4 10 6 3" xfId="20062"/>
    <cellStyle name="Normale 3 4 10 6 4" xfId="24433"/>
    <cellStyle name="Normale 3 4 10 7" xfId="6120"/>
    <cellStyle name="Normale 3 4 10 7 2" xfId="13583"/>
    <cellStyle name="Normale 3 4 10 7 3" xfId="20991"/>
    <cellStyle name="Normale 3 4 10 7 4" xfId="24896"/>
    <cellStyle name="Normale 3 4 10 8" xfId="7036"/>
    <cellStyle name="Normale 3 4 10 8 2" xfId="14499"/>
    <cellStyle name="Normale 3 4 10 8 3" xfId="21907"/>
    <cellStyle name="Normale 3 4 10 8 4" xfId="22989"/>
    <cellStyle name="Normale 3 4 10 9" xfId="7979"/>
    <cellStyle name="Normale 3 4 11" xfId="568"/>
    <cellStyle name="Normale 3 4 11 10" xfId="15441"/>
    <cellStyle name="Normale 3 4 11 11" xfId="22511"/>
    <cellStyle name="Normale 3 4 11 12" xfId="30251"/>
    <cellStyle name="Normale 3 4 11 13" xfId="31185"/>
    <cellStyle name="Normale 3 4 11 14" xfId="32104"/>
    <cellStyle name="Normale 3 4 11 15" xfId="33025"/>
    <cellStyle name="Normale 3 4 11 16" xfId="33968"/>
    <cellStyle name="Normale 3 4 11 17" xfId="34898"/>
    <cellStyle name="Normale 3 4 11 18" xfId="35824"/>
    <cellStyle name="Normale 3 4 11 19" xfId="36750"/>
    <cellStyle name="Normale 3 4 11 2" xfId="1535"/>
    <cellStyle name="Normale 3 4 11 2 2" xfId="8998"/>
    <cellStyle name="Normale 3 4 11 2 3" xfId="16406"/>
    <cellStyle name="Normale 3 4 11 2 4" xfId="25520"/>
    <cellStyle name="Normale 3 4 11 20" xfId="37664"/>
    <cellStyle name="Normale 3 4 11 3" xfId="2466"/>
    <cellStyle name="Normale 3 4 11 3 2" xfId="9929"/>
    <cellStyle name="Normale 3 4 11 3 3" xfId="17337"/>
    <cellStyle name="Normale 3 4 11 3 4" xfId="24803"/>
    <cellStyle name="Normale 3 4 11 4" xfId="3386"/>
    <cellStyle name="Normale 3 4 11 4 2" xfId="10849"/>
    <cellStyle name="Normale 3 4 11 4 3" xfId="18257"/>
    <cellStyle name="Normale 3 4 11 4 4" xfId="24899"/>
    <cellStyle name="Normale 3 4 11 5" xfId="4321"/>
    <cellStyle name="Normale 3 4 11 5 2" xfId="11784"/>
    <cellStyle name="Normale 3 4 11 5 3" xfId="19192"/>
    <cellStyle name="Normale 3 4 11 5 4" xfId="22606"/>
    <cellStyle name="Normale 3 4 11 6" xfId="5242"/>
    <cellStyle name="Normale 3 4 11 6 2" xfId="12705"/>
    <cellStyle name="Normale 3 4 11 6 3" xfId="20113"/>
    <cellStyle name="Normale 3 4 11 6 4" xfId="22583"/>
    <cellStyle name="Normale 3 4 11 7" xfId="6172"/>
    <cellStyle name="Normale 3 4 11 7 2" xfId="13635"/>
    <cellStyle name="Normale 3 4 11 7 3" xfId="21043"/>
    <cellStyle name="Normale 3 4 11 7 4" xfId="22923"/>
    <cellStyle name="Normale 3 4 11 8" xfId="7086"/>
    <cellStyle name="Normale 3 4 11 8 2" xfId="14549"/>
    <cellStyle name="Normale 3 4 11 8 3" xfId="21957"/>
    <cellStyle name="Normale 3 4 11 8 4" xfId="28060"/>
    <cellStyle name="Normale 3 4 11 9" xfId="8031"/>
    <cellStyle name="Normale 3 4 12" xfId="628"/>
    <cellStyle name="Normale 3 4 12 10" xfId="15500"/>
    <cellStyle name="Normale 3 4 12 11" xfId="22703"/>
    <cellStyle name="Normale 3 4 12 12" xfId="30307"/>
    <cellStyle name="Normale 3 4 12 13" xfId="31244"/>
    <cellStyle name="Normale 3 4 12 14" xfId="32161"/>
    <cellStyle name="Normale 3 4 12 15" xfId="33080"/>
    <cellStyle name="Normale 3 4 12 16" xfId="34027"/>
    <cellStyle name="Normale 3 4 12 17" xfId="34958"/>
    <cellStyle name="Normale 3 4 12 18" xfId="35884"/>
    <cellStyle name="Normale 3 4 12 19" xfId="36809"/>
    <cellStyle name="Normale 3 4 12 2" xfId="1594"/>
    <cellStyle name="Normale 3 4 12 2 2" xfId="9057"/>
    <cellStyle name="Normale 3 4 12 2 3" xfId="16465"/>
    <cellStyle name="Normale 3 4 12 2 4" xfId="22490"/>
    <cellStyle name="Normale 3 4 12 20" xfId="37719"/>
    <cellStyle name="Normale 3 4 12 3" xfId="2526"/>
    <cellStyle name="Normale 3 4 12 3 2" xfId="9989"/>
    <cellStyle name="Normale 3 4 12 3 3" xfId="17397"/>
    <cellStyle name="Normale 3 4 12 3 4" xfId="27983"/>
    <cellStyle name="Normale 3 4 12 4" xfId="3444"/>
    <cellStyle name="Normale 3 4 12 4 2" xfId="10907"/>
    <cellStyle name="Normale 3 4 12 4 3" xfId="18315"/>
    <cellStyle name="Normale 3 4 12 4 4" xfId="22886"/>
    <cellStyle name="Normale 3 4 12 5" xfId="4381"/>
    <cellStyle name="Normale 3 4 12 5 2" xfId="11844"/>
    <cellStyle name="Normale 3 4 12 5 3" xfId="19252"/>
    <cellStyle name="Normale 3 4 12 5 4" xfId="26098"/>
    <cellStyle name="Normale 3 4 12 6" xfId="5299"/>
    <cellStyle name="Normale 3 4 12 6 2" xfId="12762"/>
    <cellStyle name="Normale 3 4 12 6 3" xfId="20170"/>
    <cellStyle name="Normale 3 4 12 6 4" xfId="28826"/>
    <cellStyle name="Normale 3 4 12 7" xfId="6232"/>
    <cellStyle name="Normale 3 4 12 7 2" xfId="13695"/>
    <cellStyle name="Normale 3 4 12 7 3" xfId="21103"/>
    <cellStyle name="Normale 3 4 12 7 4" xfId="25322"/>
    <cellStyle name="Normale 3 4 12 8" xfId="7141"/>
    <cellStyle name="Normale 3 4 12 8 2" xfId="14604"/>
    <cellStyle name="Normale 3 4 12 8 3" xfId="22012"/>
    <cellStyle name="Normale 3 4 12 8 4" xfId="23269"/>
    <cellStyle name="Normale 3 4 12 9" xfId="8091"/>
    <cellStyle name="Normale 3 4 13" xfId="706"/>
    <cellStyle name="Normale 3 4 13 10" xfId="15577"/>
    <cellStyle name="Normale 3 4 13 11" xfId="25805"/>
    <cellStyle name="Normale 3 4 13 12" xfId="30380"/>
    <cellStyle name="Normale 3 4 13 13" xfId="31321"/>
    <cellStyle name="Normale 3 4 13 14" xfId="32234"/>
    <cellStyle name="Normale 3 4 13 15" xfId="33152"/>
    <cellStyle name="Normale 3 4 13 16" xfId="34104"/>
    <cellStyle name="Normale 3 4 13 17" xfId="35036"/>
    <cellStyle name="Normale 3 4 13 18" xfId="35962"/>
    <cellStyle name="Normale 3 4 13 19" xfId="36887"/>
    <cellStyle name="Normale 3 4 13 2" xfId="1671"/>
    <cellStyle name="Normale 3 4 13 2 2" xfId="9134"/>
    <cellStyle name="Normale 3 4 13 2 3" xfId="16542"/>
    <cellStyle name="Normale 3 4 13 2 4" xfId="25519"/>
    <cellStyle name="Normale 3 4 13 20" xfId="37791"/>
    <cellStyle name="Normale 3 4 13 3" xfId="2604"/>
    <cellStyle name="Normale 3 4 13 3 2" xfId="10067"/>
    <cellStyle name="Normale 3 4 13 3 3" xfId="17475"/>
    <cellStyle name="Normale 3 4 13 3 4" xfId="28317"/>
    <cellStyle name="Normale 3 4 13 4" xfId="3520"/>
    <cellStyle name="Normale 3 4 13 4 2" xfId="10983"/>
    <cellStyle name="Normale 3 4 13 4 3" xfId="18391"/>
    <cellStyle name="Normale 3 4 13 4 4" xfId="25200"/>
    <cellStyle name="Normale 3 4 13 5" xfId="4459"/>
    <cellStyle name="Normale 3 4 13 5 2" xfId="11922"/>
    <cellStyle name="Normale 3 4 13 5 3" xfId="19330"/>
    <cellStyle name="Normale 3 4 13 5 4" xfId="23867"/>
    <cellStyle name="Normale 3 4 13 6" xfId="5375"/>
    <cellStyle name="Normale 3 4 13 6 2" xfId="12838"/>
    <cellStyle name="Normale 3 4 13 6 3" xfId="20246"/>
    <cellStyle name="Normale 3 4 13 6 4" xfId="25496"/>
    <cellStyle name="Normale 3 4 13 7" xfId="6308"/>
    <cellStyle name="Normale 3 4 13 7 2" xfId="13771"/>
    <cellStyle name="Normale 3 4 13 7 3" xfId="21179"/>
    <cellStyle name="Normale 3 4 13 7 4" xfId="22352"/>
    <cellStyle name="Normale 3 4 13 8" xfId="7213"/>
    <cellStyle name="Normale 3 4 13 8 2" xfId="14676"/>
    <cellStyle name="Normale 3 4 13 8 3" xfId="22084"/>
    <cellStyle name="Normale 3 4 13 8 4" xfId="26221"/>
    <cellStyle name="Normale 3 4 13 9" xfId="8169"/>
    <cellStyle name="Normale 3 4 14" xfId="778"/>
    <cellStyle name="Normale 3 4 14 10" xfId="15649"/>
    <cellStyle name="Normale 3 4 14 11" xfId="24599"/>
    <cellStyle name="Normale 3 4 14 12" xfId="30450"/>
    <cellStyle name="Normale 3 4 14 13" xfId="31393"/>
    <cellStyle name="Normale 3 4 14 14" xfId="32305"/>
    <cellStyle name="Normale 3 4 14 15" xfId="33221"/>
    <cellStyle name="Normale 3 4 14 16" xfId="34176"/>
    <cellStyle name="Normale 3 4 14 17" xfId="35108"/>
    <cellStyle name="Normale 3 4 14 18" xfId="36034"/>
    <cellStyle name="Normale 3 4 14 19" xfId="36959"/>
    <cellStyle name="Normale 3 4 14 2" xfId="1743"/>
    <cellStyle name="Normale 3 4 14 2 2" xfId="9206"/>
    <cellStyle name="Normale 3 4 14 2 3" xfId="16614"/>
    <cellStyle name="Normale 3 4 14 2 4" xfId="26009"/>
    <cellStyle name="Normale 3 4 14 20" xfId="37860"/>
    <cellStyle name="Normale 3 4 14 3" xfId="2676"/>
    <cellStyle name="Normale 3 4 14 3 2" xfId="10139"/>
    <cellStyle name="Normale 3 4 14 3 3" xfId="17547"/>
    <cellStyle name="Normale 3 4 14 3 4" xfId="22463"/>
    <cellStyle name="Normale 3 4 14 4" xfId="3591"/>
    <cellStyle name="Normale 3 4 14 4 2" xfId="11054"/>
    <cellStyle name="Normale 3 4 14 4 3" xfId="18462"/>
    <cellStyle name="Normale 3 4 14 4 4" xfId="27437"/>
    <cellStyle name="Normale 3 4 14 5" xfId="4531"/>
    <cellStyle name="Normale 3 4 14 5 2" xfId="11994"/>
    <cellStyle name="Normale 3 4 14 5 3" xfId="19402"/>
    <cellStyle name="Normale 3 4 14 5 4" xfId="25749"/>
    <cellStyle name="Normale 3 4 14 6" xfId="5446"/>
    <cellStyle name="Normale 3 4 14 6 2" xfId="12909"/>
    <cellStyle name="Normale 3 4 14 6 3" xfId="20317"/>
    <cellStyle name="Normale 3 4 14 6 4" xfId="26920"/>
    <cellStyle name="Normale 3 4 14 7" xfId="6380"/>
    <cellStyle name="Normale 3 4 14 7 2" xfId="13843"/>
    <cellStyle name="Normale 3 4 14 7 3" xfId="21251"/>
    <cellStyle name="Normale 3 4 14 7 4" xfId="22557"/>
    <cellStyle name="Normale 3 4 14 8" xfId="7282"/>
    <cellStyle name="Normale 3 4 14 8 2" xfId="14745"/>
    <cellStyle name="Normale 3 4 14 8 3" xfId="22153"/>
    <cellStyle name="Normale 3 4 14 8 4" xfId="29528"/>
    <cellStyle name="Normale 3 4 14 9" xfId="8241"/>
    <cellStyle name="Normale 3 4 15" xfId="851"/>
    <cellStyle name="Normale 3 4 15 10" xfId="15722"/>
    <cellStyle name="Normale 3 4 15 11" xfId="24186"/>
    <cellStyle name="Normale 3 4 15 12" xfId="30520"/>
    <cellStyle name="Normale 3 4 15 13" xfId="31466"/>
    <cellStyle name="Normale 3 4 15 14" xfId="32377"/>
    <cellStyle name="Normale 3 4 15 15" xfId="33290"/>
    <cellStyle name="Normale 3 4 15 16" xfId="34249"/>
    <cellStyle name="Normale 3 4 15 17" xfId="35181"/>
    <cellStyle name="Normale 3 4 15 18" xfId="36107"/>
    <cellStyle name="Normale 3 4 15 19" xfId="37032"/>
    <cellStyle name="Normale 3 4 15 2" xfId="1816"/>
    <cellStyle name="Normale 3 4 15 2 2" xfId="9279"/>
    <cellStyle name="Normale 3 4 15 2 3" xfId="16687"/>
    <cellStyle name="Normale 3 4 15 2 4" xfId="29100"/>
    <cellStyle name="Normale 3 4 15 20" xfId="37929"/>
    <cellStyle name="Normale 3 4 15 3" xfId="2749"/>
    <cellStyle name="Normale 3 4 15 3 2" xfId="10212"/>
    <cellStyle name="Normale 3 4 15 3 3" xfId="17620"/>
    <cellStyle name="Normale 3 4 15 3 4" xfId="26339"/>
    <cellStyle name="Normale 3 4 15 4" xfId="3663"/>
    <cellStyle name="Normale 3 4 15 4 2" xfId="11126"/>
    <cellStyle name="Normale 3 4 15 4 3" xfId="18534"/>
    <cellStyle name="Normale 3 4 15 4 4" xfId="26315"/>
    <cellStyle name="Normale 3 4 15 5" xfId="4604"/>
    <cellStyle name="Normale 3 4 15 5 2" xfId="12067"/>
    <cellStyle name="Normale 3 4 15 5 3" xfId="19475"/>
    <cellStyle name="Normale 3 4 15 5 4" xfId="28845"/>
    <cellStyle name="Normale 3 4 15 6" xfId="5518"/>
    <cellStyle name="Normale 3 4 15 6 2" xfId="12981"/>
    <cellStyle name="Normale 3 4 15 6 3" xfId="20389"/>
    <cellStyle name="Normale 3 4 15 6 4" xfId="23657"/>
    <cellStyle name="Normale 3 4 15 7" xfId="6453"/>
    <cellStyle name="Normale 3 4 15 7 2" xfId="13916"/>
    <cellStyle name="Normale 3 4 15 7 3" xfId="21324"/>
    <cellStyle name="Normale 3 4 15 7 4" xfId="26049"/>
    <cellStyle name="Normale 3 4 15 8" xfId="7351"/>
    <cellStyle name="Normale 3 4 15 8 2" xfId="14814"/>
    <cellStyle name="Normale 3 4 15 8 3" xfId="22222"/>
    <cellStyle name="Normale 3 4 15 8 4" xfId="24374"/>
    <cellStyle name="Normale 3 4 15 9" xfId="8314"/>
    <cellStyle name="Normale 3 4 16" xfId="921"/>
    <cellStyle name="Normale 3 4 16 10" xfId="15792"/>
    <cellStyle name="Normale 3 4 16 11" xfId="25266"/>
    <cellStyle name="Normale 3 4 16 12" xfId="30587"/>
    <cellStyle name="Normale 3 4 16 13" xfId="31535"/>
    <cellStyle name="Normale 3 4 16 14" xfId="32446"/>
    <cellStyle name="Normale 3 4 16 15" xfId="33356"/>
    <cellStyle name="Normale 3 4 16 16" xfId="34319"/>
    <cellStyle name="Normale 3 4 16 17" xfId="35251"/>
    <cellStyle name="Normale 3 4 16 18" xfId="36176"/>
    <cellStyle name="Normale 3 4 16 19" xfId="37102"/>
    <cellStyle name="Normale 3 4 16 2" xfId="1886"/>
    <cellStyle name="Normale 3 4 16 2 2" xfId="9349"/>
    <cellStyle name="Normale 3 4 16 2 3" xfId="16757"/>
    <cellStyle name="Normale 3 4 16 2 4" xfId="24173"/>
    <cellStyle name="Normale 3 4 16 20" xfId="37995"/>
    <cellStyle name="Normale 3 4 16 3" xfId="2818"/>
    <cellStyle name="Normale 3 4 16 3 2" xfId="10281"/>
    <cellStyle name="Normale 3 4 16 3 3" xfId="17689"/>
    <cellStyle name="Normale 3 4 16 3 4" xfId="29079"/>
    <cellStyle name="Normale 3 4 16 4" xfId="3733"/>
    <cellStyle name="Normale 3 4 16 4 2" xfId="11196"/>
    <cellStyle name="Normale 3 4 16 4 3" xfId="18604"/>
    <cellStyle name="Normale 3 4 16 4 4" xfId="29219"/>
    <cellStyle name="Normale 3 4 16 5" xfId="4674"/>
    <cellStyle name="Normale 3 4 16 5 2" xfId="12137"/>
    <cellStyle name="Normale 3 4 16 5 3" xfId="19545"/>
    <cellStyle name="Normale 3 4 16 5 4" xfId="24443"/>
    <cellStyle name="Normale 3 4 16 6" xfId="5588"/>
    <cellStyle name="Normale 3 4 16 6 2" xfId="13051"/>
    <cellStyle name="Normale 3 4 16 6 3" xfId="20459"/>
    <cellStyle name="Normale 3 4 16 6 4" xfId="25985"/>
    <cellStyle name="Normale 3 4 16 7" xfId="6523"/>
    <cellStyle name="Normale 3 4 16 7 2" xfId="13986"/>
    <cellStyle name="Normale 3 4 16 7 3" xfId="21394"/>
    <cellStyle name="Normale 3 4 16 7 4" xfId="27883"/>
    <cellStyle name="Normale 3 4 16 8" xfId="7417"/>
    <cellStyle name="Normale 3 4 16 8 2" xfId="14880"/>
    <cellStyle name="Normale 3 4 16 8 3" xfId="22288"/>
    <cellStyle name="Normale 3 4 16 8 4" xfId="23114"/>
    <cellStyle name="Normale 3 4 16 9" xfId="8384"/>
    <cellStyle name="Normale 3 4 17" xfId="1059"/>
    <cellStyle name="Normale 3 4 17 2" xfId="8522"/>
    <cellStyle name="Normale 3 4 17 3" xfId="15930"/>
    <cellStyle name="Normale 3 4 17 4" xfId="23964"/>
    <cellStyle name="Normale 3 4 18" xfId="1986"/>
    <cellStyle name="Normale 3 4 18 2" xfId="9449"/>
    <cellStyle name="Normale 3 4 18 3" xfId="16857"/>
    <cellStyle name="Normale 3 4 18 4" xfId="25027"/>
    <cellStyle name="Normale 3 4 19" xfId="2912"/>
    <cellStyle name="Normale 3 4 19 2" xfId="10375"/>
    <cellStyle name="Normale 3 4 19 3" xfId="17783"/>
    <cellStyle name="Normale 3 4 19 4" xfId="24742"/>
    <cellStyle name="Normale 3 4 2" xfId="87"/>
    <cellStyle name="Normale 3 4 2 10" xfId="707"/>
    <cellStyle name="Normale 3 4 2 10 10" xfId="15578"/>
    <cellStyle name="Normale 3 4 2 10 11" xfId="24893"/>
    <cellStyle name="Normale 3 4 2 10 12" xfId="30381"/>
    <cellStyle name="Normale 3 4 2 10 13" xfId="31322"/>
    <cellStyle name="Normale 3 4 2 10 14" xfId="32235"/>
    <cellStyle name="Normale 3 4 2 10 15" xfId="33153"/>
    <cellStyle name="Normale 3 4 2 10 16" xfId="34105"/>
    <cellStyle name="Normale 3 4 2 10 17" xfId="35037"/>
    <cellStyle name="Normale 3 4 2 10 18" xfId="35963"/>
    <cellStyle name="Normale 3 4 2 10 19" xfId="36888"/>
    <cellStyle name="Normale 3 4 2 10 2" xfId="1672"/>
    <cellStyle name="Normale 3 4 2 10 2 2" xfId="9135"/>
    <cellStyle name="Normale 3 4 2 10 2 3" xfId="16543"/>
    <cellStyle name="Normale 3 4 2 10 2 4" xfId="24602"/>
    <cellStyle name="Normale 3 4 2 10 20" xfId="37792"/>
    <cellStyle name="Normale 3 4 2 10 3" xfId="2605"/>
    <cellStyle name="Normale 3 4 2 10 3 2" xfId="10068"/>
    <cellStyle name="Normale 3 4 2 10 3 3" xfId="17476"/>
    <cellStyle name="Normale 3 4 2 10 3 4" xfId="27393"/>
    <cellStyle name="Normale 3 4 2 10 4" xfId="3521"/>
    <cellStyle name="Normale 3 4 2 10 4 2" xfId="10984"/>
    <cellStyle name="Normale 3 4 2 10 4 3" xfId="18392"/>
    <cellStyle name="Normale 3 4 2 10 4 4" xfId="24281"/>
    <cellStyle name="Normale 3 4 2 10 5" xfId="4460"/>
    <cellStyle name="Normale 3 4 2 10 5 2" xfId="11923"/>
    <cellStyle name="Normale 3 4 2 10 5 3" xfId="19331"/>
    <cellStyle name="Normale 3 4 2 10 5 4" xfId="22880"/>
    <cellStyle name="Normale 3 4 2 10 6" xfId="5376"/>
    <cellStyle name="Normale 3 4 2 10 6 2" xfId="12839"/>
    <cellStyle name="Normale 3 4 2 10 6 3" xfId="20247"/>
    <cellStyle name="Normale 3 4 2 10 6 4" xfId="24579"/>
    <cellStyle name="Normale 3 4 2 10 7" xfId="6309"/>
    <cellStyle name="Normale 3 4 2 10 7 2" xfId="13772"/>
    <cellStyle name="Normale 3 4 2 10 7 3" xfId="21180"/>
    <cellStyle name="Normale 3 4 2 10 7 4" xfId="28806"/>
    <cellStyle name="Normale 3 4 2 10 8" xfId="7214"/>
    <cellStyle name="Normale 3 4 2 10 8 2" xfId="14677"/>
    <cellStyle name="Normale 3 4 2 10 8 3" xfId="22085"/>
    <cellStyle name="Normale 3 4 2 10 8 4" xfId="25294"/>
    <cellStyle name="Normale 3 4 2 10 9" xfId="8170"/>
    <cellStyle name="Normale 3 4 2 11" xfId="779"/>
    <cellStyle name="Normale 3 4 2 11 10" xfId="15650"/>
    <cellStyle name="Normale 3 4 2 11 11" xfId="23678"/>
    <cellStyle name="Normale 3 4 2 11 12" xfId="30451"/>
    <cellStyle name="Normale 3 4 2 11 13" xfId="31394"/>
    <cellStyle name="Normale 3 4 2 11 14" xfId="32306"/>
    <cellStyle name="Normale 3 4 2 11 15" xfId="33222"/>
    <cellStyle name="Normale 3 4 2 11 16" xfId="34177"/>
    <cellStyle name="Normale 3 4 2 11 17" xfId="35109"/>
    <cellStyle name="Normale 3 4 2 11 18" xfId="36035"/>
    <cellStyle name="Normale 3 4 2 11 19" xfId="36960"/>
    <cellStyle name="Normale 3 4 2 11 2" xfId="1744"/>
    <cellStyle name="Normale 3 4 2 11 2 2" xfId="9207"/>
    <cellStyle name="Normale 3 4 2 11 2 3" xfId="16615"/>
    <cellStyle name="Normale 3 4 2 11 2 4" xfId="25099"/>
    <cellStyle name="Normale 3 4 2 11 20" xfId="37861"/>
    <cellStyle name="Normale 3 4 2 11 3" xfId="2677"/>
    <cellStyle name="Normale 3 4 2 11 3 2" xfId="10140"/>
    <cellStyle name="Normale 3 4 2 11 3 3" xfId="17548"/>
    <cellStyle name="Normale 3 4 2 11 3 4" xfId="28894"/>
    <cellStyle name="Normale 3 4 2 11 4" xfId="3592"/>
    <cellStyle name="Normale 3 4 2 11 4 2" xfId="11055"/>
    <cellStyle name="Normale 3 4 2 11 4 3" xfId="18463"/>
    <cellStyle name="Normale 3 4 2 11 4 4" xfId="26529"/>
    <cellStyle name="Normale 3 4 2 11 5" xfId="4532"/>
    <cellStyle name="Normale 3 4 2 11 5 2" xfId="11995"/>
    <cellStyle name="Normale 3 4 2 11 5 3" xfId="19403"/>
    <cellStyle name="Normale 3 4 2 11 5 4" xfId="24838"/>
    <cellStyle name="Normale 3 4 2 11 6" xfId="5447"/>
    <cellStyle name="Normale 3 4 2 11 6 2" xfId="12910"/>
    <cellStyle name="Normale 3 4 2 11 6 3" xfId="20318"/>
    <cellStyle name="Normale 3 4 2 11 6 4" xfId="25986"/>
    <cellStyle name="Normale 3 4 2 11 7" xfId="6381"/>
    <cellStyle name="Normale 3 4 2 11 7 2" xfId="13844"/>
    <cellStyle name="Normale 3 4 2 11 7 3" xfId="21252"/>
    <cellStyle name="Normale 3 4 2 11 7 4" xfId="28987"/>
    <cellStyle name="Normale 3 4 2 11 8" xfId="7283"/>
    <cellStyle name="Normale 3 4 2 11 8 2" xfId="14746"/>
    <cellStyle name="Normale 3 4 2 11 8 3" xfId="22154"/>
    <cellStyle name="Normale 3 4 2 11 8 4" xfId="28637"/>
    <cellStyle name="Normale 3 4 2 11 9" xfId="8242"/>
    <cellStyle name="Normale 3 4 2 12" xfId="852"/>
    <cellStyle name="Normale 3 4 2 12 10" xfId="15723"/>
    <cellStyle name="Normale 3 4 2 12 11" xfId="23176"/>
    <cellStyle name="Normale 3 4 2 12 12" xfId="30521"/>
    <cellStyle name="Normale 3 4 2 12 13" xfId="31467"/>
    <cellStyle name="Normale 3 4 2 12 14" xfId="32378"/>
    <cellStyle name="Normale 3 4 2 12 15" xfId="33291"/>
    <cellStyle name="Normale 3 4 2 12 16" xfId="34250"/>
    <cellStyle name="Normale 3 4 2 12 17" xfId="35182"/>
    <cellStyle name="Normale 3 4 2 12 18" xfId="36108"/>
    <cellStyle name="Normale 3 4 2 12 19" xfId="37033"/>
    <cellStyle name="Normale 3 4 2 12 2" xfId="1817"/>
    <cellStyle name="Normale 3 4 2 12 2 2" xfId="9280"/>
    <cellStyle name="Normale 3 4 2 12 2 3" xfId="16688"/>
    <cellStyle name="Normale 3 4 2 12 2 4" xfId="28190"/>
    <cellStyle name="Normale 3 4 2 12 20" xfId="37930"/>
    <cellStyle name="Normale 3 4 2 12 3" xfId="2750"/>
    <cellStyle name="Normale 3 4 2 12 3 2" xfId="10213"/>
    <cellStyle name="Normale 3 4 2 12 3 3" xfId="17621"/>
    <cellStyle name="Normale 3 4 2 12 3 4" xfId="25412"/>
    <cellStyle name="Normale 3 4 2 12 4" xfId="3664"/>
    <cellStyle name="Normale 3 4 2 12 4 2" xfId="11127"/>
    <cellStyle name="Normale 3 4 2 12 4 3" xfId="18535"/>
    <cellStyle name="Normale 3 4 2 12 4 4" xfId="25388"/>
    <cellStyle name="Normale 3 4 2 12 5" xfId="4605"/>
    <cellStyle name="Normale 3 4 2 12 5 2" xfId="12068"/>
    <cellStyle name="Normale 3 4 2 12 5 3" xfId="19476"/>
    <cellStyle name="Normale 3 4 2 12 5 4" xfId="27932"/>
    <cellStyle name="Normale 3 4 2 12 6" xfId="5519"/>
    <cellStyle name="Normale 3 4 2 12 6 2" xfId="12982"/>
    <cellStyle name="Normale 3 4 2 12 6 3" xfId="20390"/>
    <cellStyle name="Normale 3 4 2 12 6 4" xfId="22575"/>
    <cellStyle name="Normale 3 4 2 12 7" xfId="6454"/>
    <cellStyle name="Normale 3 4 2 12 7 2" xfId="13917"/>
    <cellStyle name="Normale 3 4 2 12 7 3" xfId="21325"/>
    <cellStyle name="Normale 3 4 2 12 7 4" xfId="24710"/>
    <cellStyle name="Normale 3 4 2 12 8" xfId="7352"/>
    <cellStyle name="Normale 3 4 2 12 8 2" xfId="14815"/>
    <cellStyle name="Normale 3 4 2 12 8 3" xfId="22223"/>
    <cellStyle name="Normale 3 4 2 12 8 4" xfId="23455"/>
    <cellStyle name="Normale 3 4 2 12 9" xfId="8315"/>
    <cellStyle name="Normale 3 4 2 13" xfId="922"/>
    <cellStyle name="Normale 3 4 2 13 10" xfId="15793"/>
    <cellStyle name="Normale 3 4 2 13 11" xfId="24346"/>
    <cellStyle name="Normale 3 4 2 13 12" xfId="30588"/>
    <cellStyle name="Normale 3 4 2 13 13" xfId="31536"/>
    <cellStyle name="Normale 3 4 2 13 14" xfId="32447"/>
    <cellStyle name="Normale 3 4 2 13 15" xfId="33357"/>
    <cellStyle name="Normale 3 4 2 13 16" xfId="34320"/>
    <cellStyle name="Normale 3 4 2 13 17" xfId="35252"/>
    <cellStyle name="Normale 3 4 2 13 18" xfId="36177"/>
    <cellStyle name="Normale 3 4 2 13 19" xfId="37103"/>
    <cellStyle name="Normale 3 4 2 13 2" xfId="1887"/>
    <cellStyle name="Normale 3 4 2 13 2 2" xfId="9350"/>
    <cellStyle name="Normale 3 4 2 13 2 3" xfId="16758"/>
    <cellStyle name="Normale 3 4 2 13 2 4" xfId="23161"/>
    <cellStyle name="Normale 3 4 2 13 20" xfId="37996"/>
    <cellStyle name="Normale 3 4 2 13 3" xfId="2819"/>
    <cellStyle name="Normale 3 4 2 13 3 2" xfId="10282"/>
    <cellStyle name="Normale 3 4 2 13 3 3" xfId="17690"/>
    <cellStyle name="Normale 3 4 2 13 3 4" xfId="28169"/>
    <cellStyle name="Normale 3 4 2 13 4" xfId="3734"/>
    <cellStyle name="Normale 3 4 2 13 4 2" xfId="11197"/>
    <cellStyle name="Normale 3 4 2 13 4 3" xfId="18605"/>
    <cellStyle name="Normale 3 4 2 13 4 4" xfId="28313"/>
    <cellStyle name="Normale 3 4 2 13 5" xfId="4675"/>
    <cellStyle name="Normale 3 4 2 13 5 2" xfId="12138"/>
    <cellStyle name="Normale 3 4 2 13 5 3" xfId="19546"/>
    <cellStyle name="Normale 3 4 2 13 5 4" xfId="23524"/>
    <cellStyle name="Normale 3 4 2 13 6" xfId="5589"/>
    <cellStyle name="Normale 3 4 2 13 6 2" xfId="13052"/>
    <cellStyle name="Normale 3 4 2 13 6 3" xfId="20460"/>
    <cellStyle name="Normale 3 4 2 13 6 4" xfId="25075"/>
    <cellStyle name="Normale 3 4 2 13 7" xfId="6524"/>
    <cellStyle name="Normale 3 4 2 13 7 2" xfId="13987"/>
    <cellStyle name="Normale 3 4 2 13 7 3" xfId="21395"/>
    <cellStyle name="Normale 3 4 2 13 7 4" xfId="25744"/>
    <cellStyle name="Normale 3 4 2 13 8" xfId="7418"/>
    <cellStyle name="Normale 3 4 2 13 8 2" xfId="14881"/>
    <cellStyle name="Normale 3 4 2 13 8 3" xfId="22289"/>
    <cellStyle name="Normale 3 4 2 13 8 4" xfId="29543"/>
    <cellStyle name="Normale 3 4 2 13 9" xfId="8385"/>
    <cellStyle name="Normale 3 4 2 14" xfId="1060"/>
    <cellStyle name="Normale 3 4 2 14 2" xfId="8523"/>
    <cellStyle name="Normale 3 4 2 14 3" xfId="15931"/>
    <cellStyle name="Normale 3 4 2 14 4" xfId="22955"/>
    <cellStyle name="Normale 3 4 2 15" xfId="1987"/>
    <cellStyle name="Normale 3 4 2 15 2" xfId="9450"/>
    <cellStyle name="Normale 3 4 2 15 3" xfId="16858"/>
    <cellStyle name="Normale 3 4 2 15 4" xfId="24101"/>
    <cellStyle name="Normale 3 4 2 16" xfId="2913"/>
    <cellStyle name="Normale 3 4 2 16 2" xfId="10376"/>
    <cellStyle name="Normale 3 4 2 16 3" xfId="17784"/>
    <cellStyle name="Normale 3 4 2 16 4" xfId="23819"/>
    <cellStyle name="Normale 3 4 2 17" xfId="3842"/>
    <cellStyle name="Normale 3 4 2 17 2" xfId="11305"/>
    <cellStyle name="Normale 3 4 2 17 3" xfId="18713"/>
    <cellStyle name="Normale 3 4 2 17 4" xfId="24871"/>
    <cellStyle name="Normale 3 4 2 18" xfId="4769"/>
    <cellStyle name="Normale 3 4 2 18 2" xfId="12232"/>
    <cellStyle name="Normale 3 4 2 18 3" xfId="19640"/>
    <cellStyle name="Normale 3 4 2 18 4" xfId="25701"/>
    <cellStyle name="Normale 3 4 2 19" xfId="5696"/>
    <cellStyle name="Normale 3 4 2 19 2" xfId="13159"/>
    <cellStyle name="Normale 3 4 2 19 3" xfId="20567"/>
    <cellStyle name="Normale 3 4 2 19 4" xfId="26775"/>
    <cellStyle name="Normale 3 4 2 2" xfId="88"/>
    <cellStyle name="Normale 3 4 2 2 10" xfId="6619"/>
    <cellStyle name="Normale 3 4 2 2 10 2" xfId="14082"/>
    <cellStyle name="Normale 3 4 2 2 10 3" xfId="21490"/>
    <cellStyle name="Normale 3 4 2 2 10 4" xfId="29296"/>
    <cellStyle name="Normale 3 4 2 2 11" xfId="7553"/>
    <cellStyle name="Normale 3 4 2 2 12" xfId="14962"/>
    <cellStyle name="Normale 3 4 2 2 13" xfId="27122"/>
    <cellStyle name="Normale 3 4 2 2 14" xfId="29779"/>
    <cellStyle name="Normale 3 4 2 2 15" xfId="30709"/>
    <cellStyle name="Normale 3 4 2 2 16" xfId="31632"/>
    <cellStyle name="Normale 3 4 2 2 17" xfId="32558"/>
    <cellStyle name="Normale 3 4 2 2 18" xfId="33492"/>
    <cellStyle name="Normale 3 4 2 2 19" xfId="34420"/>
    <cellStyle name="Normale 3 4 2 2 2" xfId="89"/>
    <cellStyle name="Normale 3 4 2 2 2 10" xfId="7554"/>
    <cellStyle name="Normale 3 4 2 2 2 11" xfId="14963"/>
    <cellStyle name="Normale 3 4 2 2 2 12" xfId="26212"/>
    <cellStyle name="Normale 3 4 2 2 2 13" xfId="29780"/>
    <cellStyle name="Normale 3 4 2 2 2 14" xfId="30710"/>
    <cellStyle name="Normale 3 4 2 2 2 15" xfId="31633"/>
    <cellStyle name="Normale 3 4 2 2 2 16" xfId="32559"/>
    <cellStyle name="Normale 3 4 2 2 2 17" xfId="33493"/>
    <cellStyle name="Normale 3 4 2 2 2 18" xfId="34421"/>
    <cellStyle name="Normale 3 4 2 2 2 19" xfId="35349"/>
    <cellStyle name="Normale 3 4 2 2 2 2" xfId="287"/>
    <cellStyle name="Normale 3 4 2 2 2 2 10" xfId="15160"/>
    <cellStyle name="Normale 3 4 2 2 2 2 11" xfId="22523"/>
    <cellStyle name="Normale 3 4 2 2 2 2 12" xfId="29972"/>
    <cellStyle name="Normale 3 4 2 2 2 2 13" xfId="30904"/>
    <cellStyle name="Normale 3 4 2 2 2 2 14" xfId="31825"/>
    <cellStyle name="Normale 3 4 2 2 2 2 15" xfId="32750"/>
    <cellStyle name="Normale 3 4 2 2 2 2 16" xfId="33687"/>
    <cellStyle name="Normale 3 4 2 2 2 2 17" xfId="34617"/>
    <cellStyle name="Normale 3 4 2 2 2 2 18" xfId="35543"/>
    <cellStyle name="Normale 3 4 2 2 2 2 19" xfId="36469"/>
    <cellStyle name="Normale 3 4 2 2 2 2 2" xfId="1254"/>
    <cellStyle name="Normale 3 4 2 2 2 2 2 2" xfId="8717"/>
    <cellStyle name="Normale 3 4 2 2 2 2 2 3" xfId="16125"/>
    <cellStyle name="Normale 3 4 2 2 2 2 2 4" xfId="27286"/>
    <cellStyle name="Normale 3 4 2 2 2 2 20" xfId="37389"/>
    <cellStyle name="Normale 3 4 2 2 2 2 3" xfId="2185"/>
    <cellStyle name="Normale 3 4 2 2 2 2 3 2" xfId="9648"/>
    <cellStyle name="Normale 3 4 2 2 2 2 3 3" xfId="17056"/>
    <cellStyle name="Normale 3 4 2 2 2 2 3 4" xfId="25234"/>
    <cellStyle name="Normale 3 4 2 2 2 2 4" xfId="3107"/>
    <cellStyle name="Normale 3 4 2 2 2 2 4 2" xfId="10570"/>
    <cellStyle name="Normale 3 4 2 2 2 2 4 3" xfId="17978"/>
    <cellStyle name="Normale 3 4 2 2 2 2 4 4" xfId="26131"/>
    <cellStyle name="Normale 3 4 2 2 2 2 5" xfId="4040"/>
    <cellStyle name="Normale 3 4 2 2 2 2 5 2" xfId="11503"/>
    <cellStyle name="Normale 3 4 2 2 2 2 5 3" xfId="18911"/>
    <cellStyle name="Normale 3 4 2 2 2 2 5 4" xfId="26432"/>
    <cellStyle name="Normale 3 4 2 2 2 2 6" xfId="4963"/>
    <cellStyle name="Normale 3 4 2 2 2 2 6 2" xfId="12426"/>
    <cellStyle name="Normale 3 4 2 2 2 2 6 3" xfId="19834"/>
    <cellStyle name="Normale 3 4 2 2 2 2 6 4" xfId="22404"/>
    <cellStyle name="Normale 3 4 2 2 2 2 7" xfId="5891"/>
    <cellStyle name="Normale 3 4 2 2 2 2 7 2" xfId="13354"/>
    <cellStyle name="Normale 3 4 2 2 2 2 7 3" xfId="20762"/>
    <cellStyle name="Normale 3 4 2 2 2 2 7 4" xfId="22382"/>
    <cellStyle name="Normale 3 4 2 2 2 2 8" xfId="6811"/>
    <cellStyle name="Normale 3 4 2 2 2 2 8 2" xfId="14274"/>
    <cellStyle name="Normale 3 4 2 2 2 2 8 3" xfId="21682"/>
    <cellStyle name="Normale 3 4 2 2 2 2 8 4" xfId="25307"/>
    <cellStyle name="Normale 3 4 2 2 2 2 9" xfId="7750"/>
    <cellStyle name="Normale 3 4 2 2 2 20" xfId="36275"/>
    <cellStyle name="Normale 3 4 2 2 2 21" xfId="37198"/>
    <cellStyle name="Normale 3 4 2 2 2 3" xfId="1062"/>
    <cellStyle name="Normale 3 4 2 2 2 3 2" xfId="8525"/>
    <cellStyle name="Normale 3 4 2 2 2 3 3" xfId="15933"/>
    <cellStyle name="Normale 3 4 2 2 2 3 4" xfId="28487"/>
    <cellStyle name="Normale 3 4 2 2 2 4" xfId="1989"/>
    <cellStyle name="Normale 3 4 2 2 2 4 2" xfId="9452"/>
    <cellStyle name="Normale 3 4 2 2 2 4 3" xfId="16860"/>
    <cellStyle name="Normale 3 4 2 2 2 4 4" xfId="29519"/>
    <cellStyle name="Normale 3 4 2 2 2 5" xfId="2915"/>
    <cellStyle name="Normale 3 4 2 2 2 5 2" xfId="10378"/>
    <cellStyle name="Normale 3 4 2 2 2 5 3" xfId="17786"/>
    <cellStyle name="Normale 3 4 2 2 2 5 4" xfId="29271"/>
    <cellStyle name="Normale 3 4 2 2 2 6" xfId="3844"/>
    <cellStyle name="Normale 3 4 2 2 2 6 2" xfId="11307"/>
    <cellStyle name="Normale 3 4 2 2 2 6 3" xfId="18715"/>
    <cellStyle name="Normale 3 4 2 2 2 6 4" xfId="22785"/>
    <cellStyle name="Normale 3 4 2 2 2 7" xfId="4771"/>
    <cellStyle name="Normale 3 4 2 2 2 7 2" xfId="12234"/>
    <cellStyle name="Normale 3 4 2 2 2 7 3" xfId="19642"/>
    <cellStyle name="Normale 3 4 2 2 2 7 4" xfId="23865"/>
    <cellStyle name="Normale 3 4 2 2 2 8" xfId="5698"/>
    <cellStyle name="Normale 3 4 2 2 2 8 2" xfId="13161"/>
    <cellStyle name="Normale 3 4 2 2 2 8 3" xfId="20569"/>
    <cellStyle name="Normale 3 4 2 2 2 8 4" xfId="24931"/>
    <cellStyle name="Normale 3 4 2 2 2 9" xfId="6620"/>
    <cellStyle name="Normale 3 4 2 2 2 9 2" xfId="14083"/>
    <cellStyle name="Normale 3 4 2 2 2 9 3" xfId="21491"/>
    <cellStyle name="Normale 3 4 2 2 2 9 4" xfId="28395"/>
    <cellStyle name="Normale 3 4 2 2 20" xfId="35348"/>
    <cellStyle name="Normale 3 4 2 2 21" xfId="36274"/>
    <cellStyle name="Normale 3 4 2 2 22" xfId="37197"/>
    <cellStyle name="Normale 3 4 2 2 3" xfId="286"/>
    <cellStyle name="Normale 3 4 2 2 3 10" xfId="15159"/>
    <cellStyle name="Normale 3 4 2 2 3 11" xfId="23636"/>
    <cellStyle name="Normale 3 4 2 2 3 12" xfId="29971"/>
    <cellStyle name="Normale 3 4 2 2 3 13" xfId="30903"/>
    <cellStyle name="Normale 3 4 2 2 3 14" xfId="31824"/>
    <cellStyle name="Normale 3 4 2 2 3 15" xfId="32749"/>
    <cellStyle name="Normale 3 4 2 2 3 16" xfId="33686"/>
    <cellStyle name="Normale 3 4 2 2 3 17" xfId="34616"/>
    <cellStyle name="Normale 3 4 2 2 3 18" xfId="35542"/>
    <cellStyle name="Normale 3 4 2 2 3 19" xfId="36468"/>
    <cellStyle name="Normale 3 4 2 2 3 2" xfId="1253"/>
    <cellStyle name="Normale 3 4 2 2 3 2 2" xfId="8716"/>
    <cellStyle name="Normale 3 4 2 2 3 2 3" xfId="16124"/>
    <cellStyle name="Normale 3 4 2 2 3 2 4" xfId="28208"/>
    <cellStyle name="Normale 3 4 2 2 3 20" xfId="37388"/>
    <cellStyle name="Normale 3 4 2 2 3 3" xfId="2184"/>
    <cellStyle name="Normale 3 4 2 2 3 3 2" xfId="9647"/>
    <cellStyle name="Normale 3 4 2 2 3 3 3" xfId="17055"/>
    <cellStyle name="Normale 3 4 2 2 3 3 4" xfId="26157"/>
    <cellStyle name="Normale 3 4 2 2 3 4" xfId="3106"/>
    <cellStyle name="Normale 3 4 2 2 3 4 2" xfId="10569"/>
    <cellStyle name="Normale 3 4 2 2 3 4 3" xfId="17977"/>
    <cellStyle name="Normale 3 4 2 2 3 4 4" xfId="27049"/>
    <cellStyle name="Normale 3 4 2 2 3 5" xfId="4039"/>
    <cellStyle name="Normale 3 4 2 2 3 5 2" xfId="11502"/>
    <cellStyle name="Normale 3 4 2 2 3 5 3" xfId="18910"/>
    <cellStyle name="Normale 3 4 2 2 3 5 4" xfId="27340"/>
    <cellStyle name="Normale 3 4 2 2 3 6" xfId="4962"/>
    <cellStyle name="Normale 3 4 2 2 3 6 2" xfId="12425"/>
    <cellStyle name="Normale 3 4 2 2 3 6 3" xfId="19833"/>
    <cellStyle name="Normale 3 4 2 2 3 6 4" xfId="23519"/>
    <cellStyle name="Normale 3 4 2 2 3 7" xfId="5890"/>
    <cellStyle name="Normale 3 4 2 2 3 7 2" xfId="13353"/>
    <cellStyle name="Normale 3 4 2 2 3 7 3" xfId="20761"/>
    <cellStyle name="Normale 3 4 2 2 3 7 4" xfId="23497"/>
    <cellStyle name="Normale 3 4 2 2 3 8" xfId="6810"/>
    <cellStyle name="Normale 3 4 2 2 3 8 2" xfId="14273"/>
    <cellStyle name="Normale 3 4 2 2 3 8 3" xfId="21681"/>
    <cellStyle name="Normale 3 4 2 2 3 8 4" xfId="26234"/>
    <cellStyle name="Normale 3 4 2 2 3 9" xfId="7749"/>
    <cellStyle name="Normale 3 4 2 2 4" xfId="1061"/>
    <cellStyle name="Normale 3 4 2 2 4 2" xfId="8524"/>
    <cellStyle name="Normale 3 4 2 2 4 3" xfId="15932"/>
    <cellStyle name="Normale 3 4 2 2 4 4" xfId="29384"/>
    <cellStyle name="Normale 3 4 2 2 5" xfId="1988"/>
    <cellStyle name="Normale 3 4 2 2 5 2" xfId="9451"/>
    <cellStyle name="Normale 3 4 2 2 5 3" xfId="16859"/>
    <cellStyle name="Normale 3 4 2 2 5 4" xfId="23090"/>
    <cellStyle name="Normale 3 4 2 2 6" xfId="2914"/>
    <cellStyle name="Normale 3 4 2 2 6 2" xfId="10377"/>
    <cellStyle name="Normale 3 4 2 2 6 3" xfId="17785"/>
    <cellStyle name="Normale 3 4 2 2 6 4" xfId="22840"/>
    <cellStyle name="Normale 3 4 2 2 7" xfId="3843"/>
    <cellStyle name="Normale 3 4 2 2 7 2" xfId="11306"/>
    <cellStyle name="Normale 3 4 2 2 7 3" xfId="18714"/>
    <cellStyle name="Normale 3 4 2 2 7 4" xfId="23946"/>
    <cellStyle name="Normale 3 4 2 2 8" xfId="4770"/>
    <cellStyle name="Normale 3 4 2 2 8 2" xfId="12233"/>
    <cellStyle name="Normale 3 4 2 2 8 3" xfId="19641"/>
    <cellStyle name="Normale 3 4 2 2 8 4" xfId="24789"/>
    <cellStyle name="Normale 3 4 2 2 9" xfId="5697"/>
    <cellStyle name="Normale 3 4 2 2 9 2" xfId="13160"/>
    <cellStyle name="Normale 3 4 2 2 9 3" xfId="20568"/>
    <cellStyle name="Normale 3 4 2 2 9 4" xfId="25842"/>
    <cellStyle name="Normale 3 4 2 20" xfId="6618"/>
    <cellStyle name="Normale 3 4 2 20 2" xfId="14081"/>
    <cellStyle name="Normale 3 4 2 20 3" xfId="21489"/>
    <cellStyle name="Normale 3 4 2 20 4" xfId="22867"/>
    <cellStyle name="Normale 3 4 2 21" xfId="7552"/>
    <cellStyle name="Normale 3 4 2 22" xfId="14961"/>
    <cellStyle name="Normale 3 4 2 23" xfId="15076"/>
    <cellStyle name="Normale 3 4 2 24" xfId="29778"/>
    <cellStyle name="Normale 3 4 2 25" xfId="30708"/>
    <cellStyle name="Normale 3 4 2 26" xfId="31631"/>
    <cellStyle name="Normale 3 4 2 27" xfId="32557"/>
    <cellStyle name="Normale 3 4 2 28" xfId="33491"/>
    <cellStyle name="Normale 3 4 2 29" xfId="34419"/>
    <cellStyle name="Normale 3 4 2 3" xfId="90"/>
    <cellStyle name="Normale 3 4 2 3 10" xfId="7555"/>
    <cellStyle name="Normale 3 4 2 3 11" xfId="14964"/>
    <cellStyle name="Normale 3 4 2 3 12" xfId="25285"/>
    <cellStyle name="Normale 3 4 2 3 13" xfId="29781"/>
    <cellStyle name="Normale 3 4 2 3 14" xfId="30711"/>
    <cellStyle name="Normale 3 4 2 3 15" xfId="31634"/>
    <cellStyle name="Normale 3 4 2 3 16" xfId="32560"/>
    <cellStyle name="Normale 3 4 2 3 17" xfId="33494"/>
    <cellStyle name="Normale 3 4 2 3 18" xfId="34422"/>
    <cellStyle name="Normale 3 4 2 3 19" xfId="35350"/>
    <cellStyle name="Normale 3 4 2 3 2" xfId="288"/>
    <cellStyle name="Normale 3 4 2 3 2 10" xfId="15161"/>
    <cellStyle name="Normale 3 4 2 3 2 11" xfId="22522"/>
    <cellStyle name="Normale 3 4 2 3 2 12" xfId="29973"/>
    <cellStyle name="Normale 3 4 2 3 2 13" xfId="30905"/>
    <cellStyle name="Normale 3 4 2 3 2 14" xfId="31826"/>
    <cellStyle name="Normale 3 4 2 3 2 15" xfId="32751"/>
    <cellStyle name="Normale 3 4 2 3 2 16" xfId="33688"/>
    <cellStyle name="Normale 3 4 2 3 2 17" xfId="34618"/>
    <cellStyle name="Normale 3 4 2 3 2 18" xfId="35544"/>
    <cellStyle name="Normale 3 4 2 3 2 19" xfId="36470"/>
    <cellStyle name="Normale 3 4 2 3 2 2" xfId="1255"/>
    <cellStyle name="Normale 3 4 2 3 2 2 2" xfId="8718"/>
    <cellStyle name="Normale 3 4 2 3 2 2 3" xfId="16126"/>
    <cellStyle name="Normale 3 4 2 3 2 2 4" xfId="26376"/>
    <cellStyle name="Normale 3 4 2 3 2 20" xfId="37390"/>
    <cellStyle name="Normale 3 4 2 3 2 3" xfId="2186"/>
    <cellStyle name="Normale 3 4 2 3 2 3 2" xfId="9649"/>
    <cellStyle name="Normale 3 4 2 3 2 3 3" xfId="17057"/>
    <cellStyle name="Normale 3 4 2 3 2 3 4" xfId="24315"/>
    <cellStyle name="Normale 3 4 2 3 2 4" xfId="3108"/>
    <cellStyle name="Normale 3 4 2 3 2 4 2" xfId="10571"/>
    <cellStyle name="Normale 3 4 2 3 2 4 3" xfId="17979"/>
    <cellStyle name="Normale 3 4 2 3 2 4 4" xfId="25208"/>
    <cellStyle name="Normale 3 4 2 3 2 5" xfId="4041"/>
    <cellStyle name="Normale 3 4 2 3 2 5 2" xfId="11504"/>
    <cellStyle name="Normale 3 4 2 3 2 5 3" xfId="18912"/>
    <cellStyle name="Normale 3 4 2 3 2 5 4" xfId="25504"/>
    <cellStyle name="Normale 3 4 2 3 2 6" xfId="4964"/>
    <cellStyle name="Normale 3 4 2 3 2 6 2" xfId="12427"/>
    <cellStyle name="Normale 3 4 2 3 2 6 3" xfId="19835"/>
    <cellStyle name="Normale 3 4 2 3 2 6 4" xfId="22401"/>
    <cellStyle name="Normale 3 4 2 3 2 7" xfId="5892"/>
    <cellStyle name="Normale 3 4 2 3 2 7 2" xfId="13355"/>
    <cellStyle name="Normale 3 4 2 3 2 7 3" xfId="20763"/>
    <cellStyle name="Normale 3 4 2 3 2 7 4" xfId="22381"/>
    <cellStyle name="Normale 3 4 2 3 2 8" xfId="6812"/>
    <cellStyle name="Normale 3 4 2 3 2 8 2" xfId="14275"/>
    <cellStyle name="Normale 3 4 2 3 2 8 3" xfId="21683"/>
    <cellStyle name="Normale 3 4 2 3 2 8 4" xfId="24391"/>
    <cellStyle name="Normale 3 4 2 3 2 9" xfId="7751"/>
    <cellStyle name="Normale 3 4 2 3 20" xfId="36276"/>
    <cellStyle name="Normale 3 4 2 3 21" xfId="37199"/>
    <cellStyle name="Normale 3 4 2 3 3" xfId="1063"/>
    <cellStyle name="Normale 3 4 2 3 3 2" xfId="8526"/>
    <cellStyle name="Normale 3 4 2 3 3 3" xfId="15934"/>
    <cellStyle name="Normale 3 4 2 3 3 4" xfId="27560"/>
    <cellStyle name="Normale 3 4 2 3 4" xfId="1990"/>
    <cellStyle name="Normale 3 4 2 3 4 2" xfId="9453"/>
    <cellStyle name="Normale 3 4 2 3 4 3" xfId="16861"/>
    <cellStyle name="Normale 3 4 2 3 4 4" xfId="28628"/>
    <cellStyle name="Normale 3 4 2 3 5" xfId="2916"/>
    <cellStyle name="Normale 3 4 2 3 5 2" xfId="10379"/>
    <cellStyle name="Normale 3 4 2 3 5 3" xfId="17787"/>
    <cellStyle name="Normale 3 4 2 3 5 4" xfId="28366"/>
    <cellStyle name="Normale 3 4 2 3 6" xfId="3845"/>
    <cellStyle name="Normale 3 4 2 3 6 2" xfId="11308"/>
    <cellStyle name="Normale 3 4 2 3 6 3" xfId="18716"/>
    <cellStyle name="Normale 3 4 2 3 6 4" xfId="29215"/>
    <cellStyle name="Normale 3 4 2 3 7" xfId="4772"/>
    <cellStyle name="Normale 3 4 2 3 7 2" xfId="12235"/>
    <cellStyle name="Normale 3 4 2 3 7 3" xfId="19643"/>
    <cellStyle name="Normale 3 4 2 3 7 4" xfId="22878"/>
    <cellStyle name="Normale 3 4 2 3 8" xfId="5699"/>
    <cellStyle name="Normale 3 4 2 3 8 2" xfId="13162"/>
    <cellStyle name="Normale 3 4 2 3 8 3" xfId="20570"/>
    <cellStyle name="Normale 3 4 2 3 8 4" xfId="24006"/>
    <cellStyle name="Normale 3 4 2 3 9" xfId="6621"/>
    <cellStyle name="Normale 3 4 2 3 9 2" xfId="14084"/>
    <cellStyle name="Normale 3 4 2 3 9 3" xfId="21492"/>
    <cellStyle name="Normale 3 4 2 3 9 4" xfId="27470"/>
    <cellStyle name="Normale 3 4 2 30" xfId="35347"/>
    <cellStyle name="Normale 3 4 2 31" xfId="36273"/>
    <cellStyle name="Normale 3 4 2 32" xfId="37196"/>
    <cellStyle name="Normale 3 4 2 4" xfId="285"/>
    <cellStyle name="Normale 3 4 2 4 10" xfId="15158"/>
    <cellStyle name="Normale 3 4 2 4 11" xfId="24558"/>
    <cellStyle name="Normale 3 4 2 4 12" xfId="29970"/>
    <cellStyle name="Normale 3 4 2 4 13" xfId="30902"/>
    <cellStyle name="Normale 3 4 2 4 14" xfId="31823"/>
    <cellStyle name="Normale 3 4 2 4 15" xfId="32748"/>
    <cellStyle name="Normale 3 4 2 4 16" xfId="33685"/>
    <cellStyle name="Normale 3 4 2 4 17" xfId="34615"/>
    <cellStyle name="Normale 3 4 2 4 18" xfId="35541"/>
    <cellStyle name="Normale 3 4 2 4 19" xfId="36467"/>
    <cellStyle name="Normale 3 4 2 4 2" xfId="1252"/>
    <cellStyle name="Normale 3 4 2 4 2 2" xfId="8715"/>
    <cellStyle name="Normale 3 4 2 4 2 3" xfId="16123"/>
    <cellStyle name="Normale 3 4 2 4 2 4" xfId="29118"/>
    <cellStyle name="Normale 3 4 2 4 20" xfId="37387"/>
    <cellStyle name="Normale 3 4 2 4 3" xfId="2183"/>
    <cellStyle name="Normale 3 4 2 4 3 2" xfId="9646"/>
    <cellStyle name="Normale 3 4 2 4 3 3" xfId="17054"/>
    <cellStyle name="Normale 3 4 2 4 3 4" xfId="27075"/>
    <cellStyle name="Normale 3 4 2 4 4" xfId="3105"/>
    <cellStyle name="Normale 3 4 2 4 4 2" xfId="10568"/>
    <cellStyle name="Normale 3 4 2 4 4 3" xfId="17976"/>
    <cellStyle name="Normale 3 4 2 4 4 4" xfId="27968"/>
    <cellStyle name="Normale 3 4 2 4 5" xfId="4038"/>
    <cellStyle name="Normale 3 4 2 4 5 2" xfId="11501"/>
    <cellStyle name="Normale 3 4 2 4 5 3" xfId="18909"/>
    <cellStyle name="Normale 3 4 2 4 5 4" xfId="28264"/>
    <cellStyle name="Normale 3 4 2 4 6" xfId="4961"/>
    <cellStyle name="Normale 3 4 2 4 6 2" xfId="12424"/>
    <cellStyle name="Normale 3 4 2 4 6 3" xfId="19832"/>
    <cellStyle name="Normale 3 4 2 4 6 4" xfId="24438"/>
    <cellStyle name="Normale 3 4 2 4 7" xfId="5889"/>
    <cellStyle name="Normale 3 4 2 4 7 2" xfId="13352"/>
    <cellStyle name="Normale 3 4 2 4 7 3" xfId="20760"/>
    <cellStyle name="Normale 3 4 2 4 7 4" xfId="24416"/>
    <cellStyle name="Normale 3 4 2 4 8" xfId="6809"/>
    <cellStyle name="Normale 3 4 2 4 8 2" xfId="14272"/>
    <cellStyle name="Normale 3 4 2 4 8 3" xfId="21680"/>
    <cellStyle name="Normale 3 4 2 4 8 4" xfId="27144"/>
    <cellStyle name="Normale 3 4 2 4 9" xfId="7748"/>
    <cellStyle name="Normale 3 4 2 5" xfId="421"/>
    <cellStyle name="Normale 3 4 2 5 10" xfId="15294"/>
    <cellStyle name="Normale 3 4 2 5 11" xfId="25878"/>
    <cellStyle name="Normale 3 4 2 5 12" xfId="30106"/>
    <cellStyle name="Normale 3 4 2 5 13" xfId="31038"/>
    <cellStyle name="Normale 3 4 2 5 14" xfId="31959"/>
    <cellStyle name="Normale 3 4 2 5 15" xfId="32883"/>
    <cellStyle name="Normale 3 4 2 5 16" xfId="33821"/>
    <cellStyle name="Normale 3 4 2 5 17" xfId="34751"/>
    <cellStyle name="Normale 3 4 2 5 18" xfId="35677"/>
    <cellStyle name="Normale 3 4 2 5 19" xfId="36603"/>
    <cellStyle name="Normale 3 4 2 5 2" xfId="1388"/>
    <cellStyle name="Normale 3 4 2 5 2 2" xfId="8851"/>
    <cellStyle name="Normale 3 4 2 5 2 3" xfId="16259"/>
    <cellStyle name="Normale 3 4 2 5 2 4" xfId="23065"/>
    <cellStyle name="Normale 3 4 2 5 20" xfId="37522"/>
    <cellStyle name="Normale 3 4 2 5 3" xfId="2319"/>
    <cellStyle name="Normale 3 4 2 5 3 2" xfId="9782"/>
    <cellStyle name="Normale 3 4 2 5 3 3" xfId="17190"/>
    <cellStyle name="Normale 3 4 2 5 3 4" xfId="27629"/>
    <cellStyle name="Normale 3 4 2 5 4" xfId="3241"/>
    <cellStyle name="Normale 3 4 2 5 4 2" xfId="10704"/>
    <cellStyle name="Normale 3 4 2 5 4 3" xfId="18112"/>
    <cellStyle name="Normale 3 4 2 5 4 4" xfId="25998"/>
    <cellStyle name="Normale 3 4 2 5 5" xfId="4174"/>
    <cellStyle name="Normale 3 4 2 5 5 2" xfId="11637"/>
    <cellStyle name="Normale 3 4 2 5 5 3" xfId="19045"/>
    <cellStyle name="Normale 3 4 2 5 5 4" xfId="28263"/>
    <cellStyle name="Normale 3 4 2 5 6" xfId="5097"/>
    <cellStyle name="Normale 3 4 2 5 6 2" xfId="12560"/>
    <cellStyle name="Normale 3 4 2 5 6 3" xfId="19968"/>
    <cellStyle name="Normale 3 4 2 5 6 4" xfId="25840"/>
    <cellStyle name="Normale 3 4 2 5 7" xfId="6025"/>
    <cellStyle name="Normale 3 4 2 5 7 2" xfId="13488"/>
    <cellStyle name="Normale 3 4 2 5 7 3" xfId="20896"/>
    <cellStyle name="Normale 3 4 2 5 7 4" xfId="25756"/>
    <cellStyle name="Normale 3 4 2 5 8" xfId="6944"/>
    <cellStyle name="Normale 3 4 2 5 8 2" xfId="14407"/>
    <cellStyle name="Normale 3 4 2 5 8 3" xfId="21815"/>
    <cellStyle name="Normale 3 4 2 5 8 4" xfId="24665"/>
    <cellStyle name="Normale 3 4 2 5 9" xfId="7884"/>
    <cellStyle name="Normale 3 4 2 6" xfId="469"/>
    <cellStyle name="Normale 3 4 2 6 10" xfId="15342"/>
    <cellStyle name="Normale 3 4 2 6 11" xfId="25528"/>
    <cellStyle name="Normale 3 4 2 6 12" xfId="30154"/>
    <cellStyle name="Normale 3 4 2 6 13" xfId="31086"/>
    <cellStyle name="Normale 3 4 2 6 14" xfId="32007"/>
    <cellStyle name="Normale 3 4 2 6 15" xfId="32930"/>
    <cellStyle name="Normale 3 4 2 6 16" xfId="33869"/>
    <cellStyle name="Normale 3 4 2 6 17" xfId="34799"/>
    <cellStyle name="Normale 3 4 2 6 18" xfId="35725"/>
    <cellStyle name="Normale 3 4 2 6 19" xfId="36651"/>
    <cellStyle name="Normale 3 4 2 6 2" xfId="1436"/>
    <cellStyle name="Normale 3 4 2 6 2 2" xfId="8899"/>
    <cellStyle name="Normale 3 4 2 6 2 3" xfId="16307"/>
    <cellStyle name="Normale 3 4 2 6 2 4" xfId="28656"/>
    <cellStyle name="Normale 3 4 2 6 20" xfId="37569"/>
    <cellStyle name="Normale 3 4 2 6 3" xfId="2367"/>
    <cellStyle name="Normale 3 4 2 6 3 2" xfId="9830"/>
    <cellStyle name="Normale 3 4 2 6 3 3" xfId="17238"/>
    <cellStyle name="Normale 3 4 2 6 3 4" xfId="27255"/>
    <cellStyle name="Normale 3 4 2 6 4" xfId="3289"/>
    <cellStyle name="Normale 3 4 2 6 4 2" xfId="10752"/>
    <cellStyle name="Normale 3 4 2 6 4 3" xfId="18160"/>
    <cellStyle name="Normale 3 4 2 6 4 4" xfId="25602"/>
    <cellStyle name="Normale 3 4 2 6 5" xfId="4222"/>
    <cellStyle name="Normale 3 4 2 6 5 2" xfId="11685"/>
    <cellStyle name="Normale 3 4 2 6 5 3" xfId="19093"/>
    <cellStyle name="Normale 3 4 2 6 5 4" xfId="27022"/>
    <cellStyle name="Normale 3 4 2 6 6" xfId="5145"/>
    <cellStyle name="Normale 3 4 2 6 6 2" xfId="12608"/>
    <cellStyle name="Normale 3 4 2 6 6 3" xfId="20016"/>
    <cellStyle name="Normale 3 4 2 6 6 4" xfId="24057"/>
    <cellStyle name="Normale 3 4 2 6 7" xfId="6073"/>
    <cellStyle name="Normale 3 4 2 6 7 2" xfId="13536"/>
    <cellStyle name="Normale 3 4 2 6 7 3" xfId="20944"/>
    <cellStyle name="Normale 3 4 2 6 7 4" xfId="25491"/>
    <cellStyle name="Normale 3 4 2 6 8" xfId="6991"/>
    <cellStyle name="Normale 3 4 2 6 8 2" xfId="14454"/>
    <cellStyle name="Normale 3 4 2 6 8 3" xfId="21862"/>
    <cellStyle name="Normale 3 4 2 6 8 4" xfId="27467"/>
    <cellStyle name="Normale 3 4 2 6 9" xfId="7932"/>
    <cellStyle name="Normale 3 4 2 7" xfId="517"/>
    <cellStyle name="Normale 3 4 2 7 10" xfId="15390"/>
    <cellStyle name="Normale 3 4 2 7 11" xfId="24358"/>
    <cellStyle name="Normale 3 4 2 7 12" xfId="30201"/>
    <cellStyle name="Normale 3 4 2 7 13" xfId="31134"/>
    <cellStyle name="Normale 3 4 2 7 14" xfId="32054"/>
    <cellStyle name="Normale 3 4 2 7 15" xfId="32976"/>
    <cellStyle name="Normale 3 4 2 7 16" xfId="33917"/>
    <cellStyle name="Normale 3 4 2 7 17" xfId="34847"/>
    <cellStyle name="Normale 3 4 2 7 18" xfId="35773"/>
    <cellStyle name="Normale 3 4 2 7 19" xfId="36699"/>
    <cellStyle name="Normale 3 4 2 7 2" xfId="1484"/>
    <cellStyle name="Normale 3 4 2 7 2 2" xfId="8947"/>
    <cellStyle name="Normale 3 4 2 7 2 3" xfId="16355"/>
    <cellStyle name="Normale 3 4 2 7 2 4" xfId="27281"/>
    <cellStyle name="Normale 3 4 2 7 20" xfId="37615"/>
    <cellStyle name="Normale 3 4 2 7 3" xfId="2415"/>
    <cellStyle name="Normale 3 4 2 7 3 2" xfId="9878"/>
    <cellStyle name="Normale 3 4 2 7 3 3" xfId="17286"/>
    <cellStyle name="Normale 3 4 2 7 3 4" xfId="26347"/>
    <cellStyle name="Normale 3 4 2 7 4" xfId="3336"/>
    <cellStyle name="Normale 3 4 2 7 4 2" xfId="10799"/>
    <cellStyle name="Normale 3 4 2 7 4 3" xfId="18207"/>
    <cellStyle name="Normale 3 4 2 7 4 4" xfId="28506"/>
    <cellStyle name="Normale 3 4 2 7 5" xfId="4270"/>
    <cellStyle name="Normale 3 4 2 7 5 2" xfId="11733"/>
    <cellStyle name="Normale 3 4 2 7 5 3" xfId="19141"/>
    <cellStyle name="Normale 3 4 2 7 5 4" xfId="28543"/>
    <cellStyle name="Normale 3 4 2 7 6" xfId="5192"/>
    <cellStyle name="Normale 3 4 2 7 6 2" xfId="12655"/>
    <cellStyle name="Normale 3 4 2 7 6 3" xfId="20063"/>
    <cellStyle name="Normale 3 4 2 7 6 4" xfId="23514"/>
    <cellStyle name="Normale 3 4 2 7 7" xfId="6121"/>
    <cellStyle name="Normale 3 4 2 7 7 2" xfId="13584"/>
    <cellStyle name="Normale 3 4 2 7 7 3" xfId="20992"/>
    <cellStyle name="Normale 3 4 2 7 7 4" xfId="24214"/>
    <cellStyle name="Normale 3 4 2 7 8" xfId="7037"/>
    <cellStyle name="Normale 3 4 2 7 8 2" xfId="14500"/>
    <cellStyle name="Normale 3 4 2 7 8 3" xfId="21908"/>
    <cellStyle name="Normale 3 4 2 7 8 4" xfId="29418"/>
    <cellStyle name="Normale 3 4 2 7 9" xfId="7980"/>
    <cellStyle name="Normale 3 4 2 8" xfId="569"/>
    <cellStyle name="Normale 3 4 2 8 10" xfId="15442"/>
    <cellStyle name="Normale 3 4 2 8 11" xfId="28940"/>
    <cellStyle name="Normale 3 4 2 8 12" xfId="30252"/>
    <cellStyle name="Normale 3 4 2 8 13" xfId="31186"/>
    <cellStyle name="Normale 3 4 2 8 14" xfId="32105"/>
    <cellStyle name="Normale 3 4 2 8 15" xfId="33026"/>
    <cellStyle name="Normale 3 4 2 8 16" xfId="33969"/>
    <cellStyle name="Normale 3 4 2 8 17" xfId="34899"/>
    <cellStyle name="Normale 3 4 2 8 18" xfId="35825"/>
    <cellStyle name="Normale 3 4 2 8 19" xfId="36751"/>
    <cellStyle name="Normale 3 4 2 8 2" xfId="1536"/>
    <cellStyle name="Normale 3 4 2 8 2 2" xfId="8999"/>
    <cellStyle name="Normale 3 4 2 8 2 3" xfId="16407"/>
    <cellStyle name="Normale 3 4 2 8 2 4" xfId="24603"/>
    <cellStyle name="Normale 3 4 2 8 20" xfId="37665"/>
    <cellStyle name="Normale 3 4 2 8 3" xfId="2467"/>
    <cellStyle name="Normale 3 4 2 8 3 2" xfId="9930"/>
    <cellStyle name="Normale 3 4 2 8 3 3" xfId="17338"/>
    <cellStyle name="Normale 3 4 2 8 3 4" xfId="23879"/>
    <cellStyle name="Normale 3 4 2 8 4" xfId="3387"/>
    <cellStyle name="Normale 3 4 2 8 4 2" xfId="10850"/>
    <cellStyle name="Normale 3 4 2 8 4 3" xfId="18258"/>
    <cellStyle name="Normale 3 4 2 8 4 4" xfId="23974"/>
    <cellStyle name="Normale 3 4 2 8 5" xfId="4322"/>
    <cellStyle name="Normale 3 4 2 8 5 2" xfId="11785"/>
    <cellStyle name="Normale 3 4 2 8 5 3" xfId="19193"/>
    <cellStyle name="Normale 3 4 2 8 5 4" xfId="29036"/>
    <cellStyle name="Normale 3 4 2 8 6" xfId="5243"/>
    <cellStyle name="Normale 3 4 2 8 6 2" xfId="12706"/>
    <cellStyle name="Normale 3 4 2 8 6 3" xfId="20114"/>
    <cellStyle name="Normale 3 4 2 8 6 4" xfId="29013"/>
    <cellStyle name="Normale 3 4 2 8 7" xfId="6173"/>
    <cellStyle name="Normale 3 4 2 8 7 2" xfId="13636"/>
    <cellStyle name="Normale 3 4 2 8 7 3" xfId="21044"/>
    <cellStyle name="Normale 3 4 2 8 7 4" xfId="29352"/>
    <cellStyle name="Normale 3 4 2 8 8" xfId="7087"/>
    <cellStyle name="Normale 3 4 2 8 8 2" xfId="14550"/>
    <cellStyle name="Normale 3 4 2 8 8 3" xfId="21958"/>
    <cellStyle name="Normale 3 4 2 8 8 4" xfId="27138"/>
    <cellStyle name="Normale 3 4 2 8 9" xfId="8032"/>
    <cellStyle name="Normale 3 4 2 9" xfId="629"/>
    <cellStyle name="Normale 3 4 2 9 10" xfId="15501"/>
    <cellStyle name="Normale 3 4 2 9 11" xfId="29134"/>
    <cellStyle name="Normale 3 4 2 9 12" xfId="30308"/>
    <cellStyle name="Normale 3 4 2 9 13" xfId="31245"/>
    <cellStyle name="Normale 3 4 2 9 14" xfId="32162"/>
    <cellStyle name="Normale 3 4 2 9 15" xfId="33081"/>
    <cellStyle name="Normale 3 4 2 9 16" xfId="34028"/>
    <cellStyle name="Normale 3 4 2 9 17" xfId="34959"/>
    <cellStyle name="Normale 3 4 2 9 18" xfId="35885"/>
    <cellStyle name="Normale 3 4 2 9 19" xfId="36810"/>
    <cellStyle name="Normale 3 4 2 9 2" xfId="1595"/>
    <cellStyle name="Normale 3 4 2 9 2 2" xfId="9058"/>
    <cellStyle name="Normale 3 4 2 9 2 3" xfId="16466"/>
    <cellStyle name="Normale 3 4 2 9 2 4" xfId="28921"/>
    <cellStyle name="Normale 3 4 2 9 20" xfId="37720"/>
    <cellStyle name="Normale 3 4 2 9 3" xfId="2527"/>
    <cellStyle name="Normale 3 4 2 9 3 2" xfId="9990"/>
    <cellStyle name="Normale 3 4 2 9 3 3" xfId="17398"/>
    <cellStyle name="Normale 3 4 2 9 3 4" xfId="27064"/>
    <cellStyle name="Normale 3 4 2 9 4" xfId="3445"/>
    <cellStyle name="Normale 3 4 2 9 4 2" xfId="10908"/>
    <cellStyle name="Normale 3 4 2 9 4 3" xfId="18316"/>
    <cellStyle name="Normale 3 4 2 9 4 4" xfId="29315"/>
    <cellStyle name="Normale 3 4 2 9 5" xfId="4382"/>
    <cellStyle name="Normale 3 4 2 9 5 2" xfId="11845"/>
    <cellStyle name="Normale 3 4 2 9 5 3" xfId="19253"/>
    <cellStyle name="Normale 3 4 2 9 5 4" xfId="25175"/>
    <cellStyle name="Normale 3 4 2 9 6" xfId="5300"/>
    <cellStyle name="Normale 3 4 2 9 6 2" xfId="12763"/>
    <cellStyle name="Normale 3 4 2 9 6 3" xfId="20171"/>
    <cellStyle name="Normale 3 4 2 9 6 4" xfId="27912"/>
    <cellStyle name="Normale 3 4 2 9 7" xfId="6233"/>
    <cellStyle name="Normale 3 4 2 9 7 2" xfId="13696"/>
    <cellStyle name="Normale 3 4 2 9 7 3" xfId="21104"/>
    <cellStyle name="Normale 3 4 2 9 7 4" xfId="24406"/>
    <cellStyle name="Normale 3 4 2 9 8" xfId="7142"/>
    <cellStyle name="Normale 3 4 2 9 8 2" xfId="14605"/>
    <cellStyle name="Normale 3 4 2 9 8 3" xfId="22013"/>
    <cellStyle name="Normale 3 4 2 9 8 4" xfId="22537"/>
    <cellStyle name="Normale 3 4 2 9 9" xfId="8092"/>
    <cellStyle name="Normale 3 4 20" xfId="3841"/>
    <cellStyle name="Normale 3 4 20 2" xfId="11304"/>
    <cellStyle name="Normale 3 4 20 3" xfId="18712"/>
    <cellStyle name="Normale 3 4 20 4" xfId="25783"/>
    <cellStyle name="Normale 3 4 21" xfId="4768"/>
    <cellStyle name="Normale 3 4 21 2" xfId="12231"/>
    <cellStyle name="Normale 3 4 21 3" xfId="19639"/>
    <cellStyle name="Normale 3 4 21 4" xfId="26633"/>
    <cellStyle name="Normale 3 4 22" xfId="5695"/>
    <cellStyle name="Normale 3 4 22 2" xfId="13158"/>
    <cellStyle name="Normale 3 4 22 3" xfId="20566"/>
    <cellStyle name="Normale 3 4 22 4" xfId="27678"/>
    <cellStyle name="Normale 3 4 23" xfId="6617"/>
    <cellStyle name="Normale 3 4 23 2" xfId="14080"/>
    <cellStyle name="Normale 3 4 23 3" xfId="21488"/>
    <cellStyle name="Normale 3 4 23 4" xfId="23854"/>
    <cellStyle name="Normale 3 4 24" xfId="7551"/>
    <cellStyle name="Normale 3 4 25" xfId="14960"/>
    <cellStyle name="Normale 3 4 26" xfId="28044"/>
    <cellStyle name="Normale 3 4 27" xfId="29777"/>
    <cellStyle name="Normale 3 4 28" xfId="30707"/>
    <cellStyle name="Normale 3 4 29" xfId="31630"/>
    <cellStyle name="Normale 3 4 3" xfId="91"/>
    <cellStyle name="Normale 3 4 3 10" xfId="708"/>
    <cellStyle name="Normale 3 4 3 10 10" xfId="15579"/>
    <cellStyle name="Normale 3 4 3 10 11" xfId="23968"/>
    <cellStyle name="Normale 3 4 3 10 12" xfId="30382"/>
    <cellStyle name="Normale 3 4 3 10 13" xfId="31323"/>
    <cellStyle name="Normale 3 4 3 10 14" xfId="32236"/>
    <cellStyle name="Normale 3 4 3 10 15" xfId="33154"/>
    <cellStyle name="Normale 3 4 3 10 16" xfId="34106"/>
    <cellStyle name="Normale 3 4 3 10 17" xfId="35038"/>
    <cellStyle name="Normale 3 4 3 10 18" xfId="35964"/>
    <cellStyle name="Normale 3 4 3 10 19" xfId="36889"/>
    <cellStyle name="Normale 3 4 3 10 2" xfId="1673"/>
    <cellStyle name="Normale 3 4 3 10 2 2" xfId="9136"/>
    <cellStyle name="Normale 3 4 3 10 2 3" xfId="16544"/>
    <cellStyle name="Normale 3 4 3 10 2 4" xfId="23681"/>
    <cellStyle name="Normale 3 4 3 10 20" xfId="37793"/>
    <cellStyle name="Normale 3 4 3 10 3" xfId="2606"/>
    <cellStyle name="Normale 3 4 3 10 3 2" xfId="10069"/>
    <cellStyle name="Normale 3 4 3 10 3 3" xfId="17477"/>
    <cellStyle name="Normale 3 4 3 10 3 4" xfId="26485"/>
    <cellStyle name="Normale 3 4 3 10 4" xfId="3522"/>
    <cellStyle name="Normale 3 4 3 10 4 2" xfId="10985"/>
    <cellStyle name="Normale 3 4 3 10 4 3" xfId="18393"/>
    <cellStyle name="Normale 3 4 3 10 4 4" xfId="23365"/>
    <cellStyle name="Normale 3 4 3 10 5" xfId="4461"/>
    <cellStyle name="Normale 3 4 3 10 5 2" xfId="11924"/>
    <cellStyle name="Normale 3 4 3 10 5 3" xfId="19332"/>
    <cellStyle name="Normale 3 4 3 10 5 4" xfId="29309"/>
    <cellStyle name="Normale 3 4 3 10 6" xfId="5377"/>
    <cellStyle name="Normale 3 4 3 10 6 2" xfId="12840"/>
    <cellStyle name="Normale 3 4 3 10 6 3" xfId="20248"/>
    <cellStyle name="Normale 3 4 3 10 6 4" xfId="23658"/>
    <cellStyle name="Normale 3 4 3 10 7" xfId="6310"/>
    <cellStyle name="Normale 3 4 3 10 7 2" xfId="13773"/>
    <cellStyle name="Normale 3 4 3 10 7 3" xfId="21181"/>
    <cellStyle name="Normale 3 4 3 10 7 4" xfId="24145"/>
    <cellStyle name="Normale 3 4 3 10 8" xfId="7215"/>
    <cellStyle name="Normale 3 4 3 10 8 2" xfId="14678"/>
    <cellStyle name="Normale 3 4 3 10 8 3" xfId="22086"/>
    <cellStyle name="Normale 3 4 3 10 8 4" xfId="24378"/>
    <cellStyle name="Normale 3 4 3 10 9" xfId="8171"/>
    <cellStyle name="Normale 3 4 3 11" xfId="780"/>
    <cellStyle name="Normale 3 4 3 11 10" xfId="15651"/>
    <cellStyle name="Normale 3 4 3 11 11" xfId="22668"/>
    <cellStyle name="Normale 3 4 3 11 12" xfId="30452"/>
    <cellStyle name="Normale 3 4 3 11 13" xfId="31395"/>
    <cellStyle name="Normale 3 4 3 11 14" xfId="32307"/>
    <cellStyle name="Normale 3 4 3 11 15" xfId="33223"/>
    <cellStyle name="Normale 3 4 3 11 16" xfId="34178"/>
    <cellStyle name="Normale 3 4 3 11 17" xfId="35110"/>
    <cellStyle name="Normale 3 4 3 11 18" xfId="36036"/>
    <cellStyle name="Normale 3 4 3 11 19" xfId="36961"/>
    <cellStyle name="Normale 3 4 3 11 2" xfId="1745"/>
    <cellStyle name="Normale 3 4 3 11 2 2" xfId="9208"/>
    <cellStyle name="Normale 3 4 3 11 2 3" xfId="16616"/>
    <cellStyle name="Normale 3 4 3 11 2 4" xfId="24174"/>
    <cellStyle name="Normale 3 4 3 11 20" xfId="37862"/>
    <cellStyle name="Normale 3 4 3 11 3" xfId="2678"/>
    <cellStyle name="Normale 3 4 3 11 3 2" xfId="10141"/>
    <cellStyle name="Normale 3 4 3 11 3 3" xfId="17549"/>
    <cellStyle name="Normale 3 4 3 11 3 4" xfId="27981"/>
    <cellStyle name="Normale 3 4 3 11 4" xfId="3593"/>
    <cellStyle name="Normale 3 4 3 11 4 2" xfId="11056"/>
    <cellStyle name="Normale 3 4 3 11 4 3" xfId="18464"/>
    <cellStyle name="Normale 3 4 3 11 4 4" xfId="25600"/>
    <cellStyle name="Normale 3 4 3 11 5" xfId="4533"/>
    <cellStyle name="Normale 3 4 3 11 5 2" xfId="11996"/>
    <cellStyle name="Normale 3 4 3 11 5 3" xfId="19404"/>
    <cellStyle name="Normale 3 4 3 11 5 4" xfId="23913"/>
    <cellStyle name="Normale 3 4 3 11 6" xfId="5448"/>
    <cellStyle name="Normale 3 4 3 11 6 2" xfId="12911"/>
    <cellStyle name="Normale 3 4 3 11 6 3" xfId="20319"/>
    <cellStyle name="Normale 3 4 3 11 6 4" xfId="25076"/>
    <cellStyle name="Normale 3 4 3 11 7" xfId="6382"/>
    <cellStyle name="Normale 3 4 3 11 7 2" xfId="13845"/>
    <cellStyle name="Normale 3 4 3 11 7 3" xfId="21253"/>
    <cellStyle name="Normale 3 4 3 11 7 4" xfId="28077"/>
    <cellStyle name="Normale 3 4 3 11 8" xfId="7284"/>
    <cellStyle name="Normale 3 4 3 11 8 2" xfId="14747"/>
    <cellStyle name="Normale 3 4 3 11 8 3" xfId="22155"/>
    <cellStyle name="Normale 3 4 3 11 8 4" xfId="27710"/>
    <cellStyle name="Normale 3 4 3 11 9" xfId="8243"/>
    <cellStyle name="Normale 3 4 3 12" xfId="853"/>
    <cellStyle name="Normale 3 4 3 12 10" xfId="15724"/>
    <cellStyle name="Normale 3 4 3 12 11" xfId="29606"/>
    <cellStyle name="Normale 3 4 3 12 12" xfId="30522"/>
    <cellStyle name="Normale 3 4 3 12 13" xfId="31468"/>
    <cellStyle name="Normale 3 4 3 12 14" xfId="32379"/>
    <cellStyle name="Normale 3 4 3 12 15" xfId="33292"/>
    <cellStyle name="Normale 3 4 3 12 16" xfId="34251"/>
    <cellStyle name="Normale 3 4 3 12 17" xfId="35183"/>
    <cellStyle name="Normale 3 4 3 12 18" xfId="36109"/>
    <cellStyle name="Normale 3 4 3 12 19" xfId="37034"/>
    <cellStyle name="Normale 3 4 3 12 2" xfId="1818"/>
    <cellStyle name="Normale 3 4 3 12 2 2" xfId="9281"/>
    <cellStyle name="Normale 3 4 3 12 2 3" xfId="16689"/>
    <cellStyle name="Normale 3 4 3 12 2 4" xfId="27268"/>
    <cellStyle name="Normale 3 4 3 12 20" xfId="37931"/>
    <cellStyle name="Normale 3 4 3 12 3" xfId="2751"/>
    <cellStyle name="Normale 3 4 3 12 3 2" xfId="10214"/>
    <cellStyle name="Normale 3 4 3 12 3 3" xfId="17622"/>
    <cellStyle name="Normale 3 4 3 12 3 4" xfId="24496"/>
    <cellStyle name="Normale 3 4 3 12 4" xfId="3665"/>
    <cellStyle name="Normale 3 4 3 12 4 2" xfId="11128"/>
    <cellStyle name="Normale 3 4 3 12 4 3" xfId="18536"/>
    <cellStyle name="Normale 3 4 3 12 4 4" xfId="24472"/>
    <cellStyle name="Normale 3 4 3 12 5" xfId="4606"/>
    <cellStyle name="Normale 3 4 3 12 5 2" xfId="12069"/>
    <cellStyle name="Normale 3 4 3 12 5 3" xfId="19477"/>
    <cellStyle name="Normale 3 4 3 12 5 4" xfId="27013"/>
    <cellStyle name="Normale 3 4 3 12 6" xfId="5520"/>
    <cellStyle name="Normale 3 4 3 12 6 2" xfId="12983"/>
    <cellStyle name="Normale 3 4 3 12 6 3" xfId="20391"/>
    <cellStyle name="Normale 3 4 3 12 6 4" xfId="29005"/>
    <cellStyle name="Normale 3 4 3 12 7" xfId="6455"/>
    <cellStyle name="Normale 3 4 3 12 7 2" xfId="13918"/>
    <cellStyle name="Normale 3 4 3 12 7 3" xfId="21326"/>
    <cellStyle name="Normale 3 4 3 12 7 4" xfId="24113"/>
    <cellStyle name="Normale 3 4 3 12 8" xfId="7353"/>
    <cellStyle name="Normale 3 4 3 12 8 2" xfId="14816"/>
    <cellStyle name="Normale 3 4 3 12 8 3" xfId="22224"/>
    <cellStyle name="Normale 3 4 3 12 8 4" xfId="28508"/>
    <cellStyle name="Normale 3 4 3 12 9" xfId="8316"/>
    <cellStyle name="Normale 3 4 3 13" xfId="923"/>
    <cellStyle name="Normale 3 4 3 13 10" xfId="15794"/>
    <cellStyle name="Normale 3 4 3 13 11" xfId="23431"/>
    <cellStyle name="Normale 3 4 3 13 12" xfId="30589"/>
    <cellStyle name="Normale 3 4 3 13 13" xfId="31537"/>
    <cellStyle name="Normale 3 4 3 13 14" xfId="32448"/>
    <cellStyle name="Normale 3 4 3 13 15" xfId="33358"/>
    <cellStyle name="Normale 3 4 3 13 16" xfId="34321"/>
    <cellStyle name="Normale 3 4 3 13 17" xfId="35253"/>
    <cellStyle name="Normale 3 4 3 13 18" xfId="36178"/>
    <cellStyle name="Normale 3 4 3 13 19" xfId="37104"/>
    <cellStyle name="Normale 3 4 3 13 2" xfId="1888"/>
    <cellStyle name="Normale 3 4 3 13 2 2" xfId="9351"/>
    <cellStyle name="Normale 3 4 3 13 2 3" xfId="16759"/>
    <cellStyle name="Normale 3 4 3 13 2 4" xfId="29590"/>
    <cellStyle name="Normale 3 4 3 13 20" xfId="37997"/>
    <cellStyle name="Normale 3 4 3 13 3" xfId="2820"/>
    <cellStyle name="Normale 3 4 3 13 3 2" xfId="10283"/>
    <cellStyle name="Normale 3 4 3 13 3 3" xfId="17691"/>
    <cellStyle name="Normale 3 4 3 13 3 4" xfId="27247"/>
    <cellStyle name="Normale 3 4 3 13 4" xfId="3735"/>
    <cellStyle name="Normale 3 4 3 13 4 2" xfId="11198"/>
    <cellStyle name="Normale 3 4 3 13 4 3" xfId="18606"/>
    <cellStyle name="Normale 3 4 3 13 4 4" xfId="27389"/>
    <cellStyle name="Normale 3 4 3 13 5" xfId="4676"/>
    <cellStyle name="Normale 3 4 3 13 5 2" xfId="12139"/>
    <cellStyle name="Normale 3 4 3 13 5 3" xfId="19547"/>
    <cellStyle name="Normale 3 4 3 13 5 4" xfId="28843"/>
    <cellStyle name="Normale 3 4 3 13 6" xfId="5590"/>
    <cellStyle name="Normale 3 4 3 13 6 2" xfId="13053"/>
    <cellStyle name="Normale 3 4 3 13 6 3" xfId="20461"/>
    <cellStyle name="Normale 3 4 3 13 6 4" xfId="24150"/>
    <cellStyle name="Normale 3 4 3 13 7" xfId="6525"/>
    <cellStyle name="Normale 3 4 3 13 7 2" xfId="13988"/>
    <cellStyle name="Normale 3 4 3 13 7 3" xfId="21396"/>
    <cellStyle name="Normale 3 4 3 13 7 4" xfId="26047"/>
    <cellStyle name="Normale 3 4 3 13 8" xfId="7419"/>
    <cellStyle name="Normale 3 4 3 13 8 2" xfId="14882"/>
    <cellStyle name="Normale 3 4 3 13 8 3" xfId="22290"/>
    <cellStyle name="Normale 3 4 3 13 8 4" xfId="28652"/>
    <cellStyle name="Normale 3 4 3 13 9" xfId="8386"/>
    <cellStyle name="Normale 3 4 3 14" xfId="1064"/>
    <cellStyle name="Normale 3 4 3 14 2" xfId="8527"/>
    <cellStyle name="Normale 3 4 3 14 3" xfId="15935"/>
    <cellStyle name="Normale 3 4 3 14 4" xfId="26655"/>
    <cellStyle name="Normale 3 4 3 15" xfId="1991"/>
    <cellStyle name="Normale 3 4 3 15 2" xfId="9454"/>
    <cellStyle name="Normale 3 4 3 15 3" xfId="16862"/>
    <cellStyle name="Normale 3 4 3 15 4" xfId="27701"/>
    <cellStyle name="Normale 3 4 3 16" xfId="2917"/>
    <cellStyle name="Normale 3 4 3 16 2" xfId="10380"/>
    <cellStyle name="Normale 3 4 3 16 3" xfId="17788"/>
    <cellStyle name="Normale 3 4 3 16 4" xfId="27442"/>
    <cellStyle name="Normale 3 4 3 17" xfId="3846"/>
    <cellStyle name="Normale 3 4 3 17 2" xfId="11309"/>
    <cellStyle name="Normale 3 4 3 17 3" xfId="18717"/>
    <cellStyle name="Normale 3 4 3 17 4" xfId="28309"/>
    <cellStyle name="Normale 3 4 3 18" xfId="4773"/>
    <cellStyle name="Normale 3 4 3 18 2" xfId="12236"/>
    <cellStyle name="Normale 3 4 3 18 3" xfId="19644"/>
    <cellStyle name="Normale 3 4 3 18 4" xfId="29307"/>
    <cellStyle name="Normale 3 4 3 19" xfId="5700"/>
    <cellStyle name="Normale 3 4 3 19 2" xfId="13163"/>
    <cellStyle name="Normale 3 4 3 19 3" xfId="20571"/>
    <cellStyle name="Normale 3 4 3 19 4" xfId="22998"/>
    <cellStyle name="Normale 3 4 3 2" xfId="92"/>
    <cellStyle name="Normale 3 4 3 2 10" xfId="6623"/>
    <cellStyle name="Normale 3 4 3 2 10 2" xfId="14086"/>
    <cellStyle name="Normale 3 4 3 2 10 3" xfId="21494"/>
    <cellStyle name="Normale 3 4 3 2 10 4" xfId="25633"/>
    <cellStyle name="Normale 3 4 3 2 11" xfId="7557"/>
    <cellStyle name="Normale 3 4 3 2 12" xfId="14966"/>
    <cellStyle name="Normale 3 4 3 2 13" xfId="23450"/>
    <cellStyle name="Normale 3 4 3 2 14" xfId="29783"/>
    <cellStyle name="Normale 3 4 3 2 15" xfId="30713"/>
    <cellStyle name="Normale 3 4 3 2 16" xfId="31636"/>
    <cellStyle name="Normale 3 4 3 2 17" xfId="32562"/>
    <cellStyle name="Normale 3 4 3 2 18" xfId="33496"/>
    <cellStyle name="Normale 3 4 3 2 19" xfId="34424"/>
    <cellStyle name="Normale 3 4 3 2 2" xfId="93"/>
    <cellStyle name="Normale 3 4 3 2 2 10" xfId="7558"/>
    <cellStyle name="Normale 3 4 3 2 2 11" xfId="14967"/>
    <cellStyle name="Normale 3 4 3 2 2 12" xfId="23234"/>
    <cellStyle name="Normale 3 4 3 2 2 13" xfId="29784"/>
    <cellStyle name="Normale 3 4 3 2 2 14" xfId="30714"/>
    <cellStyle name="Normale 3 4 3 2 2 15" xfId="31637"/>
    <cellStyle name="Normale 3 4 3 2 2 16" xfId="32563"/>
    <cellStyle name="Normale 3 4 3 2 2 17" xfId="33497"/>
    <cellStyle name="Normale 3 4 3 2 2 18" xfId="34425"/>
    <cellStyle name="Normale 3 4 3 2 2 19" xfId="35353"/>
    <cellStyle name="Normale 3 4 3 2 2 2" xfId="291"/>
    <cellStyle name="Normale 3 4 3 2 2 2 10" xfId="15164"/>
    <cellStyle name="Normale 3 4 3 2 2 2 11" xfId="27119"/>
    <cellStyle name="Normale 3 4 3 2 2 2 12" xfId="29976"/>
    <cellStyle name="Normale 3 4 3 2 2 2 13" xfId="30908"/>
    <cellStyle name="Normale 3 4 3 2 2 2 14" xfId="31829"/>
    <cellStyle name="Normale 3 4 3 2 2 2 15" xfId="32754"/>
    <cellStyle name="Normale 3 4 3 2 2 2 16" xfId="33691"/>
    <cellStyle name="Normale 3 4 3 2 2 2 17" xfId="34621"/>
    <cellStyle name="Normale 3 4 3 2 2 2 18" xfId="35547"/>
    <cellStyle name="Normale 3 4 3 2 2 2 19" xfId="36473"/>
    <cellStyle name="Normale 3 4 3 2 2 2 2" xfId="1258"/>
    <cellStyle name="Normale 3 4 3 2 2 2 2 2" xfId="8721"/>
    <cellStyle name="Normale 3 4 3 2 2 2 2 3" xfId="16129"/>
    <cellStyle name="Normale 3 4 3 2 2 2 2 4" xfId="23613"/>
    <cellStyle name="Normale 3 4 3 2 2 2 20" xfId="37393"/>
    <cellStyle name="Normale 3 4 3 2 2 2 3" xfId="2189"/>
    <cellStyle name="Normale 3 4 3 2 2 2 3 2" xfId="9652"/>
    <cellStyle name="Normale 3 4 3 2 2 2 3 3" xfId="17060"/>
    <cellStyle name="Normale 3 4 3 2 2 2 3 4" xfId="29377"/>
    <cellStyle name="Normale 3 4 3 2 2 2 4" xfId="3111"/>
    <cellStyle name="Normale 3 4 3 2 2 2 4 2" xfId="10574"/>
    <cellStyle name="Normale 3 4 3 2 2 2 4 3" xfId="17982"/>
    <cellStyle name="Normale 3 4 3 2 2 2 4 4" xfId="22639"/>
    <cellStyle name="Normale 3 4 3 2 2 2 5" xfId="4044"/>
    <cellStyle name="Normale 3 4 3 2 2 2 5 2" xfId="11507"/>
    <cellStyle name="Normale 3 4 3 2 2 2 5 3" xfId="18915"/>
    <cellStyle name="Normale 3 4 3 2 2 2 5 4" xfId="22614"/>
    <cellStyle name="Normale 3 4 3 2 2 2 6" xfId="4967"/>
    <cellStyle name="Normale 3 4 3 2 2 2 6 2" xfId="12430"/>
    <cellStyle name="Normale 3 4 3 2 2 2 6 3" xfId="19838"/>
    <cellStyle name="Normale 3 4 3 2 2 2 6 4" xfId="27002"/>
    <cellStyle name="Normale 3 4 3 2 2 2 7" xfId="5895"/>
    <cellStyle name="Normale 3 4 3 2 2 2 7 2" xfId="13358"/>
    <cellStyle name="Normale 3 4 3 2 2 2 7 3" xfId="20766"/>
    <cellStyle name="Normale 3 4 3 2 2 2 7 4" xfId="26981"/>
    <cellStyle name="Normale 3 4 3 2 2 2 8" xfId="6815"/>
    <cellStyle name="Normale 3 4 3 2 2 2 8 2" xfId="14278"/>
    <cellStyle name="Normale 3 4 3 2 2 2 8 3" xfId="21686"/>
    <cellStyle name="Normale 3 4 3 2 2 2 8 4" xfId="22354"/>
    <cellStyle name="Normale 3 4 3 2 2 2 9" xfId="7754"/>
    <cellStyle name="Normale 3 4 3 2 2 20" xfId="36279"/>
    <cellStyle name="Normale 3 4 3 2 2 21" xfId="37202"/>
    <cellStyle name="Normale 3 4 3 2 2 3" xfId="1066"/>
    <cellStyle name="Normale 3 4 3 2 2 3 2" xfId="8529"/>
    <cellStyle name="Normale 3 4 3 2 2 3 3" xfId="15937"/>
    <cellStyle name="Normale 3 4 3 2 2 3 4" xfId="24812"/>
    <cellStyle name="Normale 3 4 3 2 2 4" xfId="1993"/>
    <cellStyle name="Normale 3 4 3 2 2 4 2" xfId="9456"/>
    <cellStyle name="Normale 3 4 3 2 2 4 3" xfId="16864"/>
    <cellStyle name="Normale 3 4 3 2 2 4 4" xfId="25865"/>
    <cellStyle name="Normale 3 4 3 2 2 5" xfId="2919"/>
    <cellStyle name="Normale 3 4 3 2 2 5 2" xfId="10382"/>
    <cellStyle name="Normale 3 4 3 2 2 5 3" xfId="17790"/>
    <cellStyle name="Normale 3 4 3 2 2 5 4" xfId="25605"/>
    <cellStyle name="Normale 3 4 3 2 2 6" xfId="3848"/>
    <cellStyle name="Normale 3 4 3 2 2 6 2" xfId="11311"/>
    <cellStyle name="Normale 3 4 3 2 2 6 3" xfId="18719"/>
    <cellStyle name="Normale 3 4 3 2 2 6 4" xfId="26477"/>
    <cellStyle name="Normale 3 4 3 2 2 7" xfId="4775"/>
    <cellStyle name="Normale 3 4 3 2 2 7 2" xfId="12238"/>
    <cellStyle name="Normale 3 4 3 2 2 7 3" xfId="19646"/>
    <cellStyle name="Normale 3 4 3 2 2 7 4" xfId="27481"/>
    <cellStyle name="Normale 3 4 3 2 2 8" xfId="5702"/>
    <cellStyle name="Normale 3 4 3 2 2 8 2" xfId="13165"/>
    <cellStyle name="Normale 3 4 3 2 2 8 3" xfId="20573"/>
    <cellStyle name="Normale 3 4 3 2 2 8 4" xfId="28533"/>
    <cellStyle name="Normale 3 4 3 2 2 9" xfId="6624"/>
    <cellStyle name="Normale 3 4 3 2 2 9 2" xfId="14087"/>
    <cellStyle name="Normale 3 4 3 2 2 9 3" xfId="21495"/>
    <cellStyle name="Normale 3 4 3 2 2 9 4" xfId="24719"/>
    <cellStyle name="Normale 3 4 3 2 20" xfId="35352"/>
    <cellStyle name="Normale 3 4 3 2 21" xfId="36278"/>
    <cellStyle name="Normale 3 4 3 2 22" xfId="37201"/>
    <cellStyle name="Normale 3 4 3 2 3" xfId="290"/>
    <cellStyle name="Normale 3 4 3 2 3 10" xfId="15163"/>
    <cellStyle name="Normale 3 4 3 2 3 11" xfId="28041"/>
    <cellStyle name="Normale 3 4 3 2 3 12" xfId="29975"/>
    <cellStyle name="Normale 3 4 3 2 3 13" xfId="30907"/>
    <cellStyle name="Normale 3 4 3 2 3 14" xfId="31828"/>
    <cellStyle name="Normale 3 4 3 2 3 15" xfId="32753"/>
    <cellStyle name="Normale 3 4 3 2 3 16" xfId="33690"/>
    <cellStyle name="Normale 3 4 3 2 3 17" xfId="34620"/>
    <cellStyle name="Normale 3 4 3 2 3 18" xfId="35546"/>
    <cellStyle name="Normale 3 4 3 2 3 19" xfId="36472"/>
    <cellStyle name="Normale 3 4 3 2 3 2" xfId="1257"/>
    <cellStyle name="Normale 3 4 3 2 3 2 2" xfId="8720"/>
    <cellStyle name="Normale 3 4 3 2 3 2 3" xfId="16128"/>
    <cellStyle name="Normale 3 4 3 2 3 2 4" xfId="24533"/>
    <cellStyle name="Normale 3 4 3 2 3 20" xfId="37392"/>
    <cellStyle name="Normale 3 4 3 2 3 3" xfId="2188"/>
    <cellStyle name="Normale 3 4 3 2 3 3 2" xfId="9651"/>
    <cellStyle name="Normale 3 4 3 2 3 3 3" xfId="17059"/>
    <cellStyle name="Normale 3 4 3 2 3 3 4" xfId="22948"/>
    <cellStyle name="Normale 3 4 3 2 3 4" xfId="3110"/>
    <cellStyle name="Normale 3 4 3 2 3 4 2" xfId="10573"/>
    <cellStyle name="Normale 3 4 3 2 3 4 3" xfId="17981"/>
    <cellStyle name="Normale 3 4 3 2 3 4 4" xfId="23373"/>
    <cellStyle name="Normale 3 4 3 2 3 5" xfId="4043"/>
    <cellStyle name="Normale 3 4 3 2 3 5 2" xfId="11506"/>
    <cellStyle name="Normale 3 4 3 2 3 5 3" xfId="18914"/>
    <cellStyle name="Normale 3 4 3 2 3 5 4" xfId="23666"/>
    <cellStyle name="Normale 3 4 3 2 3 6" xfId="4966"/>
    <cellStyle name="Normale 3 4 3 2 3 6 2" xfId="12429"/>
    <cellStyle name="Normale 3 4 3 2 3 6 3" xfId="19837"/>
    <cellStyle name="Normale 3 4 3 2 3 6 4" xfId="27920"/>
    <cellStyle name="Normale 3 4 3 2 3 7" xfId="5894"/>
    <cellStyle name="Normale 3 4 3 2 3 7 2" xfId="13357"/>
    <cellStyle name="Normale 3 4 3 2 3 7 3" xfId="20765"/>
    <cellStyle name="Normale 3 4 3 2 3 7 4" xfId="27899"/>
    <cellStyle name="Normale 3 4 3 2 3 8" xfId="6814"/>
    <cellStyle name="Normale 3 4 3 2 3 8 2" xfId="14277"/>
    <cellStyle name="Normale 3 4 3 2 3 8 3" xfId="21685"/>
    <cellStyle name="Normale 3 4 3 2 3 8 4" xfId="22357"/>
    <cellStyle name="Normale 3 4 3 2 3 9" xfId="7753"/>
    <cellStyle name="Normale 3 4 3 2 4" xfId="1065"/>
    <cellStyle name="Normale 3 4 3 2 4 2" xfId="8528"/>
    <cellStyle name="Normale 3 4 3 2 4 3" xfId="15936"/>
    <cellStyle name="Normale 3 4 3 2 4 4" xfId="25724"/>
    <cellStyle name="Normale 3 4 3 2 5" xfId="1992"/>
    <cellStyle name="Normale 3 4 3 2 5 2" xfId="9455"/>
    <cellStyle name="Normale 3 4 3 2 5 3" xfId="16863"/>
    <cellStyle name="Normale 3 4 3 2 5 4" xfId="26798"/>
    <cellStyle name="Normale 3 4 3 2 6" xfId="2918"/>
    <cellStyle name="Normale 3 4 3 2 6 2" xfId="10381"/>
    <cellStyle name="Normale 3 4 3 2 6 3" xfId="17789"/>
    <cellStyle name="Normale 3 4 3 2 6 4" xfId="26534"/>
    <cellStyle name="Normale 3 4 3 2 7" xfId="3847"/>
    <cellStyle name="Normale 3 4 3 2 7 2" xfId="11310"/>
    <cellStyle name="Normale 3 4 3 2 7 3" xfId="18718"/>
    <cellStyle name="Normale 3 4 3 2 7 4" xfId="27385"/>
    <cellStyle name="Normale 3 4 3 2 8" xfId="4774"/>
    <cellStyle name="Normale 3 4 3 2 8 2" xfId="12237"/>
    <cellStyle name="Normale 3 4 3 2 8 3" xfId="19645"/>
    <cellStyle name="Normale 3 4 3 2 8 4" xfId="28406"/>
    <cellStyle name="Normale 3 4 3 2 9" xfId="5701"/>
    <cellStyle name="Normale 3 4 3 2 9 2" xfId="13164"/>
    <cellStyle name="Normale 3 4 3 2 9 3" xfId="20572"/>
    <cellStyle name="Normale 3 4 3 2 9 4" xfId="29427"/>
    <cellStyle name="Normale 3 4 3 20" xfId="6622"/>
    <cellStyle name="Normale 3 4 3 20 2" xfId="14085"/>
    <cellStyle name="Normale 3 4 3 20 3" xfId="21493"/>
    <cellStyle name="Normale 3 4 3 20 4" xfId="26563"/>
    <cellStyle name="Normale 3 4 3 21" xfId="7556"/>
    <cellStyle name="Normale 3 4 3 22" xfId="14965"/>
    <cellStyle name="Normale 3 4 3 23" xfId="24369"/>
    <cellStyle name="Normale 3 4 3 24" xfId="29782"/>
    <cellStyle name="Normale 3 4 3 25" xfId="30712"/>
    <cellStyle name="Normale 3 4 3 26" xfId="31635"/>
    <cellStyle name="Normale 3 4 3 27" xfId="32561"/>
    <cellStyle name="Normale 3 4 3 28" xfId="33495"/>
    <cellStyle name="Normale 3 4 3 29" xfId="34423"/>
    <cellStyle name="Normale 3 4 3 3" xfId="94"/>
    <cellStyle name="Normale 3 4 3 3 10" xfId="7559"/>
    <cellStyle name="Normale 3 4 3 3 11" xfId="14968"/>
    <cellStyle name="Normale 3 4 3 3 12" xfId="29666"/>
    <cellStyle name="Normale 3 4 3 3 13" xfId="29785"/>
    <cellStyle name="Normale 3 4 3 3 14" xfId="30715"/>
    <cellStyle name="Normale 3 4 3 3 15" xfId="31638"/>
    <cellStyle name="Normale 3 4 3 3 16" xfId="32564"/>
    <cellStyle name="Normale 3 4 3 3 17" xfId="33498"/>
    <cellStyle name="Normale 3 4 3 3 18" xfId="34426"/>
    <cellStyle name="Normale 3 4 3 3 19" xfId="35354"/>
    <cellStyle name="Normale 3 4 3 3 2" xfId="292"/>
    <cellStyle name="Normale 3 4 3 3 2 10" xfId="15165"/>
    <cellStyle name="Normale 3 4 3 3 2 11" xfId="26207"/>
    <cellStyle name="Normale 3 4 3 3 2 12" xfId="29977"/>
    <cellStyle name="Normale 3 4 3 3 2 13" xfId="30909"/>
    <cellStyle name="Normale 3 4 3 3 2 14" xfId="31830"/>
    <cellStyle name="Normale 3 4 3 3 2 15" xfId="32755"/>
    <cellStyle name="Normale 3 4 3 3 2 16" xfId="33692"/>
    <cellStyle name="Normale 3 4 3 3 2 17" xfId="34622"/>
    <cellStyle name="Normale 3 4 3 3 2 18" xfId="35548"/>
    <cellStyle name="Normale 3 4 3 3 2 19" xfId="36474"/>
    <cellStyle name="Normale 3 4 3 3 2 2" xfId="1259"/>
    <cellStyle name="Normale 3 4 3 3 2 2 2" xfId="8722"/>
    <cellStyle name="Normale 3 4 3 3 2 2 3" xfId="16130"/>
    <cellStyle name="Normale 3 4 3 3 2 2 4" xfId="22499"/>
    <cellStyle name="Normale 3 4 3 3 2 20" xfId="37394"/>
    <cellStyle name="Normale 3 4 3 3 2 3" xfId="2190"/>
    <cellStyle name="Normale 3 4 3 3 2 3 2" xfId="9653"/>
    <cellStyle name="Normale 3 4 3 3 2 3 3" xfId="17061"/>
    <cellStyle name="Normale 3 4 3 3 2 3 4" xfId="28480"/>
    <cellStyle name="Normale 3 4 3 3 2 4" xfId="3112"/>
    <cellStyle name="Normale 3 4 3 3 2 4 2" xfId="10575"/>
    <cellStyle name="Normale 3 4 3 3 2 4 3" xfId="17983"/>
    <cellStyle name="Normale 3 4 3 3 2 4 4" xfId="29069"/>
    <cellStyle name="Normale 3 4 3 3 2 5" xfId="4045"/>
    <cellStyle name="Normale 3 4 3 3 2 5 2" xfId="11508"/>
    <cellStyle name="Normale 3 4 3 3 2 5 3" xfId="18916"/>
    <cellStyle name="Normale 3 4 3 3 2 5 4" xfId="29044"/>
    <cellStyle name="Normale 3 4 3 3 2 6" xfId="4968"/>
    <cellStyle name="Normale 3 4 3 3 2 6 2" xfId="12431"/>
    <cellStyle name="Normale 3 4 3 3 2 6 3" xfId="19839"/>
    <cellStyle name="Normale 3 4 3 3 2 6 4" xfId="26084"/>
    <cellStyle name="Normale 3 4 3 3 2 7" xfId="5896"/>
    <cellStyle name="Normale 3 4 3 3 2 7 2" xfId="13359"/>
    <cellStyle name="Normale 3 4 3 3 2 7 3" xfId="20767"/>
    <cellStyle name="Normale 3 4 3 3 2 7 4" xfId="26063"/>
    <cellStyle name="Normale 3 4 3 3 2 8" xfId="6816"/>
    <cellStyle name="Normale 3 4 3 3 2 8 2" xfId="14279"/>
    <cellStyle name="Normale 3 4 3 3 2 8 3" xfId="21687"/>
    <cellStyle name="Normale 3 4 3 3 2 8 4" xfId="28747"/>
    <cellStyle name="Normale 3 4 3 3 2 9" xfId="7755"/>
    <cellStyle name="Normale 3 4 3 3 20" xfId="36280"/>
    <cellStyle name="Normale 3 4 3 3 21" xfId="37203"/>
    <cellStyle name="Normale 3 4 3 3 3" xfId="1067"/>
    <cellStyle name="Normale 3 4 3 3 3 2" xfId="8530"/>
    <cellStyle name="Normale 3 4 3 3 3 3" xfId="15938"/>
    <cellStyle name="Normale 3 4 3 3 3 4" xfId="23888"/>
    <cellStyle name="Normale 3 4 3 3 4" xfId="1994"/>
    <cellStyle name="Normale 3 4 3 3 4 2" xfId="9457"/>
    <cellStyle name="Normale 3 4 3 3 4 3" xfId="16865"/>
    <cellStyle name="Normale 3 4 3 3 4 4" xfId="24954"/>
    <cellStyle name="Normale 3 4 3 3 5" xfId="2920"/>
    <cellStyle name="Normale 3 4 3 3 5 2" xfId="10383"/>
    <cellStyle name="Normale 3 4 3 3 5 3" xfId="17791"/>
    <cellStyle name="Normale 3 4 3 3 5 4" xfId="24690"/>
    <cellStyle name="Normale 3 4 3 3 6" xfId="3849"/>
    <cellStyle name="Normale 3 4 3 3 6 2" xfId="11312"/>
    <cellStyle name="Normale 3 4 3 3 6 3" xfId="18720"/>
    <cellStyle name="Normale 3 4 3 3 6 4" xfId="25549"/>
    <cellStyle name="Normale 3 4 3 3 7" xfId="4776"/>
    <cellStyle name="Normale 3 4 3 3 7 2" xfId="12239"/>
    <cellStyle name="Normale 3 4 3 3 7 3" xfId="19647"/>
    <cellStyle name="Normale 3 4 3 3 7 4" xfId="26574"/>
    <cellStyle name="Normale 3 4 3 3 8" xfId="5703"/>
    <cellStyle name="Normale 3 4 3 3 8 2" xfId="13166"/>
    <cellStyle name="Normale 3 4 3 3 8 3" xfId="20574"/>
    <cellStyle name="Normale 3 4 3 3 8 4" xfId="27607"/>
    <cellStyle name="Normale 3 4 3 3 9" xfId="6625"/>
    <cellStyle name="Normale 3 4 3 3 9 2" xfId="14088"/>
    <cellStyle name="Normale 3 4 3 3 9 3" xfId="21496"/>
    <cellStyle name="Normale 3 4 3 3 9 4" xfId="23796"/>
    <cellStyle name="Normale 3 4 3 30" xfId="35351"/>
    <cellStyle name="Normale 3 4 3 31" xfId="36277"/>
    <cellStyle name="Normale 3 4 3 32" xfId="37200"/>
    <cellStyle name="Normale 3 4 3 4" xfId="289"/>
    <cellStyle name="Normale 3 4 3 4 10" xfId="15162"/>
    <cellStyle name="Normale 3 4 3 4 11" xfId="28952"/>
    <cellStyle name="Normale 3 4 3 4 12" xfId="29974"/>
    <cellStyle name="Normale 3 4 3 4 13" xfId="30906"/>
    <cellStyle name="Normale 3 4 3 4 14" xfId="31827"/>
    <cellStyle name="Normale 3 4 3 4 15" xfId="32752"/>
    <cellStyle name="Normale 3 4 3 4 16" xfId="33689"/>
    <cellStyle name="Normale 3 4 3 4 17" xfId="34619"/>
    <cellStyle name="Normale 3 4 3 4 18" xfId="35545"/>
    <cellStyle name="Normale 3 4 3 4 19" xfId="36471"/>
    <cellStyle name="Normale 3 4 3 4 2" xfId="1256"/>
    <cellStyle name="Normale 3 4 3 4 2 2" xfId="8719"/>
    <cellStyle name="Normale 3 4 3 4 2 3" xfId="16127"/>
    <cellStyle name="Normale 3 4 3 4 2 4" xfId="25449"/>
    <cellStyle name="Normale 3 4 3 4 20" xfId="37391"/>
    <cellStyle name="Normale 3 4 3 4 3" xfId="2187"/>
    <cellStyle name="Normale 3 4 3 4 3 2" xfId="9650"/>
    <cellStyle name="Normale 3 4 3 4 3 3" xfId="17058"/>
    <cellStyle name="Normale 3 4 3 4 3 4" xfId="23399"/>
    <cellStyle name="Normale 3 4 3 4 4" xfId="3109"/>
    <cellStyle name="Normale 3 4 3 4 4 2" xfId="10572"/>
    <cellStyle name="Normale 3 4 3 4 4 3" xfId="17980"/>
    <cellStyle name="Normale 3 4 3 4 4 4" xfId="24289"/>
    <cellStyle name="Normale 3 4 3 4 5" xfId="4042"/>
    <cellStyle name="Normale 3 4 3 4 5 2" xfId="11505"/>
    <cellStyle name="Normale 3 4 3 4 5 3" xfId="18913"/>
    <cellStyle name="Normale 3 4 3 4 5 4" xfId="24587"/>
    <cellStyle name="Normale 3 4 3 4 6" xfId="4965"/>
    <cellStyle name="Normale 3 4 3 4 6 2" xfId="12428"/>
    <cellStyle name="Normale 3 4 3 4 6 3" xfId="19836"/>
    <cellStyle name="Normale 3 4 3 4 6 4" xfId="28832"/>
    <cellStyle name="Normale 3 4 3 4 7" xfId="5893"/>
    <cellStyle name="Normale 3 4 3 4 7 2" xfId="13356"/>
    <cellStyle name="Normale 3 4 3 4 7 3" xfId="20764"/>
    <cellStyle name="Normale 3 4 3 4 7 4" xfId="28812"/>
    <cellStyle name="Normale 3 4 3 4 8" xfId="6813"/>
    <cellStyle name="Normale 3 4 3 4 8 2" xfId="14276"/>
    <cellStyle name="Normale 3 4 3 4 8 3" xfId="21684"/>
    <cellStyle name="Normale 3 4 3 4 8 4" xfId="23472"/>
    <cellStyle name="Normale 3 4 3 4 9" xfId="7752"/>
    <cellStyle name="Normale 3 4 3 5" xfId="422"/>
    <cellStyle name="Normale 3 4 3 5 10" xfId="15295"/>
    <cellStyle name="Normale 3 4 3 5 11" xfId="24967"/>
    <cellStyle name="Normale 3 4 3 5 12" xfId="30107"/>
    <cellStyle name="Normale 3 4 3 5 13" xfId="31039"/>
    <cellStyle name="Normale 3 4 3 5 14" xfId="31960"/>
    <cellStyle name="Normale 3 4 3 5 15" xfId="32884"/>
    <cellStyle name="Normale 3 4 3 5 16" xfId="33822"/>
    <cellStyle name="Normale 3 4 3 5 17" xfId="34752"/>
    <cellStyle name="Normale 3 4 3 5 18" xfId="35678"/>
    <cellStyle name="Normale 3 4 3 5 19" xfId="36604"/>
    <cellStyle name="Normale 3 4 3 5 2" xfId="1389"/>
    <cellStyle name="Normale 3 4 3 5 2 2" xfId="8852"/>
    <cellStyle name="Normale 3 4 3 5 2 3" xfId="16260"/>
    <cellStyle name="Normale 3 4 3 5 2 4" xfId="29494"/>
    <cellStyle name="Normale 3 4 3 5 20" xfId="37523"/>
    <cellStyle name="Normale 3 4 3 5 3" xfId="2320"/>
    <cellStyle name="Normale 3 4 3 5 3 2" xfId="9783"/>
    <cellStyle name="Normale 3 4 3 5 3 3" xfId="17191"/>
    <cellStyle name="Normale 3 4 3 5 3 4" xfId="26725"/>
    <cellStyle name="Normale 3 4 3 5 4" xfId="3242"/>
    <cellStyle name="Normale 3 4 3 5 4 2" xfId="10705"/>
    <cellStyle name="Normale 3 4 3 5 4 3" xfId="18113"/>
    <cellStyle name="Normale 3 4 3 5 4 4" xfId="25088"/>
    <cellStyle name="Normale 3 4 3 5 5" xfId="4175"/>
    <cellStyle name="Normale 3 4 3 5 5 2" xfId="11638"/>
    <cellStyle name="Normale 3 4 3 5 5 3" xfId="19046"/>
    <cellStyle name="Normale 3 4 3 5 5 4" xfId="27339"/>
    <cellStyle name="Normale 3 4 3 5 6" xfId="5098"/>
    <cellStyle name="Normale 3 4 3 5 6 2" xfId="12561"/>
    <cellStyle name="Normale 3 4 3 5 6 3" xfId="19969"/>
    <cellStyle name="Normale 3 4 3 5 6 4" xfId="24928"/>
    <cellStyle name="Normale 3 4 3 5 7" xfId="6026"/>
    <cellStyle name="Normale 3 4 3 5 7 2" xfId="13489"/>
    <cellStyle name="Normale 3 4 3 5 7 3" xfId="20897"/>
    <cellStyle name="Normale 3 4 3 5 7 4" xfId="24844"/>
    <cellStyle name="Normale 3 4 3 5 8" xfId="6945"/>
    <cellStyle name="Normale 3 4 3 5 8 2" xfId="14408"/>
    <cellStyle name="Normale 3 4 3 5 8 3" xfId="21816"/>
    <cellStyle name="Normale 3 4 3 5 8 4" xfId="23742"/>
    <cellStyle name="Normale 3 4 3 5 9" xfId="7885"/>
    <cellStyle name="Normale 3 4 3 6" xfId="470"/>
    <cellStyle name="Normale 3 4 3 6 10" xfId="15343"/>
    <cellStyle name="Normale 3 4 3 6 11" xfId="24611"/>
    <cellStyle name="Normale 3 4 3 6 12" xfId="30155"/>
    <cellStyle name="Normale 3 4 3 6 13" xfId="31087"/>
    <cellStyle name="Normale 3 4 3 6 14" xfId="32008"/>
    <cellStyle name="Normale 3 4 3 6 15" xfId="32931"/>
    <cellStyle name="Normale 3 4 3 6 16" xfId="33870"/>
    <cellStyle name="Normale 3 4 3 6 17" xfId="34800"/>
    <cellStyle name="Normale 3 4 3 6 18" xfId="35726"/>
    <cellStyle name="Normale 3 4 3 6 19" xfId="36652"/>
    <cellStyle name="Normale 3 4 3 6 2" xfId="1437"/>
    <cellStyle name="Normale 3 4 3 6 2 2" xfId="8900"/>
    <cellStyle name="Normale 3 4 3 6 2 3" xfId="16308"/>
    <cellStyle name="Normale 3 4 3 6 2 4" xfId="27729"/>
    <cellStyle name="Normale 3 4 3 6 20" xfId="37570"/>
    <cellStyle name="Normale 3 4 3 6 3" xfId="2368"/>
    <cellStyle name="Normale 3 4 3 6 3 2" xfId="9831"/>
    <cellStyle name="Normale 3 4 3 6 3 3" xfId="17239"/>
    <cellStyle name="Normale 3 4 3 6 3 4" xfId="26345"/>
    <cellStyle name="Normale 3 4 3 6 4" xfId="3290"/>
    <cellStyle name="Normale 3 4 3 6 4 2" xfId="10753"/>
    <cellStyle name="Normale 3 4 3 6 4 3" xfId="18161"/>
    <cellStyle name="Normale 3 4 3 6 4 4" xfId="24687"/>
    <cellStyle name="Normale 3 4 3 6 5" xfId="4223"/>
    <cellStyle name="Normale 3 4 3 6 5 2" xfId="11686"/>
    <cellStyle name="Normale 3 4 3 6 5 3" xfId="19094"/>
    <cellStyle name="Normale 3 4 3 6 5 4" xfId="26104"/>
    <cellStyle name="Normale 3 4 3 6 6" xfId="5146"/>
    <cellStyle name="Normale 3 4 3 6 6 2" xfId="12609"/>
    <cellStyle name="Normale 3 4 3 6 6 3" xfId="20017"/>
    <cellStyle name="Normale 3 4 3 6 6 4" xfId="23050"/>
    <cellStyle name="Normale 3 4 3 6 7" xfId="6074"/>
    <cellStyle name="Normale 3 4 3 6 7 2" xfId="13537"/>
    <cellStyle name="Normale 3 4 3 6 7 3" xfId="20945"/>
    <cellStyle name="Normale 3 4 3 6 7 4" xfId="24574"/>
    <cellStyle name="Normale 3 4 3 6 8" xfId="6992"/>
    <cellStyle name="Normale 3 4 3 6 8 2" xfId="14455"/>
    <cellStyle name="Normale 3 4 3 6 8 3" xfId="21863"/>
    <cellStyle name="Normale 3 4 3 6 8 4" xfId="26560"/>
    <cellStyle name="Normale 3 4 3 6 9" xfId="7933"/>
    <cellStyle name="Normale 3 4 3 7" xfId="518"/>
    <cellStyle name="Normale 3 4 3 7 10" xfId="15391"/>
    <cellStyle name="Normale 3 4 3 7 11" xfId="23441"/>
    <cellStyle name="Normale 3 4 3 7 12" xfId="30202"/>
    <cellStyle name="Normale 3 4 3 7 13" xfId="31135"/>
    <cellStyle name="Normale 3 4 3 7 14" xfId="32055"/>
    <cellStyle name="Normale 3 4 3 7 15" xfId="32977"/>
    <cellStyle name="Normale 3 4 3 7 16" xfId="33918"/>
    <cellStyle name="Normale 3 4 3 7 17" xfId="34848"/>
    <cellStyle name="Normale 3 4 3 7 18" xfId="35774"/>
    <cellStyle name="Normale 3 4 3 7 19" xfId="36700"/>
    <cellStyle name="Normale 3 4 3 7 2" xfId="1485"/>
    <cellStyle name="Normale 3 4 3 7 2 2" xfId="8948"/>
    <cellStyle name="Normale 3 4 3 7 2 3" xfId="16356"/>
    <cellStyle name="Normale 3 4 3 7 2 4" xfId="26371"/>
    <cellStyle name="Normale 3 4 3 7 20" xfId="37616"/>
    <cellStyle name="Normale 3 4 3 7 3" xfId="2416"/>
    <cellStyle name="Normale 3 4 3 7 3 2" xfId="9879"/>
    <cellStyle name="Normale 3 4 3 7 3 3" xfId="17287"/>
    <cellStyle name="Normale 3 4 3 7 3 4" xfId="25420"/>
    <cellStyle name="Normale 3 4 3 7 4" xfId="3337"/>
    <cellStyle name="Normale 3 4 3 7 4 2" xfId="10800"/>
    <cellStyle name="Normale 3 4 3 7 4 3" xfId="18208"/>
    <cellStyle name="Normale 3 4 3 7 4 4" xfId="27581"/>
    <cellStyle name="Normale 3 4 3 7 5" xfId="4271"/>
    <cellStyle name="Normale 3 4 3 7 5 2" xfId="11734"/>
    <cellStyle name="Normale 3 4 3 7 5 3" xfId="19142"/>
    <cellStyle name="Normale 3 4 3 7 5 4" xfId="27617"/>
    <cellStyle name="Normale 3 4 3 7 6" xfId="5193"/>
    <cellStyle name="Normale 3 4 3 7 6 2" xfId="12656"/>
    <cellStyle name="Normale 3 4 3 7 6 3" xfId="20064"/>
    <cellStyle name="Normale 3 4 3 7 6 4" xfId="22399"/>
    <cellStyle name="Normale 3 4 3 7 7" xfId="6122"/>
    <cellStyle name="Normale 3 4 3 7 7 2" xfId="13585"/>
    <cellStyle name="Normale 3 4 3 7 7 3" xfId="20993"/>
    <cellStyle name="Normale 3 4 3 7 7 4" xfId="23298"/>
    <cellStyle name="Normale 3 4 3 7 8" xfId="7038"/>
    <cellStyle name="Normale 3 4 3 7 8 2" xfId="14501"/>
    <cellStyle name="Normale 3 4 3 7 8 3" xfId="21909"/>
    <cellStyle name="Normale 3 4 3 7 8 4" xfId="28524"/>
    <cellStyle name="Normale 3 4 3 7 9" xfId="7981"/>
    <cellStyle name="Normale 3 4 3 8" xfId="570"/>
    <cellStyle name="Normale 3 4 3 8 10" xfId="15443"/>
    <cellStyle name="Normale 3 4 3 8 11" xfId="28028"/>
    <cellStyle name="Normale 3 4 3 8 12" xfId="30253"/>
    <cellStyle name="Normale 3 4 3 8 13" xfId="31187"/>
    <cellStyle name="Normale 3 4 3 8 14" xfId="32106"/>
    <cellStyle name="Normale 3 4 3 8 15" xfId="33027"/>
    <cellStyle name="Normale 3 4 3 8 16" xfId="33970"/>
    <cellStyle name="Normale 3 4 3 8 17" xfId="34900"/>
    <cellStyle name="Normale 3 4 3 8 18" xfId="35826"/>
    <cellStyle name="Normale 3 4 3 8 19" xfId="36752"/>
    <cellStyle name="Normale 3 4 3 8 2" xfId="1537"/>
    <cellStyle name="Normale 3 4 3 8 2 2" xfId="9000"/>
    <cellStyle name="Normale 3 4 3 8 2 3" xfId="16408"/>
    <cellStyle name="Normale 3 4 3 8 2 4" xfId="23682"/>
    <cellStyle name="Normale 3 4 3 8 20" xfId="37666"/>
    <cellStyle name="Normale 3 4 3 8 3" xfId="2468"/>
    <cellStyle name="Normale 3 4 3 8 3 2" xfId="9931"/>
    <cellStyle name="Normale 3 4 3 8 3 3" xfId="17339"/>
    <cellStyle name="Normale 3 4 3 8 3 4" xfId="22892"/>
    <cellStyle name="Normale 3 4 3 8 4" xfId="3388"/>
    <cellStyle name="Normale 3 4 3 8 4 2" xfId="10851"/>
    <cellStyle name="Normale 3 4 3 8 4 3" xfId="18259"/>
    <cellStyle name="Normale 3 4 3 8 4 4" xfId="22962"/>
    <cellStyle name="Normale 3 4 3 8 5" xfId="4323"/>
    <cellStyle name="Normale 3 4 3 8 5 2" xfId="11786"/>
    <cellStyle name="Normale 3 4 3 8 5 3" xfId="19194"/>
    <cellStyle name="Normale 3 4 3 8 5 4" xfId="28126"/>
    <cellStyle name="Normale 3 4 3 8 6" xfId="5244"/>
    <cellStyle name="Normale 3 4 3 8 6 2" xfId="12707"/>
    <cellStyle name="Normale 3 4 3 8 6 3" xfId="20115"/>
    <cellStyle name="Normale 3 4 3 8 6 4" xfId="28103"/>
    <cellStyle name="Normale 3 4 3 8 7" xfId="6174"/>
    <cellStyle name="Normale 3 4 3 8 7 2" xfId="13637"/>
    <cellStyle name="Normale 3 4 3 8 7 3" xfId="21045"/>
    <cellStyle name="Normale 3 4 3 8 7 4" xfId="28455"/>
    <cellStyle name="Normale 3 4 3 8 8" xfId="7088"/>
    <cellStyle name="Normale 3 4 3 8 8 2" xfId="14551"/>
    <cellStyle name="Normale 3 4 3 8 8 3" xfId="21959"/>
    <cellStyle name="Normale 3 4 3 8 8 4" xfId="26228"/>
    <cellStyle name="Normale 3 4 3 8 9" xfId="8033"/>
    <cellStyle name="Normale 3 4 3 9" xfId="630"/>
    <cellStyle name="Normale 3 4 3 9 10" xfId="15502"/>
    <cellStyle name="Normale 3 4 3 9 11" xfId="28224"/>
    <cellStyle name="Normale 3 4 3 9 12" xfId="30309"/>
    <cellStyle name="Normale 3 4 3 9 13" xfId="31246"/>
    <cellStyle name="Normale 3 4 3 9 14" xfId="32163"/>
    <cellStyle name="Normale 3 4 3 9 15" xfId="33082"/>
    <cellStyle name="Normale 3 4 3 9 16" xfId="34029"/>
    <cellStyle name="Normale 3 4 3 9 17" xfId="34960"/>
    <cellStyle name="Normale 3 4 3 9 18" xfId="35886"/>
    <cellStyle name="Normale 3 4 3 9 19" xfId="36811"/>
    <cellStyle name="Normale 3 4 3 9 2" xfId="1596"/>
    <cellStyle name="Normale 3 4 3 9 2 2" xfId="9059"/>
    <cellStyle name="Normale 3 4 3 9 2 3" xfId="16467"/>
    <cellStyle name="Normale 3 4 3 9 2 4" xfId="28007"/>
    <cellStyle name="Normale 3 4 3 9 20" xfId="37721"/>
    <cellStyle name="Normale 3 4 3 9 3" xfId="2528"/>
    <cellStyle name="Normale 3 4 3 9 3 2" xfId="9991"/>
    <cellStyle name="Normale 3 4 3 9 3 3" xfId="17399"/>
    <cellStyle name="Normale 3 4 3 9 3 4" xfId="26146"/>
    <cellStyle name="Normale 3 4 3 9 4" xfId="3446"/>
    <cellStyle name="Normale 3 4 3 9 4 2" xfId="10909"/>
    <cellStyle name="Normale 3 4 3 9 4 3" xfId="18317"/>
    <cellStyle name="Normale 3 4 3 9 4 4" xfId="28414"/>
    <cellStyle name="Normale 3 4 3 9 5" xfId="4383"/>
    <cellStyle name="Normale 3 4 3 9 5 2" xfId="11846"/>
    <cellStyle name="Normale 3 4 3 9 5 3" xfId="19254"/>
    <cellStyle name="Normale 3 4 3 9 5 4" xfId="24256"/>
    <cellStyle name="Normale 3 4 3 9 6" xfId="5301"/>
    <cellStyle name="Normale 3 4 3 9 6 2" xfId="12764"/>
    <cellStyle name="Normale 3 4 3 9 6 3" xfId="20172"/>
    <cellStyle name="Normale 3 4 3 9 6 4" xfId="26994"/>
    <cellStyle name="Normale 3 4 3 9 7" xfId="6234"/>
    <cellStyle name="Normale 3 4 3 9 7 2" xfId="13697"/>
    <cellStyle name="Normale 3 4 3 9 7 3" xfId="21105"/>
    <cellStyle name="Normale 3 4 3 9 7 4" xfId="23487"/>
    <cellStyle name="Normale 3 4 3 9 8" xfId="7143"/>
    <cellStyle name="Normale 3 4 3 9 8 2" xfId="14606"/>
    <cellStyle name="Normale 3 4 3 9 8 3" xfId="22014"/>
    <cellStyle name="Normale 3 4 3 9 8 4" xfId="28967"/>
    <cellStyle name="Normale 3 4 3 9 9" xfId="8093"/>
    <cellStyle name="Normale 3 4 30" xfId="32556"/>
    <cellStyle name="Normale 3 4 31" xfId="33490"/>
    <cellStyle name="Normale 3 4 32" xfId="34418"/>
    <cellStyle name="Normale 3 4 33" xfId="35346"/>
    <cellStyle name="Normale 3 4 34" xfId="36272"/>
    <cellStyle name="Normale 3 4 35" xfId="37195"/>
    <cellStyle name="Normale 3 4 4" xfId="95"/>
    <cellStyle name="Normale 3 4 4 10" xfId="709"/>
    <cellStyle name="Normale 3 4 4 10 10" xfId="15580"/>
    <cellStyle name="Normale 3 4 4 10 11" xfId="25269"/>
    <cellStyle name="Normale 3 4 4 10 12" xfId="30383"/>
    <cellStyle name="Normale 3 4 4 10 13" xfId="31324"/>
    <cellStyle name="Normale 3 4 4 10 14" xfId="32237"/>
    <cellStyle name="Normale 3 4 4 10 15" xfId="33155"/>
    <cellStyle name="Normale 3 4 4 10 16" xfId="34107"/>
    <cellStyle name="Normale 3 4 4 10 17" xfId="35039"/>
    <cellStyle name="Normale 3 4 4 10 18" xfId="35965"/>
    <cellStyle name="Normale 3 4 4 10 19" xfId="36890"/>
    <cellStyle name="Normale 3 4 4 10 2" xfId="1674"/>
    <cellStyle name="Normale 3 4 4 10 2 2" xfId="9137"/>
    <cellStyle name="Normale 3 4 4 10 2 3" xfId="16545"/>
    <cellStyle name="Normale 3 4 4 10 2 4" xfId="22674"/>
    <cellStyle name="Normale 3 4 4 10 20" xfId="37794"/>
    <cellStyle name="Normale 3 4 4 10 3" xfId="2607"/>
    <cellStyle name="Normale 3 4 4 10 3 2" xfId="10070"/>
    <cellStyle name="Normale 3 4 4 10 3 3" xfId="17478"/>
    <cellStyle name="Normale 3 4 4 10 3 4" xfId="25557"/>
    <cellStyle name="Normale 3 4 4 10 4" xfId="3523"/>
    <cellStyle name="Normale 3 4 4 10 4 2" xfId="10986"/>
    <cellStyle name="Normale 3 4 4 10 4 3" xfId="18394"/>
    <cellStyle name="Normale 3 4 4 10 4 4" xfId="22631"/>
    <cellStyle name="Normale 3 4 4 10 5" xfId="4462"/>
    <cellStyle name="Normale 3 4 4 10 5 2" xfId="11925"/>
    <cellStyle name="Normale 3 4 4 10 5 3" xfId="19333"/>
    <cellStyle name="Normale 3 4 4 10 5 4" xfId="28408"/>
    <cellStyle name="Normale 3 4 4 10 6" xfId="5378"/>
    <cellStyle name="Normale 3 4 4 10 6 2" xfId="12841"/>
    <cellStyle name="Normale 3 4 4 10 6 3" xfId="20249"/>
    <cellStyle name="Normale 3 4 4 10 6 4" xfId="22579"/>
    <cellStyle name="Normale 3 4 4 10 7" xfId="6311"/>
    <cellStyle name="Normale 3 4 4 10 7 2" xfId="13774"/>
    <cellStyle name="Normale 3 4 4 10 7 3" xfId="21182"/>
    <cellStyle name="Normale 3 4 4 10 7 4" xfId="26976"/>
    <cellStyle name="Normale 3 4 4 10 8" xfId="7216"/>
    <cellStyle name="Normale 3 4 4 10 8 2" xfId="14679"/>
    <cellStyle name="Normale 3 4 4 10 8 3" xfId="22087"/>
    <cellStyle name="Normale 3 4 4 10 8 4" xfId="23459"/>
    <cellStyle name="Normale 3 4 4 10 9" xfId="8172"/>
    <cellStyle name="Normale 3 4 4 11" xfId="781"/>
    <cellStyle name="Normale 3 4 4 11 10" xfId="15652"/>
    <cellStyle name="Normale 3 4 4 11 11" xfId="29098"/>
    <cellStyle name="Normale 3 4 4 11 12" xfId="30453"/>
    <cellStyle name="Normale 3 4 4 11 13" xfId="31396"/>
    <cellStyle name="Normale 3 4 4 11 14" xfId="32308"/>
    <cellStyle name="Normale 3 4 4 11 15" xfId="33224"/>
    <cellStyle name="Normale 3 4 4 11 16" xfId="34179"/>
    <cellStyle name="Normale 3 4 4 11 17" xfId="35111"/>
    <cellStyle name="Normale 3 4 4 11 18" xfId="36037"/>
    <cellStyle name="Normale 3 4 4 11 19" xfId="36962"/>
    <cellStyle name="Normale 3 4 4 11 2" xfId="1746"/>
    <cellStyle name="Normale 3 4 4 11 2 2" xfId="9209"/>
    <cellStyle name="Normale 3 4 4 11 2 3" xfId="16617"/>
    <cellStyle name="Normale 3 4 4 11 2 4" xfId="23162"/>
    <cellStyle name="Normale 3 4 4 11 20" xfId="37863"/>
    <cellStyle name="Normale 3 4 4 11 3" xfId="2679"/>
    <cellStyle name="Normale 3 4 4 11 3 2" xfId="10142"/>
    <cellStyle name="Normale 3 4 4 11 3 3" xfId="17550"/>
    <cellStyle name="Normale 3 4 4 11 3 4" xfId="27062"/>
    <cellStyle name="Normale 3 4 4 11 4" xfId="3594"/>
    <cellStyle name="Normale 3 4 4 11 4 2" xfId="11057"/>
    <cellStyle name="Normale 3 4 4 11 4 3" xfId="18465"/>
    <cellStyle name="Normale 3 4 4 11 4 4" xfId="24685"/>
    <cellStyle name="Normale 3 4 4 11 5" xfId="4534"/>
    <cellStyle name="Normale 3 4 4 11 5 2" xfId="11997"/>
    <cellStyle name="Normale 3 4 4 11 5 3" xfId="19405"/>
    <cellStyle name="Normale 3 4 4 11 5 4" xfId="22604"/>
    <cellStyle name="Normale 3 4 4 11 6" xfId="5449"/>
    <cellStyle name="Normale 3 4 4 11 6 2" xfId="12912"/>
    <cellStyle name="Normale 3 4 4 11 6 3" xfId="20320"/>
    <cellStyle name="Normale 3 4 4 11 6 4" xfId="24151"/>
    <cellStyle name="Normale 3 4 4 11 7" xfId="6383"/>
    <cellStyle name="Normale 3 4 4 11 7 2" xfId="13846"/>
    <cellStyle name="Normale 3 4 4 11 7 3" xfId="21254"/>
    <cellStyle name="Normale 3 4 4 11 7 4" xfId="27155"/>
    <cellStyle name="Normale 3 4 4 11 8" xfId="7285"/>
    <cellStyle name="Normale 3 4 4 11 8 2" xfId="14748"/>
    <cellStyle name="Normale 3 4 4 11 8 3" xfId="22156"/>
    <cellStyle name="Normale 3 4 4 11 8 4" xfId="26807"/>
    <cellStyle name="Normale 3 4 4 11 9" xfId="8244"/>
    <cellStyle name="Normale 3 4 4 12" xfId="854"/>
    <cellStyle name="Normale 3 4 4 12 10" xfId="15725"/>
    <cellStyle name="Normale 3 4 4 12 11" xfId="28718"/>
    <cellStyle name="Normale 3 4 4 12 12" xfId="30523"/>
    <cellStyle name="Normale 3 4 4 12 13" xfId="31469"/>
    <cellStyle name="Normale 3 4 4 12 14" xfId="32380"/>
    <cellStyle name="Normale 3 4 4 12 15" xfId="33293"/>
    <cellStyle name="Normale 3 4 4 12 16" xfId="34252"/>
    <cellStyle name="Normale 3 4 4 12 17" xfId="35184"/>
    <cellStyle name="Normale 3 4 4 12 18" xfId="36110"/>
    <cellStyle name="Normale 3 4 4 12 19" xfId="37035"/>
    <cellStyle name="Normale 3 4 4 12 2" xfId="1819"/>
    <cellStyle name="Normale 3 4 4 12 2 2" xfId="9282"/>
    <cellStyle name="Normale 3 4 4 12 2 3" xfId="16690"/>
    <cellStyle name="Normale 3 4 4 12 2 4" xfId="26358"/>
    <cellStyle name="Normale 3 4 4 12 20" xfId="37932"/>
    <cellStyle name="Normale 3 4 4 12 3" xfId="2752"/>
    <cellStyle name="Normale 3 4 4 12 3 2" xfId="10215"/>
    <cellStyle name="Normale 3 4 4 12 3 3" xfId="17623"/>
    <cellStyle name="Normale 3 4 4 12 3 4" xfId="23576"/>
    <cellStyle name="Normale 3 4 4 12 4" xfId="3666"/>
    <cellStyle name="Normale 3 4 4 12 4 2" xfId="11129"/>
    <cellStyle name="Normale 3 4 4 12 4 3" xfId="18537"/>
    <cellStyle name="Normale 3 4 4 12 4 4" xfId="23552"/>
    <cellStyle name="Normale 3 4 4 12 5" xfId="4607"/>
    <cellStyle name="Normale 3 4 4 12 5 2" xfId="12070"/>
    <cellStyle name="Normale 3 4 4 12 5 3" xfId="19478"/>
    <cellStyle name="Normale 3 4 4 12 5 4" xfId="26095"/>
    <cellStyle name="Normale 3 4 4 12 6" xfId="5521"/>
    <cellStyle name="Normale 3 4 4 12 6 2" xfId="12984"/>
    <cellStyle name="Normale 3 4 4 12 6 3" xfId="20392"/>
    <cellStyle name="Normale 3 4 4 12 6 4" xfId="28095"/>
    <cellStyle name="Normale 3 4 4 12 7" xfId="6456"/>
    <cellStyle name="Normale 3 4 4 12 7 2" xfId="13919"/>
    <cellStyle name="Normale 3 4 4 12 7 3" xfId="21327"/>
    <cellStyle name="Normale 3 4 4 12 7 4" xfId="23290"/>
    <cellStyle name="Normale 3 4 4 12 8" xfId="7354"/>
    <cellStyle name="Normale 3 4 4 12 8 2" xfId="14817"/>
    <cellStyle name="Normale 3 4 4 12 8 3" xfId="22225"/>
    <cellStyle name="Normale 3 4 4 12 8 4" xfId="27819"/>
    <cellStyle name="Normale 3 4 4 12 9" xfId="8317"/>
    <cellStyle name="Normale 3 4 4 13" xfId="924"/>
    <cellStyle name="Normale 3 4 4 13 10" xfId="15795"/>
    <cellStyle name="Normale 3 4 4 13 11" xfId="22956"/>
    <cellStyle name="Normale 3 4 4 13 12" xfId="30590"/>
    <cellStyle name="Normale 3 4 4 13 13" xfId="31538"/>
    <cellStyle name="Normale 3 4 4 13 14" xfId="32449"/>
    <cellStyle name="Normale 3 4 4 13 15" xfId="33359"/>
    <cellStyle name="Normale 3 4 4 13 16" xfId="34322"/>
    <cellStyle name="Normale 3 4 4 13 17" xfId="35254"/>
    <cellStyle name="Normale 3 4 4 13 18" xfId="36179"/>
    <cellStyle name="Normale 3 4 4 13 19" xfId="37105"/>
    <cellStyle name="Normale 3 4 4 13 2" xfId="1889"/>
    <cellStyle name="Normale 3 4 4 13 2 2" xfId="9352"/>
    <cellStyle name="Normale 3 4 4 13 2 3" xfId="16760"/>
    <cellStyle name="Normale 3 4 4 13 2 4" xfId="28702"/>
    <cellStyle name="Normale 3 4 4 13 20" xfId="37998"/>
    <cellStyle name="Normale 3 4 4 13 3" xfId="2821"/>
    <cellStyle name="Normale 3 4 4 13 3 2" xfId="10284"/>
    <cellStyle name="Normale 3 4 4 13 3 3" xfId="17692"/>
    <cellStyle name="Normale 3 4 4 13 3 4" xfId="26337"/>
    <cellStyle name="Normale 3 4 4 13 4" xfId="3736"/>
    <cellStyle name="Normale 3 4 4 13 4 2" xfId="11199"/>
    <cellStyle name="Normale 3 4 4 13 4 3" xfId="18607"/>
    <cellStyle name="Normale 3 4 4 13 4 4" xfId="26481"/>
    <cellStyle name="Normale 3 4 4 13 5" xfId="4677"/>
    <cellStyle name="Normale 3 4 4 13 5 2" xfId="12140"/>
    <cellStyle name="Normale 3 4 4 13 5 3" xfId="19548"/>
    <cellStyle name="Normale 3 4 4 13 5 4" xfId="27930"/>
    <cellStyle name="Normale 3 4 4 13 6" xfId="5591"/>
    <cellStyle name="Normale 3 4 4 13 6 2" xfId="13054"/>
    <cellStyle name="Normale 3 4 4 13 6 3" xfId="20462"/>
    <cellStyle name="Normale 3 4 4 13 6 4" xfId="23138"/>
    <cellStyle name="Normale 3 4 4 13 7" xfId="6526"/>
    <cellStyle name="Normale 3 4 4 13 7 2" xfId="13989"/>
    <cellStyle name="Normale 3 4 4 13 7 3" xfId="21397"/>
    <cellStyle name="Normale 3 4 4 13 7 4" xfId="24845"/>
    <cellStyle name="Normale 3 4 4 13 8" xfId="7420"/>
    <cellStyle name="Normale 3 4 4 13 8 2" xfId="14883"/>
    <cellStyle name="Normale 3 4 4 13 8 3" xfId="22291"/>
    <cellStyle name="Normale 3 4 4 13 8 4" xfId="27725"/>
    <cellStyle name="Normale 3 4 4 13 9" xfId="8387"/>
    <cellStyle name="Normale 3 4 4 14" xfId="1068"/>
    <cellStyle name="Normale 3 4 4 14 2" xfId="8531"/>
    <cellStyle name="Normale 3 4 4 14 3" xfId="15939"/>
    <cellStyle name="Normale 3 4 4 14 4" xfId="22901"/>
    <cellStyle name="Normale 3 4 4 15" xfId="1995"/>
    <cellStyle name="Normale 3 4 4 15 2" xfId="9458"/>
    <cellStyle name="Normale 3 4 4 15 3" xfId="16866"/>
    <cellStyle name="Normale 3 4 4 15 4" xfId="24029"/>
    <cellStyle name="Normale 3 4 4 16" xfId="2921"/>
    <cellStyle name="Normale 3 4 4 16 2" xfId="10384"/>
    <cellStyle name="Normale 3 4 4 16 3" xfId="17792"/>
    <cellStyle name="Normale 3 4 4 16 4" xfId="23767"/>
    <cellStyle name="Normale 3 4 4 17" xfId="3850"/>
    <cellStyle name="Normale 3 4 4 17 2" xfId="11313"/>
    <cellStyle name="Normale 3 4 4 17 3" xfId="18721"/>
    <cellStyle name="Normale 3 4 4 17 4" xfId="24632"/>
    <cellStyle name="Normale 3 4 4 18" xfId="4777"/>
    <cellStyle name="Normale 3 4 4 18 2" xfId="12240"/>
    <cellStyle name="Normale 3 4 4 18 3" xfId="19648"/>
    <cellStyle name="Normale 3 4 4 18 4" xfId="25644"/>
    <cellStyle name="Normale 3 4 4 19" xfId="5704"/>
    <cellStyle name="Normale 3 4 4 19 2" xfId="13167"/>
    <cellStyle name="Normale 3 4 4 19 3" xfId="20575"/>
    <cellStyle name="Normale 3 4 4 19 4" xfId="26703"/>
    <cellStyle name="Normale 3 4 4 2" xfId="96"/>
    <cellStyle name="Normale 3 4 4 2 10" xfId="6627"/>
    <cellStyle name="Normale 3 4 4 2 10 2" xfId="14090"/>
    <cellStyle name="Normale 3 4 4 2 10 3" xfId="21498"/>
    <cellStyle name="Normale 3 4 4 2 10 4" xfId="29248"/>
    <cellStyle name="Normale 3 4 4 2 11" xfId="7561"/>
    <cellStyle name="Normale 3 4 4 2 12" xfId="14970"/>
    <cellStyle name="Normale 3 4 4 2 13" xfId="27854"/>
    <cellStyle name="Normale 3 4 4 2 14" xfId="29787"/>
    <cellStyle name="Normale 3 4 4 2 15" xfId="30717"/>
    <cellStyle name="Normale 3 4 4 2 16" xfId="31640"/>
    <cellStyle name="Normale 3 4 4 2 17" xfId="32566"/>
    <cellStyle name="Normale 3 4 4 2 18" xfId="33500"/>
    <cellStyle name="Normale 3 4 4 2 19" xfId="34428"/>
    <cellStyle name="Normale 3 4 4 2 2" xfId="97"/>
    <cellStyle name="Normale 3 4 4 2 2 10" xfId="7562"/>
    <cellStyle name="Normale 3 4 4 2 2 11" xfId="14971"/>
    <cellStyle name="Normale 3 4 4 2 2 12" xfId="26951"/>
    <cellStyle name="Normale 3 4 4 2 2 13" xfId="29788"/>
    <cellStyle name="Normale 3 4 4 2 2 14" xfId="30718"/>
    <cellStyle name="Normale 3 4 4 2 2 15" xfId="31641"/>
    <cellStyle name="Normale 3 4 4 2 2 16" xfId="32567"/>
    <cellStyle name="Normale 3 4 4 2 2 17" xfId="33501"/>
    <cellStyle name="Normale 3 4 4 2 2 18" xfId="34429"/>
    <cellStyle name="Normale 3 4 4 2 2 19" xfId="35357"/>
    <cellStyle name="Normale 3 4 4 2 2 2" xfId="295"/>
    <cellStyle name="Normale 3 4 4 2 2 2 10" xfId="15168"/>
    <cellStyle name="Normale 3 4 4 2 2 2 11" xfId="23447"/>
    <cellStyle name="Normale 3 4 4 2 2 2 12" xfId="29980"/>
    <cellStyle name="Normale 3 4 4 2 2 2 13" xfId="30912"/>
    <cellStyle name="Normale 3 4 4 2 2 2 14" xfId="31833"/>
    <cellStyle name="Normale 3 4 4 2 2 2 15" xfId="32758"/>
    <cellStyle name="Normale 3 4 4 2 2 2 16" xfId="33695"/>
    <cellStyle name="Normale 3 4 4 2 2 2 17" xfId="34625"/>
    <cellStyle name="Normale 3 4 4 2 2 2 18" xfId="35551"/>
    <cellStyle name="Normale 3 4 4 2 2 2 19" xfId="36477"/>
    <cellStyle name="Normale 3 4 4 2 2 2 2" xfId="1262"/>
    <cellStyle name="Normale 3 4 4 2 2 2 2 2" xfId="8725"/>
    <cellStyle name="Normale 3 4 4 2 2 2 2 3" xfId="16133"/>
    <cellStyle name="Normale 3 4 4 2 2 2 2 4" xfId="28015"/>
    <cellStyle name="Normale 3 4 4 2 2 2 20" xfId="37397"/>
    <cellStyle name="Normale 3 4 4 2 2 2 3" xfId="2193"/>
    <cellStyle name="Normale 3 4 4 2 2 2 3 2" xfId="9656"/>
    <cellStyle name="Normale 3 4 4 2 2 2 3 3" xfId="17064"/>
    <cellStyle name="Normale 3 4 4 2 2 2 3 4" xfId="25717"/>
    <cellStyle name="Normale 3 4 4 2 2 2 4" xfId="3115"/>
    <cellStyle name="Normale 3 4 4 2 2 2 4 2" xfId="10578"/>
    <cellStyle name="Normale 3 4 4 2 2 2 4 3" xfId="17986"/>
    <cellStyle name="Normale 3 4 4 2 2 2 4 4" xfId="26327"/>
    <cellStyle name="Normale 3 4 4 2 2 2 5" xfId="4048"/>
    <cellStyle name="Normale 3 4 4 2 2 2 5 2" xfId="11511"/>
    <cellStyle name="Normale 3 4 4 2 2 2 5 3" xfId="18919"/>
    <cellStyle name="Normale 3 4 4 2 2 2 5 4" xfId="26302"/>
    <cellStyle name="Normale 3 4 4 2 2 2 6" xfId="4971"/>
    <cellStyle name="Normale 3 4 4 2 2 2 6 2" xfId="12434"/>
    <cellStyle name="Normale 3 4 4 2 2 2 6 3" xfId="19842"/>
    <cellStyle name="Normale 3 4 4 2 2 2 6 4" xfId="23325"/>
    <cellStyle name="Normale 3 4 4 2 2 2 7" xfId="5899"/>
    <cellStyle name="Normale 3 4 4 2 2 2 7 2" xfId="13362"/>
    <cellStyle name="Normale 3 4 4 2 2 2 7 3" xfId="20770"/>
    <cellStyle name="Normale 3 4 4 2 2 2 7 4" xfId="23304"/>
    <cellStyle name="Normale 3 4 4 2 2 2 8" xfId="6819"/>
    <cellStyle name="Normale 3 4 4 2 2 2 8 2" xfId="14282"/>
    <cellStyle name="Normale 3 4 4 2 2 2 8 3" xfId="21690"/>
    <cellStyle name="Normale 3 4 4 2 2 2 8 4" xfId="25578"/>
    <cellStyle name="Normale 3 4 4 2 2 2 9" xfId="7758"/>
    <cellStyle name="Normale 3 4 4 2 2 20" xfId="36283"/>
    <cellStyle name="Normale 3 4 4 2 2 21" xfId="37206"/>
    <cellStyle name="Normale 3 4 4 2 2 3" xfId="1070"/>
    <cellStyle name="Normale 3 4 4 2 2 3 2" xfId="8533"/>
    <cellStyle name="Normale 3 4 4 2 2 3 3" xfId="15941"/>
    <cellStyle name="Normale 3 4 4 2 2 3 4" xfId="28429"/>
    <cellStyle name="Normale 3 4 4 2 2 4" xfId="1997"/>
    <cellStyle name="Normale 3 4 4 2 2 4 2" xfId="9460"/>
    <cellStyle name="Normale 3 4 4 2 2 4 3" xfId="16868"/>
    <cellStyle name="Normale 3 4 4 2 2 4 4" xfId="29450"/>
    <cellStyle name="Normale 3 4 4 2 2 5" xfId="2923"/>
    <cellStyle name="Normale 3 4 4 2 2 5 2" xfId="10386"/>
    <cellStyle name="Normale 3 4 4 2 2 5 3" xfId="17794"/>
    <cellStyle name="Normale 3 4 4 2 2 5 4" xfId="29225"/>
    <cellStyle name="Normale 3 4 4 2 2 6" xfId="3852"/>
    <cellStyle name="Normale 3 4 4 2 2 6 2" xfId="11315"/>
    <cellStyle name="Normale 3 4 4 2 2 6 3" xfId="18723"/>
    <cellStyle name="Normale 3 4 4 2 2 6 4" xfId="22739"/>
    <cellStyle name="Normale 3 4 4 2 2 7" xfId="4779"/>
    <cellStyle name="Normale 3 4 4 2 2 7 2" xfId="12242"/>
    <cellStyle name="Normale 3 4 4 2 2 7 3" xfId="19650"/>
    <cellStyle name="Normale 3 4 4 2 2 7 4" xfId="23807"/>
    <cellStyle name="Normale 3 4 4 2 2 8" xfId="5706"/>
    <cellStyle name="Normale 3 4 4 2 2 8 2" xfId="13169"/>
    <cellStyle name="Normale 3 4 4 2 2 8 3" xfId="20577"/>
    <cellStyle name="Normale 3 4 4 2 2 8 4" xfId="24859"/>
    <cellStyle name="Normale 3 4 4 2 2 9" xfId="6628"/>
    <cellStyle name="Normale 3 4 4 2 2 9 2" xfId="14091"/>
    <cellStyle name="Normale 3 4 4 2 2 9 3" xfId="21499"/>
    <cellStyle name="Normale 3 4 4 2 2 9 4" xfId="28343"/>
    <cellStyle name="Normale 3 4 4 2 20" xfId="35356"/>
    <cellStyle name="Normale 3 4 4 2 21" xfId="36282"/>
    <cellStyle name="Normale 3 4 4 2 22" xfId="37205"/>
    <cellStyle name="Normale 3 4 4 2 3" xfId="294"/>
    <cellStyle name="Normale 3 4 4 2 3 10" xfId="15167"/>
    <cellStyle name="Normale 3 4 4 2 3 11" xfId="24364"/>
    <cellStyle name="Normale 3 4 4 2 3 12" xfId="29979"/>
    <cellStyle name="Normale 3 4 4 2 3 13" xfId="30911"/>
    <cellStyle name="Normale 3 4 4 2 3 14" xfId="31832"/>
    <cellStyle name="Normale 3 4 4 2 3 15" xfId="32757"/>
    <cellStyle name="Normale 3 4 4 2 3 16" xfId="33694"/>
    <cellStyle name="Normale 3 4 4 2 3 17" xfId="34624"/>
    <cellStyle name="Normale 3 4 4 2 3 18" xfId="35550"/>
    <cellStyle name="Normale 3 4 4 2 3 19" xfId="36476"/>
    <cellStyle name="Normale 3 4 4 2 3 2" xfId="1261"/>
    <cellStyle name="Normale 3 4 4 2 3 2 2" xfId="8724"/>
    <cellStyle name="Normale 3 4 4 2 3 2 3" xfId="16132"/>
    <cellStyle name="Normale 3 4 4 2 3 2 4" xfId="28927"/>
    <cellStyle name="Normale 3 4 4 2 3 20" xfId="37396"/>
    <cellStyle name="Normale 3 4 4 2 3 3" xfId="2192"/>
    <cellStyle name="Normale 3 4 4 2 3 3 2" xfId="9655"/>
    <cellStyle name="Normale 3 4 4 2 3 3 3" xfId="17063"/>
    <cellStyle name="Normale 3 4 4 2 3 3 4" xfId="26649"/>
    <cellStyle name="Normale 3 4 4 2 3 4" xfId="3114"/>
    <cellStyle name="Normale 3 4 4 2 3 4 2" xfId="10577"/>
    <cellStyle name="Normale 3 4 4 2 3 4 3" xfId="17985"/>
    <cellStyle name="Normale 3 4 4 2 3 4 4" xfId="27237"/>
    <cellStyle name="Normale 3 4 4 2 3 5" xfId="4047"/>
    <cellStyle name="Normale 3 4 4 2 3 5 2" xfId="11510"/>
    <cellStyle name="Normale 3 4 4 2 3 5 3" xfId="18918"/>
    <cellStyle name="Normale 3 4 4 2 3 5 4" xfId="27212"/>
    <cellStyle name="Normale 3 4 4 2 3 6" xfId="4970"/>
    <cellStyle name="Normale 3 4 4 2 3 6 2" xfId="12433"/>
    <cellStyle name="Normale 3 4 4 2 3 6 3" xfId="19841"/>
    <cellStyle name="Normale 3 4 4 2 3 6 4" xfId="24241"/>
    <cellStyle name="Normale 3 4 4 2 3 7" xfId="5898"/>
    <cellStyle name="Normale 3 4 4 2 3 7 2" xfId="13361"/>
    <cellStyle name="Normale 3 4 4 2 3 7 3" xfId="20769"/>
    <cellStyle name="Normale 3 4 4 2 3 7 4" xfId="24220"/>
    <cellStyle name="Normale 3 4 4 2 3 8" xfId="6818"/>
    <cellStyle name="Normale 3 4 4 2 3 8 2" xfId="14281"/>
    <cellStyle name="Normale 3 4 4 2 3 8 3" xfId="21689"/>
    <cellStyle name="Normale 3 4 4 2 3 8 4" xfId="26845"/>
    <cellStyle name="Normale 3 4 4 2 3 9" xfId="7757"/>
    <cellStyle name="Normale 3 4 4 2 4" xfId="1069"/>
    <cellStyle name="Normale 3 4 4 2 4 2" xfId="8532"/>
    <cellStyle name="Normale 3 4 4 2 4 3" xfId="15940"/>
    <cellStyle name="Normale 3 4 4 2 4 4" xfId="29330"/>
    <cellStyle name="Normale 3 4 4 2 5" xfId="1996"/>
    <cellStyle name="Normale 3 4 4 2 5 2" xfId="9459"/>
    <cellStyle name="Normale 3 4 4 2 5 3" xfId="16867"/>
    <cellStyle name="Normale 3 4 4 2 5 4" xfId="23021"/>
    <cellStyle name="Normale 3 4 4 2 6" xfId="2922"/>
    <cellStyle name="Normale 3 4 4 2 6 2" xfId="10385"/>
    <cellStyle name="Normale 3 4 4 2 6 3" xfId="17793"/>
    <cellStyle name="Normale 3 4 4 2 6 4" xfId="22795"/>
    <cellStyle name="Normale 3 4 4 2 7" xfId="3851"/>
    <cellStyle name="Normale 3 4 4 2 7 2" xfId="11314"/>
    <cellStyle name="Normale 3 4 4 2 7 3" xfId="18722"/>
    <cellStyle name="Normale 3 4 4 2 7 4" xfId="23710"/>
    <cellStyle name="Normale 3 4 4 2 8" xfId="4778"/>
    <cellStyle name="Normale 3 4 4 2 8 2" xfId="12241"/>
    <cellStyle name="Normale 3 4 4 2 8 3" xfId="19649"/>
    <cellStyle name="Normale 3 4 4 2 8 4" xfId="24730"/>
    <cellStyle name="Normale 3 4 4 2 9" xfId="5705"/>
    <cellStyle name="Normale 3 4 4 2 9 2" xfId="13168"/>
    <cellStyle name="Normale 3 4 4 2 9 3" xfId="20576"/>
    <cellStyle name="Normale 3 4 4 2 9 4" xfId="25771"/>
    <cellStyle name="Normale 3 4 4 20" xfId="6626"/>
    <cellStyle name="Normale 3 4 4 20 2" xfId="14089"/>
    <cellStyle name="Normale 3 4 4 20 3" xfId="21497"/>
    <cellStyle name="Normale 3 4 4 20 4" xfId="22817"/>
    <cellStyle name="Normale 3 4 4 21" xfId="7560"/>
    <cellStyle name="Normale 3 4 4 22" xfId="14969"/>
    <cellStyle name="Normale 3 4 4 23" xfId="28781"/>
    <cellStyle name="Normale 3 4 4 24" xfId="29786"/>
    <cellStyle name="Normale 3 4 4 25" xfId="30716"/>
    <cellStyle name="Normale 3 4 4 26" xfId="31639"/>
    <cellStyle name="Normale 3 4 4 27" xfId="32565"/>
    <cellStyle name="Normale 3 4 4 28" xfId="33499"/>
    <cellStyle name="Normale 3 4 4 29" xfId="34427"/>
    <cellStyle name="Normale 3 4 4 3" xfId="98"/>
    <cellStyle name="Normale 3 4 4 3 10" xfId="7563"/>
    <cellStyle name="Normale 3 4 4 3 11" xfId="14972"/>
    <cellStyle name="Normale 3 4 4 3 12" xfId="26018"/>
    <cellStyle name="Normale 3 4 4 3 13" xfId="29789"/>
    <cellStyle name="Normale 3 4 4 3 14" xfId="30719"/>
    <cellStyle name="Normale 3 4 4 3 15" xfId="31642"/>
    <cellStyle name="Normale 3 4 4 3 16" xfId="32568"/>
    <cellStyle name="Normale 3 4 4 3 17" xfId="33502"/>
    <cellStyle name="Normale 3 4 4 3 18" xfId="34430"/>
    <cellStyle name="Normale 3 4 4 3 19" xfId="35358"/>
    <cellStyle name="Normale 3 4 4 3 2" xfId="296"/>
    <cellStyle name="Normale 3 4 4 3 2 10" xfId="15169"/>
    <cellStyle name="Normale 3 4 4 3 2 11" xfId="22960"/>
    <cellStyle name="Normale 3 4 4 3 2 12" xfId="29981"/>
    <cellStyle name="Normale 3 4 4 3 2 13" xfId="30913"/>
    <cellStyle name="Normale 3 4 4 3 2 14" xfId="31834"/>
    <cellStyle name="Normale 3 4 4 3 2 15" xfId="32759"/>
    <cellStyle name="Normale 3 4 4 3 2 16" xfId="33696"/>
    <cellStyle name="Normale 3 4 4 3 2 17" xfId="34626"/>
    <cellStyle name="Normale 3 4 4 3 2 18" xfId="35552"/>
    <cellStyle name="Normale 3 4 4 3 2 19" xfId="36478"/>
    <cellStyle name="Normale 3 4 4 3 2 2" xfId="1263"/>
    <cellStyle name="Normale 3 4 4 3 2 2 2" xfId="8726"/>
    <cellStyle name="Normale 3 4 4 3 2 2 3" xfId="16134"/>
    <cellStyle name="Normale 3 4 4 3 2 2 4" xfId="27096"/>
    <cellStyle name="Normale 3 4 4 3 2 20" xfId="37398"/>
    <cellStyle name="Normale 3 4 4 3 2 3" xfId="2194"/>
    <cellStyle name="Normale 3 4 4 3 2 3 2" xfId="9657"/>
    <cellStyle name="Normale 3 4 4 3 2 3 3" xfId="17065"/>
    <cellStyle name="Normale 3 4 4 3 2 3 4" xfId="24805"/>
    <cellStyle name="Normale 3 4 4 3 2 4" xfId="3116"/>
    <cellStyle name="Normale 3 4 4 3 2 4 2" xfId="10579"/>
    <cellStyle name="Normale 3 4 4 3 2 4 3" xfId="17987"/>
    <cellStyle name="Normale 3 4 4 3 2 4 4" xfId="25400"/>
    <cellStyle name="Normale 3 4 4 3 2 5" xfId="4049"/>
    <cellStyle name="Normale 3 4 4 3 2 5 2" xfId="11512"/>
    <cellStyle name="Normale 3 4 4 3 2 5 3" xfId="18920"/>
    <cellStyle name="Normale 3 4 4 3 2 5 4" xfId="25375"/>
    <cellStyle name="Normale 3 4 4 3 2 6" xfId="4972"/>
    <cellStyle name="Normale 3 4 4 3 2 6 2" xfId="12435"/>
    <cellStyle name="Normale 3 4 4 3 2 6 3" xfId="19843"/>
    <cellStyle name="Normale 3 4 4 3 2 6 4" xfId="22591"/>
    <cellStyle name="Normale 3 4 4 3 2 7" xfId="5900"/>
    <cellStyle name="Normale 3 4 4 3 2 7 2" xfId="13363"/>
    <cellStyle name="Normale 3 4 4 3 2 7 3" xfId="20771"/>
    <cellStyle name="Normale 3 4 4 3 2 7 4" xfId="22925"/>
    <cellStyle name="Normale 3 4 4 3 2 8" xfId="6820"/>
    <cellStyle name="Normale 3 4 4 3 2 8 2" xfId="14283"/>
    <cellStyle name="Normale 3 4 4 3 2 8 3" xfId="21691"/>
    <cellStyle name="Normale 3 4 4 3 2 8 4" xfId="25131"/>
    <cellStyle name="Normale 3 4 4 3 2 9" xfId="7759"/>
    <cellStyle name="Normale 3 4 4 3 20" xfId="36284"/>
    <cellStyle name="Normale 3 4 4 3 21" xfId="37207"/>
    <cellStyle name="Normale 3 4 4 3 3" xfId="1071"/>
    <cellStyle name="Normale 3 4 4 3 3 2" xfId="8534"/>
    <cellStyle name="Normale 3 4 4 3 3 3" xfId="15942"/>
    <cellStyle name="Normale 3 4 4 3 3 4" xfId="27504"/>
    <cellStyle name="Normale 3 4 4 3 4" xfId="1998"/>
    <cellStyle name="Normale 3 4 4 3 4 2" xfId="9461"/>
    <cellStyle name="Normale 3 4 4 3 4 3" xfId="16869"/>
    <cellStyle name="Normale 3 4 4 3 4 4" xfId="28556"/>
    <cellStyle name="Normale 3 4 4 3 5" xfId="2924"/>
    <cellStyle name="Normale 3 4 4 3 5 2" xfId="10387"/>
    <cellStyle name="Normale 3 4 4 3 5 3" xfId="17795"/>
    <cellStyle name="Normale 3 4 4 3 5 4" xfId="28319"/>
    <cellStyle name="Normale 3 4 4 3 6" xfId="3853"/>
    <cellStyle name="Normale 3 4 4 3 6 2" xfId="11316"/>
    <cellStyle name="Normale 3 4 4 3 6 3" xfId="18724"/>
    <cellStyle name="Normale 3 4 4 3 6 4" xfId="29169"/>
    <cellStyle name="Normale 3 4 4 3 7" xfId="4780"/>
    <cellStyle name="Normale 3 4 4 3 7 2" xfId="12243"/>
    <cellStyle name="Normale 3 4 4 3 7 3" xfId="19651"/>
    <cellStyle name="Normale 3 4 4 3 7 4" xfId="22828"/>
    <cellStyle name="Normale 3 4 4 3 8" xfId="5707"/>
    <cellStyle name="Normale 3 4 4 3 8 2" xfId="13170"/>
    <cellStyle name="Normale 3 4 4 3 8 3" xfId="20578"/>
    <cellStyle name="Normale 3 4 4 3 8 4" xfId="23934"/>
    <cellStyle name="Normale 3 4 4 3 9" xfId="6629"/>
    <cellStyle name="Normale 3 4 4 3 9 2" xfId="14092"/>
    <cellStyle name="Normale 3 4 4 3 9 3" xfId="21500"/>
    <cellStyle name="Normale 3 4 4 3 9 4" xfId="27419"/>
    <cellStyle name="Normale 3 4 4 30" xfId="35355"/>
    <cellStyle name="Normale 3 4 4 31" xfId="36281"/>
    <cellStyle name="Normale 3 4 4 32" xfId="37204"/>
    <cellStyle name="Normale 3 4 4 4" xfId="293"/>
    <cellStyle name="Normale 3 4 4 4 10" xfId="15166"/>
    <cellStyle name="Normale 3 4 4 4 11" xfId="25282"/>
    <cellStyle name="Normale 3 4 4 4 12" xfId="29978"/>
    <cellStyle name="Normale 3 4 4 4 13" xfId="30910"/>
    <cellStyle name="Normale 3 4 4 4 14" xfId="31831"/>
    <cellStyle name="Normale 3 4 4 4 15" xfId="32756"/>
    <cellStyle name="Normale 3 4 4 4 16" xfId="33693"/>
    <cellStyle name="Normale 3 4 4 4 17" xfId="34623"/>
    <cellStyle name="Normale 3 4 4 4 18" xfId="35549"/>
    <cellStyle name="Normale 3 4 4 4 19" xfId="36475"/>
    <cellStyle name="Normale 3 4 4 4 2" xfId="1260"/>
    <cellStyle name="Normale 3 4 4 4 2 2" xfId="8723"/>
    <cellStyle name="Normale 3 4 4 4 2 3" xfId="16131"/>
    <cellStyle name="Normale 3 4 4 4 2 4" xfId="22496"/>
    <cellStyle name="Normale 3 4 4 4 20" xfId="37395"/>
    <cellStyle name="Normale 3 4 4 4 3" xfId="2191"/>
    <cellStyle name="Normale 3 4 4 4 3 2" xfId="9654"/>
    <cellStyle name="Normale 3 4 4 4 3 3" xfId="17062"/>
    <cellStyle name="Normale 3 4 4 4 3 4" xfId="27553"/>
    <cellStyle name="Normale 3 4 4 4 4" xfId="3113"/>
    <cellStyle name="Normale 3 4 4 4 4 2" xfId="10576"/>
    <cellStyle name="Normale 3 4 4 4 4 3" xfId="17984"/>
    <cellStyle name="Normale 3 4 4 4 4 4" xfId="28159"/>
    <cellStyle name="Normale 3 4 4 4 5" xfId="4046"/>
    <cellStyle name="Normale 3 4 4 4 5 2" xfId="11509"/>
    <cellStyle name="Normale 3 4 4 4 5 3" xfId="18917"/>
    <cellStyle name="Normale 3 4 4 4 5 4" xfId="28134"/>
    <cellStyle name="Normale 3 4 4 4 6" xfId="4969"/>
    <cellStyle name="Normale 3 4 4 4 6 2" xfId="12432"/>
    <cellStyle name="Normale 3 4 4 4 6 3" xfId="19840"/>
    <cellStyle name="Normale 3 4 4 4 6 4" xfId="25160"/>
    <cellStyle name="Normale 3 4 4 4 7" xfId="5897"/>
    <cellStyle name="Normale 3 4 4 4 7 2" xfId="13360"/>
    <cellStyle name="Normale 3 4 4 4 7 3" xfId="20768"/>
    <cellStyle name="Normale 3 4 4 4 7 4" xfId="25139"/>
    <cellStyle name="Normale 3 4 4 4 8" xfId="6817"/>
    <cellStyle name="Normale 3 4 4 4 8 2" xfId="14280"/>
    <cellStyle name="Normale 3 4 4 4 8 3" xfId="21688"/>
    <cellStyle name="Normale 3 4 4 4 8 4" xfId="27512"/>
    <cellStyle name="Normale 3 4 4 4 9" xfId="7756"/>
    <cellStyle name="Normale 3 4 4 5" xfId="423"/>
    <cellStyle name="Normale 3 4 4 5 10" xfId="15296"/>
    <cellStyle name="Normale 3 4 4 5 11" xfId="24041"/>
    <cellStyle name="Normale 3 4 4 5 12" xfId="30108"/>
    <cellStyle name="Normale 3 4 4 5 13" xfId="31040"/>
    <cellStyle name="Normale 3 4 4 5 14" xfId="31961"/>
    <cellStyle name="Normale 3 4 4 5 15" xfId="32885"/>
    <cellStyle name="Normale 3 4 4 5 16" xfId="33823"/>
    <cellStyle name="Normale 3 4 4 5 17" xfId="34753"/>
    <cellStyle name="Normale 3 4 4 5 18" xfId="35679"/>
    <cellStyle name="Normale 3 4 4 5 19" xfId="36605"/>
    <cellStyle name="Normale 3 4 4 5 2" xfId="1390"/>
    <cellStyle name="Normale 3 4 4 5 2 2" xfId="8853"/>
    <cellStyle name="Normale 3 4 4 5 2 3" xfId="16261"/>
    <cellStyle name="Normale 3 4 4 5 2 4" xfId="28601"/>
    <cellStyle name="Normale 3 4 4 5 20" xfId="37524"/>
    <cellStyle name="Normale 3 4 4 5 3" xfId="2321"/>
    <cellStyle name="Normale 3 4 4 5 3 2" xfId="9784"/>
    <cellStyle name="Normale 3 4 4 5 3 3" xfId="17192"/>
    <cellStyle name="Normale 3 4 4 5 3 4" xfId="25793"/>
    <cellStyle name="Normale 3 4 4 5 4" xfId="3243"/>
    <cellStyle name="Normale 3 4 4 5 4 2" xfId="10706"/>
    <cellStyle name="Normale 3 4 4 5 4 3" xfId="18114"/>
    <cellStyle name="Normale 3 4 4 5 4 4" xfId="24163"/>
    <cellStyle name="Normale 3 4 4 5 5" xfId="4176"/>
    <cellStyle name="Normale 3 4 4 5 5 2" xfId="11639"/>
    <cellStyle name="Normale 3 4 4 5 5 3" xfId="19047"/>
    <cellStyle name="Normale 3 4 4 5 5 4" xfId="26431"/>
    <cellStyle name="Normale 3 4 4 5 6" xfId="5099"/>
    <cellStyle name="Normale 3 4 4 5 6 2" xfId="12562"/>
    <cellStyle name="Normale 3 4 4 5 6 3" xfId="19970"/>
    <cellStyle name="Normale 3 4 4 5 6 4" xfId="24003"/>
    <cellStyle name="Normale 3 4 4 5 7" xfId="6027"/>
    <cellStyle name="Normale 3 4 4 5 7 2" xfId="13490"/>
    <cellStyle name="Normale 3 4 4 5 7 3" xfId="20898"/>
    <cellStyle name="Normale 3 4 4 5 7 4" xfId="23919"/>
    <cellStyle name="Normale 3 4 4 5 8" xfId="6946"/>
    <cellStyle name="Normale 3 4 4 5 8 2" xfId="14409"/>
    <cellStyle name="Normale 3 4 4 5 8 3" xfId="21817"/>
    <cellStyle name="Normale 3 4 4 5 8 4" xfId="24004"/>
    <cellStyle name="Normale 3 4 4 5 9" xfId="7886"/>
    <cellStyle name="Normale 3 4 4 6" xfId="471"/>
    <cellStyle name="Normale 3 4 4 6 10" xfId="15344"/>
    <cellStyle name="Normale 3 4 4 6 11" xfId="23689"/>
    <cellStyle name="Normale 3 4 4 6 12" xfId="30156"/>
    <cellStyle name="Normale 3 4 4 6 13" xfId="31088"/>
    <cellStyle name="Normale 3 4 4 6 14" xfId="32009"/>
    <cellStyle name="Normale 3 4 4 6 15" xfId="32932"/>
    <cellStyle name="Normale 3 4 4 6 16" xfId="33871"/>
    <cellStyle name="Normale 3 4 4 6 17" xfId="34801"/>
    <cellStyle name="Normale 3 4 4 6 18" xfId="35727"/>
    <cellStyle name="Normale 3 4 4 6 19" xfId="36653"/>
    <cellStyle name="Normale 3 4 4 6 2" xfId="1438"/>
    <cellStyle name="Normale 3 4 4 6 2 2" xfId="8901"/>
    <cellStyle name="Normale 3 4 4 6 2 3" xfId="16309"/>
    <cellStyle name="Normale 3 4 4 6 2 4" xfId="26826"/>
    <cellStyle name="Normale 3 4 4 6 20" xfId="37571"/>
    <cellStyle name="Normale 3 4 4 6 3" xfId="2369"/>
    <cellStyle name="Normale 3 4 4 6 3 2" xfId="9832"/>
    <cellStyle name="Normale 3 4 4 6 3 3" xfId="17240"/>
    <cellStyle name="Normale 3 4 4 6 3 4" xfId="25418"/>
    <cellStyle name="Normale 3 4 4 6 4" xfId="3291"/>
    <cellStyle name="Normale 3 4 4 6 4 2" xfId="10754"/>
    <cellStyle name="Normale 3 4 4 6 4 3" xfId="18162"/>
    <cellStyle name="Normale 3 4 4 6 4 4" xfId="23764"/>
    <cellStyle name="Normale 3 4 4 6 5" xfId="4224"/>
    <cellStyle name="Normale 3 4 4 6 5 2" xfId="11687"/>
    <cellStyle name="Normale 3 4 4 6 5 3" xfId="19095"/>
    <cellStyle name="Normale 3 4 4 6 5 4" xfId="25181"/>
    <cellStyle name="Normale 3 4 4 6 6" xfId="5147"/>
    <cellStyle name="Normale 3 4 4 6 6 2" xfId="12610"/>
    <cellStyle name="Normale 3 4 4 6 6 3" xfId="20018"/>
    <cellStyle name="Normale 3 4 4 6 6 4" xfId="29479"/>
    <cellStyle name="Normale 3 4 4 6 7" xfId="6075"/>
    <cellStyle name="Normale 3 4 4 6 7 2" xfId="13538"/>
    <cellStyle name="Normale 3 4 4 6 7 3" xfId="20946"/>
    <cellStyle name="Normale 3 4 4 6 7 4" xfId="23653"/>
    <cellStyle name="Normale 3 4 4 6 8" xfId="6993"/>
    <cellStyle name="Normale 3 4 4 6 8 2" xfId="14456"/>
    <cellStyle name="Normale 3 4 4 6 8 3" xfId="21864"/>
    <cellStyle name="Normale 3 4 4 6 8 4" xfId="25630"/>
    <cellStyle name="Normale 3 4 4 6 9" xfId="7934"/>
    <cellStyle name="Normale 3 4 4 7" xfId="519"/>
    <cellStyle name="Normale 3 4 4 7 10" xfId="15392"/>
    <cellStyle name="Normale 3 4 4 7 11" xfId="22706"/>
    <cellStyle name="Normale 3 4 4 7 12" xfId="30203"/>
    <cellStyle name="Normale 3 4 4 7 13" xfId="31136"/>
    <cellStyle name="Normale 3 4 4 7 14" xfId="32056"/>
    <cellStyle name="Normale 3 4 4 7 15" xfId="32978"/>
    <cellStyle name="Normale 3 4 4 7 16" xfId="33919"/>
    <cellStyle name="Normale 3 4 4 7 17" xfId="34849"/>
    <cellStyle name="Normale 3 4 4 7 18" xfId="35775"/>
    <cellStyle name="Normale 3 4 4 7 19" xfId="36701"/>
    <cellStyle name="Normale 3 4 4 7 2" xfId="1486"/>
    <cellStyle name="Normale 3 4 4 7 2 2" xfId="8949"/>
    <cellStyle name="Normale 3 4 4 7 2 3" xfId="16357"/>
    <cellStyle name="Normale 3 4 4 7 2 4" xfId="25444"/>
    <cellStyle name="Normale 3 4 4 7 20" xfId="37617"/>
    <cellStyle name="Normale 3 4 4 7 3" xfId="2417"/>
    <cellStyle name="Normale 3 4 4 7 3 2" xfId="9880"/>
    <cellStyle name="Normale 3 4 4 7 3 3" xfId="17288"/>
    <cellStyle name="Normale 3 4 4 7 3 4" xfId="24504"/>
    <cellStyle name="Normale 3 4 4 7 4" xfId="3338"/>
    <cellStyle name="Normale 3 4 4 7 4 2" xfId="10801"/>
    <cellStyle name="Normale 3 4 4 7 4 3" xfId="18209"/>
    <cellStyle name="Normale 3 4 4 7 4 4" xfId="26676"/>
    <cellStyle name="Normale 3 4 4 7 5" xfId="4272"/>
    <cellStyle name="Normale 3 4 4 7 5 2" xfId="11735"/>
    <cellStyle name="Normale 3 4 4 7 5 3" xfId="19143"/>
    <cellStyle name="Normale 3 4 4 7 5 4" xfId="26713"/>
    <cellStyle name="Normale 3 4 4 7 6" xfId="5194"/>
    <cellStyle name="Normale 3 4 4 7 6 2" xfId="12657"/>
    <cellStyle name="Normale 3 4 4 7 6 3" xfId="20065"/>
    <cellStyle name="Normale 3 4 4 7 6 4" xfId="22398"/>
    <cellStyle name="Normale 3 4 4 7 7" xfId="6123"/>
    <cellStyle name="Normale 3 4 4 7 7 2" xfId="13586"/>
    <cellStyle name="Normale 3 4 4 7 7 3" xfId="20994"/>
    <cellStyle name="Normale 3 4 4 7 7 4" xfId="22564"/>
    <cellStyle name="Normale 3 4 4 7 8" xfId="7039"/>
    <cellStyle name="Normale 3 4 4 7 8 2" xfId="14502"/>
    <cellStyle name="Normale 3 4 4 7 8 3" xfId="21910"/>
    <cellStyle name="Normale 3 4 4 7 8 4" xfId="27598"/>
    <cellStyle name="Normale 3 4 4 7 9" xfId="7982"/>
    <cellStyle name="Normale 3 4 4 8" xfId="571"/>
    <cellStyle name="Normale 3 4 4 8 10" xfId="15444"/>
    <cellStyle name="Normale 3 4 4 8 11" xfId="27108"/>
    <cellStyle name="Normale 3 4 4 8 12" xfId="30254"/>
    <cellStyle name="Normale 3 4 4 8 13" xfId="31188"/>
    <cellStyle name="Normale 3 4 4 8 14" xfId="32107"/>
    <cellStyle name="Normale 3 4 4 8 15" xfId="33028"/>
    <cellStyle name="Normale 3 4 4 8 16" xfId="33971"/>
    <cellStyle name="Normale 3 4 4 8 17" xfId="34901"/>
    <cellStyle name="Normale 3 4 4 8 18" xfId="35827"/>
    <cellStyle name="Normale 3 4 4 8 19" xfId="36753"/>
    <cellStyle name="Normale 3 4 4 8 2" xfId="1538"/>
    <cellStyle name="Normale 3 4 4 8 2 2" xfId="9001"/>
    <cellStyle name="Normale 3 4 4 8 2 3" xfId="16409"/>
    <cellStyle name="Normale 3 4 4 8 2 4" xfId="22678"/>
    <cellStyle name="Normale 3 4 4 8 20" xfId="37667"/>
    <cellStyle name="Normale 3 4 4 8 3" xfId="2469"/>
    <cellStyle name="Normale 3 4 4 8 3 2" xfId="9932"/>
    <cellStyle name="Normale 3 4 4 8 3 3" xfId="17340"/>
    <cellStyle name="Normale 3 4 4 8 3 4" xfId="29321"/>
    <cellStyle name="Normale 3 4 4 8 4" xfId="3389"/>
    <cellStyle name="Normale 3 4 4 8 4 2" xfId="10852"/>
    <cellStyle name="Normale 3 4 4 8 4 3" xfId="18260"/>
    <cellStyle name="Normale 3 4 4 8 4 4" xfId="29391"/>
    <cellStyle name="Normale 3 4 4 8 5" xfId="4324"/>
    <cellStyle name="Normale 3 4 4 8 5 2" xfId="11787"/>
    <cellStyle name="Normale 3 4 4 8 5 3" xfId="19195"/>
    <cellStyle name="Normale 3 4 4 8 5 4" xfId="27204"/>
    <cellStyle name="Normale 3 4 4 8 6" xfId="5245"/>
    <cellStyle name="Normale 3 4 4 8 6 2" xfId="12708"/>
    <cellStyle name="Normale 3 4 4 8 6 3" xfId="20116"/>
    <cellStyle name="Normale 3 4 4 8 6 4" xfId="27181"/>
    <cellStyle name="Normale 3 4 4 8 7" xfId="6175"/>
    <cellStyle name="Normale 3 4 4 8 7 2" xfId="13638"/>
    <cellStyle name="Normale 3 4 4 8 7 3" xfId="21046"/>
    <cellStyle name="Normale 3 4 4 8 7 4" xfId="27528"/>
    <cellStyle name="Normale 3 4 4 8 8" xfId="7089"/>
    <cellStyle name="Normale 3 4 4 8 8 2" xfId="14552"/>
    <cellStyle name="Normale 3 4 4 8 8 3" xfId="21960"/>
    <cellStyle name="Normale 3 4 4 8 8 4" xfId="25301"/>
    <cellStyle name="Normale 3 4 4 8 9" xfId="8034"/>
    <cellStyle name="Normale 3 4 4 9" xfId="631"/>
    <cellStyle name="Normale 3 4 4 9 10" xfId="15503"/>
    <cellStyle name="Normale 3 4 4 9 11" xfId="27300"/>
    <cellStyle name="Normale 3 4 4 9 12" xfId="30310"/>
    <cellStyle name="Normale 3 4 4 9 13" xfId="31247"/>
    <cellStyle name="Normale 3 4 4 9 14" xfId="32164"/>
    <cellStyle name="Normale 3 4 4 9 15" xfId="33083"/>
    <cellStyle name="Normale 3 4 4 9 16" xfId="34030"/>
    <cellStyle name="Normale 3 4 4 9 17" xfId="34961"/>
    <cellStyle name="Normale 3 4 4 9 18" xfId="35887"/>
    <cellStyle name="Normale 3 4 4 9 19" xfId="36812"/>
    <cellStyle name="Normale 3 4 4 9 2" xfId="1597"/>
    <cellStyle name="Normale 3 4 4 9 2 2" xfId="9060"/>
    <cellStyle name="Normale 3 4 4 9 2 3" xfId="16468"/>
    <cellStyle name="Normale 3 4 4 9 2 4" xfId="27088"/>
    <cellStyle name="Normale 3 4 4 9 20" xfId="37722"/>
    <cellStyle name="Normale 3 4 4 9 3" xfId="2529"/>
    <cellStyle name="Normale 3 4 4 9 3 2" xfId="9992"/>
    <cellStyle name="Normale 3 4 4 9 3 3" xfId="17400"/>
    <cellStyle name="Normale 3 4 4 9 3 4" xfId="25223"/>
    <cellStyle name="Normale 3 4 4 9 4" xfId="3447"/>
    <cellStyle name="Normale 3 4 4 9 4 2" xfId="10910"/>
    <cellStyle name="Normale 3 4 4 9 4 3" xfId="18318"/>
    <cellStyle name="Normale 3 4 4 9 4 4" xfId="27489"/>
    <cellStyle name="Normale 3 4 4 9 5" xfId="4384"/>
    <cellStyle name="Normale 3 4 4 9 5 2" xfId="11847"/>
    <cellStyle name="Normale 3 4 4 9 5 3" xfId="19255"/>
    <cellStyle name="Normale 3 4 4 9 5 4" xfId="23340"/>
    <cellStyle name="Normale 3 4 4 9 6" xfId="5302"/>
    <cellStyle name="Normale 3 4 4 9 6 2" xfId="12765"/>
    <cellStyle name="Normale 3 4 4 9 6 3" xfId="20173"/>
    <cellStyle name="Normale 3 4 4 9 6 4" xfId="26076"/>
    <cellStyle name="Normale 3 4 4 9 7" xfId="6235"/>
    <cellStyle name="Normale 3 4 4 9 7 2" xfId="13698"/>
    <cellStyle name="Normale 3 4 4 9 7 3" xfId="21106"/>
    <cellStyle name="Normale 3 4 4 9 7 4" xfId="22372"/>
    <cellStyle name="Normale 3 4 4 9 8" xfId="7144"/>
    <cellStyle name="Normale 3 4 4 9 8 2" xfId="14607"/>
    <cellStyle name="Normale 3 4 4 9 8 3" xfId="22015"/>
    <cellStyle name="Normale 3 4 4 9 8 4" xfId="28057"/>
    <cellStyle name="Normale 3 4 4 9 9" xfId="8094"/>
    <cellStyle name="Normale 3 4 5" xfId="99"/>
    <cellStyle name="Normale 3 4 5 10" xfId="1072"/>
    <cellStyle name="Normale 3 4 5 10 2" xfId="8535"/>
    <cellStyle name="Normale 3 4 5 10 3" xfId="15943"/>
    <cellStyle name="Normale 3 4 5 10 4" xfId="26597"/>
    <cellStyle name="Normale 3 4 5 11" xfId="1999"/>
    <cellStyle name="Normale 3 4 5 11 2" xfId="9462"/>
    <cellStyle name="Normale 3 4 5 11 3" xfId="16870"/>
    <cellStyle name="Normale 3 4 5 11 4" xfId="27630"/>
    <cellStyle name="Normale 3 4 5 12" xfId="2925"/>
    <cellStyle name="Normale 3 4 5 12 2" xfId="10388"/>
    <cellStyle name="Normale 3 4 5 12 3" xfId="17796"/>
    <cellStyle name="Normale 3 4 5 12 4" xfId="27395"/>
    <cellStyle name="Normale 3 4 5 13" xfId="3854"/>
    <cellStyle name="Normale 3 4 5 13 2" xfId="11317"/>
    <cellStyle name="Normale 3 4 5 13 3" xfId="18725"/>
    <cellStyle name="Normale 3 4 5 13 4" xfId="28261"/>
    <cellStyle name="Normale 3 4 5 14" xfId="4781"/>
    <cellStyle name="Normale 3 4 5 14 2" xfId="12244"/>
    <cellStyle name="Normale 3 4 5 14 3" xfId="19652"/>
    <cellStyle name="Normale 3 4 5 14 4" xfId="29259"/>
    <cellStyle name="Normale 3 4 5 15" xfId="5708"/>
    <cellStyle name="Normale 3 4 5 15 2" xfId="13171"/>
    <cellStyle name="Normale 3 4 5 15 3" xfId="20579"/>
    <cellStyle name="Normale 3 4 5 15 4" xfId="22926"/>
    <cellStyle name="Normale 3 4 5 16" xfId="6630"/>
    <cellStyle name="Normale 3 4 5 16 2" xfId="14093"/>
    <cellStyle name="Normale 3 4 5 16 3" xfId="21501"/>
    <cellStyle name="Normale 3 4 5 16 4" xfId="26511"/>
    <cellStyle name="Normale 3 4 5 17" xfId="7564"/>
    <cellStyle name="Normale 3 4 5 18" xfId="14973"/>
    <cellStyle name="Normale 3 4 5 19" xfId="25108"/>
    <cellStyle name="Normale 3 4 5 2" xfId="100"/>
    <cellStyle name="Normale 3 4 5 2 10" xfId="7565"/>
    <cellStyle name="Normale 3 4 5 2 11" xfId="14974"/>
    <cellStyle name="Normale 3 4 5 2 12" xfId="24182"/>
    <cellStyle name="Normale 3 4 5 2 13" xfId="29791"/>
    <cellStyle name="Normale 3 4 5 2 14" xfId="30721"/>
    <cellStyle name="Normale 3 4 5 2 15" xfId="31644"/>
    <cellStyle name="Normale 3 4 5 2 16" xfId="32570"/>
    <cellStyle name="Normale 3 4 5 2 17" xfId="33504"/>
    <cellStyle name="Normale 3 4 5 2 18" xfId="34432"/>
    <cellStyle name="Normale 3 4 5 2 19" xfId="35360"/>
    <cellStyle name="Normale 3 4 5 2 2" xfId="298"/>
    <cellStyle name="Normale 3 4 5 2 2 10" xfId="15171"/>
    <cellStyle name="Normale 3 4 5 2 2 11" xfId="28492"/>
    <cellStyle name="Normale 3 4 5 2 2 12" xfId="29983"/>
    <cellStyle name="Normale 3 4 5 2 2 13" xfId="30915"/>
    <cellStyle name="Normale 3 4 5 2 2 14" xfId="31836"/>
    <cellStyle name="Normale 3 4 5 2 2 15" xfId="32761"/>
    <cellStyle name="Normale 3 4 5 2 2 16" xfId="33698"/>
    <cellStyle name="Normale 3 4 5 2 2 17" xfId="34628"/>
    <cellStyle name="Normale 3 4 5 2 2 18" xfId="35554"/>
    <cellStyle name="Normale 3 4 5 2 2 19" xfId="36480"/>
    <cellStyle name="Normale 3 4 5 2 2 2" xfId="1265"/>
    <cellStyle name="Normale 3 4 5 2 2 2 2" xfId="8728"/>
    <cellStyle name="Normale 3 4 5 2 2 2 3" xfId="16136"/>
    <cellStyle name="Normale 3 4 5 2 2 2 4" xfId="25255"/>
    <cellStyle name="Normale 3 4 5 2 2 20" xfId="37400"/>
    <cellStyle name="Normale 3 4 5 2 2 3" xfId="2196"/>
    <cellStyle name="Normale 3 4 5 2 2 3 2" xfId="9659"/>
    <cellStyle name="Normale 3 4 5 2 2 3 3" xfId="17067"/>
    <cellStyle name="Normale 3 4 5 2 2 3 4" xfId="22894"/>
    <cellStyle name="Normale 3 4 5 2 2 4" xfId="3118"/>
    <cellStyle name="Normale 3 4 5 2 2 4 2" xfId="10581"/>
    <cellStyle name="Normale 3 4 5 2 2 4 3" xfId="17989"/>
    <cellStyle name="Normale 3 4 5 2 2 4 4" xfId="23564"/>
    <cellStyle name="Normale 3 4 5 2 2 5" xfId="4051"/>
    <cellStyle name="Normale 3 4 5 2 2 5 2" xfId="11514"/>
    <cellStyle name="Normale 3 4 5 2 2 5 3" xfId="18922"/>
    <cellStyle name="Normale 3 4 5 2 2 5 4" xfId="23540"/>
    <cellStyle name="Normale 3 4 5 2 2 6" xfId="4974"/>
    <cellStyle name="Normale 3 4 5 2 2 6 2" xfId="12437"/>
    <cellStyle name="Normale 3 4 5 2 2 6 3" xfId="19845"/>
    <cellStyle name="Normale 3 4 5 2 2 6 4" xfId="28111"/>
    <cellStyle name="Normale 3 4 5 2 2 7" xfId="5902"/>
    <cellStyle name="Normale 3 4 5 2 2 7 2" xfId="13365"/>
    <cellStyle name="Normale 3 4 5 2 2 7 3" xfId="20773"/>
    <cellStyle name="Normale 3 4 5 2 2 7 4" xfId="28457"/>
    <cellStyle name="Normale 3 4 5 2 2 8" xfId="6822"/>
    <cellStyle name="Normale 3 4 5 2 2 8 2" xfId="14285"/>
    <cellStyle name="Normale 3 4 5 2 2 8 3" xfId="21693"/>
    <cellStyle name="Normale 3 4 5 2 2 8 4" xfId="23279"/>
    <cellStyle name="Normale 3 4 5 2 2 9" xfId="7761"/>
    <cellStyle name="Normale 3 4 5 2 20" xfId="36286"/>
    <cellStyle name="Normale 3 4 5 2 21" xfId="37209"/>
    <cellStyle name="Normale 3 4 5 2 3" xfId="1073"/>
    <cellStyle name="Normale 3 4 5 2 3 2" xfId="8536"/>
    <cellStyle name="Normale 3 4 5 2 3 3" xfId="15944"/>
    <cellStyle name="Normale 3 4 5 2 3 4" xfId="25667"/>
    <cellStyle name="Normale 3 4 5 2 4" xfId="2000"/>
    <cellStyle name="Normale 3 4 5 2 4 2" xfId="9463"/>
    <cellStyle name="Normale 3 4 5 2 4 3" xfId="16871"/>
    <cellStyle name="Normale 3 4 5 2 4 4" xfId="26726"/>
    <cellStyle name="Normale 3 4 5 2 5" xfId="2926"/>
    <cellStyle name="Normale 3 4 5 2 5 2" xfId="10389"/>
    <cellStyle name="Normale 3 4 5 2 5 3" xfId="17797"/>
    <cellStyle name="Normale 3 4 5 2 5 4" xfId="26487"/>
    <cellStyle name="Normale 3 4 5 2 6" xfId="3855"/>
    <cellStyle name="Normale 3 4 5 2 6 2" xfId="11318"/>
    <cellStyle name="Normale 3 4 5 2 6 3" xfId="18726"/>
    <cellStyle name="Normale 3 4 5 2 6 4" xfId="27337"/>
    <cellStyle name="Normale 3 4 5 2 7" xfId="4782"/>
    <cellStyle name="Normale 3 4 5 2 7 2" xfId="12245"/>
    <cellStyle name="Normale 3 4 5 2 7 3" xfId="19653"/>
    <cellStyle name="Normale 3 4 5 2 7 4" xfId="28354"/>
    <cellStyle name="Normale 3 4 5 2 8" xfId="5709"/>
    <cellStyle name="Normale 3 4 5 2 8 2" xfId="13172"/>
    <cellStyle name="Normale 3 4 5 2 8 3" xfId="20580"/>
    <cellStyle name="Normale 3 4 5 2 8 4" xfId="29355"/>
    <cellStyle name="Normale 3 4 5 2 9" xfId="6631"/>
    <cellStyle name="Normale 3 4 5 2 9 2" xfId="14094"/>
    <cellStyle name="Normale 3 4 5 2 9 3" xfId="21502"/>
    <cellStyle name="Normale 3 4 5 2 9 4" xfId="25582"/>
    <cellStyle name="Normale 3 4 5 20" xfId="29790"/>
    <cellStyle name="Normale 3 4 5 21" xfId="30720"/>
    <cellStyle name="Normale 3 4 5 22" xfId="31643"/>
    <cellStyle name="Normale 3 4 5 23" xfId="32569"/>
    <cellStyle name="Normale 3 4 5 24" xfId="33503"/>
    <cellStyle name="Normale 3 4 5 25" xfId="34431"/>
    <cellStyle name="Normale 3 4 5 26" xfId="35359"/>
    <cellStyle name="Normale 3 4 5 27" xfId="36285"/>
    <cellStyle name="Normale 3 4 5 28" xfId="37208"/>
    <cellStyle name="Normale 3 4 5 3" xfId="297"/>
    <cellStyle name="Normale 3 4 5 3 10" xfId="15170"/>
    <cellStyle name="Normale 3 4 5 3 11" xfId="29389"/>
    <cellStyle name="Normale 3 4 5 3 12" xfId="29982"/>
    <cellStyle name="Normale 3 4 5 3 13" xfId="30914"/>
    <cellStyle name="Normale 3 4 5 3 14" xfId="31835"/>
    <cellStyle name="Normale 3 4 5 3 15" xfId="32760"/>
    <cellStyle name="Normale 3 4 5 3 16" xfId="33697"/>
    <cellStyle name="Normale 3 4 5 3 17" xfId="34627"/>
    <cellStyle name="Normale 3 4 5 3 18" xfId="35553"/>
    <cellStyle name="Normale 3 4 5 3 19" xfId="36479"/>
    <cellStyle name="Normale 3 4 5 3 2" xfId="1264"/>
    <cellStyle name="Normale 3 4 5 3 2 2" xfId="8727"/>
    <cellStyle name="Normale 3 4 5 3 2 3" xfId="16135"/>
    <cellStyle name="Normale 3 4 5 3 2 4" xfId="26178"/>
    <cellStyle name="Normale 3 4 5 3 20" xfId="37399"/>
    <cellStyle name="Normale 3 4 5 3 3" xfId="2195"/>
    <cellStyle name="Normale 3 4 5 3 3 2" xfId="9658"/>
    <cellStyle name="Normale 3 4 5 3 3 3" xfId="17066"/>
    <cellStyle name="Normale 3 4 5 3 3 4" xfId="23881"/>
    <cellStyle name="Normale 3 4 5 3 4" xfId="3117"/>
    <cellStyle name="Normale 3 4 5 3 4 2" xfId="10580"/>
    <cellStyle name="Normale 3 4 5 3 4 3" xfId="17988"/>
    <cellStyle name="Normale 3 4 5 3 4 4" xfId="24484"/>
    <cellStyle name="Normale 3 4 5 3 5" xfId="4050"/>
    <cellStyle name="Normale 3 4 5 3 5 2" xfId="11513"/>
    <cellStyle name="Normale 3 4 5 3 5 3" xfId="18921"/>
    <cellStyle name="Normale 3 4 5 3 5 4" xfId="24459"/>
    <cellStyle name="Normale 3 4 5 3 6" xfId="4973"/>
    <cellStyle name="Normale 3 4 5 3 6 2" xfId="12436"/>
    <cellStyle name="Normale 3 4 5 3 6 3" xfId="19844"/>
    <cellStyle name="Normale 3 4 5 3 6 4" xfId="29021"/>
    <cellStyle name="Normale 3 4 5 3 7" xfId="5901"/>
    <cellStyle name="Normale 3 4 5 3 7 2" xfId="13364"/>
    <cellStyle name="Normale 3 4 5 3 7 3" xfId="20772"/>
    <cellStyle name="Normale 3 4 5 3 7 4" xfId="29354"/>
    <cellStyle name="Normale 3 4 5 3 8" xfId="6821"/>
    <cellStyle name="Normale 3 4 5 3 8 2" xfId="14284"/>
    <cellStyle name="Normale 3 4 5 3 8 3" xfId="21692"/>
    <cellStyle name="Normale 3 4 5 3 8 4" xfId="23852"/>
    <cellStyle name="Normale 3 4 5 3 9" xfId="7760"/>
    <cellStyle name="Normale 3 4 5 4" xfId="607"/>
    <cellStyle name="Normale 3 4 5 4 10" xfId="15479"/>
    <cellStyle name="Normale 3 4 5 4 11" xfId="28287"/>
    <cellStyle name="Normale 3 4 5 4 12" xfId="30288"/>
    <cellStyle name="Normale 3 4 5 4 13" xfId="31223"/>
    <cellStyle name="Normale 3 4 5 4 14" xfId="32141"/>
    <cellStyle name="Normale 3 4 5 4 15" xfId="33061"/>
    <cellStyle name="Normale 3 4 5 4 16" xfId="34006"/>
    <cellStyle name="Normale 3 4 5 4 17" xfId="34937"/>
    <cellStyle name="Normale 3 4 5 4 18" xfId="35863"/>
    <cellStyle name="Normale 3 4 5 4 19" xfId="36788"/>
    <cellStyle name="Normale 3 4 5 4 2" xfId="1573"/>
    <cellStyle name="Normale 3 4 5 4 2 2" xfId="9036"/>
    <cellStyle name="Normale 3 4 5 4 2 3" xfId="16444"/>
    <cellStyle name="Normale 3 4 5 4 2 4" xfId="27277"/>
    <cellStyle name="Normale 3 4 5 4 20" xfId="37700"/>
    <cellStyle name="Normale 3 4 5 4 3" xfId="2505"/>
    <cellStyle name="Normale 3 4 5 4 3 2" xfId="9968"/>
    <cellStyle name="Normale 3 4 5 4 3 3" xfId="17376"/>
    <cellStyle name="Normale 3 4 5 4 3 4" xfId="25414"/>
    <cellStyle name="Normale 3 4 5 4 4" xfId="3423"/>
    <cellStyle name="Normale 3 4 5 4 4 2" xfId="10886"/>
    <cellStyle name="Normale 3 4 5 4 4 3" xfId="18294"/>
    <cellStyle name="Normale 3 4 5 4 4 4" xfId="26322"/>
    <cellStyle name="Normale 3 4 5 4 5" xfId="4360"/>
    <cellStyle name="Normale 3 4 5 4 5 2" xfId="11823"/>
    <cellStyle name="Normale 3 4 5 4 5 3" xfId="19231"/>
    <cellStyle name="Normale 3 4 5 4 5 4" xfId="23533"/>
    <cellStyle name="Normale 3 4 5 4 6" xfId="5279"/>
    <cellStyle name="Normale 3 4 5 4 6 2" xfId="12742"/>
    <cellStyle name="Normale 3 4 5 4 6 3" xfId="20150"/>
    <cellStyle name="Normale 3 4 5 4 6 4" xfId="25345"/>
    <cellStyle name="Normale 3 4 5 4 7" xfId="6211"/>
    <cellStyle name="Normale 3 4 5 4 7 2" xfId="13674"/>
    <cellStyle name="Normale 3 4 5 4 7 3" xfId="21082"/>
    <cellStyle name="Normale 3 4 5 4 7 4" xfId="23652"/>
    <cellStyle name="Normale 3 4 5 4 8" xfId="7122"/>
    <cellStyle name="Normale 3 4 5 4 8 2" xfId="14585"/>
    <cellStyle name="Normale 3 4 5 4 8 3" xfId="21993"/>
    <cellStyle name="Normale 3 4 5 4 8 4" xfId="15540"/>
    <cellStyle name="Normale 3 4 5 4 9" xfId="8070"/>
    <cellStyle name="Normale 3 4 5 5" xfId="662"/>
    <cellStyle name="Normale 3 4 5 5 10" xfId="15534"/>
    <cellStyle name="Normale 3 4 5 5 11" xfId="28223"/>
    <cellStyle name="Normale 3 4 5 5 12" xfId="30341"/>
    <cellStyle name="Normale 3 4 5 5 13" xfId="31278"/>
    <cellStyle name="Normale 3 4 5 5 14" xfId="32195"/>
    <cellStyle name="Normale 3 4 5 5 15" xfId="33114"/>
    <cellStyle name="Normale 3 4 5 5 16" xfId="34061"/>
    <cellStyle name="Normale 3 4 5 5 17" xfId="34992"/>
    <cellStyle name="Normale 3 4 5 5 18" xfId="35918"/>
    <cellStyle name="Normale 3 4 5 5 19" xfId="36843"/>
    <cellStyle name="Normale 3 4 5 5 2" xfId="1628"/>
    <cellStyle name="Normale 3 4 5 5 2 2" xfId="9091"/>
    <cellStyle name="Normale 3 4 5 5 2 3" xfId="16499"/>
    <cellStyle name="Normale 3 4 5 5 2 4" xfId="28560"/>
    <cellStyle name="Normale 3 4 5 5 20" xfId="37753"/>
    <cellStyle name="Normale 3 4 5 5 3" xfId="2560"/>
    <cellStyle name="Normale 3 4 5 5 3 2" xfId="10023"/>
    <cellStyle name="Normale 3 4 5 5 3 3" xfId="17431"/>
    <cellStyle name="Normale 3 4 5 5 3 4" xfId="26145"/>
    <cellStyle name="Normale 3 4 5 5 4" xfId="3478"/>
    <cellStyle name="Normale 3 4 5 5 4 2" xfId="10941"/>
    <cellStyle name="Normale 3 4 5 5 4 3" xfId="18349"/>
    <cellStyle name="Normale 3 4 5 5 4 4" xfId="28149"/>
    <cellStyle name="Normale 3 4 5 5 5" xfId="4415"/>
    <cellStyle name="Normale 3 4 5 5 5 2" xfId="11878"/>
    <cellStyle name="Normale 3 4 5 5 5 3" xfId="19286"/>
    <cellStyle name="Normale 3 4 5 5 5 4" xfId="24868"/>
    <cellStyle name="Normale 3 4 5 5 6" xfId="5333"/>
    <cellStyle name="Normale 3 4 5 5 6 2" xfId="12796"/>
    <cellStyle name="Normale 3 4 5 5 6 3" xfId="20204"/>
    <cellStyle name="Normale 3 4 5 5 6 4" xfId="27611"/>
    <cellStyle name="Normale 3 4 5 5 7" xfId="6266"/>
    <cellStyle name="Normale 3 4 5 5 7 2" xfId="13729"/>
    <cellStyle name="Normale 3 4 5 5 7 3" xfId="21137"/>
    <cellStyle name="Normale 3 4 5 5 7 4" xfId="23486"/>
    <cellStyle name="Normale 3 4 5 5 8" xfId="7175"/>
    <cellStyle name="Normale 3 4 5 5 8 2" xfId="14638"/>
    <cellStyle name="Normale 3 4 5 5 8 3" xfId="22046"/>
    <cellStyle name="Normale 3 4 5 5 8 4" xfId="24755"/>
    <cellStyle name="Normale 3 4 5 5 9" xfId="8125"/>
    <cellStyle name="Normale 3 4 5 6" xfId="747"/>
    <cellStyle name="Normale 3 4 5 6 10" xfId="15618"/>
    <cellStyle name="Normale 3 4 5 6 11" xfId="27562"/>
    <cellStyle name="Normale 3 4 5 6 12" xfId="30421"/>
    <cellStyle name="Normale 3 4 5 6 13" xfId="31362"/>
    <cellStyle name="Normale 3 4 5 6 14" xfId="32275"/>
    <cellStyle name="Normale 3 4 5 6 15" xfId="33192"/>
    <cellStyle name="Normale 3 4 5 6 16" xfId="34145"/>
    <cellStyle name="Normale 3 4 5 6 17" xfId="35077"/>
    <cellStyle name="Normale 3 4 5 6 18" xfId="36003"/>
    <cellStyle name="Normale 3 4 5 6 19" xfId="36928"/>
    <cellStyle name="Normale 3 4 5 6 2" xfId="1712"/>
    <cellStyle name="Normale 3 4 5 6 2 2" xfId="9175"/>
    <cellStyle name="Normale 3 4 5 6 2 3" xfId="16583"/>
    <cellStyle name="Normale 3 4 5 6 2 4" xfId="24520"/>
    <cellStyle name="Normale 3 4 5 6 20" xfId="37831"/>
    <cellStyle name="Normale 3 4 5 6 3" xfId="2645"/>
    <cellStyle name="Normale 3 4 5 6 3 2" xfId="10108"/>
    <cellStyle name="Normale 3 4 5 6 3 3" xfId="17516"/>
    <cellStyle name="Normale 3 4 5 6 3 4" xfId="29560"/>
    <cellStyle name="Normale 3 4 5 6 4" xfId="3561"/>
    <cellStyle name="Normale 3 4 5 6 4 2" xfId="11024"/>
    <cellStyle name="Normale 3 4 5 6 4 3" xfId="18432"/>
    <cellStyle name="Normale 3 4 5 6 4 4" xfId="25856"/>
    <cellStyle name="Normale 3 4 5 6 5" xfId="4500"/>
    <cellStyle name="Normale 3 4 5 6 5 2" xfId="11963"/>
    <cellStyle name="Normale 3 4 5 6 5 3" xfId="19371"/>
    <cellStyle name="Normale 3 4 5 6 5 4" xfId="25124"/>
    <cellStyle name="Normale 3 4 5 6 6" xfId="5416"/>
    <cellStyle name="Normale 3 4 5 6 6 2" xfId="12879"/>
    <cellStyle name="Normale 3 4 5 6 6 3" xfId="20287"/>
    <cellStyle name="Normale 3 4 5 6 6 4" xfId="24425"/>
    <cellStyle name="Normale 3 4 5 6 7" xfId="6349"/>
    <cellStyle name="Normale 3 4 5 6 7 2" xfId="13812"/>
    <cellStyle name="Normale 3 4 5 6 7 3" xfId="21220"/>
    <cellStyle name="Normale 3 4 5 6 7 4" xfId="29628"/>
    <cellStyle name="Normale 3 4 5 6 8" xfId="7253"/>
    <cellStyle name="Normale 3 4 5 6 8 2" xfId="14716"/>
    <cellStyle name="Normale 3 4 5 6 8 3" xfId="22124"/>
    <cellStyle name="Normale 3 4 5 6 8 4" xfId="24708"/>
    <cellStyle name="Normale 3 4 5 6 9" xfId="8210"/>
    <cellStyle name="Normale 3 4 5 7" xfId="818"/>
    <cellStyle name="Normale 3 4 5 7 10" xfId="15689"/>
    <cellStyle name="Normale 3 4 5 7 11" xfId="26764"/>
    <cellStyle name="Normale 3 4 5 7 12" xfId="30490"/>
    <cellStyle name="Normale 3 4 5 7 13" xfId="31433"/>
    <cellStyle name="Normale 3 4 5 7 14" xfId="32345"/>
    <cellStyle name="Normale 3 4 5 7 15" xfId="33261"/>
    <cellStyle name="Normale 3 4 5 7 16" xfId="34216"/>
    <cellStyle name="Normale 3 4 5 7 17" xfId="35148"/>
    <cellStyle name="Normale 3 4 5 7 18" xfId="36074"/>
    <cellStyle name="Normale 3 4 5 7 19" xfId="36999"/>
    <cellStyle name="Normale 3 4 5 7 2" xfId="1783"/>
    <cellStyle name="Normale 3 4 5 7 2 2" xfId="9246"/>
    <cellStyle name="Normale 3 4 5 7 2 3" xfId="16654"/>
    <cellStyle name="Normale 3 4 5 7 2 4" xfId="22897"/>
    <cellStyle name="Normale 3 4 5 7 20" xfId="37900"/>
    <cellStyle name="Normale 3 4 5 7 3" xfId="2716"/>
    <cellStyle name="Normale 3 4 5 7 3 2" xfId="10179"/>
    <cellStyle name="Normale 3 4 5 7 3 3" xfId="17587"/>
    <cellStyle name="Normale 3 4 5 7 3 4" xfId="28500"/>
    <cellStyle name="Normale 3 4 5 7 4" xfId="3631"/>
    <cellStyle name="Normale 3 4 5 7 4 2" xfId="11094"/>
    <cellStyle name="Normale 3 4 5 7 4 3" xfId="18502"/>
    <cellStyle name="Normale 3 4 5 7 4 4" xfId="26316"/>
    <cellStyle name="Normale 3 4 5 7 5" xfId="4571"/>
    <cellStyle name="Normale 3 4 5 7 5 2" xfId="12034"/>
    <cellStyle name="Normale 3 4 5 7 5 3" xfId="19442"/>
    <cellStyle name="Normale 3 4 5 7 5 4" xfId="24050"/>
    <cellStyle name="Normale 3 4 5 7 6" xfId="5486"/>
    <cellStyle name="Normale 3 4 5 7 6 2" xfId="12949"/>
    <cellStyle name="Normale 3 4 5 7 6 3" xfId="20357"/>
    <cellStyle name="Normale 3 4 5 7 6 4" xfId="23861"/>
    <cellStyle name="Normale 3 4 5 7 7" xfId="6420"/>
    <cellStyle name="Normale 3 4 5 7 7 2" xfId="13883"/>
    <cellStyle name="Normale 3 4 5 7 7 3" xfId="21291"/>
    <cellStyle name="Normale 3 4 5 7 7 4" xfId="28584"/>
    <cellStyle name="Normale 3 4 5 7 8" xfId="7322"/>
    <cellStyle name="Normale 3 4 5 7 8 2" xfId="14785"/>
    <cellStyle name="Normale 3 4 5 7 8 3" xfId="22193"/>
    <cellStyle name="Normale 3 4 5 7 8 4" xfId="29239"/>
    <cellStyle name="Normale 3 4 5 7 9" xfId="8281"/>
    <cellStyle name="Normale 3 4 5 8" xfId="889"/>
    <cellStyle name="Normale 3 4 5 8 10" xfId="15760"/>
    <cellStyle name="Normale 3 4 5 8 11" xfId="25679"/>
    <cellStyle name="Normale 3 4 5 8 12" xfId="30558"/>
    <cellStyle name="Normale 3 4 5 8 13" xfId="31504"/>
    <cellStyle name="Normale 3 4 5 8 14" xfId="32415"/>
    <cellStyle name="Normale 3 4 5 8 15" xfId="33327"/>
    <cellStyle name="Normale 3 4 5 8 16" xfId="34287"/>
    <cellStyle name="Normale 3 4 5 8 17" xfId="35219"/>
    <cellStyle name="Normale 3 4 5 8 18" xfId="36145"/>
    <cellStyle name="Normale 3 4 5 8 19" xfId="37070"/>
    <cellStyle name="Normale 3 4 5 8 2" xfId="1854"/>
    <cellStyle name="Normale 3 4 5 8 2 2" xfId="9317"/>
    <cellStyle name="Normale 3 4 5 8 2 3" xfId="16725"/>
    <cellStyle name="Normale 3 4 5 8 2 4" xfId="23596"/>
    <cellStyle name="Normale 3 4 5 8 20" xfId="37966"/>
    <cellStyle name="Normale 3 4 5 8 3" xfId="2787"/>
    <cellStyle name="Normale 3 4 5 8 3 2" xfId="10250"/>
    <cellStyle name="Normale 3 4 5 8 3 3" xfId="17658"/>
    <cellStyle name="Normale 3 4 5 8 3 4" xfId="29226"/>
    <cellStyle name="Normale 3 4 5 8 4" xfId="3701"/>
    <cellStyle name="Normale 3 4 5 8 4 2" xfId="11164"/>
    <cellStyle name="Normale 3 4 5 8 4 3" xfId="18572"/>
    <cellStyle name="Normale 3 4 5 8 4 4" xfId="29440"/>
    <cellStyle name="Normale 3 4 5 8 5" xfId="4642"/>
    <cellStyle name="Normale 3 4 5 8 5 2" xfId="12105"/>
    <cellStyle name="Normale 3 4 5 8 5 3" xfId="19513"/>
    <cellStyle name="Normale 3 4 5 8 5 4" xfId="24731"/>
    <cellStyle name="Normale 3 4 5 8 6" xfId="5556"/>
    <cellStyle name="Normale 3 4 5 8 6 2" xfId="13019"/>
    <cellStyle name="Normale 3 4 5 8 6 3" xfId="20427"/>
    <cellStyle name="Normale 3 4 5 8 6 4" xfId="25337"/>
    <cellStyle name="Normale 3 4 5 8 7" xfId="6491"/>
    <cellStyle name="Normale 3 4 5 8 7 2" xfId="13954"/>
    <cellStyle name="Normale 3 4 5 8 7 3" xfId="21362"/>
    <cellStyle name="Normale 3 4 5 8 7 4" xfId="29249"/>
    <cellStyle name="Normale 3 4 5 8 8" xfId="7388"/>
    <cellStyle name="Normale 3 4 5 8 8 2" xfId="14851"/>
    <cellStyle name="Normale 3 4 5 8 8 3" xfId="22259"/>
    <cellStyle name="Normale 3 4 5 8 8 4" xfId="26044"/>
    <cellStyle name="Normale 3 4 5 8 9" xfId="8352"/>
    <cellStyle name="Normale 3 4 5 9" xfId="955"/>
    <cellStyle name="Normale 3 4 5 9 10" xfId="15826"/>
    <cellStyle name="Normale 3 4 5 9 11" xfId="23732"/>
    <cellStyle name="Normale 3 4 5 9 12" xfId="30621"/>
    <cellStyle name="Normale 3 4 5 9 13" xfId="31569"/>
    <cellStyle name="Normale 3 4 5 9 14" xfId="32480"/>
    <cellStyle name="Normale 3 4 5 9 15" xfId="33390"/>
    <cellStyle name="Normale 3 4 5 9 16" xfId="34353"/>
    <cellStyle name="Normale 3 4 5 9 17" xfId="35285"/>
    <cellStyle name="Normale 3 4 5 9 18" xfId="36210"/>
    <cellStyle name="Normale 3 4 5 9 19" xfId="37136"/>
    <cellStyle name="Normale 3 4 5 9 2" xfId="1920"/>
    <cellStyle name="Normale 3 4 5 9 2 2" xfId="9383"/>
    <cellStyle name="Normale 3 4 5 9 2 3" xfId="16791"/>
    <cellStyle name="Normale 3 4 5 9 2 4" xfId="25097"/>
    <cellStyle name="Normale 3 4 5 9 20" xfId="38029"/>
    <cellStyle name="Normale 3 4 5 9 3" xfId="2852"/>
    <cellStyle name="Normale 3 4 5 9 3 2" xfId="10315"/>
    <cellStyle name="Normale 3 4 5 9 3 3" xfId="17723"/>
    <cellStyle name="Normale 3 4 5 9 3 4" xfId="27246"/>
    <cellStyle name="Normale 3 4 5 9 4" xfId="3767"/>
    <cellStyle name="Normale 3 4 5 9 4 2" xfId="11230"/>
    <cellStyle name="Normale 3 4 5 9 4 3" xfId="18638"/>
    <cellStyle name="Normale 3 4 5 9 4 4" xfId="26312"/>
    <cellStyle name="Normale 3 4 5 9 5" xfId="4708"/>
    <cellStyle name="Normale 3 4 5 9 5 2" xfId="12171"/>
    <cellStyle name="Normale 3 4 5 9 5 3" xfId="19579"/>
    <cellStyle name="Normale 3 4 5 9 5 4" xfId="28842"/>
    <cellStyle name="Normale 3 4 5 9 6" xfId="5622"/>
    <cellStyle name="Normale 3 4 5 9 6 2" xfId="13085"/>
    <cellStyle name="Normale 3 4 5 9 6 3" xfId="20493"/>
    <cellStyle name="Normale 3 4 5 9 6 4" xfId="26812"/>
    <cellStyle name="Normale 3 4 5 9 7" xfId="6557"/>
    <cellStyle name="Normale 3 4 5 9 7 2" xfId="14020"/>
    <cellStyle name="Normale 3 4 5 9 7 3" xfId="21428"/>
    <cellStyle name="Normale 3 4 5 9 7 4" xfId="26046"/>
    <cellStyle name="Normale 3 4 5 9 8" xfId="7451"/>
    <cellStyle name="Normale 3 4 5 9 8 2" xfId="14914"/>
    <cellStyle name="Normale 3 4 5 9 8 3" xfId="22322"/>
    <cellStyle name="Normale 3 4 5 9 8 4" xfId="21081"/>
    <cellStyle name="Normale 3 4 5 9 9" xfId="8418"/>
    <cellStyle name="Normale 3 4 6" xfId="101"/>
    <cellStyle name="Normale 3 4 6 10" xfId="2927"/>
    <cellStyle name="Normale 3 4 6 10 2" xfId="10390"/>
    <cellStyle name="Normale 3 4 6 10 3" xfId="17798"/>
    <cellStyle name="Normale 3 4 6 10 4" xfId="25559"/>
    <cellStyle name="Normale 3 4 6 11" xfId="3856"/>
    <cellStyle name="Normale 3 4 6 11 2" xfId="11319"/>
    <cellStyle name="Normale 3 4 6 11 3" xfId="18727"/>
    <cellStyle name="Normale 3 4 6 11 4" xfId="26429"/>
    <cellStyle name="Normale 3 4 6 12" xfId="4783"/>
    <cellStyle name="Normale 3 4 6 12 2" xfId="12246"/>
    <cellStyle name="Normale 3 4 6 12 3" xfId="19654"/>
    <cellStyle name="Normale 3 4 6 12 4" xfId="27430"/>
    <cellStyle name="Normale 3 4 6 13" xfId="5710"/>
    <cellStyle name="Normale 3 4 6 13 2" xfId="13173"/>
    <cellStyle name="Normale 3 4 6 13 3" xfId="20581"/>
    <cellStyle name="Normale 3 4 6 13 4" xfId="28458"/>
    <cellStyle name="Normale 3 4 6 14" xfId="6632"/>
    <cellStyle name="Normale 3 4 6 14 2" xfId="14095"/>
    <cellStyle name="Normale 3 4 6 14 3" xfId="21503"/>
    <cellStyle name="Normale 3 4 6 14 4" xfId="24667"/>
    <cellStyle name="Normale 3 4 6 15" xfId="7566"/>
    <cellStyle name="Normale 3 4 6 16" xfId="14975"/>
    <cellStyle name="Normale 3 4 6 17" xfId="23170"/>
    <cellStyle name="Normale 3 4 6 18" xfId="29792"/>
    <cellStyle name="Normale 3 4 6 19" xfId="30722"/>
    <cellStyle name="Normale 3 4 6 2" xfId="299"/>
    <cellStyle name="Normale 3 4 6 2 10" xfId="15172"/>
    <cellStyle name="Normale 3 4 6 2 11" xfId="27565"/>
    <cellStyle name="Normale 3 4 6 2 12" xfId="29984"/>
    <cellStyle name="Normale 3 4 6 2 13" xfId="30916"/>
    <cellStyle name="Normale 3 4 6 2 14" xfId="31837"/>
    <cellStyle name="Normale 3 4 6 2 15" xfId="32762"/>
    <cellStyle name="Normale 3 4 6 2 16" xfId="33699"/>
    <cellStyle name="Normale 3 4 6 2 17" xfId="34629"/>
    <cellStyle name="Normale 3 4 6 2 18" xfId="35555"/>
    <cellStyle name="Normale 3 4 6 2 19" xfId="36481"/>
    <cellStyle name="Normale 3 4 6 2 2" xfId="1266"/>
    <cellStyle name="Normale 3 4 6 2 2 2" xfId="8729"/>
    <cellStyle name="Normale 3 4 6 2 2 3" xfId="16137"/>
    <cellStyle name="Normale 3 4 6 2 2 4" xfId="24336"/>
    <cellStyle name="Normale 3 4 6 2 20" xfId="37401"/>
    <cellStyle name="Normale 3 4 6 2 3" xfId="2197"/>
    <cellStyle name="Normale 3 4 6 2 3 2" xfId="9660"/>
    <cellStyle name="Normale 3 4 6 2 3 3" xfId="17068"/>
    <cellStyle name="Normale 3 4 6 2 3 4" xfId="29323"/>
    <cellStyle name="Normale 3 4 6 2 4" xfId="3119"/>
    <cellStyle name="Normale 3 4 6 2 4 2" xfId="10582"/>
    <cellStyle name="Normale 3 4 6 2 4 3" xfId="17990"/>
    <cellStyle name="Normale 3 4 6 2 4 4" xfId="28882"/>
    <cellStyle name="Normale 3 4 6 2 5" xfId="4052"/>
    <cellStyle name="Normale 3 4 6 2 5 2" xfId="11515"/>
    <cellStyle name="Normale 3 4 6 2 5 3" xfId="18923"/>
    <cellStyle name="Normale 3 4 6 2 5 4" xfId="28859"/>
    <cellStyle name="Normale 3 4 6 2 6" xfId="4975"/>
    <cellStyle name="Normale 3 4 6 2 6 2" xfId="12438"/>
    <cellStyle name="Normale 3 4 6 2 6 3" xfId="19846"/>
    <cellStyle name="Normale 3 4 6 2 6 4" xfId="27189"/>
    <cellStyle name="Normale 3 4 6 2 7" xfId="5903"/>
    <cellStyle name="Normale 3 4 6 2 7 2" xfId="13366"/>
    <cellStyle name="Normale 3 4 6 2 7 3" xfId="20774"/>
    <cellStyle name="Normale 3 4 6 2 7 4" xfId="27530"/>
    <cellStyle name="Normale 3 4 6 2 8" xfId="6823"/>
    <cellStyle name="Normale 3 4 6 2 8 2" xfId="14286"/>
    <cellStyle name="Normale 3 4 6 2 8 3" xfId="21694"/>
    <cellStyle name="Normale 3 4 6 2 8 4" xfId="22544"/>
    <cellStyle name="Normale 3 4 6 2 9" xfId="7762"/>
    <cellStyle name="Normale 3 4 6 20" xfId="31645"/>
    <cellStyle name="Normale 3 4 6 21" xfId="32571"/>
    <cellStyle name="Normale 3 4 6 22" xfId="33505"/>
    <cellStyle name="Normale 3 4 6 23" xfId="34433"/>
    <cellStyle name="Normale 3 4 6 24" xfId="35361"/>
    <cellStyle name="Normale 3 4 6 25" xfId="36287"/>
    <cellStyle name="Normale 3 4 6 26" xfId="37210"/>
    <cellStyle name="Normale 3 4 6 3" xfId="678"/>
    <cellStyle name="Normale 3 4 6 3 10" xfId="15549"/>
    <cellStyle name="Normale 3 4 6 3 11" xfId="29663"/>
    <cellStyle name="Normale 3 4 6 3 12" xfId="30352"/>
    <cellStyle name="Normale 3 4 6 3 13" xfId="31293"/>
    <cellStyle name="Normale 3 4 6 3 14" xfId="32207"/>
    <cellStyle name="Normale 3 4 6 3 15" xfId="33125"/>
    <cellStyle name="Normale 3 4 6 3 16" xfId="34076"/>
    <cellStyle name="Normale 3 4 6 3 17" xfId="35008"/>
    <cellStyle name="Normale 3 4 6 3 18" xfId="35934"/>
    <cellStyle name="Normale 3 4 6 3 19" xfId="36859"/>
    <cellStyle name="Normale 3 4 6 3 2" xfId="1643"/>
    <cellStyle name="Normale 3 4 6 3 2 2" xfId="9106"/>
    <cellStyle name="Normale 3 4 6 3 2 3" xfId="16514"/>
    <cellStyle name="Normale 3 4 6 3 2 4" xfId="29327"/>
    <cellStyle name="Normale 3 4 6 3 20" xfId="37764"/>
    <cellStyle name="Normale 3 4 6 3 3" xfId="2576"/>
    <cellStyle name="Normale 3 4 6 3 3 2" xfId="10039"/>
    <cellStyle name="Normale 3 4 6 3 3 3" xfId="17447"/>
    <cellStyle name="Normale 3 4 6 3 3 4" xfId="26867"/>
    <cellStyle name="Normale 3 4 6 3 4" xfId="3492"/>
    <cellStyle name="Normale 3 4 6 3 4 2" xfId="10955"/>
    <cellStyle name="Normale 3 4 6 3 4 3" xfId="18363"/>
    <cellStyle name="Normale 3 4 6 3 4 4" xfId="29062"/>
    <cellStyle name="Normale 3 4 6 3 5" xfId="4431"/>
    <cellStyle name="Normale 3 4 6 3 5 2" xfId="11894"/>
    <cellStyle name="Normale 3 4 6 3 5 3" xfId="19302"/>
    <cellStyle name="Normale 3 4 6 3 5 4" xfId="27758"/>
    <cellStyle name="Normale 3 4 6 3 6" xfId="5347"/>
    <cellStyle name="Normale 3 4 6 3 6 2" xfId="12810"/>
    <cellStyle name="Normale 3 4 6 3 6 3" xfId="20218"/>
    <cellStyle name="Normale 3 4 6 3 6 4" xfId="29304"/>
    <cellStyle name="Normale 3 4 6 3 7" xfId="6280"/>
    <cellStyle name="Normale 3 4 6 3 7 2" xfId="13743"/>
    <cellStyle name="Normale 3 4 6 3 7 3" xfId="21151"/>
    <cellStyle name="Normale 3 4 6 3 7 4" xfId="26846"/>
    <cellStyle name="Normale 3 4 6 3 8" xfId="7186"/>
    <cellStyle name="Normale 3 4 6 3 8 2" xfId="14649"/>
    <cellStyle name="Normale 3 4 6 3 8 3" xfId="22057"/>
    <cellStyle name="Normale 3 4 6 3 8 4" xfId="29238"/>
    <cellStyle name="Normale 3 4 6 3 9" xfId="8141"/>
    <cellStyle name="Normale 3 4 6 4" xfId="763"/>
    <cellStyle name="Normale 3 4 6 4 10" xfId="15634"/>
    <cellStyle name="Normale 3 4 6 4 11" xfId="27455"/>
    <cellStyle name="Normale 3 4 6 4 12" xfId="30437"/>
    <cellStyle name="Normale 3 4 6 4 13" xfId="31378"/>
    <cellStyle name="Normale 3 4 6 4 14" xfId="32291"/>
    <cellStyle name="Normale 3 4 6 4 15" xfId="33208"/>
    <cellStyle name="Normale 3 4 6 4 16" xfId="34161"/>
    <cellStyle name="Normale 3 4 6 4 17" xfId="35093"/>
    <cellStyle name="Normale 3 4 6 4 18" xfId="36019"/>
    <cellStyle name="Normale 3 4 6 4 19" xfId="36944"/>
    <cellStyle name="Normale 3 4 6 4 2" xfId="1728"/>
    <cellStyle name="Normale 3 4 6 4 2 2" xfId="9191"/>
    <cellStyle name="Normale 3 4 6 4 2 3" xfId="16599"/>
    <cellStyle name="Normale 3 4 6 4 2 4" xfId="23601"/>
    <cellStyle name="Normale 3 4 6 4 20" xfId="37847"/>
    <cellStyle name="Normale 3 4 6 4 3" xfId="2661"/>
    <cellStyle name="Normale 3 4 6 4 3 2" xfId="10124"/>
    <cellStyle name="Normale 3 4 6 4 3 3" xfId="17532"/>
    <cellStyle name="Normale 3 4 6 4 3 4" xfId="29409"/>
    <cellStyle name="Normale 3 4 6 4 4" xfId="3577"/>
    <cellStyle name="Normale 3 4 6 4 4 2" xfId="11040"/>
    <cellStyle name="Normale 3 4 6 4 4 3" xfId="18448"/>
    <cellStyle name="Normale 3 4 6 4 4 4" xfId="25708"/>
    <cellStyle name="Normale 3 4 6 4 5" xfId="4516"/>
    <cellStyle name="Normale 3 4 6 4 5 2" xfId="11979"/>
    <cellStyle name="Normale 3 4 6 4 5 3" xfId="19387"/>
    <cellStyle name="Normale 3 4 6 4 5 4" xfId="24992"/>
    <cellStyle name="Normale 3 4 6 4 6" xfId="5432"/>
    <cellStyle name="Normale 3 4 6 4 6 2" xfId="12895"/>
    <cellStyle name="Normale 3 4 6 4 6 3" xfId="20303"/>
    <cellStyle name="Normale 3 4 6 4 6 4" xfId="23507"/>
    <cellStyle name="Normale 3 4 6 4 7" xfId="6365"/>
    <cellStyle name="Normale 3 4 6 4 7 2" xfId="13828"/>
    <cellStyle name="Normale 3 4 6 4 7 3" xfId="21236"/>
    <cellStyle name="Normale 3 4 6 4 7 4" xfId="29493"/>
    <cellStyle name="Normale 3 4 6 4 8" xfId="7269"/>
    <cellStyle name="Normale 3 4 6 4 8 2" xfId="14732"/>
    <cellStyle name="Normale 3 4 6 4 8 3" xfId="22140"/>
    <cellStyle name="Normale 3 4 6 4 8 4" xfId="25984"/>
    <cellStyle name="Normale 3 4 6 4 9" xfId="8226"/>
    <cellStyle name="Normale 3 4 6 5" xfId="834"/>
    <cellStyle name="Normale 3 4 6 5 10" xfId="15705"/>
    <cellStyle name="Normale 3 4 6 5 11" xfId="26387"/>
    <cellStyle name="Normale 3 4 6 5 12" xfId="30506"/>
    <cellStyle name="Normale 3 4 6 5 13" xfId="31449"/>
    <cellStyle name="Normale 3 4 6 5 14" xfId="32361"/>
    <cellStyle name="Normale 3 4 6 5 15" xfId="33276"/>
    <cellStyle name="Normale 3 4 6 5 16" xfId="34232"/>
    <cellStyle name="Normale 3 4 6 5 17" xfId="35164"/>
    <cellStyle name="Normale 3 4 6 5 18" xfId="36090"/>
    <cellStyle name="Normale 3 4 6 5 19" xfId="37015"/>
    <cellStyle name="Normale 3 4 6 5 2" xfId="1799"/>
    <cellStyle name="Normale 3 4 6 5 2 2" xfId="9262"/>
    <cellStyle name="Normale 3 4 6 5 2 3" xfId="16670"/>
    <cellStyle name="Normale 3 4 6 5 2 4" xfId="22802"/>
    <cellStyle name="Normale 3 4 6 5 20" xfId="37915"/>
    <cellStyle name="Normale 3 4 6 5 3" xfId="2732"/>
    <cellStyle name="Normale 3 4 6 5 3 2" xfId="10195"/>
    <cellStyle name="Normale 3 4 6 5 3 3" xfId="17603"/>
    <cellStyle name="Normale 3 4 6 5 3 4" xfId="28170"/>
    <cellStyle name="Normale 3 4 6 5 4" xfId="3647"/>
    <cellStyle name="Normale 3 4 6 5 4 2" xfId="11110"/>
    <cellStyle name="Normale 3 4 6 5 4 3" xfId="18518"/>
    <cellStyle name="Normale 3 4 6 5 4 4" xfId="27224"/>
    <cellStyle name="Normale 3 4 6 5 5" xfId="4587"/>
    <cellStyle name="Normale 3 4 6 5 5 2" xfId="12050"/>
    <cellStyle name="Normale 3 4 6 5 5 3" xfId="19458"/>
    <cellStyle name="Normale 3 4 6 5 5 4" xfId="23899"/>
    <cellStyle name="Normale 3 4 6 5 6" xfId="5502"/>
    <cellStyle name="Normale 3 4 6 5 6 2" xfId="12965"/>
    <cellStyle name="Normale 3 4 6 5 6 3" xfId="20373"/>
    <cellStyle name="Normale 3 4 6 5 6 4" xfId="23751"/>
    <cellStyle name="Normale 3 4 6 5 7" xfId="6436"/>
    <cellStyle name="Normale 3 4 6 5 7 2" xfId="13899"/>
    <cellStyle name="Normale 3 4 6 5 7 3" xfId="21307"/>
    <cellStyle name="Normale 3 4 6 5 7 4" xfId="28447"/>
    <cellStyle name="Normale 3 4 6 5 8" xfId="7337"/>
    <cellStyle name="Normale 3 4 6 5 8 2" xfId="14800"/>
    <cellStyle name="Normale 3 4 6 5 8 3" xfId="22208"/>
    <cellStyle name="Normale 3 4 6 5 8 4" xfId="22720"/>
    <cellStyle name="Normale 3 4 6 5 9" xfId="8297"/>
    <cellStyle name="Normale 3 4 6 6" xfId="905"/>
    <cellStyle name="Normale 3 4 6 6 10" xfId="15776"/>
    <cellStyle name="Normale 3 4 6 6 11" xfId="24347"/>
    <cellStyle name="Normale 3 4 6 6 12" xfId="30574"/>
    <cellStyle name="Normale 3 4 6 6 13" xfId="31520"/>
    <cellStyle name="Normale 3 4 6 6 14" xfId="32431"/>
    <cellStyle name="Normale 3 4 6 6 15" xfId="33343"/>
    <cellStyle name="Normale 3 4 6 6 16" xfId="34303"/>
    <cellStyle name="Normale 3 4 6 6 17" xfId="35235"/>
    <cellStyle name="Normale 3 4 6 6 18" xfId="36161"/>
    <cellStyle name="Normale 3 4 6 6 19" xfId="37086"/>
    <cellStyle name="Normale 3 4 6 6 2" xfId="1870"/>
    <cellStyle name="Normale 3 4 6 6 2 2" xfId="9333"/>
    <cellStyle name="Normale 3 4 6 6 2 3" xfId="16741"/>
    <cellStyle name="Normale 3 4 6 6 2 4" xfId="22483"/>
    <cellStyle name="Normale 3 4 6 6 20" xfId="37982"/>
    <cellStyle name="Normale 3 4 6 6 3" xfId="2803"/>
    <cellStyle name="Normale 3 4 6 6 3 2" xfId="10266"/>
    <cellStyle name="Normale 3 4 6 6 3 3" xfId="17674"/>
    <cellStyle name="Normale 3 4 6 6 3 4" xfId="29076"/>
    <cellStyle name="Normale 3 4 6 6 4" xfId="3717"/>
    <cellStyle name="Normale 3 4 6 6 4 2" xfId="11180"/>
    <cellStyle name="Normale 3 4 6 6 4 3" xfId="18588"/>
    <cellStyle name="Normale 3 4 6 6 4 4" xfId="29313"/>
    <cellStyle name="Normale 3 4 6 6 5" xfId="4658"/>
    <cellStyle name="Normale 3 4 6 6 5 2" xfId="12121"/>
    <cellStyle name="Normale 3 4 6 6 5 3" xfId="19529"/>
    <cellStyle name="Normale 3 4 6 6 5 4" xfId="24631"/>
    <cellStyle name="Normale 3 4 6 6 6" xfId="5572"/>
    <cellStyle name="Normale 3 4 6 6 6 2" xfId="13035"/>
    <cellStyle name="Normale 3 4 6 6 6 3" xfId="20443"/>
    <cellStyle name="Normale 3 4 6 6 6 4" xfId="24422"/>
    <cellStyle name="Normale 3 4 6 6 7" xfId="6507"/>
    <cellStyle name="Normale 3 4 6 6 7 2" xfId="13970"/>
    <cellStyle name="Normale 3 4 6 6 7 3" xfId="21378"/>
    <cellStyle name="Normale 3 4 6 6 7 4" xfId="29157"/>
    <cellStyle name="Normale 3 4 6 6 8" xfId="7404"/>
    <cellStyle name="Normale 3 4 6 6 8 2" xfId="14867"/>
    <cellStyle name="Normale 3 4 6 6 8 3" xfId="22275"/>
    <cellStyle name="Normale 3 4 6 6 8 4" xfId="26193"/>
    <cellStyle name="Normale 3 4 6 6 9" xfId="8368"/>
    <cellStyle name="Normale 3 4 6 7" xfId="966"/>
    <cellStyle name="Normale 3 4 6 7 10" xfId="15837"/>
    <cellStyle name="Normale 3 4 6 7 11" xfId="28213"/>
    <cellStyle name="Normale 3 4 6 7 12" xfId="30632"/>
    <cellStyle name="Normale 3 4 6 7 13" xfId="31580"/>
    <cellStyle name="Normale 3 4 6 7 14" xfId="32491"/>
    <cellStyle name="Normale 3 4 6 7 15" xfId="33401"/>
    <cellStyle name="Normale 3 4 6 7 16" xfId="34364"/>
    <cellStyle name="Normale 3 4 6 7 17" xfId="35296"/>
    <cellStyle name="Normale 3 4 6 7 18" xfId="36221"/>
    <cellStyle name="Normale 3 4 6 7 19" xfId="37147"/>
    <cellStyle name="Normale 3 4 6 7 2" xfId="1931"/>
    <cellStyle name="Normale 3 4 6 7 2 2" xfId="9394"/>
    <cellStyle name="Normale 3 4 6 7 2 3" xfId="16802"/>
    <cellStyle name="Normale 3 4 6 7 2 4" xfId="29520"/>
    <cellStyle name="Normale 3 4 6 7 20" xfId="38040"/>
    <cellStyle name="Normale 3 4 6 7 3" xfId="2863"/>
    <cellStyle name="Normale 3 4 6 7 3 2" xfId="10326"/>
    <cellStyle name="Normale 3 4 6 7 3 3" xfId="17734"/>
    <cellStyle name="Normale 3 4 6 7 3 4" xfId="25215"/>
    <cellStyle name="Normale 3 4 6 7 4" xfId="3778"/>
    <cellStyle name="Normale 3 4 6 7 4 2" xfId="11241"/>
    <cellStyle name="Normale 3 4 6 7 4 3" xfId="18649"/>
    <cellStyle name="Normale 3 4 6 7 4 4" xfId="24272"/>
    <cellStyle name="Normale 3 4 6 7 5" xfId="4719"/>
    <cellStyle name="Normale 3 4 6 7 5 2" xfId="12182"/>
    <cellStyle name="Normale 3 4 6 7 5 3" xfId="19590"/>
    <cellStyle name="Normale 3 4 6 7 5 4" xfId="26288"/>
    <cellStyle name="Normale 3 4 6 7 6" xfId="5633"/>
    <cellStyle name="Normale 3 4 6 7 6 2" xfId="13096"/>
    <cellStyle name="Normale 3 4 6 7 6 3" xfId="20504"/>
    <cellStyle name="Normale 3 4 6 7 6 4" xfId="24079"/>
    <cellStyle name="Normale 3 4 6 7 7" xfId="6568"/>
    <cellStyle name="Normale 3 4 6 7 7 2" xfId="14031"/>
    <cellStyle name="Normale 3 4 6 7 7 3" xfId="21439"/>
    <cellStyle name="Normale 3 4 6 7 7 4" xfId="23479"/>
    <cellStyle name="Normale 3 4 6 7 8" xfId="7462"/>
    <cellStyle name="Normale 3 4 6 7 8 2" xfId="14925"/>
    <cellStyle name="Normale 3 4 6 7 8 3" xfId="22333"/>
    <cellStyle name="Normale 3 4 6 7 8 4" xfId="29690"/>
    <cellStyle name="Normale 3 4 6 7 9" xfId="8429"/>
    <cellStyle name="Normale 3 4 6 8" xfId="1074"/>
    <cellStyle name="Normale 3 4 6 8 2" xfId="8537"/>
    <cellStyle name="Normale 3 4 6 8 3" xfId="15945"/>
    <cellStyle name="Normale 3 4 6 8 4" xfId="24753"/>
    <cellStyle name="Normale 3 4 6 9" xfId="2001"/>
    <cellStyle name="Normale 3 4 6 9 2" xfId="9464"/>
    <cellStyle name="Normale 3 4 6 9 3" xfId="16872"/>
    <cellStyle name="Normale 3 4 6 9 4" xfId="25794"/>
    <cellStyle name="Normale 3 4 7" xfId="284"/>
    <cellStyle name="Normale 3 4 7 10" xfId="15157"/>
    <cellStyle name="Normale 3 4 7 11" xfId="25475"/>
    <cellStyle name="Normale 3 4 7 12" xfId="29969"/>
    <cellStyle name="Normale 3 4 7 13" xfId="30901"/>
    <cellStyle name="Normale 3 4 7 14" xfId="31822"/>
    <cellStyle name="Normale 3 4 7 15" xfId="32747"/>
    <cellStyle name="Normale 3 4 7 16" xfId="33684"/>
    <cellStyle name="Normale 3 4 7 17" xfId="34614"/>
    <cellStyle name="Normale 3 4 7 18" xfId="35540"/>
    <cellStyle name="Normale 3 4 7 19" xfId="36466"/>
    <cellStyle name="Normale 3 4 7 2" xfId="1251"/>
    <cellStyle name="Normale 3 4 7 2 2" xfId="8714"/>
    <cellStyle name="Normale 3 4 7 2 3" xfId="16122"/>
    <cellStyle name="Normale 3 4 7 2 4" xfId="22688"/>
    <cellStyle name="Normale 3 4 7 20" xfId="37386"/>
    <cellStyle name="Normale 3 4 7 3" xfId="2182"/>
    <cellStyle name="Normale 3 4 7 3 2" xfId="9645"/>
    <cellStyle name="Normale 3 4 7 3 3" xfId="17053"/>
    <cellStyle name="Normale 3 4 7 3 4" xfId="27994"/>
    <cellStyle name="Normale 3 4 7 4" xfId="3104"/>
    <cellStyle name="Normale 3 4 7 4 2" xfId="10567"/>
    <cellStyle name="Normale 3 4 7 4 3" xfId="17975"/>
    <cellStyle name="Normale 3 4 7 4 4" xfId="28880"/>
    <cellStyle name="Normale 3 4 7 5" xfId="4037"/>
    <cellStyle name="Normale 3 4 7 5 2" xfId="11500"/>
    <cellStyle name="Normale 3 4 7 5 3" xfId="18908"/>
    <cellStyle name="Normale 3 4 7 5 4" xfId="29172"/>
    <cellStyle name="Normale 3 4 7 6" xfId="4960"/>
    <cellStyle name="Normale 3 4 7 6 2" xfId="12423"/>
    <cellStyle name="Normale 3 4 7 6 3" xfId="19831"/>
    <cellStyle name="Normale 3 4 7 6 4" xfId="25354"/>
    <cellStyle name="Normale 3 4 7 7" xfId="5888"/>
    <cellStyle name="Normale 3 4 7 7 2" xfId="13351"/>
    <cellStyle name="Normale 3 4 7 7 3" xfId="20759"/>
    <cellStyle name="Normale 3 4 7 7 4" xfId="25332"/>
    <cellStyle name="Normale 3 4 7 8" xfId="6808"/>
    <cellStyle name="Normale 3 4 7 8 2" xfId="14271"/>
    <cellStyle name="Normale 3 4 7 8 3" xfId="21679"/>
    <cellStyle name="Normale 3 4 7 8 4" xfId="28066"/>
    <cellStyle name="Normale 3 4 7 9" xfId="7747"/>
    <cellStyle name="Normale 3 4 8" xfId="420"/>
    <cellStyle name="Normale 3 4 8 10" xfId="15293"/>
    <cellStyle name="Normale 3 4 8 11" xfId="26811"/>
    <cellStyle name="Normale 3 4 8 12" xfId="30105"/>
    <cellStyle name="Normale 3 4 8 13" xfId="31037"/>
    <cellStyle name="Normale 3 4 8 14" xfId="31958"/>
    <cellStyle name="Normale 3 4 8 15" xfId="32882"/>
    <cellStyle name="Normale 3 4 8 16" xfId="33820"/>
    <cellStyle name="Normale 3 4 8 17" xfId="34750"/>
    <cellStyle name="Normale 3 4 8 18" xfId="35676"/>
    <cellStyle name="Normale 3 4 8 19" xfId="36602"/>
    <cellStyle name="Normale 3 4 8 2" xfId="1387"/>
    <cellStyle name="Normale 3 4 8 2 2" xfId="8850"/>
    <cellStyle name="Normale 3 4 8 2 3" xfId="16258"/>
    <cellStyle name="Normale 3 4 8 2 4" xfId="24072"/>
    <cellStyle name="Normale 3 4 8 20" xfId="37521"/>
    <cellStyle name="Normale 3 4 8 3" xfId="2318"/>
    <cellStyle name="Normale 3 4 8 3 2" xfId="9781"/>
    <cellStyle name="Normale 3 4 8 3 3" xfId="17189"/>
    <cellStyle name="Normale 3 4 8 3 4" xfId="28555"/>
    <cellStyle name="Normale 3 4 8 4" xfId="3240"/>
    <cellStyle name="Normale 3 4 8 4 2" xfId="10703"/>
    <cellStyle name="Normale 3 4 8 4 3" xfId="18111"/>
    <cellStyle name="Normale 3 4 8 4 4" xfId="26932"/>
    <cellStyle name="Normale 3 4 8 5" xfId="4173"/>
    <cellStyle name="Normale 3 4 8 5 2" xfId="11636"/>
    <cellStyle name="Normale 3 4 8 5 3" xfId="19044"/>
    <cellStyle name="Normale 3 4 8 5 4" xfId="29171"/>
    <cellStyle name="Normale 3 4 8 6" xfId="5096"/>
    <cellStyle name="Normale 3 4 8 6 2" xfId="12559"/>
    <cellStyle name="Normale 3 4 8 6 3" xfId="19967"/>
    <cellStyle name="Normale 3 4 8 6 4" xfId="26772"/>
    <cellStyle name="Normale 3 4 8 7" xfId="6024"/>
    <cellStyle name="Normale 3 4 8 7 2" xfId="13487"/>
    <cellStyle name="Normale 3 4 8 7 3" xfId="20895"/>
    <cellStyle name="Normale 3 4 8 7 4" xfId="26688"/>
    <cellStyle name="Normale 3 4 8 8" xfId="6943"/>
    <cellStyle name="Normale 3 4 8 8 2" xfId="14406"/>
    <cellStyle name="Normale 3 4 8 8 3" xfId="21814"/>
    <cellStyle name="Normale 3 4 8 8 4" xfId="25580"/>
    <cellStyle name="Normale 3 4 8 9" xfId="7883"/>
    <cellStyle name="Normale 3 4 9" xfId="468"/>
    <cellStyle name="Normale 3 4 9 10" xfId="15341"/>
    <cellStyle name="Normale 3 4 9 11" xfId="26456"/>
    <cellStyle name="Normale 3 4 9 12" xfId="30153"/>
    <cellStyle name="Normale 3 4 9 13" xfId="31085"/>
    <cellStyle name="Normale 3 4 9 14" xfId="32006"/>
    <cellStyle name="Normale 3 4 9 15" xfId="32929"/>
    <cellStyle name="Normale 3 4 9 16" xfId="33868"/>
    <cellStyle name="Normale 3 4 9 17" xfId="34798"/>
    <cellStyle name="Normale 3 4 9 18" xfId="35724"/>
    <cellStyle name="Normale 3 4 9 19" xfId="36650"/>
    <cellStyle name="Normale 3 4 9 2" xfId="1435"/>
    <cellStyle name="Normale 3 4 9 2 2" xfId="8898"/>
    <cellStyle name="Normale 3 4 9 2 3" xfId="16306"/>
    <cellStyle name="Normale 3 4 9 2 4" xfId="29547"/>
    <cellStyle name="Normale 3 4 9 20" xfId="37568"/>
    <cellStyle name="Normale 3 4 9 3" xfId="2366"/>
    <cellStyle name="Normale 3 4 9 3 2" xfId="9829"/>
    <cellStyle name="Normale 3 4 9 3 3" xfId="17237"/>
    <cellStyle name="Normale 3 4 9 3 4" xfId="28177"/>
    <cellStyle name="Normale 3 4 9 4" xfId="3288"/>
    <cellStyle name="Normale 3 4 9 4 2" xfId="10751"/>
    <cellStyle name="Normale 3 4 9 4 3" xfId="18159"/>
    <cellStyle name="Normale 3 4 9 4 4" xfId="26531"/>
    <cellStyle name="Normale 3 4 9 5" xfId="4221"/>
    <cellStyle name="Normale 3 4 9 5 2" xfId="11684"/>
    <cellStyle name="Normale 3 4 9 5 3" xfId="19092"/>
    <cellStyle name="Normale 3 4 9 5 4" xfId="27941"/>
    <cellStyle name="Normale 3 4 9 6" xfId="5144"/>
    <cellStyle name="Normale 3 4 9 6 2" xfId="12607"/>
    <cellStyle name="Normale 3 4 9 6 3" xfId="20015"/>
    <cellStyle name="Normale 3 4 9 6 4" xfId="24983"/>
    <cellStyle name="Normale 3 4 9 7" xfId="6072"/>
    <cellStyle name="Normale 3 4 9 7 2" xfId="13535"/>
    <cellStyle name="Normale 3 4 9 7 3" xfId="20943"/>
    <cellStyle name="Normale 3 4 9 7 4" xfId="26419"/>
    <cellStyle name="Normale 3 4 9 8" xfId="6990"/>
    <cellStyle name="Normale 3 4 9 8 2" xfId="14453"/>
    <cellStyle name="Normale 3 4 9 8 3" xfId="21861"/>
    <cellStyle name="Normale 3 4 9 8 4" xfId="28392"/>
    <cellStyle name="Normale 3 4 9 9" xfId="7931"/>
    <cellStyle name="Normale 3 5" xfId="102"/>
    <cellStyle name="Normale 3 5 10" xfId="710"/>
    <cellStyle name="Normale 3 5 10 10" xfId="15581"/>
    <cellStyle name="Normale 3 5 10 11" xfId="24351"/>
    <cellStyle name="Normale 3 5 10 12" xfId="30384"/>
    <cellStyle name="Normale 3 5 10 13" xfId="31325"/>
    <cellStyle name="Normale 3 5 10 14" xfId="32238"/>
    <cellStyle name="Normale 3 5 10 15" xfId="33156"/>
    <cellStyle name="Normale 3 5 10 16" xfId="34108"/>
    <cellStyle name="Normale 3 5 10 17" xfId="35040"/>
    <cellStyle name="Normale 3 5 10 18" xfId="35966"/>
    <cellStyle name="Normale 3 5 10 19" xfId="36891"/>
    <cellStyle name="Normale 3 5 10 2" xfId="1675"/>
    <cellStyle name="Normale 3 5 10 2 2" xfId="9138"/>
    <cellStyle name="Normale 3 5 10 2 3" xfId="16546"/>
    <cellStyle name="Normale 3 5 10 2 4" xfId="29104"/>
    <cellStyle name="Normale 3 5 10 20" xfId="37795"/>
    <cellStyle name="Normale 3 5 10 3" xfId="2608"/>
    <cellStyle name="Normale 3 5 10 3 2" xfId="10071"/>
    <cellStyle name="Normale 3 5 10 3 3" xfId="17479"/>
    <cellStyle name="Normale 3 5 10 3 4" xfId="24640"/>
    <cellStyle name="Normale 3 5 10 4" xfId="3524"/>
    <cellStyle name="Normale 3 5 10 4 2" xfId="10987"/>
    <cellStyle name="Normale 3 5 10 4 3" xfId="18395"/>
    <cellStyle name="Normale 3 5 10 4 4" xfId="29061"/>
    <cellStyle name="Normale 3 5 10 5" xfId="4463"/>
    <cellStyle name="Normale 3 5 10 5 2" xfId="11926"/>
    <cellStyle name="Normale 3 5 10 5 3" xfId="19334"/>
    <cellStyle name="Normale 3 5 10 5 4" xfId="27483"/>
    <cellStyle name="Normale 3 5 10 6" xfId="5379"/>
    <cellStyle name="Normale 3 5 10 6 2" xfId="12842"/>
    <cellStyle name="Normale 3 5 10 6 3" xfId="20250"/>
    <cellStyle name="Normale 3 5 10 6 4" xfId="29009"/>
    <cellStyle name="Normale 3 5 10 7" xfId="6312"/>
    <cellStyle name="Normale 3 5 10 7 2" xfId="13775"/>
    <cellStyle name="Normale 3 5 10 7 3" xfId="21183"/>
    <cellStyle name="Normale 3 5 10 7 4" xfId="25757"/>
    <cellStyle name="Normale 3 5 10 8" xfId="7217"/>
    <cellStyle name="Normale 3 5 10 8 2" xfId="14680"/>
    <cellStyle name="Normale 3 5 10 8 3" xfId="22088"/>
    <cellStyle name="Normale 3 5 10 8 4" xfId="27524"/>
    <cellStyle name="Normale 3 5 10 9" xfId="8173"/>
    <cellStyle name="Normale 3 5 11" xfId="782"/>
    <cellStyle name="Normale 3 5 11 10" xfId="15653"/>
    <cellStyle name="Normale 3 5 11 11" xfId="28188"/>
    <cellStyle name="Normale 3 5 11 12" xfId="30454"/>
    <cellStyle name="Normale 3 5 11 13" xfId="31397"/>
    <cellStyle name="Normale 3 5 11 14" xfId="32309"/>
    <cellStyle name="Normale 3 5 11 15" xfId="33225"/>
    <cellStyle name="Normale 3 5 11 16" xfId="34180"/>
    <cellStyle name="Normale 3 5 11 17" xfId="35112"/>
    <cellStyle name="Normale 3 5 11 18" xfId="36038"/>
    <cellStyle name="Normale 3 5 11 19" xfId="36963"/>
    <cellStyle name="Normale 3 5 11 2" xfId="1747"/>
    <cellStyle name="Normale 3 5 11 2 2" xfId="9210"/>
    <cellStyle name="Normale 3 5 11 2 3" xfId="16618"/>
    <cellStyle name="Normale 3 5 11 2 4" xfId="29591"/>
    <cellStyle name="Normale 3 5 11 20" xfId="37864"/>
    <cellStyle name="Normale 3 5 11 3" xfId="2680"/>
    <cellStyle name="Normale 3 5 11 3 2" xfId="10143"/>
    <cellStyle name="Normale 3 5 11 3 3" xfId="17551"/>
    <cellStyle name="Normale 3 5 11 3 4" xfId="26144"/>
    <cellStyle name="Normale 3 5 11 4" xfId="3595"/>
    <cellStyle name="Normale 3 5 11 4 2" xfId="11058"/>
    <cellStyle name="Normale 3 5 11 4 3" xfId="18466"/>
    <cellStyle name="Normale 3 5 11 4 4" xfId="23762"/>
    <cellStyle name="Normale 3 5 11 5" xfId="4535"/>
    <cellStyle name="Normale 3 5 11 5 2" xfId="11998"/>
    <cellStyle name="Normale 3 5 11 5 3" xfId="19406"/>
    <cellStyle name="Normale 3 5 11 5 4" xfId="29034"/>
    <cellStyle name="Normale 3 5 11 6" xfId="5450"/>
    <cellStyle name="Normale 3 5 11 6 2" xfId="12913"/>
    <cellStyle name="Normale 3 5 11 6 3" xfId="20321"/>
    <cellStyle name="Normale 3 5 11 6 4" xfId="23139"/>
    <cellStyle name="Normale 3 5 11 7" xfId="6384"/>
    <cellStyle name="Normale 3 5 11 7 2" xfId="13847"/>
    <cellStyle name="Normale 3 5 11 7 3" xfId="21255"/>
    <cellStyle name="Normale 3 5 11 7 4" xfId="26245"/>
    <cellStyle name="Normale 3 5 11 8" xfId="7286"/>
    <cellStyle name="Normale 3 5 11 8 2" xfId="14749"/>
    <cellStyle name="Normale 3 5 11 8 3" xfId="22157"/>
    <cellStyle name="Normale 3 5 11 8 4" xfId="25874"/>
    <cellStyle name="Normale 3 5 11 9" xfId="8245"/>
    <cellStyle name="Normale 3 5 12" xfId="855"/>
    <cellStyle name="Normale 3 5 12 10" xfId="15726"/>
    <cellStyle name="Normale 3 5 12 11" xfId="27791"/>
    <cellStyle name="Normale 3 5 12 12" xfId="30524"/>
    <cellStyle name="Normale 3 5 12 13" xfId="31470"/>
    <cellStyle name="Normale 3 5 12 14" xfId="32381"/>
    <cellStyle name="Normale 3 5 12 15" xfId="33294"/>
    <cellStyle name="Normale 3 5 12 16" xfId="34253"/>
    <cellStyle name="Normale 3 5 12 17" xfId="35185"/>
    <cellStyle name="Normale 3 5 12 18" xfId="36111"/>
    <cellStyle name="Normale 3 5 12 19" xfId="37036"/>
    <cellStyle name="Normale 3 5 12 2" xfId="1820"/>
    <cellStyle name="Normale 3 5 12 2 2" xfId="9283"/>
    <cellStyle name="Normale 3 5 12 2 3" xfId="16691"/>
    <cellStyle name="Normale 3 5 12 2 4" xfId="25431"/>
    <cellStyle name="Normale 3 5 12 20" xfId="37933"/>
    <cellStyle name="Normale 3 5 12 3" xfId="2753"/>
    <cellStyle name="Normale 3 5 12 3 2" xfId="10216"/>
    <cellStyle name="Normale 3 5 12 3 3" xfId="17624"/>
    <cellStyle name="Normale 3 5 12 3 4" xfId="22462"/>
    <cellStyle name="Normale 3 5 12 4" xfId="3667"/>
    <cellStyle name="Normale 3 5 12 4 2" xfId="11130"/>
    <cellStyle name="Normale 3 5 12 4 3" xfId="18538"/>
    <cellStyle name="Normale 3 5 12 4 4" xfId="22438"/>
    <cellStyle name="Normale 3 5 12 5" xfId="4608"/>
    <cellStyle name="Normale 3 5 12 5 2" xfId="12071"/>
    <cellStyle name="Normale 3 5 12 5 3" xfId="19479"/>
    <cellStyle name="Normale 3 5 12 5 4" xfId="25172"/>
    <cellStyle name="Normale 3 5 12 6" xfId="5522"/>
    <cellStyle name="Normale 3 5 12 6 2" xfId="12985"/>
    <cellStyle name="Normale 3 5 12 6 3" xfId="20393"/>
    <cellStyle name="Normale 3 5 12 6 4" xfId="27173"/>
    <cellStyle name="Normale 3 5 12 7" xfId="6457"/>
    <cellStyle name="Normale 3 5 12 7 2" xfId="13920"/>
    <cellStyle name="Normale 3 5 12 7 3" xfId="21328"/>
    <cellStyle name="Normale 3 5 12 7 4" xfId="22556"/>
    <cellStyle name="Normale 3 5 12 8" xfId="7355"/>
    <cellStyle name="Normale 3 5 12 8 2" xfId="14818"/>
    <cellStyle name="Normale 3 5 12 8 3" xfId="22226"/>
    <cellStyle name="Normale 3 5 12 8 4" xfId="26774"/>
    <cellStyle name="Normale 3 5 12 9" xfId="8318"/>
    <cellStyle name="Normale 3 5 13" xfId="925"/>
    <cellStyle name="Normale 3 5 13 10" xfId="15796"/>
    <cellStyle name="Normale 3 5 13 11" xfId="29385"/>
    <cellStyle name="Normale 3 5 13 12" xfId="30591"/>
    <cellStyle name="Normale 3 5 13 13" xfId="31539"/>
    <cellStyle name="Normale 3 5 13 14" xfId="32450"/>
    <cellStyle name="Normale 3 5 13 15" xfId="33360"/>
    <cellStyle name="Normale 3 5 13 16" xfId="34323"/>
    <cellStyle name="Normale 3 5 13 17" xfId="35255"/>
    <cellStyle name="Normale 3 5 13 18" xfId="36180"/>
    <cellStyle name="Normale 3 5 13 19" xfId="37106"/>
    <cellStyle name="Normale 3 5 13 2" xfId="1890"/>
    <cellStyle name="Normale 3 5 13 2 2" xfId="9353"/>
    <cellStyle name="Normale 3 5 13 2 3" xfId="16761"/>
    <cellStyle name="Normale 3 5 13 2 4" xfId="27774"/>
    <cellStyle name="Normale 3 5 13 20" xfId="37999"/>
    <cellStyle name="Normale 3 5 13 3" xfId="2822"/>
    <cellStyle name="Normale 3 5 13 3 2" xfId="10285"/>
    <cellStyle name="Normale 3 5 13 3 3" xfId="17693"/>
    <cellStyle name="Normale 3 5 13 3 4" xfId="25410"/>
    <cellStyle name="Normale 3 5 13 4" xfId="3737"/>
    <cellStyle name="Normale 3 5 13 4 2" xfId="11200"/>
    <cellStyle name="Normale 3 5 13 4 3" xfId="18608"/>
    <cellStyle name="Normale 3 5 13 4 4" xfId="25553"/>
    <cellStyle name="Normale 3 5 13 5" xfId="4678"/>
    <cellStyle name="Normale 3 5 13 5 2" xfId="12141"/>
    <cellStyle name="Normale 3 5 13 5 3" xfId="19549"/>
    <cellStyle name="Normale 3 5 13 5 4" xfId="27011"/>
    <cellStyle name="Normale 3 5 13 6" xfId="5592"/>
    <cellStyle name="Normale 3 5 13 6 2" xfId="13055"/>
    <cellStyle name="Normale 3 5 13 6 3" xfId="20463"/>
    <cellStyle name="Normale 3 5 13 6 4" xfId="29567"/>
    <cellStyle name="Normale 3 5 13 7" xfId="6527"/>
    <cellStyle name="Normale 3 5 13 7 2" xfId="13990"/>
    <cellStyle name="Normale 3 5 13 7 3" xfId="21398"/>
    <cellStyle name="Normale 3 5 13 7 4" xfId="23454"/>
    <cellStyle name="Normale 3 5 13 8" xfId="7421"/>
    <cellStyle name="Normale 3 5 13 8 2" xfId="14884"/>
    <cellStyle name="Normale 3 5 13 8 3" xfId="22292"/>
    <cellStyle name="Normale 3 5 13 8 4" xfId="26822"/>
    <cellStyle name="Normale 3 5 13 9" xfId="8388"/>
    <cellStyle name="Normale 3 5 14" xfId="1075"/>
    <cellStyle name="Normale 3 5 14 2" xfId="8538"/>
    <cellStyle name="Normale 3 5 14 3" xfId="15946"/>
    <cellStyle name="Normale 3 5 14 4" xfId="23830"/>
    <cellStyle name="Normale 3 5 15" xfId="2002"/>
    <cellStyle name="Normale 3 5 15 2" xfId="9465"/>
    <cellStyle name="Normale 3 5 15 3" xfId="16873"/>
    <cellStyle name="Normale 3 5 15 4" xfId="24882"/>
    <cellStyle name="Normale 3 5 16" xfId="2928"/>
    <cellStyle name="Normale 3 5 16 2" xfId="10391"/>
    <cellStyle name="Normale 3 5 16 3" xfId="17799"/>
    <cellStyle name="Normale 3 5 16 4" xfId="24642"/>
    <cellStyle name="Normale 3 5 17" xfId="3857"/>
    <cellStyle name="Normale 3 5 17 2" xfId="11320"/>
    <cellStyle name="Normale 3 5 17 3" xfId="18728"/>
    <cellStyle name="Normale 3 5 17 4" xfId="25501"/>
    <cellStyle name="Normale 3 5 18" xfId="4784"/>
    <cellStyle name="Normale 3 5 18 2" xfId="12247"/>
    <cellStyle name="Normale 3 5 18 3" xfId="19655"/>
    <cellStyle name="Normale 3 5 18 4" xfId="26522"/>
    <cellStyle name="Normale 3 5 19" xfId="5711"/>
    <cellStyle name="Normale 3 5 19 2" xfId="13174"/>
    <cellStyle name="Normale 3 5 19 3" xfId="20582"/>
    <cellStyle name="Normale 3 5 19 4" xfId="27531"/>
    <cellStyle name="Normale 3 5 2" xfId="103"/>
    <cellStyle name="Normale 3 5 2 10" xfId="6634"/>
    <cellStyle name="Normale 3 5 2 10 2" xfId="14097"/>
    <cellStyle name="Normale 3 5 2 10 3" xfId="21505"/>
    <cellStyle name="Normale 3 5 2 10 4" xfId="22772"/>
    <cellStyle name="Normale 3 5 2 11" xfId="7568"/>
    <cellStyle name="Normale 3 5 2 12" xfId="14977"/>
    <cellStyle name="Normale 3 5 2 13" xfId="28712"/>
    <cellStyle name="Normale 3 5 2 14" xfId="29794"/>
    <cellStyle name="Normale 3 5 2 15" xfId="30724"/>
    <cellStyle name="Normale 3 5 2 16" xfId="31647"/>
    <cellStyle name="Normale 3 5 2 17" xfId="32573"/>
    <cellStyle name="Normale 3 5 2 18" xfId="33507"/>
    <cellStyle name="Normale 3 5 2 19" xfId="34435"/>
    <cellStyle name="Normale 3 5 2 2" xfId="104"/>
    <cellStyle name="Normale 3 5 2 2 10" xfId="7569"/>
    <cellStyle name="Normale 3 5 2 2 11" xfId="14978"/>
    <cellStyle name="Normale 3 5 2 2 12" xfId="27785"/>
    <cellStyle name="Normale 3 5 2 2 13" xfId="29795"/>
    <cellStyle name="Normale 3 5 2 2 14" xfId="30725"/>
    <cellStyle name="Normale 3 5 2 2 15" xfId="31648"/>
    <cellStyle name="Normale 3 5 2 2 16" xfId="32574"/>
    <cellStyle name="Normale 3 5 2 2 17" xfId="33508"/>
    <cellStyle name="Normale 3 5 2 2 18" xfId="34436"/>
    <cellStyle name="Normale 3 5 2 2 19" xfId="35364"/>
    <cellStyle name="Normale 3 5 2 2 2" xfId="302"/>
    <cellStyle name="Normale 3 5 2 2 2 10" xfId="15175"/>
    <cellStyle name="Normale 3 5 2 2 2 11" xfId="24817"/>
    <cellStyle name="Normale 3 5 2 2 2 12" xfId="29987"/>
    <cellStyle name="Normale 3 5 2 2 2 13" xfId="30919"/>
    <cellStyle name="Normale 3 5 2 2 2 14" xfId="31840"/>
    <cellStyle name="Normale 3 5 2 2 2 15" xfId="32765"/>
    <cellStyle name="Normale 3 5 2 2 2 16" xfId="33702"/>
    <cellStyle name="Normale 3 5 2 2 2 17" xfId="34632"/>
    <cellStyle name="Normale 3 5 2 2 2 18" xfId="35558"/>
    <cellStyle name="Normale 3 5 2 2 2 19" xfId="36484"/>
    <cellStyle name="Normale 3 5 2 2 2 2" xfId="1269"/>
    <cellStyle name="Normale 3 5 2 2 2 2 2" xfId="8732"/>
    <cellStyle name="Normale 3 5 2 2 2 2 3" xfId="16140"/>
    <cellStyle name="Normale 3 5 2 2 2 2 4" xfId="29116"/>
    <cellStyle name="Normale 3 5 2 2 2 20" xfId="37404"/>
    <cellStyle name="Normale 3 5 2 2 2 3" xfId="2200"/>
    <cellStyle name="Normale 3 5 2 2 2 3 2" xfId="9663"/>
    <cellStyle name="Normale 3 5 2 2 2 3 3" xfId="17071"/>
    <cellStyle name="Normale 3 5 2 2 2 3 4" xfId="26590"/>
    <cellStyle name="Normale 3 5 2 2 2 4" xfId="3122"/>
    <cellStyle name="Normale 3 5 2 2 2 4 2" xfId="10585"/>
    <cellStyle name="Normale 3 5 2 2 2 4 3" xfId="17993"/>
    <cellStyle name="Normale 3 5 2 2 2 4 4" xfId="26132"/>
    <cellStyle name="Normale 3 5 2 2 2 5" xfId="4055"/>
    <cellStyle name="Normale 3 5 2 2 2 5 2" xfId="11518"/>
    <cellStyle name="Normale 3 5 2 2 2 5 3" xfId="18926"/>
    <cellStyle name="Normale 3 5 2 2 2 5 4" xfId="26109"/>
    <cellStyle name="Normale 3 5 2 2 2 6" xfId="4978"/>
    <cellStyle name="Normale 3 5 2 2 2 6 2" xfId="12441"/>
    <cellStyle name="Normale 3 5 2 2 2 6 3" xfId="19849"/>
    <cellStyle name="Normale 3 5 2 2 2 6 4" xfId="24436"/>
    <cellStyle name="Normale 3 5 2 2 2 7" xfId="5906"/>
    <cellStyle name="Normale 3 5 2 2 2 7 2" xfId="13369"/>
    <cellStyle name="Normale 3 5 2 2 2 7 3" xfId="20777"/>
    <cellStyle name="Normale 3 5 2 2 2 7 4" xfId="24782"/>
    <cellStyle name="Normale 3 5 2 2 2 8" xfId="6826"/>
    <cellStyle name="Normale 3 5 2 2 2 8 2" xfId="14289"/>
    <cellStyle name="Normale 3 5 2 2 2 8 3" xfId="21697"/>
    <cellStyle name="Normale 3 5 2 2 2 8 4" xfId="27142"/>
    <cellStyle name="Normale 3 5 2 2 2 9" xfId="7765"/>
    <cellStyle name="Normale 3 5 2 2 20" xfId="36290"/>
    <cellStyle name="Normale 3 5 2 2 21" xfId="37213"/>
    <cellStyle name="Normale 3 5 2 2 3" xfId="1077"/>
    <cellStyle name="Normale 3 5 2 2 3 2" xfId="8540"/>
    <cellStyle name="Normale 3 5 2 2 3 3" xfId="15948"/>
    <cellStyle name="Normale 3 5 2 2 3 4" xfId="29282"/>
    <cellStyle name="Normale 3 5 2 2 4" xfId="2004"/>
    <cellStyle name="Normale 3 5 2 2 4 2" xfId="9467"/>
    <cellStyle name="Normale 3 5 2 2 4 3" xfId="16875"/>
    <cellStyle name="Normale 3 5 2 2 4 4" xfId="22949"/>
    <cellStyle name="Normale 3 5 2 2 5" xfId="2930"/>
    <cellStyle name="Normale 3 5 2 2 5 2" xfId="10393"/>
    <cellStyle name="Normale 3 5 2 2 5 3" xfId="17801"/>
    <cellStyle name="Normale 3 5 2 2 5 4" xfId="22749"/>
    <cellStyle name="Normale 3 5 2 2 6" xfId="3859"/>
    <cellStyle name="Normale 3 5 2 2 6 2" xfId="11322"/>
    <cellStyle name="Normale 3 5 2 2 6 3" xfId="18730"/>
    <cellStyle name="Normale 3 5 2 2 6 4" xfId="23663"/>
    <cellStyle name="Normale 3 5 2 2 7" xfId="4786"/>
    <cellStyle name="Normale 3 5 2 2 7 2" xfId="12249"/>
    <cellStyle name="Normale 3 5 2 2 7 3" xfId="19657"/>
    <cellStyle name="Normale 3 5 2 2 7 4" xfId="24678"/>
    <cellStyle name="Normale 3 5 2 2 8" xfId="5713"/>
    <cellStyle name="Normale 3 5 2 2 8 2" xfId="13176"/>
    <cellStyle name="Normale 3 5 2 2 8 3" xfId="20584"/>
    <cellStyle name="Normale 3 5 2 2 8 4" xfId="25695"/>
    <cellStyle name="Normale 3 5 2 2 9" xfId="6635"/>
    <cellStyle name="Normale 3 5 2 2 9 2" xfId="14098"/>
    <cellStyle name="Normale 3 5 2 2 9 3" xfId="21506"/>
    <cellStyle name="Normale 3 5 2 2 9 4" xfId="29202"/>
    <cellStyle name="Normale 3 5 2 20" xfId="35363"/>
    <cellStyle name="Normale 3 5 2 21" xfId="36289"/>
    <cellStyle name="Normale 3 5 2 22" xfId="37212"/>
    <cellStyle name="Normale 3 5 2 3" xfId="301"/>
    <cellStyle name="Normale 3 5 2 3 10" xfId="15174"/>
    <cellStyle name="Normale 3 5 2 3 11" xfId="25729"/>
    <cellStyle name="Normale 3 5 2 3 12" xfId="29986"/>
    <cellStyle name="Normale 3 5 2 3 13" xfId="30918"/>
    <cellStyle name="Normale 3 5 2 3 14" xfId="31839"/>
    <cellStyle name="Normale 3 5 2 3 15" xfId="32764"/>
    <cellStyle name="Normale 3 5 2 3 16" xfId="33701"/>
    <cellStyle name="Normale 3 5 2 3 17" xfId="34631"/>
    <cellStyle name="Normale 3 5 2 3 18" xfId="35557"/>
    <cellStyle name="Normale 3 5 2 3 19" xfId="36483"/>
    <cellStyle name="Normale 3 5 2 3 2" xfId="1268"/>
    <cellStyle name="Normale 3 5 2 3 2 2" xfId="8731"/>
    <cellStyle name="Normale 3 5 2 3 2 3" xfId="16139"/>
    <cellStyle name="Normale 3 5 2 3 2 4" xfId="22686"/>
    <cellStyle name="Normale 3 5 2 3 20" xfId="37403"/>
    <cellStyle name="Normale 3 5 2 3 3" xfId="2199"/>
    <cellStyle name="Normale 3 5 2 3 3 2" xfId="9662"/>
    <cellStyle name="Normale 3 5 2 3 3 3" xfId="17070"/>
    <cellStyle name="Normale 3 5 2 3 3 4" xfId="27497"/>
    <cellStyle name="Normale 3 5 2 3 4" xfId="3121"/>
    <cellStyle name="Normale 3 5 2 3 4 2" xfId="10584"/>
    <cellStyle name="Normale 3 5 2 3 4 3" xfId="17992"/>
    <cellStyle name="Normale 3 5 2 3 4 4" xfId="27050"/>
    <cellStyle name="Normale 3 5 2 3 5" xfId="4054"/>
    <cellStyle name="Normale 3 5 2 3 5 2" xfId="11517"/>
    <cellStyle name="Normale 3 5 2 3 5 3" xfId="18925"/>
    <cellStyle name="Normale 3 5 2 3 5 4" xfId="27027"/>
    <cellStyle name="Normale 3 5 2 3 6" xfId="4977"/>
    <cellStyle name="Normale 3 5 2 3 6 2" xfId="12440"/>
    <cellStyle name="Normale 3 5 2 3 6 3" xfId="19848"/>
    <cellStyle name="Normale 3 5 2 3 6 4" xfId="25352"/>
    <cellStyle name="Normale 3 5 2 3 7" xfId="5905"/>
    <cellStyle name="Normale 3 5 2 3 7 2" xfId="13368"/>
    <cellStyle name="Normale 3 5 2 3 7 3" xfId="20776"/>
    <cellStyle name="Normale 3 5 2 3 7 4" xfId="25694"/>
    <cellStyle name="Normale 3 5 2 3 8" xfId="6825"/>
    <cellStyle name="Normale 3 5 2 3 8 2" xfId="14288"/>
    <cellStyle name="Normale 3 5 2 3 8 3" xfId="21696"/>
    <cellStyle name="Normale 3 5 2 3 8 4" xfId="28064"/>
    <cellStyle name="Normale 3 5 2 3 9" xfId="7764"/>
    <cellStyle name="Normale 3 5 2 4" xfId="1076"/>
    <cellStyle name="Normale 3 5 2 4 2" xfId="8539"/>
    <cellStyle name="Normale 3 5 2 4 3" xfId="15947"/>
    <cellStyle name="Normale 3 5 2 4 4" xfId="22851"/>
    <cellStyle name="Normale 3 5 2 5" xfId="2003"/>
    <cellStyle name="Normale 3 5 2 5 2" xfId="9466"/>
    <cellStyle name="Normale 3 5 2 5 3" xfId="16874"/>
    <cellStyle name="Normale 3 5 2 5 4" xfId="23957"/>
    <cellStyle name="Normale 3 5 2 6" xfId="2929"/>
    <cellStyle name="Normale 3 5 2 6 2" xfId="10392"/>
    <cellStyle name="Normale 3 5 2 6 3" xfId="17800"/>
    <cellStyle name="Normale 3 5 2 6 4" xfId="23720"/>
    <cellStyle name="Normale 3 5 2 7" xfId="3858"/>
    <cellStyle name="Normale 3 5 2 7 2" xfId="11321"/>
    <cellStyle name="Normale 3 5 2 7 3" xfId="18729"/>
    <cellStyle name="Normale 3 5 2 7 4" xfId="24584"/>
    <cellStyle name="Normale 3 5 2 8" xfId="4785"/>
    <cellStyle name="Normale 3 5 2 8 2" xfId="12248"/>
    <cellStyle name="Normale 3 5 2 8 3" xfId="19656"/>
    <cellStyle name="Normale 3 5 2 8 4" xfId="25593"/>
    <cellStyle name="Normale 3 5 2 9" xfId="5712"/>
    <cellStyle name="Normale 3 5 2 9 2" xfId="13175"/>
    <cellStyle name="Normale 3 5 2 9 3" xfId="20583"/>
    <cellStyle name="Normale 3 5 2 9 4" xfId="26627"/>
    <cellStyle name="Normale 3 5 20" xfId="6633"/>
    <cellStyle name="Normale 3 5 20 2" xfId="14096"/>
    <cellStyle name="Normale 3 5 20 3" xfId="21504"/>
    <cellStyle name="Normale 3 5 20 4" xfId="23744"/>
    <cellStyle name="Normale 3 5 21" xfId="7567"/>
    <cellStyle name="Normale 3 5 22" xfId="14976"/>
    <cellStyle name="Normale 3 5 23" xfId="29600"/>
    <cellStyle name="Normale 3 5 24" xfId="29793"/>
    <cellStyle name="Normale 3 5 25" xfId="30723"/>
    <cellStyle name="Normale 3 5 26" xfId="31646"/>
    <cellStyle name="Normale 3 5 27" xfId="32572"/>
    <cellStyle name="Normale 3 5 28" xfId="33506"/>
    <cellStyle name="Normale 3 5 29" xfId="34434"/>
    <cellStyle name="Normale 3 5 3" xfId="105"/>
    <cellStyle name="Normale 3 5 3 10" xfId="7570"/>
    <cellStyle name="Normale 3 5 3 11" xfId="14979"/>
    <cellStyle name="Normale 3 5 3 12" xfId="26883"/>
    <cellStyle name="Normale 3 5 3 13" xfId="29796"/>
    <cellStyle name="Normale 3 5 3 14" xfId="30726"/>
    <cellStyle name="Normale 3 5 3 15" xfId="31649"/>
    <cellStyle name="Normale 3 5 3 16" xfId="32575"/>
    <cellStyle name="Normale 3 5 3 17" xfId="33509"/>
    <cellStyle name="Normale 3 5 3 18" xfId="34437"/>
    <cellStyle name="Normale 3 5 3 19" xfId="35365"/>
    <cellStyle name="Normale 3 5 3 2" xfId="303"/>
    <cellStyle name="Normale 3 5 3 2 10" xfId="15176"/>
    <cellStyle name="Normale 3 5 3 2 11" xfId="23893"/>
    <cellStyle name="Normale 3 5 3 2 12" xfId="29988"/>
    <cellStyle name="Normale 3 5 3 2 13" xfId="30920"/>
    <cellStyle name="Normale 3 5 3 2 14" xfId="31841"/>
    <cellStyle name="Normale 3 5 3 2 15" xfId="32766"/>
    <cellStyle name="Normale 3 5 3 2 16" xfId="33703"/>
    <cellStyle name="Normale 3 5 3 2 17" xfId="34633"/>
    <cellStyle name="Normale 3 5 3 2 18" xfId="35559"/>
    <cellStyle name="Normale 3 5 3 2 19" xfId="36485"/>
    <cellStyle name="Normale 3 5 3 2 2" xfId="1270"/>
    <cellStyle name="Normale 3 5 3 2 2 2" xfId="8733"/>
    <cellStyle name="Normale 3 5 3 2 2 3" xfId="16141"/>
    <cellStyle name="Normale 3 5 3 2 2 4" xfId="28206"/>
    <cellStyle name="Normale 3 5 3 2 20" xfId="37405"/>
    <cellStyle name="Normale 3 5 3 2 3" xfId="2201"/>
    <cellStyle name="Normale 3 5 3 2 3 2" xfId="9664"/>
    <cellStyle name="Normale 3 5 3 2 3 3" xfId="17072"/>
    <cellStyle name="Normale 3 5 3 2 3 4" xfId="25660"/>
    <cellStyle name="Normale 3 5 3 2 4" xfId="3123"/>
    <cellStyle name="Normale 3 5 3 2 4 2" xfId="10586"/>
    <cellStyle name="Normale 3 5 3 2 4 3" xfId="17994"/>
    <cellStyle name="Normale 3 5 3 2 4 4" xfId="25209"/>
    <cellStyle name="Normale 3 5 3 2 5" xfId="4056"/>
    <cellStyle name="Normale 3 5 3 2 5 2" xfId="11519"/>
    <cellStyle name="Normale 3 5 3 2 5 3" xfId="18927"/>
    <cellStyle name="Normale 3 5 3 2 5 4" xfId="25186"/>
    <cellStyle name="Normale 3 5 3 2 6" xfId="4979"/>
    <cellStyle name="Normale 3 5 3 2 6 2" xfId="12442"/>
    <cellStyle name="Normale 3 5 3 2 6 3" xfId="19850"/>
    <cellStyle name="Normale 3 5 3 2 6 4" xfId="23517"/>
    <cellStyle name="Normale 3 5 3 2 7" xfId="5907"/>
    <cellStyle name="Normale 3 5 3 2 7 2" xfId="13370"/>
    <cellStyle name="Normale 3 5 3 2 7 3" xfId="20778"/>
    <cellStyle name="Normale 3 5 3 2 7 4" xfId="23858"/>
    <cellStyle name="Normale 3 5 3 2 8" xfId="6827"/>
    <cellStyle name="Normale 3 5 3 2 8 2" xfId="14290"/>
    <cellStyle name="Normale 3 5 3 2 8 3" xfId="21698"/>
    <cellStyle name="Normale 3 5 3 2 8 4" xfId="26232"/>
    <cellStyle name="Normale 3 5 3 2 9" xfId="7766"/>
    <cellStyle name="Normale 3 5 3 20" xfId="36291"/>
    <cellStyle name="Normale 3 5 3 21" xfId="37214"/>
    <cellStyle name="Normale 3 5 3 3" xfId="1078"/>
    <cellStyle name="Normale 3 5 3 3 2" xfId="8541"/>
    <cellStyle name="Normale 3 5 3 3 3" xfId="15949"/>
    <cellStyle name="Normale 3 5 3 3 4" xfId="28377"/>
    <cellStyle name="Normale 3 5 3 4" xfId="2005"/>
    <cellStyle name="Normale 3 5 3 4 2" xfId="9468"/>
    <cellStyle name="Normale 3 5 3 4 3" xfId="16876"/>
    <cellStyle name="Normale 3 5 3 4 4" xfId="29378"/>
    <cellStyle name="Normale 3 5 3 5" xfId="2931"/>
    <cellStyle name="Normale 3 5 3 5 2" xfId="10394"/>
    <cellStyle name="Normale 3 5 3 5 3" xfId="17802"/>
    <cellStyle name="Normale 3 5 3 5 4" xfId="29179"/>
    <cellStyle name="Normale 3 5 3 6" xfId="3860"/>
    <cellStyle name="Normale 3 5 3 6 2" xfId="11323"/>
    <cellStyle name="Normale 3 5 3 6 3" xfId="18731"/>
    <cellStyle name="Normale 3 5 3 6 4" xfId="22605"/>
    <cellStyle name="Normale 3 5 3 7" xfId="4787"/>
    <cellStyle name="Normale 3 5 3 7 2" xfId="12250"/>
    <cellStyle name="Normale 3 5 3 7 3" xfId="19658"/>
    <cellStyle name="Normale 3 5 3 7 4" xfId="23755"/>
    <cellStyle name="Normale 3 5 3 8" xfId="5714"/>
    <cellStyle name="Normale 3 5 3 8 2" xfId="13177"/>
    <cellStyle name="Normale 3 5 3 8 3" xfId="20585"/>
    <cellStyle name="Normale 3 5 3 8 4" xfId="24783"/>
    <cellStyle name="Normale 3 5 3 9" xfId="6636"/>
    <cellStyle name="Normale 3 5 3 9 2" xfId="14099"/>
    <cellStyle name="Normale 3 5 3 9 3" xfId="21507"/>
    <cellStyle name="Normale 3 5 3 9 4" xfId="28296"/>
    <cellStyle name="Normale 3 5 30" xfId="35362"/>
    <cellStyle name="Normale 3 5 31" xfId="36288"/>
    <cellStyle name="Normale 3 5 32" xfId="37211"/>
    <cellStyle name="Normale 3 5 4" xfId="300"/>
    <cellStyle name="Normale 3 5 4 10" xfId="15173"/>
    <cellStyle name="Normale 3 5 4 11" xfId="26660"/>
    <cellStyle name="Normale 3 5 4 12" xfId="29985"/>
    <cellStyle name="Normale 3 5 4 13" xfId="30917"/>
    <cellStyle name="Normale 3 5 4 14" xfId="31838"/>
    <cellStyle name="Normale 3 5 4 15" xfId="32763"/>
    <cellStyle name="Normale 3 5 4 16" xfId="33700"/>
    <cellStyle name="Normale 3 5 4 17" xfId="34630"/>
    <cellStyle name="Normale 3 5 4 18" xfId="35556"/>
    <cellStyle name="Normale 3 5 4 19" xfId="36482"/>
    <cellStyle name="Normale 3 5 4 2" xfId="1267"/>
    <cellStyle name="Normale 3 5 4 2 2" xfId="8730"/>
    <cellStyle name="Normale 3 5 4 2 3" xfId="16138"/>
    <cellStyle name="Normale 3 5 4 2 4" xfId="23420"/>
    <cellStyle name="Normale 3 5 4 20" xfId="37402"/>
    <cellStyle name="Normale 3 5 4 3" xfId="2198"/>
    <cellStyle name="Normale 3 5 4 3 2" xfId="9661"/>
    <cellStyle name="Normale 3 5 4 3 3" xfId="17069"/>
    <cellStyle name="Normale 3 5 4 3 4" xfId="28422"/>
    <cellStyle name="Normale 3 5 4 4" xfId="3120"/>
    <cellStyle name="Normale 3 5 4 4 2" xfId="10583"/>
    <cellStyle name="Normale 3 5 4 4 3" xfId="17991"/>
    <cellStyle name="Normale 3 5 4 4 4" xfId="27969"/>
    <cellStyle name="Normale 3 5 4 5" xfId="4053"/>
    <cellStyle name="Normale 3 5 4 5 2" xfId="11516"/>
    <cellStyle name="Normale 3 5 4 5 3" xfId="18924"/>
    <cellStyle name="Normale 3 5 4 5 4" xfId="27946"/>
    <cellStyle name="Normale 3 5 4 6" xfId="4976"/>
    <cellStyle name="Normale 3 5 4 6 2" xfId="12439"/>
    <cellStyle name="Normale 3 5 4 6 3" xfId="19847"/>
    <cellStyle name="Normale 3 5 4 6 4" xfId="26279"/>
    <cellStyle name="Normale 3 5 4 7" xfId="5904"/>
    <cellStyle name="Normale 3 5 4 7 2" xfId="13367"/>
    <cellStyle name="Normale 3 5 4 7 3" xfId="20775"/>
    <cellStyle name="Normale 3 5 4 7 4" xfId="26626"/>
    <cellStyle name="Normale 3 5 4 8" xfId="6824"/>
    <cellStyle name="Normale 3 5 4 8 2" xfId="14287"/>
    <cellStyle name="Normale 3 5 4 8 3" xfId="21695"/>
    <cellStyle name="Normale 3 5 4 8 4" xfId="28974"/>
    <cellStyle name="Normale 3 5 4 9" xfId="7763"/>
    <cellStyle name="Normale 3 5 5" xfId="424"/>
    <cellStyle name="Normale 3 5 5 10" xfId="15297"/>
    <cellStyle name="Normale 3 5 5 11" xfId="23034"/>
    <cellStyle name="Normale 3 5 5 12" xfId="30109"/>
    <cellStyle name="Normale 3 5 5 13" xfId="31041"/>
    <cellStyle name="Normale 3 5 5 14" xfId="31962"/>
    <cellStyle name="Normale 3 5 5 15" xfId="32886"/>
    <cellStyle name="Normale 3 5 5 16" xfId="33824"/>
    <cellStyle name="Normale 3 5 5 17" xfId="34754"/>
    <cellStyle name="Normale 3 5 5 18" xfId="35680"/>
    <cellStyle name="Normale 3 5 5 19" xfId="36606"/>
    <cellStyle name="Normale 3 5 5 2" xfId="1391"/>
    <cellStyle name="Normale 3 5 5 2 2" xfId="8854"/>
    <cellStyle name="Normale 3 5 5 2 3" xfId="16262"/>
    <cellStyle name="Normale 3 5 5 2 4" xfId="27675"/>
    <cellStyle name="Normale 3 5 5 20" xfId="37525"/>
    <cellStyle name="Normale 3 5 5 3" xfId="2322"/>
    <cellStyle name="Normale 3 5 5 3 2" xfId="9785"/>
    <cellStyle name="Normale 3 5 5 3 3" xfId="17193"/>
    <cellStyle name="Normale 3 5 5 3 4" xfId="24881"/>
    <cellStyle name="Normale 3 5 5 4" xfId="3244"/>
    <cellStyle name="Normale 3 5 5 4 2" xfId="10707"/>
    <cellStyle name="Normale 3 5 5 4 3" xfId="18115"/>
    <cellStyle name="Normale 3 5 5 4 4" xfId="23151"/>
    <cellStyle name="Normale 3 5 5 5" xfId="4177"/>
    <cellStyle name="Normale 3 5 5 5 2" xfId="11640"/>
    <cellStyle name="Normale 3 5 5 5 3" xfId="19048"/>
    <cellStyle name="Normale 3 5 5 5 4" xfId="25503"/>
    <cellStyle name="Normale 3 5 5 6" xfId="5100"/>
    <cellStyle name="Normale 3 5 5 6 2" xfId="12563"/>
    <cellStyle name="Normale 3 5 5 6 3" xfId="19971"/>
    <cellStyle name="Normale 3 5 5 6 4" xfId="22983"/>
    <cellStyle name="Normale 3 5 5 7" xfId="6028"/>
    <cellStyle name="Normale 3 5 5 7 2" xfId="13491"/>
    <cellStyle name="Normale 3 5 5 7 3" xfId="20899"/>
    <cellStyle name="Normale 3 5 5 7 4" xfId="22997"/>
    <cellStyle name="Normale 3 5 5 8" xfId="6947"/>
    <cellStyle name="Normale 3 5 5 8 2" xfId="14410"/>
    <cellStyle name="Normale 3 5 5 8 3" xfId="21818"/>
    <cellStyle name="Normale 3 5 5 8 4" xfId="23276"/>
    <cellStyle name="Normale 3 5 5 9" xfId="7887"/>
    <cellStyle name="Normale 3 5 6" xfId="472"/>
    <cellStyle name="Normale 3 5 6 10" xfId="15345"/>
    <cellStyle name="Normale 3 5 6 11" xfId="22704"/>
    <cellStyle name="Normale 3 5 6 12" xfId="30157"/>
    <cellStyle name="Normale 3 5 6 13" xfId="31089"/>
    <cellStyle name="Normale 3 5 6 14" xfId="32010"/>
    <cellStyle name="Normale 3 5 6 15" xfId="32933"/>
    <cellStyle name="Normale 3 5 6 16" xfId="33872"/>
    <cellStyle name="Normale 3 5 6 17" xfId="34802"/>
    <cellStyle name="Normale 3 5 6 18" xfId="35728"/>
    <cellStyle name="Normale 3 5 6 19" xfId="36654"/>
    <cellStyle name="Normale 3 5 6 2" xfId="1439"/>
    <cellStyle name="Normale 3 5 6 2 2" xfId="8902"/>
    <cellStyle name="Normale 3 5 6 2 3" xfId="16310"/>
    <cellStyle name="Normale 3 5 6 2 4" xfId="25893"/>
    <cellStyle name="Normale 3 5 6 20" xfId="37572"/>
    <cellStyle name="Normale 3 5 6 3" xfId="2370"/>
    <cellStyle name="Normale 3 5 6 3 2" xfId="9833"/>
    <cellStyle name="Normale 3 5 6 3 3" xfId="17241"/>
    <cellStyle name="Normale 3 5 6 3 4" xfId="24502"/>
    <cellStyle name="Normale 3 5 6 4" xfId="3292"/>
    <cellStyle name="Normale 3 5 6 4 2" xfId="10755"/>
    <cellStyle name="Normale 3 5 6 4 3" xfId="18163"/>
    <cellStyle name="Normale 3 5 6 4 4" xfId="22792"/>
    <cellStyle name="Normale 3 5 6 5" xfId="4225"/>
    <cellStyle name="Normale 3 5 6 5 2" xfId="11688"/>
    <cellStyle name="Normale 3 5 6 5 3" xfId="19096"/>
    <cellStyle name="Normale 3 5 6 5 4" xfId="24262"/>
    <cellStyle name="Normale 3 5 6 6" xfId="5148"/>
    <cellStyle name="Normale 3 5 6 6 2" xfId="12611"/>
    <cellStyle name="Normale 3 5 6 6 3" xfId="20019"/>
    <cellStyle name="Normale 3 5 6 6 4" xfId="28586"/>
    <cellStyle name="Normale 3 5 6 7" xfId="6076"/>
    <cellStyle name="Normale 3 5 6 7 2" xfId="13539"/>
    <cellStyle name="Normale 3 5 6 7 3" xfId="20947"/>
    <cellStyle name="Normale 3 5 6 7 4" xfId="22562"/>
    <cellStyle name="Normale 3 5 6 8" xfId="6994"/>
    <cellStyle name="Normale 3 5 6 8 2" xfId="14457"/>
    <cellStyle name="Normale 3 5 6 8 3" xfId="21865"/>
    <cellStyle name="Normale 3 5 6 8 4" xfId="24716"/>
    <cellStyle name="Normale 3 5 6 9" xfId="7935"/>
    <cellStyle name="Normale 3 5 7" xfId="520"/>
    <cellStyle name="Normale 3 5 7 10" xfId="15393"/>
    <cellStyle name="Normale 3 5 7 11" xfId="29137"/>
    <cellStyle name="Normale 3 5 7 12" xfId="30204"/>
    <cellStyle name="Normale 3 5 7 13" xfId="31137"/>
    <cellStyle name="Normale 3 5 7 14" xfId="32057"/>
    <cellStyle name="Normale 3 5 7 15" xfId="32979"/>
    <cellStyle name="Normale 3 5 7 16" xfId="33920"/>
    <cellStyle name="Normale 3 5 7 17" xfId="34850"/>
    <cellStyle name="Normale 3 5 7 18" xfId="35776"/>
    <cellStyle name="Normale 3 5 7 19" xfId="36702"/>
    <cellStyle name="Normale 3 5 7 2" xfId="1487"/>
    <cellStyle name="Normale 3 5 7 2 2" xfId="8950"/>
    <cellStyle name="Normale 3 5 7 2 3" xfId="16358"/>
    <cellStyle name="Normale 3 5 7 2 4" xfId="24528"/>
    <cellStyle name="Normale 3 5 7 20" xfId="37618"/>
    <cellStyle name="Normale 3 5 7 3" xfId="2418"/>
    <cellStyle name="Normale 3 5 7 3 2" xfId="9881"/>
    <cellStyle name="Normale 3 5 7 3 3" xfId="17289"/>
    <cellStyle name="Normale 3 5 7 3 4" xfId="23584"/>
    <cellStyle name="Normale 3 5 7 4" xfId="3339"/>
    <cellStyle name="Normale 3 5 7 4 2" xfId="10802"/>
    <cellStyle name="Normale 3 5 7 4 3" xfId="18210"/>
    <cellStyle name="Normale 3 5 7 4 4" xfId="25745"/>
    <cellStyle name="Normale 3 5 7 5" xfId="4273"/>
    <cellStyle name="Normale 3 5 7 5 2" xfId="11736"/>
    <cellStyle name="Normale 3 5 7 5 3" xfId="19144"/>
    <cellStyle name="Normale 3 5 7 5 4" xfId="25781"/>
    <cellStyle name="Normale 3 5 7 6" xfId="5195"/>
    <cellStyle name="Normale 3 5 7 6 2" xfId="12658"/>
    <cellStyle name="Normale 3 5 7 6 3" xfId="20066"/>
    <cellStyle name="Normale 3 5 7 6 4" xfId="28829"/>
    <cellStyle name="Normale 3 5 7 7" xfId="6124"/>
    <cellStyle name="Normale 3 5 7 7 2" xfId="13587"/>
    <cellStyle name="Normale 3 5 7 7 3" xfId="20995"/>
    <cellStyle name="Normale 3 5 7 7 4" xfId="28994"/>
    <cellStyle name="Normale 3 5 7 8" xfId="7040"/>
    <cellStyle name="Normale 3 5 7 8 2" xfId="14503"/>
    <cellStyle name="Normale 3 5 7 8 3" xfId="21911"/>
    <cellStyle name="Normale 3 5 7 8 4" xfId="26694"/>
    <cellStyle name="Normale 3 5 7 9" xfId="7983"/>
    <cellStyle name="Normale 3 5 8" xfId="572"/>
    <cellStyle name="Normale 3 5 8 10" xfId="15445"/>
    <cellStyle name="Normale 3 5 8 11" xfId="26194"/>
    <cellStyle name="Normale 3 5 8 12" xfId="30255"/>
    <cellStyle name="Normale 3 5 8 13" xfId="31189"/>
    <cellStyle name="Normale 3 5 8 14" xfId="32108"/>
    <cellStyle name="Normale 3 5 8 15" xfId="33029"/>
    <cellStyle name="Normale 3 5 8 16" xfId="33972"/>
    <cellStyle name="Normale 3 5 8 17" xfId="34902"/>
    <cellStyle name="Normale 3 5 8 18" xfId="35828"/>
    <cellStyle name="Normale 3 5 8 19" xfId="36754"/>
    <cellStyle name="Normale 3 5 8 2" xfId="1539"/>
    <cellStyle name="Normale 3 5 8 2 2" xfId="9002"/>
    <cellStyle name="Normale 3 5 8 2 3" xfId="16410"/>
    <cellStyle name="Normale 3 5 8 2 4" xfId="29108"/>
    <cellStyle name="Normale 3 5 8 20" xfId="37668"/>
    <cellStyle name="Normale 3 5 8 3" xfId="2470"/>
    <cellStyle name="Normale 3 5 8 3 2" xfId="9933"/>
    <cellStyle name="Normale 3 5 8 3 3" xfId="17341"/>
    <cellStyle name="Normale 3 5 8 3 4" xfId="28420"/>
    <cellStyle name="Normale 3 5 8 4" xfId="3390"/>
    <cellStyle name="Normale 3 5 8 4 2" xfId="10853"/>
    <cellStyle name="Normale 3 5 8 4 3" xfId="18261"/>
    <cellStyle name="Normale 3 5 8 4 4" xfId="28494"/>
    <cellStyle name="Normale 3 5 8 5" xfId="4325"/>
    <cellStyle name="Normale 3 5 8 5 2" xfId="11788"/>
    <cellStyle name="Normale 3 5 8 5 3" xfId="19196"/>
    <cellStyle name="Normale 3 5 8 5 4" xfId="26294"/>
    <cellStyle name="Normale 3 5 8 6" xfId="5246"/>
    <cellStyle name="Normale 3 5 8 6 2" xfId="12709"/>
    <cellStyle name="Normale 3 5 8 6 3" xfId="20117"/>
    <cellStyle name="Normale 3 5 8 6 4" xfId="26271"/>
    <cellStyle name="Normale 3 5 8 7" xfId="6176"/>
    <cellStyle name="Normale 3 5 8 7 2" xfId="13639"/>
    <cellStyle name="Normale 3 5 8 7 3" xfId="21047"/>
    <cellStyle name="Normale 3 5 8 7 4" xfId="26624"/>
    <cellStyle name="Normale 3 5 8 8" xfId="7090"/>
    <cellStyle name="Normale 3 5 8 8 2" xfId="14553"/>
    <cellStyle name="Normale 3 5 8 8 3" xfId="21961"/>
    <cellStyle name="Normale 3 5 8 8 4" xfId="24385"/>
    <cellStyle name="Normale 3 5 8 9" xfId="8035"/>
    <cellStyle name="Normale 3 5 9" xfId="632"/>
    <cellStyle name="Normale 3 5 9 10" xfId="15504"/>
    <cellStyle name="Normale 3 5 9 11" xfId="26392"/>
    <cellStyle name="Normale 3 5 9 12" xfId="30311"/>
    <cellStyle name="Normale 3 5 9 13" xfId="31248"/>
    <cellStyle name="Normale 3 5 9 14" xfId="32165"/>
    <cellStyle name="Normale 3 5 9 15" xfId="33084"/>
    <cellStyle name="Normale 3 5 9 16" xfId="34031"/>
    <cellStyle name="Normale 3 5 9 17" xfId="34962"/>
    <cellStyle name="Normale 3 5 9 18" xfId="35888"/>
    <cellStyle name="Normale 3 5 9 19" xfId="36813"/>
    <cellStyle name="Normale 3 5 9 2" xfId="1598"/>
    <cellStyle name="Normale 3 5 9 2 2" xfId="9061"/>
    <cellStyle name="Normale 3 5 9 2 3" xfId="16469"/>
    <cellStyle name="Normale 3 5 9 2 4" xfId="26170"/>
    <cellStyle name="Normale 3 5 9 20" xfId="37723"/>
    <cellStyle name="Normale 3 5 9 3" xfId="2530"/>
    <cellStyle name="Normale 3 5 9 3 2" xfId="9993"/>
    <cellStyle name="Normale 3 5 9 3 3" xfId="17401"/>
    <cellStyle name="Normale 3 5 9 3 4" xfId="24304"/>
    <cellStyle name="Normale 3 5 9 4" xfId="3448"/>
    <cellStyle name="Normale 3 5 9 4 2" xfId="10911"/>
    <cellStyle name="Normale 3 5 9 4 3" xfId="18319"/>
    <cellStyle name="Normale 3 5 9 4 4" xfId="26582"/>
    <cellStyle name="Normale 3 5 9 5" xfId="4385"/>
    <cellStyle name="Normale 3 5 9 5 2" xfId="11848"/>
    <cellStyle name="Normale 3 5 9 5 3" xfId="19256"/>
    <cellStyle name="Normale 3 5 9 5 4" xfId="23210"/>
    <cellStyle name="Normale 3 5 9 6" xfId="5303"/>
    <cellStyle name="Normale 3 5 9 6 2" xfId="12766"/>
    <cellStyle name="Normale 3 5 9 6 3" xfId="20174"/>
    <cellStyle name="Normale 3 5 9 6 4" xfId="25152"/>
    <cellStyle name="Normale 3 5 9 7" xfId="6236"/>
    <cellStyle name="Normale 3 5 9 7 2" xfId="13699"/>
    <cellStyle name="Normale 3 5 9 7 3" xfId="21107"/>
    <cellStyle name="Normale 3 5 9 7 4" xfId="22369"/>
    <cellStyle name="Normale 3 5 9 8" xfId="7145"/>
    <cellStyle name="Normale 3 5 9 8 2" xfId="14608"/>
    <cellStyle name="Normale 3 5 9 8 3" xfId="22016"/>
    <cellStyle name="Normale 3 5 9 8 4" xfId="27135"/>
    <cellStyle name="Normale 3 5 9 9" xfId="8095"/>
    <cellStyle name="Normale 3 6" xfId="106"/>
    <cellStyle name="Normale 3 6 10" xfId="711"/>
    <cellStyle name="Normale 3 6 10 10" xfId="15582"/>
    <cellStyle name="Normale 3 6 10 11" xfId="23434"/>
    <cellStyle name="Normale 3 6 10 12" xfId="30385"/>
    <cellStyle name="Normale 3 6 10 13" xfId="31326"/>
    <cellStyle name="Normale 3 6 10 14" xfId="32239"/>
    <cellStyle name="Normale 3 6 10 15" xfId="33157"/>
    <cellStyle name="Normale 3 6 10 16" xfId="34109"/>
    <cellStyle name="Normale 3 6 10 17" xfId="35041"/>
    <cellStyle name="Normale 3 6 10 18" xfId="35967"/>
    <cellStyle name="Normale 3 6 10 19" xfId="36892"/>
    <cellStyle name="Normale 3 6 10 2" xfId="1676"/>
    <cellStyle name="Normale 3 6 10 2 2" xfId="9139"/>
    <cellStyle name="Normale 3 6 10 2 3" xfId="16547"/>
    <cellStyle name="Normale 3 6 10 2 4" xfId="28194"/>
    <cellStyle name="Normale 3 6 10 20" xfId="37796"/>
    <cellStyle name="Normale 3 6 10 3" xfId="2609"/>
    <cellStyle name="Normale 3 6 10 3 2" xfId="10072"/>
    <cellStyle name="Normale 3 6 10 3 3" xfId="17480"/>
    <cellStyle name="Normale 3 6 10 3 4" xfId="23718"/>
    <cellStyle name="Normale 3 6 10 4" xfId="3525"/>
    <cellStyle name="Normale 3 6 10 4 2" xfId="10988"/>
    <cellStyle name="Normale 3 6 10 4 3" xfId="18396"/>
    <cellStyle name="Normale 3 6 10 4 4" xfId="28151"/>
    <cellStyle name="Normale 3 6 10 5" xfId="4464"/>
    <cellStyle name="Normale 3 6 10 5 2" xfId="11927"/>
    <cellStyle name="Normale 3 6 10 5 3" xfId="19335"/>
    <cellStyle name="Normale 3 6 10 5 4" xfId="26576"/>
    <cellStyle name="Normale 3 6 10 6" xfId="5380"/>
    <cellStyle name="Normale 3 6 10 6 2" xfId="12843"/>
    <cellStyle name="Normale 3 6 10 6 3" xfId="20251"/>
    <cellStyle name="Normale 3 6 10 6 4" xfId="28099"/>
    <cellStyle name="Normale 3 6 10 7" xfId="6313"/>
    <cellStyle name="Normale 3 6 10 7 2" xfId="13776"/>
    <cellStyle name="Normale 3 6 10 7 3" xfId="21184"/>
    <cellStyle name="Normale 3 6 10 7 4" xfId="25132"/>
    <cellStyle name="Normale 3 6 10 8" xfId="7218"/>
    <cellStyle name="Normale 3 6 10 8 2" xfId="14681"/>
    <cellStyle name="Normale 3 6 10 8 3" xfId="22089"/>
    <cellStyle name="Normale 3 6 10 8 4" xfId="27748"/>
    <cellStyle name="Normale 3 6 10 9" xfId="8174"/>
    <cellStyle name="Normale 3 6 11" xfId="783"/>
    <cellStyle name="Normale 3 6 11 10" xfId="15654"/>
    <cellStyle name="Normale 3 6 11 11" xfId="27266"/>
    <cellStyle name="Normale 3 6 11 12" xfId="30455"/>
    <cellStyle name="Normale 3 6 11 13" xfId="31398"/>
    <cellStyle name="Normale 3 6 11 14" xfId="32310"/>
    <cellStyle name="Normale 3 6 11 15" xfId="33226"/>
    <cellStyle name="Normale 3 6 11 16" xfId="34181"/>
    <cellStyle name="Normale 3 6 11 17" xfId="35113"/>
    <cellStyle name="Normale 3 6 11 18" xfId="36039"/>
    <cellStyle name="Normale 3 6 11 19" xfId="36964"/>
    <cellStyle name="Normale 3 6 11 2" xfId="1748"/>
    <cellStyle name="Normale 3 6 11 2 2" xfId="9211"/>
    <cellStyle name="Normale 3 6 11 2 3" xfId="16619"/>
    <cellStyle name="Normale 3 6 11 2 4" xfId="28703"/>
    <cellStyle name="Normale 3 6 11 20" xfId="37865"/>
    <cellStyle name="Normale 3 6 11 3" xfId="2681"/>
    <cellStyle name="Normale 3 6 11 3 2" xfId="10144"/>
    <cellStyle name="Normale 3 6 11 3 3" xfId="17552"/>
    <cellStyle name="Normale 3 6 11 3 4" xfId="25221"/>
    <cellStyle name="Normale 3 6 11 4" xfId="3596"/>
    <cellStyle name="Normale 3 6 11 4 2" xfId="11059"/>
    <cellStyle name="Normale 3 6 11 4 3" xfId="18467"/>
    <cellStyle name="Normale 3 6 11 4 4" xfId="22790"/>
    <cellStyle name="Normale 3 6 11 5" xfId="4536"/>
    <cellStyle name="Normale 3 6 11 5 2" xfId="11999"/>
    <cellStyle name="Normale 3 6 11 5 3" xfId="19407"/>
    <cellStyle name="Normale 3 6 11 5 4" xfId="28124"/>
    <cellStyle name="Normale 3 6 11 6" xfId="5451"/>
    <cellStyle name="Normale 3 6 11 6 2" xfId="12914"/>
    <cellStyle name="Normale 3 6 11 6 3" xfId="20322"/>
    <cellStyle name="Normale 3 6 11 6 4" xfId="29568"/>
    <cellStyle name="Normale 3 6 11 7" xfId="6385"/>
    <cellStyle name="Normale 3 6 11 7 2" xfId="13848"/>
    <cellStyle name="Normale 3 6 11 7 3" xfId="21256"/>
    <cellStyle name="Normale 3 6 11 7 4" xfId="25318"/>
    <cellStyle name="Normale 3 6 11 8" xfId="7287"/>
    <cellStyle name="Normale 3 6 11 8 2" xfId="14750"/>
    <cellStyle name="Normale 3 6 11 8 3" xfId="22158"/>
    <cellStyle name="Normale 3 6 11 8 4" xfId="24963"/>
    <cellStyle name="Normale 3 6 11 9" xfId="8246"/>
    <cellStyle name="Normale 3 6 12" xfId="856"/>
    <cellStyle name="Normale 3 6 12 10" xfId="15727"/>
    <cellStyle name="Normale 3 6 12 11" xfId="26889"/>
    <cellStyle name="Normale 3 6 12 12" xfId="30525"/>
    <cellStyle name="Normale 3 6 12 13" xfId="31471"/>
    <cellStyle name="Normale 3 6 12 14" xfId="32382"/>
    <cellStyle name="Normale 3 6 12 15" xfId="33295"/>
    <cellStyle name="Normale 3 6 12 16" xfId="34254"/>
    <cellStyle name="Normale 3 6 12 17" xfId="35186"/>
    <cellStyle name="Normale 3 6 12 18" xfId="36112"/>
    <cellStyle name="Normale 3 6 12 19" xfId="37037"/>
    <cellStyle name="Normale 3 6 12 2" xfId="1821"/>
    <cellStyle name="Normale 3 6 12 2 2" xfId="9284"/>
    <cellStyle name="Normale 3 6 12 2 3" xfId="16692"/>
    <cellStyle name="Normale 3 6 12 2 4" xfId="24515"/>
    <cellStyle name="Normale 3 6 12 20" xfId="37934"/>
    <cellStyle name="Normale 3 6 12 3" xfId="2754"/>
    <cellStyle name="Normale 3 6 12 3 2" xfId="10217"/>
    <cellStyle name="Normale 3 6 12 3 3" xfId="17625"/>
    <cellStyle name="Normale 3 6 12 3 4" xfId="22461"/>
    <cellStyle name="Normale 3 6 12 4" xfId="3668"/>
    <cellStyle name="Normale 3 6 12 4 2" xfId="11131"/>
    <cellStyle name="Normale 3 6 12 4 3" xfId="18539"/>
    <cellStyle name="Normale 3 6 12 4 4" xfId="22437"/>
    <cellStyle name="Normale 3 6 12 5" xfId="4609"/>
    <cellStyle name="Normale 3 6 12 5 2" xfId="12072"/>
    <cellStyle name="Normale 3 6 12 5 3" xfId="19480"/>
    <cellStyle name="Normale 3 6 12 5 4" xfId="24253"/>
    <cellStyle name="Normale 3 6 12 6" xfId="5523"/>
    <cellStyle name="Normale 3 6 12 6 2" xfId="12986"/>
    <cellStyle name="Normale 3 6 12 6 3" xfId="20394"/>
    <cellStyle name="Normale 3 6 12 6 4" xfId="26263"/>
    <cellStyle name="Normale 3 6 12 7" xfId="6458"/>
    <cellStyle name="Normale 3 6 12 7 2" xfId="13921"/>
    <cellStyle name="Normale 3 6 12 7 3" xfId="21329"/>
    <cellStyle name="Normale 3 6 12 7 4" xfId="28986"/>
    <cellStyle name="Normale 3 6 12 8" xfId="7356"/>
    <cellStyle name="Normale 3 6 12 8 2" xfId="14819"/>
    <cellStyle name="Normale 3 6 12 8 3" xfId="22227"/>
    <cellStyle name="Normale 3 6 12 8 4" xfId="26042"/>
    <cellStyle name="Normale 3 6 12 9" xfId="8319"/>
    <cellStyle name="Normale 3 6 13" xfId="926"/>
    <cellStyle name="Normale 3 6 13 10" xfId="15797"/>
    <cellStyle name="Normale 3 6 13 11" xfId="28488"/>
    <cellStyle name="Normale 3 6 13 12" xfId="30592"/>
    <cellStyle name="Normale 3 6 13 13" xfId="31540"/>
    <cellStyle name="Normale 3 6 13 14" xfId="32451"/>
    <cellStyle name="Normale 3 6 13 15" xfId="33361"/>
    <cellStyle name="Normale 3 6 13 16" xfId="34324"/>
    <cellStyle name="Normale 3 6 13 17" xfId="35256"/>
    <cellStyle name="Normale 3 6 13 18" xfId="36181"/>
    <cellStyle name="Normale 3 6 13 19" xfId="37107"/>
    <cellStyle name="Normale 3 6 13 2" xfId="1891"/>
    <cellStyle name="Normale 3 6 13 2 2" xfId="9354"/>
    <cellStyle name="Normale 3 6 13 2 3" xfId="16762"/>
    <cellStyle name="Normale 3 6 13 2 4" xfId="26872"/>
    <cellStyle name="Normale 3 6 13 20" xfId="38000"/>
    <cellStyle name="Normale 3 6 13 3" xfId="2823"/>
    <cellStyle name="Normale 3 6 13 3 2" xfId="10286"/>
    <cellStyle name="Normale 3 6 13 3 3" xfId="17694"/>
    <cellStyle name="Normale 3 6 13 3 4" xfId="24494"/>
    <cellStyle name="Normale 3 6 13 4" xfId="3738"/>
    <cellStyle name="Normale 3 6 13 4 2" xfId="11201"/>
    <cellStyle name="Normale 3 6 13 4 3" xfId="18609"/>
    <cellStyle name="Normale 3 6 13 4 4" xfId="24636"/>
    <cellStyle name="Normale 3 6 13 5" xfId="4679"/>
    <cellStyle name="Normale 3 6 13 5 2" xfId="12142"/>
    <cellStyle name="Normale 3 6 13 5 3" xfId="19550"/>
    <cellStyle name="Normale 3 6 13 5 4" xfId="26093"/>
    <cellStyle name="Normale 3 6 13 6" xfId="5593"/>
    <cellStyle name="Normale 3 6 13 6 2" xfId="13056"/>
    <cellStyle name="Normale 3 6 13 6 3" xfId="20464"/>
    <cellStyle name="Normale 3 6 13 6 4" xfId="28680"/>
    <cellStyle name="Normale 3 6 13 7" xfId="6528"/>
    <cellStyle name="Normale 3 6 13 7 2" xfId="13991"/>
    <cellStyle name="Normale 3 6 13 7 3" xfId="21399"/>
    <cellStyle name="Normale 3 6 13 7 4" xfId="23288"/>
    <cellStyle name="Normale 3 6 13 8" xfId="7422"/>
    <cellStyle name="Normale 3 6 13 8 2" xfId="14885"/>
    <cellStyle name="Normale 3 6 13 8 3" xfId="22293"/>
    <cellStyle name="Normale 3 6 13 8 4" xfId="25889"/>
    <cellStyle name="Normale 3 6 13 9" xfId="8389"/>
    <cellStyle name="Normale 3 6 14" xfId="1079"/>
    <cellStyle name="Normale 3 6 14 2" xfId="8542"/>
    <cellStyle name="Normale 3 6 14 3" xfId="15950"/>
    <cellStyle name="Normale 3 6 14 4" xfId="27453"/>
    <cellStyle name="Normale 3 6 15" xfId="2006"/>
    <cellStyle name="Normale 3 6 15 2" xfId="9469"/>
    <cellStyle name="Normale 3 6 15 3" xfId="16877"/>
    <cellStyle name="Normale 3 6 15 4" xfId="28481"/>
    <cellStyle name="Normale 3 6 16" xfId="2932"/>
    <cellStyle name="Normale 3 6 16 2" xfId="10395"/>
    <cellStyle name="Normale 3 6 16 3" xfId="17803"/>
    <cellStyle name="Normale 3 6 16 4" xfId="28271"/>
    <cellStyle name="Normale 3 6 17" xfId="3861"/>
    <cellStyle name="Normale 3 6 17 2" xfId="11324"/>
    <cellStyle name="Normale 3 6 17 3" xfId="18732"/>
    <cellStyle name="Normale 3 6 17 4" xfId="29035"/>
    <cellStyle name="Normale 3 6 18" xfId="4788"/>
    <cellStyle name="Normale 3 6 18 2" xfId="12251"/>
    <cellStyle name="Normale 3 6 18 3" xfId="19659"/>
    <cellStyle name="Normale 3 6 18 4" xfId="22783"/>
    <cellStyle name="Normale 3 6 19" xfId="5715"/>
    <cellStyle name="Normale 3 6 19 2" xfId="13178"/>
    <cellStyle name="Normale 3 6 19 3" xfId="20586"/>
    <cellStyle name="Normale 3 6 19 4" xfId="23859"/>
    <cellStyle name="Normale 3 6 2" xfId="107"/>
    <cellStyle name="Normale 3 6 2 10" xfId="6638"/>
    <cellStyle name="Normale 3 6 2 10 2" xfId="14101"/>
    <cellStyle name="Normale 3 6 2 10 3" xfId="21509"/>
    <cellStyle name="Normale 3 6 2 10 4" xfId="26464"/>
    <cellStyle name="Normale 3 6 2 11" xfId="7572"/>
    <cellStyle name="Normale 3 6 2 12" xfId="14981"/>
    <cellStyle name="Normale 3 6 2 13" xfId="25040"/>
    <cellStyle name="Normale 3 6 2 14" xfId="29798"/>
    <cellStyle name="Normale 3 6 2 15" xfId="30728"/>
    <cellStyle name="Normale 3 6 2 16" xfId="31651"/>
    <cellStyle name="Normale 3 6 2 17" xfId="32577"/>
    <cellStyle name="Normale 3 6 2 18" xfId="33511"/>
    <cellStyle name="Normale 3 6 2 19" xfId="34439"/>
    <cellStyle name="Normale 3 6 2 2" xfId="108"/>
    <cellStyle name="Normale 3 6 2 2 10" xfId="7573"/>
    <cellStyle name="Normale 3 6 2 2 11" xfId="14982"/>
    <cellStyle name="Normale 3 6 2 2 12" xfId="24114"/>
    <cellStyle name="Normale 3 6 2 2 13" xfId="29799"/>
    <cellStyle name="Normale 3 6 2 2 14" xfId="30729"/>
    <cellStyle name="Normale 3 6 2 2 15" xfId="31652"/>
    <cellStyle name="Normale 3 6 2 2 16" xfId="32578"/>
    <cellStyle name="Normale 3 6 2 2 17" xfId="33512"/>
    <cellStyle name="Normale 3 6 2 2 18" xfId="34440"/>
    <cellStyle name="Normale 3 6 2 2 19" xfId="35368"/>
    <cellStyle name="Normale 3 6 2 2 2" xfId="306"/>
    <cellStyle name="Normale 3 6 2 2 2 10" xfId="15179"/>
    <cellStyle name="Normale 3 6 2 2 2 11" xfId="28436"/>
    <cellStyle name="Normale 3 6 2 2 2 12" xfId="29991"/>
    <cellStyle name="Normale 3 6 2 2 2 13" xfId="30923"/>
    <cellStyle name="Normale 3 6 2 2 2 14" xfId="31844"/>
    <cellStyle name="Normale 3 6 2 2 2 15" xfId="32769"/>
    <cellStyle name="Normale 3 6 2 2 2 16" xfId="33706"/>
    <cellStyle name="Normale 3 6 2 2 2 17" xfId="34636"/>
    <cellStyle name="Normale 3 6 2 2 2 18" xfId="35562"/>
    <cellStyle name="Normale 3 6 2 2 2 19" xfId="36488"/>
    <cellStyle name="Normale 3 6 2 2 2 2" xfId="1273"/>
    <cellStyle name="Normale 3 6 2 2 2 2 2" xfId="8736"/>
    <cellStyle name="Normale 3 6 2 2 2 2 3" xfId="16144"/>
    <cellStyle name="Normale 3 6 2 2 2 2 4" xfId="25447"/>
    <cellStyle name="Normale 3 6 2 2 2 20" xfId="37408"/>
    <cellStyle name="Normale 3 6 2 2 2 3" xfId="2204"/>
    <cellStyle name="Normale 3 6 2 2 2 3 2" xfId="9667"/>
    <cellStyle name="Normale 3 6 2 2 2 3 3" xfId="17075"/>
    <cellStyle name="Normale 3 6 2 2 2 3 4" xfId="22844"/>
    <cellStyle name="Normale 3 6 2 2 2 4" xfId="3126"/>
    <cellStyle name="Normale 3 6 2 2 2 4 2" xfId="10589"/>
    <cellStyle name="Normale 3 6 2 2 2 4 3" xfId="17997"/>
    <cellStyle name="Normale 3 6 2 2 2 4 4" xfId="22640"/>
    <cellStyle name="Normale 3 6 2 2 2 5" xfId="4059"/>
    <cellStyle name="Normale 3 6 2 2 2 5 2" xfId="11522"/>
    <cellStyle name="Normale 3 6 2 2 2 5 3" xfId="18930"/>
    <cellStyle name="Normale 3 6 2 2 2 5 4" xfId="22617"/>
    <cellStyle name="Normale 3 6 2 2 2 6" xfId="4982"/>
    <cellStyle name="Normale 3 6 2 2 2 6 2" xfId="12445"/>
    <cellStyle name="Normale 3 6 2 2 2 6 3" xfId="19853"/>
    <cellStyle name="Normale 3 6 2 2 2 6 4" xfId="27003"/>
    <cellStyle name="Normale 3 6 2 2 2 7" xfId="5910"/>
    <cellStyle name="Normale 3 6 2 2 2 7 2" xfId="13373"/>
    <cellStyle name="Normale 3 6 2 2 2 7 3" xfId="20781"/>
    <cellStyle name="Normale 3 6 2 2 2 7 4" xfId="28399"/>
    <cellStyle name="Normale 3 6 2 2 2 8" xfId="6830"/>
    <cellStyle name="Normale 3 6 2 2 2 8 2" xfId="14293"/>
    <cellStyle name="Normale 3 6 2 2 2 8 3" xfId="21701"/>
    <cellStyle name="Normale 3 6 2 2 2 8 4" xfId="23470"/>
    <cellStyle name="Normale 3 6 2 2 2 9" xfId="7769"/>
    <cellStyle name="Normale 3 6 2 2 20" xfId="36294"/>
    <cellStyle name="Normale 3 6 2 2 21" xfId="37217"/>
    <cellStyle name="Normale 3 6 2 2 3" xfId="1081"/>
    <cellStyle name="Normale 3 6 2 2 3 2" xfId="8544"/>
    <cellStyle name="Normale 3 6 2 2 3 3" xfId="15952"/>
    <cellStyle name="Normale 3 6 2 2 3 4" xfId="25616"/>
    <cellStyle name="Normale 3 6 2 2 4" xfId="2008"/>
    <cellStyle name="Normale 3 6 2 2 4 2" xfId="9471"/>
    <cellStyle name="Normale 3 6 2 2 4 3" xfId="16879"/>
    <cellStyle name="Normale 3 6 2 2 4 4" xfId="26650"/>
    <cellStyle name="Normale 3 6 2 2 5" xfId="2934"/>
    <cellStyle name="Normale 3 6 2 2 5 2" xfId="10397"/>
    <cellStyle name="Normale 3 6 2 2 5 3" xfId="17805"/>
    <cellStyle name="Normale 3 6 2 2 5 4" xfId="26439"/>
    <cellStyle name="Normale 3 6 2 2 6" xfId="3863"/>
    <cellStyle name="Normale 3 6 2 2 6 2" xfId="11326"/>
    <cellStyle name="Normale 3 6 2 2 6 3" xfId="18734"/>
    <cellStyle name="Normale 3 6 2 2 6 4" xfId="27203"/>
    <cellStyle name="Normale 3 6 2 2 7" xfId="4790"/>
    <cellStyle name="Normale 3 6 2 2 7 2" xfId="12253"/>
    <cellStyle name="Normale 3 6 2 2 7 3" xfId="19661"/>
    <cellStyle name="Normale 3 6 2 2 7 4" xfId="28307"/>
    <cellStyle name="Normale 3 6 2 2 8" xfId="5717"/>
    <cellStyle name="Normale 3 6 2 2 8 2" xfId="13180"/>
    <cellStyle name="Normale 3 6 2 2 8 3" xfId="20588"/>
    <cellStyle name="Normale 3 6 2 2 8 4" xfId="29301"/>
    <cellStyle name="Normale 3 6 2 2 9" xfId="6639"/>
    <cellStyle name="Normale 3 6 2 2 9 2" xfId="14102"/>
    <cellStyle name="Normale 3 6 2 2 9 3" xfId="21510"/>
    <cellStyle name="Normale 3 6 2 2 9 4" xfId="25536"/>
    <cellStyle name="Normale 3 6 2 20" xfId="35367"/>
    <cellStyle name="Normale 3 6 2 21" xfId="36293"/>
    <cellStyle name="Normale 3 6 2 22" xfId="37216"/>
    <cellStyle name="Normale 3 6 2 3" xfId="305"/>
    <cellStyle name="Normale 3 6 2 3 10" xfId="15178"/>
    <cellStyle name="Normale 3 6 2 3 11" xfId="29337"/>
    <cellStyle name="Normale 3 6 2 3 12" xfId="29990"/>
    <cellStyle name="Normale 3 6 2 3 13" xfId="30922"/>
    <cellStyle name="Normale 3 6 2 3 14" xfId="31843"/>
    <cellStyle name="Normale 3 6 2 3 15" xfId="32768"/>
    <cellStyle name="Normale 3 6 2 3 16" xfId="33705"/>
    <cellStyle name="Normale 3 6 2 3 17" xfId="34635"/>
    <cellStyle name="Normale 3 6 2 3 18" xfId="35561"/>
    <cellStyle name="Normale 3 6 2 3 19" xfId="36487"/>
    <cellStyle name="Normale 3 6 2 3 2" xfId="1272"/>
    <cellStyle name="Normale 3 6 2 3 2 2" xfId="8735"/>
    <cellStyle name="Normale 3 6 2 3 2 3" xfId="16143"/>
    <cellStyle name="Normale 3 6 2 3 2 4" xfId="26374"/>
    <cellStyle name="Normale 3 6 2 3 20" xfId="37407"/>
    <cellStyle name="Normale 3 6 2 3 3" xfId="2203"/>
    <cellStyle name="Normale 3 6 2 3 3 2" xfId="9666"/>
    <cellStyle name="Normale 3 6 2 3 3 3" xfId="17074"/>
    <cellStyle name="Normale 3 6 2 3 3 4" xfId="23823"/>
    <cellStyle name="Normale 3 6 2 3 4" xfId="3125"/>
    <cellStyle name="Normale 3 6 2 3 4 2" xfId="10588"/>
    <cellStyle name="Normale 3 6 2 3 4 3" xfId="17996"/>
    <cellStyle name="Normale 3 6 2 3 4 4" xfId="23374"/>
    <cellStyle name="Normale 3 6 2 3 5" xfId="4058"/>
    <cellStyle name="Normale 3 6 2 3 5 2" xfId="11521"/>
    <cellStyle name="Normale 3 6 2 3 5 3" xfId="18929"/>
    <cellStyle name="Normale 3 6 2 3 5 4" xfId="23351"/>
    <cellStyle name="Normale 3 6 2 3 6" xfId="4981"/>
    <cellStyle name="Normale 3 6 2 3 6 2" xfId="12444"/>
    <cellStyle name="Normale 3 6 2 3 6 3" xfId="19852"/>
    <cellStyle name="Normale 3 6 2 3 6 4" xfId="27921"/>
    <cellStyle name="Normale 3 6 2 3 7" xfId="5909"/>
    <cellStyle name="Normale 3 6 2 3 7 2" xfId="13372"/>
    <cellStyle name="Normale 3 6 2 3 7 3" xfId="20780"/>
    <cellStyle name="Normale 3 6 2 3 7 4" xfId="29300"/>
    <cellStyle name="Normale 3 6 2 3 8" xfId="6829"/>
    <cellStyle name="Normale 3 6 2 3 8 2" xfId="14292"/>
    <cellStyle name="Normale 3 6 2 3 8 3" xfId="21700"/>
    <cellStyle name="Normale 3 6 2 3 8 4" xfId="24389"/>
    <cellStyle name="Normale 3 6 2 3 9" xfId="7768"/>
    <cellStyle name="Normale 3 6 2 4" xfId="1080"/>
    <cellStyle name="Normale 3 6 2 4 2" xfId="8543"/>
    <cellStyle name="Normale 3 6 2 4 3" xfId="15951"/>
    <cellStyle name="Normale 3 6 2 4 4" xfId="26545"/>
    <cellStyle name="Normale 3 6 2 5" xfId="2007"/>
    <cellStyle name="Normale 3 6 2 5 2" xfId="9470"/>
    <cellStyle name="Normale 3 6 2 5 3" xfId="16878"/>
    <cellStyle name="Normale 3 6 2 5 4" xfId="27554"/>
    <cellStyle name="Normale 3 6 2 6" xfId="2933"/>
    <cellStyle name="Normale 3 6 2 6 2" xfId="10396"/>
    <cellStyle name="Normale 3 6 2 6 3" xfId="17804"/>
    <cellStyle name="Normale 3 6 2 6 4" xfId="27347"/>
    <cellStyle name="Normale 3 6 2 7" xfId="3862"/>
    <cellStyle name="Normale 3 6 2 7 2" xfId="11325"/>
    <cellStyle name="Normale 3 6 2 7 3" xfId="18733"/>
    <cellStyle name="Normale 3 6 2 7 4" xfId="28125"/>
    <cellStyle name="Normale 3 6 2 8" xfId="4789"/>
    <cellStyle name="Normale 3 6 2 8 2" xfId="12252"/>
    <cellStyle name="Normale 3 6 2 8 3" xfId="19660"/>
    <cellStyle name="Normale 3 6 2 8 4" xfId="29213"/>
    <cellStyle name="Normale 3 6 2 9" xfId="5716"/>
    <cellStyle name="Normale 3 6 2 9 2" xfId="13179"/>
    <cellStyle name="Normale 3 6 2 9 3" xfId="20587"/>
    <cellStyle name="Normale 3 6 2 9 4" xfId="22872"/>
    <cellStyle name="Normale 3 6 20" xfId="6637"/>
    <cellStyle name="Normale 3 6 20 2" xfId="14100"/>
    <cellStyle name="Normale 3 6 20 3" xfId="21508"/>
    <cellStyle name="Normale 3 6 20 4" xfId="27372"/>
    <cellStyle name="Normale 3 6 21" xfId="7571"/>
    <cellStyle name="Normale 3 6 22" xfId="14980"/>
    <cellStyle name="Normale 3 6 23" xfId="25949"/>
    <cellStyle name="Normale 3 6 24" xfId="29797"/>
    <cellStyle name="Normale 3 6 25" xfId="30727"/>
    <cellStyle name="Normale 3 6 26" xfId="31650"/>
    <cellStyle name="Normale 3 6 27" xfId="32576"/>
    <cellStyle name="Normale 3 6 28" xfId="33510"/>
    <cellStyle name="Normale 3 6 29" xfId="34438"/>
    <cellStyle name="Normale 3 6 3" xfId="109"/>
    <cellStyle name="Normale 3 6 3 10" xfId="7574"/>
    <cellStyle name="Normale 3 6 3 11" xfId="14983"/>
    <cellStyle name="Normale 3 6 3 12" xfId="23105"/>
    <cellStyle name="Normale 3 6 3 13" xfId="29800"/>
    <cellStyle name="Normale 3 6 3 14" xfId="30730"/>
    <cellStyle name="Normale 3 6 3 15" xfId="31653"/>
    <cellStyle name="Normale 3 6 3 16" xfId="32579"/>
    <cellStyle name="Normale 3 6 3 17" xfId="33513"/>
    <cellStyle name="Normale 3 6 3 18" xfId="34441"/>
    <cellStyle name="Normale 3 6 3 19" xfId="35369"/>
    <cellStyle name="Normale 3 6 3 2" xfId="307"/>
    <cellStyle name="Normale 3 6 3 2 10" xfId="15180"/>
    <cellStyle name="Normale 3 6 3 2 11" xfId="27511"/>
    <cellStyle name="Normale 3 6 3 2 12" xfId="29992"/>
    <cellStyle name="Normale 3 6 3 2 13" xfId="30924"/>
    <cellStyle name="Normale 3 6 3 2 14" xfId="31845"/>
    <cellStyle name="Normale 3 6 3 2 15" xfId="32770"/>
    <cellStyle name="Normale 3 6 3 2 16" xfId="33707"/>
    <cellStyle name="Normale 3 6 3 2 17" xfId="34637"/>
    <cellStyle name="Normale 3 6 3 2 18" xfId="35563"/>
    <cellStyle name="Normale 3 6 3 2 19" xfId="36489"/>
    <cellStyle name="Normale 3 6 3 2 2" xfId="1274"/>
    <cellStyle name="Normale 3 6 3 2 2 2" xfId="8737"/>
    <cellStyle name="Normale 3 6 3 2 2 3" xfId="16145"/>
    <cellStyle name="Normale 3 6 3 2 2 4" xfId="24531"/>
    <cellStyle name="Normale 3 6 3 2 20" xfId="37409"/>
    <cellStyle name="Normale 3 6 3 2 3" xfId="2205"/>
    <cellStyle name="Normale 3 6 3 2 3 2" xfId="9668"/>
    <cellStyle name="Normale 3 6 3 2 3 3" xfId="17076"/>
    <cellStyle name="Normale 3 6 3 2 3 4" xfId="29275"/>
    <cellStyle name="Normale 3 6 3 2 4" xfId="3127"/>
    <cellStyle name="Normale 3 6 3 2 4 2" xfId="10590"/>
    <cellStyle name="Normale 3 6 3 2 4 3" xfId="17998"/>
    <cellStyle name="Normale 3 6 3 2 4 4" xfId="29070"/>
    <cellStyle name="Normale 3 6 3 2 5" xfId="4060"/>
    <cellStyle name="Normale 3 6 3 2 5 2" xfId="11523"/>
    <cellStyle name="Normale 3 6 3 2 5 3" xfId="18931"/>
    <cellStyle name="Normale 3 6 3 2 5 4" xfId="29047"/>
    <cellStyle name="Normale 3 6 3 2 6" xfId="4983"/>
    <cellStyle name="Normale 3 6 3 2 6 2" xfId="12446"/>
    <cellStyle name="Normale 3 6 3 2 6 3" xfId="19854"/>
    <cellStyle name="Normale 3 6 3 2 6 4" xfId="26085"/>
    <cellStyle name="Normale 3 6 3 2 7" xfId="5911"/>
    <cellStyle name="Normale 3 6 3 2 7 2" xfId="13374"/>
    <cellStyle name="Normale 3 6 3 2 7 3" xfId="20782"/>
    <cellStyle name="Normale 3 6 3 2 7 4" xfId="27474"/>
    <cellStyle name="Normale 3 6 3 2 8" xfId="6831"/>
    <cellStyle name="Normale 3 6 3 2 8 2" xfId="14294"/>
    <cellStyle name="Normale 3 6 3 2 8 3" xfId="21702"/>
    <cellStyle name="Normale 3 6 3 2 8 4" xfId="28804"/>
    <cellStyle name="Normale 3 6 3 2 9" xfId="7770"/>
    <cellStyle name="Normale 3 6 3 20" xfId="36295"/>
    <cellStyle name="Normale 3 6 3 21" xfId="37218"/>
    <cellStyle name="Normale 3 6 3 3" xfId="1082"/>
    <cellStyle name="Normale 3 6 3 3 2" xfId="8545"/>
    <cellStyle name="Normale 3 6 3 3 3" xfId="15953"/>
    <cellStyle name="Normale 3 6 3 3 4" xfId="24701"/>
    <cellStyle name="Normale 3 6 3 4" xfId="2009"/>
    <cellStyle name="Normale 3 6 3 4 2" xfId="9472"/>
    <cellStyle name="Normale 3 6 3 4 3" xfId="16880"/>
    <cellStyle name="Normale 3 6 3 4 4" xfId="25718"/>
    <cellStyle name="Normale 3 6 3 5" xfId="2935"/>
    <cellStyle name="Normale 3 6 3 5 2" xfId="10398"/>
    <cellStyle name="Normale 3 6 3 5 3" xfId="17806"/>
    <cellStyle name="Normale 3 6 3 5 4" xfId="25511"/>
    <cellStyle name="Normale 3 6 3 6" xfId="3864"/>
    <cellStyle name="Normale 3 6 3 6 2" xfId="11327"/>
    <cellStyle name="Normale 3 6 3 6 3" xfId="18735"/>
    <cellStyle name="Normale 3 6 3 6 4" xfId="26293"/>
    <cellStyle name="Normale 3 6 3 7" xfId="4791"/>
    <cellStyle name="Normale 3 6 3 7 2" xfId="12254"/>
    <cellStyle name="Normale 3 6 3 7 3" xfId="19662"/>
    <cellStyle name="Normale 3 6 3 7 4" xfId="27383"/>
    <cellStyle name="Normale 3 6 3 8" xfId="5718"/>
    <cellStyle name="Normale 3 6 3 8 2" xfId="13181"/>
    <cellStyle name="Normale 3 6 3 8 3" xfId="20589"/>
    <cellStyle name="Normale 3 6 3 8 4" xfId="28400"/>
    <cellStyle name="Normale 3 6 3 9" xfId="6640"/>
    <cellStyle name="Normale 3 6 3 9 2" xfId="14103"/>
    <cellStyle name="Normale 3 6 3 9 3" xfId="21511"/>
    <cellStyle name="Normale 3 6 3 9 4" xfId="24619"/>
    <cellStyle name="Normale 3 6 30" xfId="35366"/>
    <cellStyle name="Normale 3 6 31" xfId="36292"/>
    <cellStyle name="Normale 3 6 32" xfId="37215"/>
    <cellStyle name="Normale 3 6 4" xfId="304"/>
    <cellStyle name="Normale 3 6 4 10" xfId="15177"/>
    <cellStyle name="Normale 3 6 4 11" xfId="22908"/>
    <cellStyle name="Normale 3 6 4 12" xfId="29989"/>
    <cellStyle name="Normale 3 6 4 13" xfId="30921"/>
    <cellStyle name="Normale 3 6 4 14" xfId="31842"/>
    <cellStyle name="Normale 3 6 4 15" xfId="32767"/>
    <cellStyle name="Normale 3 6 4 16" xfId="33704"/>
    <cellStyle name="Normale 3 6 4 17" xfId="34634"/>
    <cellStyle name="Normale 3 6 4 18" xfId="35560"/>
    <cellStyle name="Normale 3 6 4 19" xfId="36486"/>
    <cellStyle name="Normale 3 6 4 2" xfId="1271"/>
    <cellStyle name="Normale 3 6 4 2 2" xfId="8734"/>
    <cellStyle name="Normale 3 6 4 2 3" xfId="16142"/>
    <cellStyle name="Normale 3 6 4 2 4" xfId="27284"/>
    <cellStyle name="Normale 3 6 4 20" xfId="37406"/>
    <cellStyle name="Normale 3 6 4 3" xfId="2202"/>
    <cellStyle name="Normale 3 6 4 3 2" xfId="9665"/>
    <cellStyle name="Normale 3 6 4 3 3" xfId="17073"/>
    <cellStyle name="Normale 3 6 4 3 4" xfId="24746"/>
    <cellStyle name="Normale 3 6 4 4" xfId="3124"/>
    <cellStyle name="Normale 3 6 4 4 2" xfId="10587"/>
    <cellStyle name="Normale 3 6 4 4 3" xfId="17995"/>
    <cellStyle name="Normale 3 6 4 4 4" xfId="24290"/>
    <cellStyle name="Normale 3 6 4 5" xfId="4057"/>
    <cellStyle name="Normale 3 6 4 5 2" xfId="11520"/>
    <cellStyle name="Normale 3 6 4 5 3" xfId="18928"/>
    <cellStyle name="Normale 3 6 4 5 4" xfId="24267"/>
    <cellStyle name="Normale 3 6 4 6" xfId="4980"/>
    <cellStyle name="Normale 3 6 4 6 2" xfId="12443"/>
    <cellStyle name="Normale 3 6 4 6 3" xfId="19851"/>
    <cellStyle name="Normale 3 6 4 6 4" xfId="28834"/>
    <cellStyle name="Normale 3 6 4 7" xfId="5908"/>
    <cellStyle name="Normale 3 6 4 7 2" xfId="13371"/>
    <cellStyle name="Normale 3 6 4 7 3" xfId="20779"/>
    <cellStyle name="Normale 3 6 4 7 4" xfId="22871"/>
    <cellStyle name="Normale 3 6 4 8" xfId="6828"/>
    <cellStyle name="Normale 3 6 4 8 2" xfId="14291"/>
    <cellStyle name="Normale 3 6 4 8 3" xfId="21699"/>
    <cellStyle name="Normale 3 6 4 8 4" xfId="25305"/>
    <cellStyle name="Normale 3 6 4 9" xfId="7767"/>
    <cellStyle name="Normale 3 6 5" xfId="425"/>
    <cellStyle name="Normale 3 6 5 10" xfId="15298"/>
    <cellStyle name="Normale 3 6 5 11" xfId="29463"/>
    <cellStyle name="Normale 3 6 5 12" xfId="30110"/>
    <cellStyle name="Normale 3 6 5 13" xfId="31042"/>
    <cellStyle name="Normale 3 6 5 14" xfId="31963"/>
    <cellStyle name="Normale 3 6 5 15" xfId="32887"/>
    <cellStyle name="Normale 3 6 5 16" xfId="33825"/>
    <cellStyle name="Normale 3 6 5 17" xfId="34755"/>
    <cellStyle name="Normale 3 6 5 18" xfId="35681"/>
    <cellStyle name="Normale 3 6 5 19" xfId="36607"/>
    <cellStyle name="Normale 3 6 5 2" xfId="1392"/>
    <cellStyle name="Normale 3 6 5 2 2" xfId="8855"/>
    <cellStyle name="Normale 3 6 5 2 3" xfId="16263"/>
    <cellStyle name="Normale 3 6 5 2 4" xfId="26771"/>
    <cellStyle name="Normale 3 6 5 20" xfId="37526"/>
    <cellStyle name="Normale 3 6 5 3" xfId="2323"/>
    <cellStyle name="Normale 3 6 5 3 2" xfId="9786"/>
    <cellStyle name="Normale 3 6 5 3 3" xfId="17194"/>
    <cellStyle name="Normale 3 6 5 3 4" xfId="23956"/>
    <cellStyle name="Normale 3 6 5 4" xfId="3245"/>
    <cellStyle name="Normale 3 6 5 4 2" xfId="10708"/>
    <cellStyle name="Normale 3 6 5 4 3" xfId="18116"/>
    <cellStyle name="Normale 3 6 5 4 4" xfId="29580"/>
    <cellStyle name="Normale 3 6 5 5" xfId="4178"/>
    <cellStyle name="Normale 3 6 5 5 2" xfId="11641"/>
    <cellStyle name="Normale 3 6 5 5 3" xfId="19049"/>
    <cellStyle name="Normale 3 6 5 5 4" xfId="24586"/>
    <cellStyle name="Normale 3 6 5 6" xfId="5101"/>
    <cellStyle name="Normale 3 6 5 6 2" xfId="12564"/>
    <cellStyle name="Normale 3 6 5 6 3" xfId="19972"/>
    <cellStyle name="Normale 3 6 5 6 4" xfId="29412"/>
    <cellStyle name="Normale 3 6 5 7" xfId="6029"/>
    <cellStyle name="Normale 3 6 5 7 2" xfId="13492"/>
    <cellStyle name="Normale 3 6 5 7 3" xfId="20900"/>
    <cellStyle name="Normale 3 6 5 7 4" xfId="29426"/>
    <cellStyle name="Normale 3 6 5 8" xfId="6948"/>
    <cellStyle name="Normale 3 6 5 8 2" xfId="14411"/>
    <cellStyle name="Normale 3 6 5 8 3" xfId="21819"/>
    <cellStyle name="Normale 3 6 5 8 4" xfId="23202"/>
    <cellStyle name="Normale 3 6 5 9" xfId="7888"/>
    <cellStyle name="Normale 3 6 6" xfId="473"/>
    <cellStyle name="Normale 3 6 6 10" xfId="15346"/>
    <cellStyle name="Normale 3 6 6 11" xfId="29135"/>
    <cellStyle name="Normale 3 6 6 12" xfId="30158"/>
    <cellStyle name="Normale 3 6 6 13" xfId="31090"/>
    <cellStyle name="Normale 3 6 6 14" xfId="32011"/>
    <cellStyle name="Normale 3 6 6 15" xfId="32934"/>
    <cellStyle name="Normale 3 6 6 16" xfId="33873"/>
    <cellStyle name="Normale 3 6 6 17" xfId="34803"/>
    <cellStyle name="Normale 3 6 6 18" xfId="35729"/>
    <cellStyle name="Normale 3 6 6 19" xfId="36655"/>
    <cellStyle name="Normale 3 6 6 2" xfId="1440"/>
    <cellStyle name="Normale 3 6 6 2 2" xfId="8903"/>
    <cellStyle name="Normale 3 6 6 2 3" xfId="16311"/>
    <cellStyle name="Normale 3 6 6 2 4" xfId="24982"/>
    <cellStyle name="Normale 3 6 6 20" xfId="37573"/>
    <cellStyle name="Normale 3 6 6 3" xfId="2371"/>
    <cellStyle name="Normale 3 6 6 3 2" xfId="9834"/>
    <cellStyle name="Normale 3 6 6 3 3" xfId="17242"/>
    <cellStyle name="Normale 3 6 6 3 4" xfId="23582"/>
    <cellStyle name="Normale 3 6 6 4" xfId="3293"/>
    <cellStyle name="Normale 3 6 6 4 2" xfId="10756"/>
    <cellStyle name="Normale 3 6 6 4 3" xfId="18164"/>
    <cellStyle name="Normale 3 6 6 4 4" xfId="29222"/>
    <cellStyle name="Normale 3 6 6 5" xfId="4226"/>
    <cellStyle name="Normale 3 6 6 5 2" xfId="11689"/>
    <cellStyle name="Normale 3 6 6 5 3" xfId="19097"/>
    <cellStyle name="Normale 3 6 6 5 4" xfId="23346"/>
    <cellStyle name="Normale 3 6 6 6" xfId="5149"/>
    <cellStyle name="Normale 3 6 6 6 2" xfId="12612"/>
    <cellStyle name="Normale 3 6 6 6 3" xfId="20020"/>
    <cellStyle name="Normale 3 6 6 6 4" xfId="27660"/>
    <cellStyle name="Normale 3 6 6 7" xfId="6077"/>
    <cellStyle name="Normale 3 6 6 7 2" xfId="13540"/>
    <cellStyle name="Normale 3 6 6 7 3" xfId="20948"/>
    <cellStyle name="Normale 3 6 6 7 4" xfId="28992"/>
    <cellStyle name="Normale 3 6 6 8" xfId="6995"/>
    <cellStyle name="Normale 3 6 6 8 2" xfId="14458"/>
    <cellStyle name="Normale 3 6 6 8 3" xfId="21866"/>
    <cellStyle name="Normale 3 6 6 8 4" xfId="23793"/>
    <cellStyle name="Normale 3 6 6 9" xfId="7936"/>
    <cellStyle name="Normale 3 6 7" xfId="521"/>
    <cellStyle name="Normale 3 6 7 10" xfId="15394"/>
    <cellStyle name="Normale 3 6 7 11" xfId="28227"/>
    <cellStyle name="Normale 3 6 7 12" xfId="30205"/>
    <cellStyle name="Normale 3 6 7 13" xfId="31138"/>
    <cellStyle name="Normale 3 6 7 14" xfId="32058"/>
    <cellStyle name="Normale 3 6 7 15" xfId="32980"/>
    <cellStyle name="Normale 3 6 7 16" xfId="33921"/>
    <cellStyle name="Normale 3 6 7 17" xfId="34851"/>
    <cellStyle name="Normale 3 6 7 18" xfId="35777"/>
    <cellStyle name="Normale 3 6 7 19" xfId="36703"/>
    <cellStyle name="Normale 3 6 7 2" xfId="1488"/>
    <cellStyle name="Normale 3 6 7 2 2" xfId="8951"/>
    <cellStyle name="Normale 3 6 7 2 3" xfId="16359"/>
    <cellStyle name="Normale 3 6 7 2 4" xfId="23608"/>
    <cellStyle name="Normale 3 6 7 20" xfId="37619"/>
    <cellStyle name="Normale 3 6 7 3" xfId="2419"/>
    <cellStyle name="Normale 3 6 7 3 2" xfId="9882"/>
    <cellStyle name="Normale 3 6 7 3 3" xfId="17290"/>
    <cellStyle name="Normale 3 6 7 3 4" xfId="22470"/>
    <cellStyle name="Normale 3 6 7 4" xfId="3340"/>
    <cellStyle name="Normale 3 6 7 4 2" xfId="10803"/>
    <cellStyle name="Normale 3 6 7 4 3" xfId="18211"/>
    <cellStyle name="Normale 3 6 7 4 4" xfId="24833"/>
    <cellStyle name="Normale 3 6 7 5" xfId="4274"/>
    <cellStyle name="Normale 3 6 7 5 2" xfId="11737"/>
    <cellStyle name="Normale 3 6 7 5 3" xfId="19145"/>
    <cellStyle name="Normale 3 6 7 5 4" xfId="24869"/>
    <cellStyle name="Normale 3 6 7 6" xfId="5196"/>
    <cellStyle name="Normale 3 6 7 6 2" xfId="12659"/>
    <cellStyle name="Normale 3 6 7 6 3" xfId="20067"/>
    <cellStyle name="Normale 3 6 7 6 4" xfId="27916"/>
    <cellStyle name="Normale 3 6 7 7" xfId="6125"/>
    <cellStyle name="Normale 3 6 7 7 2" xfId="13588"/>
    <cellStyle name="Normale 3 6 7 7 3" xfId="20996"/>
    <cellStyle name="Normale 3 6 7 7 4" xfId="28084"/>
    <cellStyle name="Normale 3 6 7 8" xfId="7041"/>
    <cellStyle name="Normale 3 6 7 8 2" xfId="14504"/>
    <cellStyle name="Normale 3 6 7 8 3" xfId="21912"/>
    <cellStyle name="Normale 3 6 7 8 4" xfId="25762"/>
    <cellStyle name="Normale 3 6 7 9" xfId="7984"/>
    <cellStyle name="Normale 3 6 8" xfId="573"/>
    <cellStyle name="Normale 3 6 8 10" xfId="15446"/>
    <cellStyle name="Normale 3 6 8 11" xfId="22958"/>
    <cellStyle name="Normale 3 6 8 12" xfId="30256"/>
    <cellStyle name="Normale 3 6 8 13" xfId="31190"/>
    <cellStyle name="Normale 3 6 8 14" xfId="32109"/>
    <cellStyle name="Normale 3 6 8 15" xfId="33030"/>
    <cellStyle name="Normale 3 6 8 16" xfId="33973"/>
    <cellStyle name="Normale 3 6 8 17" xfId="34903"/>
    <cellStyle name="Normale 3 6 8 18" xfId="35829"/>
    <cellStyle name="Normale 3 6 8 19" xfId="36755"/>
    <cellStyle name="Normale 3 6 8 2" xfId="1540"/>
    <cellStyle name="Normale 3 6 8 2 2" xfId="9003"/>
    <cellStyle name="Normale 3 6 8 2 3" xfId="16411"/>
    <cellStyle name="Normale 3 6 8 2 4" xfId="28198"/>
    <cellStyle name="Normale 3 6 8 20" xfId="37669"/>
    <cellStyle name="Normale 3 6 8 3" xfId="2471"/>
    <cellStyle name="Normale 3 6 8 3 2" xfId="9934"/>
    <cellStyle name="Normale 3 6 8 3 3" xfId="17342"/>
    <cellStyle name="Normale 3 6 8 3 4" xfId="27495"/>
    <cellStyle name="Normale 3 6 8 4" xfId="3391"/>
    <cellStyle name="Normale 3 6 8 4 2" xfId="10854"/>
    <cellStyle name="Normale 3 6 8 4 3" xfId="18262"/>
    <cellStyle name="Normale 3 6 8 4 4" xfId="27567"/>
    <cellStyle name="Normale 3 6 8 5" xfId="4326"/>
    <cellStyle name="Normale 3 6 8 5 2" xfId="11789"/>
    <cellStyle name="Normale 3 6 8 5 3" xfId="19197"/>
    <cellStyle name="Normale 3 6 8 5 4" xfId="25367"/>
    <cellStyle name="Normale 3 6 8 6" xfId="5247"/>
    <cellStyle name="Normale 3 6 8 6 2" xfId="12710"/>
    <cellStyle name="Normale 3 6 8 6 3" xfId="20118"/>
    <cellStyle name="Normale 3 6 8 6 4" xfId="25344"/>
    <cellStyle name="Normale 3 6 8 7" xfId="6177"/>
    <cellStyle name="Normale 3 6 8 7 2" xfId="13640"/>
    <cellStyle name="Normale 3 6 8 7 3" xfId="21048"/>
    <cellStyle name="Normale 3 6 8 7 4" xfId="25692"/>
    <cellStyle name="Normale 3 6 8 8" xfId="7091"/>
    <cellStyle name="Normale 3 6 8 8 2" xfId="14554"/>
    <cellStyle name="Normale 3 6 8 8 3" xfId="21962"/>
    <cellStyle name="Normale 3 6 8 8 4" xfId="23466"/>
    <cellStyle name="Normale 3 6 8 9" xfId="8036"/>
    <cellStyle name="Normale 3 6 9" xfId="633"/>
    <cellStyle name="Normale 3 6 9 10" xfId="15505"/>
    <cellStyle name="Normale 3 6 9 11" xfId="25465"/>
    <cellStyle name="Normale 3 6 9 12" xfId="30312"/>
    <cellStyle name="Normale 3 6 9 13" xfId="31249"/>
    <cellStyle name="Normale 3 6 9 14" xfId="32166"/>
    <cellStyle name="Normale 3 6 9 15" xfId="33085"/>
    <cellStyle name="Normale 3 6 9 16" xfId="34032"/>
    <cellStyle name="Normale 3 6 9 17" xfId="34963"/>
    <cellStyle name="Normale 3 6 9 18" xfId="35889"/>
    <cellStyle name="Normale 3 6 9 19" xfId="36814"/>
    <cellStyle name="Normale 3 6 9 2" xfId="1599"/>
    <cellStyle name="Normale 3 6 9 2 2" xfId="9062"/>
    <cellStyle name="Normale 3 6 9 2 3" xfId="16470"/>
    <cellStyle name="Normale 3 6 9 2 4" xfId="25247"/>
    <cellStyle name="Normale 3 6 9 20" xfId="37724"/>
    <cellStyle name="Normale 3 6 9 3" xfId="2531"/>
    <cellStyle name="Normale 3 6 9 3 2" xfId="9994"/>
    <cellStyle name="Normale 3 6 9 3 3" xfId="17402"/>
    <cellStyle name="Normale 3 6 9 3 4" xfId="23388"/>
    <cellStyle name="Normale 3 6 9 4" xfId="3449"/>
    <cellStyle name="Normale 3 6 9 4 2" xfId="10912"/>
    <cellStyle name="Normale 3 6 9 4 3" xfId="18320"/>
    <cellStyle name="Normale 3 6 9 4 4" xfId="25652"/>
    <cellStyle name="Normale 3 6 9 5" xfId="4386"/>
    <cellStyle name="Normale 3 6 9 5 2" xfId="11849"/>
    <cellStyle name="Normale 3 6 9 5 3" xfId="19257"/>
    <cellStyle name="Normale 3 6 9 5 4" xfId="29640"/>
    <cellStyle name="Normale 3 6 9 6" xfId="5304"/>
    <cellStyle name="Normale 3 6 9 6 2" xfId="12767"/>
    <cellStyle name="Normale 3 6 9 6 3" xfId="20175"/>
    <cellStyle name="Normale 3 6 9 6 4" xfId="24233"/>
    <cellStyle name="Normale 3 6 9 7" xfId="6237"/>
    <cellStyle name="Normale 3 6 9 7 2" xfId="13700"/>
    <cellStyle name="Normale 3 6 9 7 3" xfId="21108"/>
    <cellStyle name="Normale 3 6 9 7 4" xfId="28338"/>
    <cellStyle name="Normale 3 6 9 8" xfId="7146"/>
    <cellStyle name="Normale 3 6 9 8 2" xfId="14609"/>
    <cellStyle name="Normale 3 6 9 8 3" xfId="22017"/>
    <cellStyle name="Normale 3 6 9 8 4" xfId="26225"/>
    <cellStyle name="Normale 3 6 9 9" xfId="8096"/>
    <cellStyle name="Normale 3 7" xfId="110"/>
    <cellStyle name="Normale 3 7 10" xfId="712"/>
    <cellStyle name="Normale 3 7 10 10" xfId="15583"/>
    <cellStyle name="Normale 3 7 10 11" xfId="23232"/>
    <cellStyle name="Normale 3 7 10 12" xfId="30386"/>
    <cellStyle name="Normale 3 7 10 13" xfId="31327"/>
    <cellStyle name="Normale 3 7 10 14" xfId="32240"/>
    <cellStyle name="Normale 3 7 10 15" xfId="33158"/>
    <cellStyle name="Normale 3 7 10 16" xfId="34110"/>
    <cellStyle name="Normale 3 7 10 17" xfId="35042"/>
    <cellStyle name="Normale 3 7 10 18" xfId="35968"/>
    <cellStyle name="Normale 3 7 10 19" xfId="36893"/>
    <cellStyle name="Normale 3 7 10 2" xfId="1677"/>
    <cellStyle name="Normale 3 7 10 2 2" xfId="9140"/>
    <cellStyle name="Normale 3 7 10 2 3" xfId="16548"/>
    <cellStyle name="Normale 3 7 10 2 4" xfId="27272"/>
    <cellStyle name="Normale 3 7 10 20" xfId="37797"/>
    <cellStyle name="Normale 3 7 10 3" xfId="2610"/>
    <cellStyle name="Normale 3 7 10 3 2" xfId="10073"/>
    <cellStyle name="Normale 3 7 10 3 3" xfId="17481"/>
    <cellStyle name="Normale 3 7 10 3 4" xfId="22747"/>
    <cellStyle name="Normale 3 7 10 4" xfId="3526"/>
    <cellStyle name="Normale 3 7 10 4 2" xfId="10989"/>
    <cellStyle name="Normale 3 7 10 4 3" xfId="18397"/>
    <cellStyle name="Normale 3 7 10 4 4" xfId="27229"/>
    <cellStyle name="Normale 3 7 10 5" xfId="4465"/>
    <cellStyle name="Normale 3 7 10 5 2" xfId="11928"/>
    <cellStyle name="Normale 3 7 10 5 3" xfId="19336"/>
    <cellStyle name="Normale 3 7 10 5 4" xfId="25646"/>
    <cellStyle name="Normale 3 7 10 6" xfId="5381"/>
    <cellStyle name="Normale 3 7 10 6 2" xfId="12844"/>
    <cellStyle name="Normale 3 7 10 6 3" xfId="20252"/>
    <cellStyle name="Normale 3 7 10 6 4" xfId="27177"/>
    <cellStyle name="Normale 3 7 10 7" xfId="6314"/>
    <cellStyle name="Normale 3 7 10 7 2" xfId="13777"/>
    <cellStyle name="Normale 3 7 10 7 3" xfId="21185"/>
    <cellStyle name="Normale 3 7 10 7 4" xfId="22770"/>
    <cellStyle name="Normale 3 7 10 8" xfId="7219"/>
    <cellStyle name="Normale 3 7 10 8 2" xfId="14682"/>
    <cellStyle name="Normale 3 7 10 8 3" xfId="22090"/>
    <cellStyle name="Normale 3 7 10 8 4" xfId="26507"/>
    <cellStyle name="Normale 3 7 10 9" xfId="8175"/>
    <cellStyle name="Normale 3 7 11" xfId="784"/>
    <cellStyle name="Normale 3 7 11 10" xfId="15655"/>
    <cellStyle name="Normale 3 7 11 11" xfId="26356"/>
    <cellStyle name="Normale 3 7 11 12" xfId="30456"/>
    <cellStyle name="Normale 3 7 11 13" xfId="31399"/>
    <cellStyle name="Normale 3 7 11 14" xfId="32311"/>
    <cellStyle name="Normale 3 7 11 15" xfId="33227"/>
    <cellStyle name="Normale 3 7 11 16" xfId="34182"/>
    <cellStyle name="Normale 3 7 11 17" xfId="35114"/>
    <cellStyle name="Normale 3 7 11 18" xfId="36040"/>
    <cellStyle name="Normale 3 7 11 19" xfId="36965"/>
    <cellStyle name="Normale 3 7 11 2" xfId="1749"/>
    <cellStyle name="Normale 3 7 11 2 2" xfId="9212"/>
    <cellStyle name="Normale 3 7 11 2 3" xfId="16620"/>
    <cellStyle name="Normale 3 7 11 2 4" xfId="27775"/>
    <cellStyle name="Normale 3 7 11 20" xfId="37866"/>
    <cellStyle name="Normale 3 7 11 3" xfId="2682"/>
    <cellStyle name="Normale 3 7 11 3 2" xfId="10145"/>
    <cellStyle name="Normale 3 7 11 3 3" xfId="17553"/>
    <cellStyle name="Normale 3 7 11 3 4" xfId="23242"/>
    <cellStyle name="Normale 3 7 11 4" xfId="3597"/>
    <cellStyle name="Normale 3 7 11 4 2" xfId="11060"/>
    <cellStyle name="Normale 3 7 11 4 3" xfId="18468"/>
    <cellStyle name="Normale 3 7 11 4 4" xfId="29220"/>
    <cellStyle name="Normale 3 7 11 5" xfId="4537"/>
    <cellStyle name="Normale 3 7 11 5 2" xfId="12000"/>
    <cellStyle name="Normale 3 7 11 5 3" xfId="19408"/>
    <cellStyle name="Normale 3 7 11 5 4" xfId="27202"/>
    <cellStyle name="Normale 3 7 11 6" xfId="5452"/>
    <cellStyle name="Normale 3 7 11 6 2" xfId="12915"/>
    <cellStyle name="Normale 3 7 11 6 3" xfId="20323"/>
    <cellStyle name="Normale 3 7 11 6 4" xfId="28681"/>
    <cellStyle name="Normale 3 7 11 7" xfId="6386"/>
    <cellStyle name="Normale 3 7 11 7 2" xfId="13849"/>
    <cellStyle name="Normale 3 7 11 7 3" xfId="21257"/>
    <cellStyle name="Normale 3 7 11 7 4" xfId="24402"/>
    <cellStyle name="Normale 3 7 11 8" xfId="7288"/>
    <cellStyle name="Normale 3 7 11 8 2" xfId="14751"/>
    <cellStyle name="Normale 3 7 11 8 3" xfId="22159"/>
    <cellStyle name="Normale 3 7 11 8 4" xfId="24038"/>
    <cellStyle name="Normale 3 7 11 9" xfId="8247"/>
    <cellStyle name="Normale 3 7 12" xfId="857"/>
    <cellStyle name="Normale 3 7 12 10" xfId="15728"/>
    <cellStyle name="Normale 3 7 12 11" xfId="25955"/>
    <cellStyle name="Normale 3 7 12 12" xfId="30526"/>
    <cellStyle name="Normale 3 7 12 13" xfId="31472"/>
    <cellStyle name="Normale 3 7 12 14" xfId="32383"/>
    <cellStyle name="Normale 3 7 12 15" xfId="33296"/>
    <cellStyle name="Normale 3 7 12 16" xfId="34255"/>
    <cellStyle name="Normale 3 7 12 17" xfId="35187"/>
    <cellStyle name="Normale 3 7 12 18" xfId="36113"/>
    <cellStyle name="Normale 3 7 12 19" xfId="37038"/>
    <cellStyle name="Normale 3 7 12 2" xfId="1822"/>
    <cellStyle name="Normale 3 7 12 2 2" xfId="9285"/>
    <cellStyle name="Normale 3 7 12 2 3" xfId="16693"/>
    <cellStyle name="Normale 3 7 12 2 4" xfId="23595"/>
    <cellStyle name="Normale 3 7 12 20" xfId="37935"/>
    <cellStyle name="Normale 3 7 12 3" xfId="2755"/>
    <cellStyle name="Normale 3 7 12 3 2" xfId="10218"/>
    <cellStyle name="Normale 3 7 12 3 3" xfId="17626"/>
    <cellStyle name="Normale 3 7 12 3 4" xfId="28892"/>
    <cellStyle name="Normale 3 7 12 4" xfId="3669"/>
    <cellStyle name="Normale 3 7 12 4 2" xfId="11132"/>
    <cellStyle name="Normale 3 7 12 4 3" xfId="18540"/>
    <cellStyle name="Normale 3 7 12 4 4" xfId="28868"/>
    <cellStyle name="Normale 3 7 12 5" xfId="4610"/>
    <cellStyle name="Normale 3 7 12 5 2" xfId="12073"/>
    <cellStyle name="Normale 3 7 12 5 3" xfId="19481"/>
    <cellStyle name="Normale 3 7 12 5 4" xfId="23337"/>
    <cellStyle name="Normale 3 7 12 6" xfId="5524"/>
    <cellStyle name="Normale 3 7 12 6 2" xfId="12987"/>
    <cellStyle name="Normale 3 7 12 6 3" xfId="20395"/>
    <cellStyle name="Normale 3 7 12 6 4" xfId="25336"/>
    <cellStyle name="Normale 3 7 12 7" xfId="6459"/>
    <cellStyle name="Normale 3 7 12 7 2" xfId="13922"/>
    <cellStyle name="Normale 3 7 12 7 3" xfId="21330"/>
    <cellStyle name="Normale 3 7 12 7 4" xfId="28076"/>
    <cellStyle name="Normale 3 7 12 8" xfId="7357"/>
    <cellStyle name="Normale 3 7 12 8 2" xfId="14820"/>
    <cellStyle name="Normale 3 7 12 8 3" xfId="22228"/>
    <cellStyle name="Normale 3 7 12 8 4" xfId="24930"/>
    <cellStyle name="Normale 3 7 12 9" xfId="8320"/>
    <cellStyle name="Normale 3 7 13" xfId="927"/>
    <cellStyle name="Normale 3 7 13 10" xfId="15798"/>
    <cellStyle name="Normale 3 7 13 11" xfId="27561"/>
    <cellStyle name="Normale 3 7 13 12" xfId="30593"/>
    <cellStyle name="Normale 3 7 13 13" xfId="31541"/>
    <cellStyle name="Normale 3 7 13 14" xfId="32452"/>
    <cellStyle name="Normale 3 7 13 15" xfId="33362"/>
    <cellStyle name="Normale 3 7 13 16" xfId="34325"/>
    <cellStyle name="Normale 3 7 13 17" xfId="35257"/>
    <cellStyle name="Normale 3 7 13 18" xfId="36182"/>
    <cellStyle name="Normale 3 7 13 19" xfId="37108"/>
    <cellStyle name="Normale 3 7 13 2" xfId="1892"/>
    <cellStyle name="Normale 3 7 13 2 2" xfId="9355"/>
    <cellStyle name="Normale 3 7 13 2 3" xfId="16763"/>
    <cellStyle name="Normale 3 7 13 2 4" xfId="25938"/>
    <cellStyle name="Normale 3 7 13 20" xfId="38001"/>
    <cellStyle name="Normale 3 7 13 3" xfId="2824"/>
    <cellStyle name="Normale 3 7 13 3 2" xfId="10287"/>
    <cellStyle name="Normale 3 7 13 3 3" xfId="17695"/>
    <cellStyle name="Normale 3 7 13 3 4" xfId="23574"/>
    <cellStyle name="Normale 3 7 13 4" xfId="3739"/>
    <cellStyle name="Normale 3 7 13 4 2" xfId="11202"/>
    <cellStyle name="Normale 3 7 13 4 3" xfId="18610"/>
    <cellStyle name="Normale 3 7 13 4 4" xfId="23714"/>
    <cellStyle name="Normale 3 7 13 5" xfId="4680"/>
    <cellStyle name="Normale 3 7 13 5 2" xfId="12143"/>
    <cellStyle name="Normale 3 7 13 5 3" xfId="19551"/>
    <cellStyle name="Normale 3 7 13 5 4" xfId="25170"/>
    <cellStyle name="Normale 3 7 13 6" xfId="5594"/>
    <cellStyle name="Normale 3 7 13 6 2" xfId="13057"/>
    <cellStyle name="Normale 3 7 13 6 3" xfId="20465"/>
    <cellStyle name="Normale 3 7 13 6 4" xfId="27752"/>
    <cellStyle name="Normale 3 7 13 7" xfId="6529"/>
    <cellStyle name="Normale 3 7 13 7 2" xfId="13992"/>
    <cellStyle name="Normale 3 7 13 7 3" xfId="21400"/>
    <cellStyle name="Normale 3 7 13 7 4" xfId="22554"/>
    <cellStyle name="Normale 3 7 13 8" xfId="7423"/>
    <cellStyle name="Normale 3 7 13 8 2" xfId="14886"/>
    <cellStyle name="Normale 3 7 13 8 3" xfId="22294"/>
    <cellStyle name="Normale 3 7 13 8 4" xfId="24978"/>
    <cellStyle name="Normale 3 7 13 9" xfId="8390"/>
    <cellStyle name="Normale 3 7 14" xfId="1083"/>
    <cellStyle name="Normale 3 7 14 2" xfId="8546"/>
    <cellStyle name="Normale 3 7 14 3" xfId="15954"/>
    <cellStyle name="Normale 3 7 14 4" xfId="23778"/>
    <cellStyle name="Normale 3 7 15" xfId="2010"/>
    <cellStyle name="Normale 3 7 15 2" xfId="9473"/>
    <cellStyle name="Normale 3 7 15 3" xfId="16881"/>
    <cellStyle name="Normale 3 7 15 4" xfId="24806"/>
    <cellStyle name="Normale 3 7 16" xfId="2936"/>
    <cellStyle name="Normale 3 7 16 2" xfId="10399"/>
    <cellStyle name="Normale 3 7 16 3" xfId="17807"/>
    <cellStyle name="Normale 3 7 16 4" xfId="24594"/>
    <cellStyle name="Normale 3 7 17" xfId="3865"/>
    <cellStyle name="Normale 3 7 17 2" xfId="11328"/>
    <cellStyle name="Normale 3 7 17 3" xfId="18736"/>
    <cellStyle name="Normale 3 7 17 4" xfId="25366"/>
    <cellStyle name="Normale 3 7 18" xfId="4792"/>
    <cellStyle name="Normale 3 7 18 2" xfId="12255"/>
    <cellStyle name="Normale 3 7 18 3" xfId="19663"/>
    <cellStyle name="Normale 3 7 18 4" xfId="26475"/>
    <cellStyle name="Normale 3 7 19" xfId="5719"/>
    <cellStyle name="Normale 3 7 19 2" xfId="13182"/>
    <cellStyle name="Normale 3 7 19 3" xfId="20590"/>
    <cellStyle name="Normale 3 7 19 4" xfId="27475"/>
    <cellStyle name="Normale 3 7 2" xfId="111"/>
    <cellStyle name="Normale 3 7 2 10" xfId="6642"/>
    <cellStyle name="Normale 3 7 2 10 2" xfId="14105"/>
    <cellStyle name="Normale 3 7 2 10 3" xfId="21513"/>
    <cellStyle name="Normale 3 7 2 10 4" xfId="22726"/>
    <cellStyle name="Normale 3 7 2 11" xfId="7576"/>
    <cellStyle name="Normale 3 7 2 12" xfId="14985"/>
    <cellStyle name="Normale 3 7 2 13" xfId="28643"/>
    <cellStyle name="Normale 3 7 2 14" xfId="29802"/>
    <cellStyle name="Normale 3 7 2 15" xfId="30732"/>
    <cellStyle name="Normale 3 7 2 16" xfId="31655"/>
    <cellStyle name="Normale 3 7 2 17" xfId="32581"/>
    <cellStyle name="Normale 3 7 2 18" xfId="33515"/>
    <cellStyle name="Normale 3 7 2 19" xfId="34443"/>
    <cellStyle name="Normale 3 7 2 2" xfId="112"/>
    <cellStyle name="Normale 3 7 2 2 10" xfId="7577"/>
    <cellStyle name="Normale 3 7 2 2 11" xfId="14986"/>
    <cellStyle name="Normale 3 7 2 2 12" xfId="27716"/>
    <cellStyle name="Normale 3 7 2 2 13" xfId="29803"/>
    <cellStyle name="Normale 3 7 2 2 14" xfId="30733"/>
    <cellStyle name="Normale 3 7 2 2 15" xfId="31656"/>
    <cellStyle name="Normale 3 7 2 2 16" xfId="32582"/>
    <cellStyle name="Normale 3 7 2 2 17" xfId="33516"/>
    <cellStyle name="Normale 3 7 2 2 18" xfId="34444"/>
    <cellStyle name="Normale 3 7 2 2 19" xfId="35372"/>
    <cellStyle name="Normale 3 7 2 2 2" xfId="310"/>
    <cellStyle name="Normale 3 7 2 2 2 10" xfId="15183"/>
    <cellStyle name="Normale 3 7 2 2 2 11" xfId="24760"/>
    <cellStyle name="Normale 3 7 2 2 2 12" xfId="29995"/>
    <cellStyle name="Normale 3 7 2 2 2 13" xfId="30927"/>
    <cellStyle name="Normale 3 7 2 2 2 14" xfId="31848"/>
    <cellStyle name="Normale 3 7 2 2 2 15" xfId="32773"/>
    <cellStyle name="Normale 3 7 2 2 2 16" xfId="33710"/>
    <cellStyle name="Normale 3 7 2 2 2 17" xfId="34640"/>
    <cellStyle name="Normale 3 7 2 2 2 18" xfId="35566"/>
    <cellStyle name="Normale 3 7 2 2 2 19" xfId="36492"/>
    <cellStyle name="Normale 3 7 2 2 2 2" xfId="1277"/>
    <cellStyle name="Normale 3 7 2 2 2 2 2" xfId="8740"/>
    <cellStyle name="Normale 3 7 2 2 2 2 3" xfId="16148"/>
    <cellStyle name="Normale 3 7 2 2 2 2 4" xfId="28016"/>
    <cellStyle name="Normale 3 7 2 2 2 20" xfId="37412"/>
    <cellStyle name="Normale 3 7 2 2 2 3" xfId="2208"/>
    <cellStyle name="Normale 3 7 2 2 2 3 2" xfId="9671"/>
    <cellStyle name="Normale 3 7 2 2 2 3 3" xfId="17079"/>
    <cellStyle name="Normale 3 7 2 2 2 3 4" xfId="26538"/>
    <cellStyle name="Normale 3 7 2 2 2 4" xfId="3130"/>
    <cellStyle name="Normale 3 7 2 2 2 4 2" xfId="10593"/>
    <cellStyle name="Normale 3 7 2 2 2 4 3" xfId="18001"/>
    <cellStyle name="Normale 3 7 2 2 2 4 4" xfId="26328"/>
    <cellStyle name="Normale 3 7 2 2 2 5" xfId="4063"/>
    <cellStyle name="Normale 3 7 2 2 2 5 2" xfId="11526"/>
    <cellStyle name="Normale 3 7 2 2 2 5 3" xfId="18934"/>
    <cellStyle name="Normale 3 7 2 2 2 5 4" xfId="26305"/>
    <cellStyle name="Normale 3 7 2 2 2 6" xfId="4986"/>
    <cellStyle name="Normale 3 7 2 2 2 6 2" xfId="12449"/>
    <cellStyle name="Normale 3 7 2 2 2 6 3" xfId="19857"/>
    <cellStyle name="Normale 3 7 2 2 2 6 4" xfId="23326"/>
    <cellStyle name="Normale 3 7 2 2 2 7" xfId="5914"/>
    <cellStyle name="Normale 3 7 2 2 2 7 2" xfId="13377"/>
    <cellStyle name="Normale 3 7 2 2 2 7 3" xfId="20785"/>
    <cellStyle name="Normale 3 7 2 2 2 7 4" xfId="24723"/>
    <cellStyle name="Normale 3 7 2 2 2 8" xfId="6834"/>
    <cellStyle name="Normale 3 7 2 2 2 8 2" xfId="14297"/>
    <cellStyle name="Normale 3 7 2 2 2 8 3" xfId="21705"/>
    <cellStyle name="Normale 3 7 2 2 2 8 4" xfId="25530"/>
    <cellStyle name="Normale 3 7 2 2 2 9" xfId="7773"/>
    <cellStyle name="Normale 3 7 2 2 20" xfId="36298"/>
    <cellStyle name="Normale 3 7 2 2 21" xfId="37221"/>
    <cellStyle name="Normale 3 7 2 2 3" xfId="1085"/>
    <cellStyle name="Normale 3 7 2 2 3 2" xfId="8548"/>
    <cellStyle name="Normale 3 7 2 2 3 3" xfId="15956"/>
    <cellStyle name="Normale 3 7 2 2 3 4" xfId="29236"/>
    <cellStyle name="Normale 3 7 2 2 4" xfId="2012"/>
    <cellStyle name="Normale 3 7 2 2 4 2" xfId="9475"/>
    <cellStyle name="Normale 3 7 2 2 4 3" xfId="16883"/>
    <cellStyle name="Normale 3 7 2 2 4 4" xfId="22895"/>
    <cellStyle name="Normale 3 7 2 2 5" xfId="2938"/>
    <cellStyle name="Normale 3 7 2 2 5 2" xfId="10401"/>
    <cellStyle name="Normale 3 7 2 2 5 3" xfId="17809"/>
    <cellStyle name="Normale 3 7 2 2 5 4" xfId="22642"/>
    <cellStyle name="Normale 3 7 2 2 6" xfId="3867"/>
    <cellStyle name="Normale 3 7 2 2 6 2" xfId="11330"/>
    <cellStyle name="Normale 3 7 2 2 6 3" xfId="18738"/>
    <cellStyle name="Normale 3 7 2 2 6 4" xfId="23531"/>
    <cellStyle name="Normale 3 7 2 2 7" xfId="4794"/>
    <cellStyle name="Normale 3 7 2 2 7 2" xfId="12257"/>
    <cellStyle name="Normale 3 7 2 2 7 3" xfId="19665"/>
    <cellStyle name="Normale 3 7 2 2 7 4" xfId="24630"/>
    <cellStyle name="Normale 3 7 2 2 8" xfId="5721"/>
    <cellStyle name="Normale 3 7 2 2 8 2" xfId="13184"/>
    <cellStyle name="Normale 3 7 2 2 8 3" xfId="20592"/>
    <cellStyle name="Normale 3 7 2 2 8 4" xfId="25638"/>
    <cellStyle name="Normale 3 7 2 2 9" xfId="6643"/>
    <cellStyle name="Normale 3 7 2 2 9 2" xfId="14106"/>
    <cellStyle name="Normale 3 7 2 2 9 3" xfId="21514"/>
    <cellStyle name="Normale 3 7 2 2 9 4" xfId="29156"/>
    <cellStyle name="Normale 3 7 2 20" xfId="35371"/>
    <cellStyle name="Normale 3 7 2 21" xfId="36297"/>
    <cellStyle name="Normale 3 7 2 22" xfId="37220"/>
    <cellStyle name="Normale 3 7 2 3" xfId="309"/>
    <cellStyle name="Normale 3 7 2 3 10" xfId="15182"/>
    <cellStyle name="Normale 3 7 2 3 11" xfId="25674"/>
    <cellStyle name="Normale 3 7 2 3 12" xfId="29994"/>
    <cellStyle name="Normale 3 7 2 3 13" xfId="30926"/>
    <cellStyle name="Normale 3 7 2 3 14" xfId="31847"/>
    <cellStyle name="Normale 3 7 2 3 15" xfId="32772"/>
    <cellStyle name="Normale 3 7 2 3 16" xfId="33709"/>
    <cellStyle name="Normale 3 7 2 3 17" xfId="34639"/>
    <cellStyle name="Normale 3 7 2 3 18" xfId="35565"/>
    <cellStyle name="Normale 3 7 2 3 19" xfId="36491"/>
    <cellStyle name="Normale 3 7 2 3 2" xfId="1276"/>
    <cellStyle name="Normale 3 7 2 3 2 2" xfId="8739"/>
    <cellStyle name="Normale 3 7 2 3 2 3" xfId="16147"/>
    <cellStyle name="Normale 3 7 2 3 2 4" xfId="28929"/>
    <cellStyle name="Normale 3 7 2 3 20" xfId="37411"/>
    <cellStyle name="Normale 3 7 2 3 3" xfId="2207"/>
    <cellStyle name="Normale 3 7 2 3 3 2" xfId="9670"/>
    <cellStyle name="Normale 3 7 2 3 3 3" xfId="17078"/>
    <cellStyle name="Normale 3 7 2 3 3 4" xfId="27446"/>
    <cellStyle name="Normale 3 7 2 3 4" xfId="3129"/>
    <cellStyle name="Normale 3 7 2 3 4 2" xfId="10592"/>
    <cellStyle name="Normale 3 7 2 3 4 3" xfId="18000"/>
    <cellStyle name="Normale 3 7 2 3 4 4" xfId="27238"/>
    <cellStyle name="Normale 3 7 2 3 5" xfId="4062"/>
    <cellStyle name="Normale 3 7 2 3 5 2" xfId="11525"/>
    <cellStyle name="Normale 3 7 2 3 5 3" xfId="18933"/>
    <cellStyle name="Normale 3 7 2 3 5 4" xfId="27215"/>
    <cellStyle name="Normale 3 7 2 3 6" xfId="4985"/>
    <cellStyle name="Normale 3 7 2 3 6 2" xfId="12448"/>
    <cellStyle name="Normale 3 7 2 3 6 3" xfId="19856"/>
    <cellStyle name="Normale 3 7 2 3 6 4" xfId="24242"/>
    <cellStyle name="Normale 3 7 2 3 7" xfId="5913"/>
    <cellStyle name="Normale 3 7 2 3 7 2" xfId="13376"/>
    <cellStyle name="Normale 3 7 2 3 7 3" xfId="20784"/>
    <cellStyle name="Normale 3 7 2 3 7 4" xfId="25637"/>
    <cellStyle name="Normale 3 7 2 3 8" xfId="6833"/>
    <cellStyle name="Normale 3 7 2 3 8 2" xfId="14296"/>
    <cellStyle name="Normale 3 7 2 3 8 3" xfId="21704"/>
    <cellStyle name="Normale 3 7 2 3 8 4" xfId="26974"/>
    <cellStyle name="Normale 3 7 2 3 9" xfId="7772"/>
    <cellStyle name="Normale 3 7 2 4" xfId="1084"/>
    <cellStyle name="Normale 3 7 2 4 2" xfId="8547"/>
    <cellStyle name="Normale 3 7 2 4 3" xfId="15955"/>
    <cellStyle name="Normale 3 7 2 4 4" xfId="22806"/>
    <cellStyle name="Normale 3 7 2 5" xfId="2011"/>
    <cellStyle name="Normale 3 7 2 5 2" xfId="9474"/>
    <cellStyle name="Normale 3 7 2 5 3" xfId="16882"/>
    <cellStyle name="Normale 3 7 2 5 4" xfId="23882"/>
    <cellStyle name="Normale 3 7 2 6" xfId="2937"/>
    <cellStyle name="Normale 3 7 2 6 2" xfId="10400"/>
    <cellStyle name="Normale 3 7 2 6 3" xfId="17808"/>
    <cellStyle name="Normale 3 7 2 6 4" xfId="23673"/>
    <cellStyle name="Normale 3 7 2 7" xfId="3866"/>
    <cellStyle name="Normale 3 7 2 7 2" xfId="11329"/>
    <cellStyle name="Normale 3 7 2 7 3" xfId="18737"/>
    <cellStyle name="Normale 3 7 2 7 4" xfId="24450"/>
    <cellStyle name="Normale 3 7 2 8" xfId="4793"/>
    <cellStyle name="Normale 3 7 2 8 2" xfId="12256"/>
    <cellStyle name="Normale 3 7 2 8 3" xfId="19664"/>
    <cellStyle name="Normale 3 7 2 8 4" xfId="25547"/>
    <cellStyle name="Normale 3 7 2 9" xfId="5720"/>
    <cellStyle name="Normale 3 7 2 9 2" xfId="13183"/>
    <cellStyle name="Normale 3 7 2 9 3" xfId="20591"/>
    <cellStyle name="Normale 3 7 2 9 4" xfId="26568"/>
    <cellStyle name="Normale 3 7 20" xfId="6641"/>
    <cellStyle name="Normale 3 7 20 2" xfId="14104"/>
    <cellStyle name="Normale 3 7 20 3" xfId="21512"/>
    <cellStyle name="Normale 3 7 20 4" xfId="23697"/>
    <cellStyle name="Normale 3 7 21" xfId="7575"/>
    <cellStyle name="Normale 3 7 22" xfId="14984"/>
    <cellStyle name="Normale 3 7 23" xfId="29534"/>
    <cellStyle name="Normale 3 7 24" xfId="29801"/>
    <cellStyle name="Normale 3 7 25" xfId="30731"/>
    <cellStyle name="Normale 3 7 26" xfId="31654"/>
    <cellStyle name="Normale 3 7 27" xfId="32580"/>
    <cellStyle name="Normale 3 7 28" xfId="33514"/>
    <cellStyle name="Normale 3 7 29" xfId="34442"/>
    <cellStyle name="Normale 3 7 3" xfId="113"/>
    <cellStyle name="Normale 3 7 3 10" xfId="7578"/>
    <cellStyle name="Normale 3 7 3 11" xfId="14987"/>
    <cellStyle name="Normale 3 7 3 12" xfId="26813"/>
    <cellStyle name="Normale 3 7 3 13" xfId="29804"/>
    <cellStyle name="Normale 3 7 3 14" xfId="30734"/>
    <cellStyle name="Normale 3 7 3 15" xfId="31657"/>
    <cellStyle name="Normale 3 7 3 16" xfId="32583"/>
    <cellStyle name="Normale 3 7 3 17" xfId="33517"/>
    <cellStyle name="Normale 3 7 3 18" xfId="34445"/>
    <cellStyle name="Normale 3 7 3 19" xfId="35373"/>
    <cellStyle name="Normale 3 7 3 2" xfId="311"/>
    <cellStyle name="Normale 3 7 3 2 10" xfId="15184"/>
    <cellStyle name="Normale 3 7 3 2 11" xfId="23837"/>
    <cellStyle name="Normale 3 7 3 2 12" xfId="29996"/>
    <cellStyle name="Normale 3 7 3 2 13" xfId="30928"/>
    <cellStyle name="Normale 3 7 3 2 14" xfId="31849"/>
    <cellStyle name="Normale 3 7 3 2 15" xfId="32774"/>
    <cellStyle name="Normale 3 7 3 2 16" xfId="33711"/>
    <cellStyle name="Normale 3 7 3 2 17" xfId="34641"/>
    <cellStyle name="Normale 3 7 3 2 18" xfId="35567"/>
    <cellStyle name="Normale 3 7 3 2 19" xfId="36493"/>
    <cellStyle name="Normale 3 7 3 2 2" xfId="1278"/>
    <cellStyle name="Normale 3 7 3 2 2 2" xfId="8741"/>
    <cellStyle name="Normale 3 7 3 2 2 3" xfId="16149"/>
    <cellStyle name="Normale 3 7 3 2 2 4" xfId="27097"/>
    <cellStyle name="Normale 3 7 3 2 20" xfId="37413"/>
    <cellStyle name="Normale 3 7 3 2 3" xfId="2209"/>
    <cellStyle name="Normale 3 7 3 2 3 2" xfId="9672"/>
    <cellStyle name="Normale 3 7 3 2 3 3" xfId="17080"/>
    <cellStyle name="Normale 3 7 3 2 3 4" xfId="25609"/>
    <cellStyle name="Normale 3 7 3 2 4" xfId="3131"/>
    <cellStyle name="Normale 3 7 3 2 4 2" xfId="10594"/>
    <cellStyle name="Normale 3 7 3 2 4 3" xfId="18002"/>
    <cellStyle name="Normale 3 7 3 2 4 4" xfId="25401"/>
    <cellStyle name="Normale 3 7 3 2 5" xfId="4064"/>
    <cellStyle name="Normale 3 7 3 2 5 2" xfId="11527"/>
    <cellStyle name="Normale 3 7 3 2 5 3" xfId="18935"/>
    <cellStyle name="Normale 3 7 3 2 5 4" xfId="25378"/>
    <cellStyle name="Normale 3 7 3 2 6" xfId="4987"/>
    <cellStyle name="Normale 3 7 3 2 6 2" xfId="12450"/>
    <cellStyle name="Normale 3 7 3 2 6 3" xfId="19858"/>
    <cellStyle name="Normale 3 7 3 2 6 4" xfId="22592"/>
    <cellStyle name="Normale 3 7 3 2 7" xfId="5915"/>
    <cellStyle name="Normale 3 7 3 2 7 2" xfId="13378"/>
    <cellStyle name="Normale 3 7 3 2 7 3" xfId="20786"/>
    <cellStyle name="Normale 3 7 3 2 7 4" xfId="23800"/>
    <cellStyle name="Normale 3 7 3 2 8" xfId="6835"/>
    <cellStyle name="Normale 3 7 3 2 8 2" xfId="14298"/>
    <cellStyle name="Normale 3 7 3 2 8 3" xfId="21706"/>
    <cellStyle name="Normale 3 7 3 2 8 4" xfId="25071"/>
    <cellStyle name="Normale 3 7 3 2 9" xfId="7774"/>
    <cellStyle name="Normale 3 7 3 20" xfId="36299"/>
    <cellStyle name="Normale 3 7 3 21" xfId="37222"/>
    <cellStyle name="Normale 3 7 3 3" xfId="1086"/>
    <cellStyle name="Normale 3 7 3 3 2" xfId="8549"/>
    <cellStyle name="Normale 3 7 3 3 3" xfId="15957"/>
    <cellStyle name="Normale 3 7 3 3 4" xfId="28330"/>
    <cellStyle name="Normale 3 7 3 4" xfId="2013"/>
    <cellStyle name="Normale 3 7 3 4 2" xfId="9476"/>
    <cellStyle name="Normale 3 7 3 4 3" xfId="16884"/>
    <cellStyle name="Normale 3 7 3 4 4" xfId="29324"/>
    <cellStyle name="Normale 3 7 3 5" xfId="2939"/>
    <cellStyle name="Normale 3 7 3 5 2" xfId="10402"/>
    <cellStyle name="Normale 3 7 3 5 3" xfId="17810"/>
    <cellStyle name="Normale 3 7 3 5 4" xfId="29072"/>
    <cellStyle name="Normale 3 7 3 6" xfId="3868"/>
    <cellStyle name="Normale 3 7 3 6 2" xfId="11331"/>
    <cellStyle name="Normale 3 7 3 6 3" xfId="18739"/>
    <cellStyle name="Normale 3 7 3 6 4" xfId="24270"/>
    <cellStyle name="Normale 3 7 3 7" xfId="4795"/>
    <cellStyle name="Normale 3 7 3 7 2" xfId="12258"/>
    <cellStyle name="Normale 3 7 3 7 3" xfId="19666"/>
    <cellStyle name="Normale 3 7 3 7 4" xfId="23708"/>
    <cellStyle name="Normale 3 7 3 8" xfId="5722"/>
    <cellStyle name="Normale 3 7 3 8 2" xfId="13185"/>
    <cellStyle name="Normale 3 7 3 8 3" xfId="20593"/>
    <cellStyle name="Normale 3 7 3 8 4" xfId="24724"/>
    <cellStyle name="Normale 3 7 3 9" xfId="6644"/>
    <cellStyle name="Normale 3 7 3 9 2" xfId="14107"/>
    <cellStyle name="Normale 3 7 3 9 3" xfId="21515"/>
    <cellStyle name="Normale 3 7 3 9 4" xfId="28248"/>
    <cellStyle name="Normale 3 7 30" xfId="35370"/>
    <cellStyle name="Normale 3 7 31" xfId="36296"/>
    <cellStyle name="Normale 3 7 32" xfId="37219"/>
    <cellStyle name="Normale 3 7 4" xfId="308"/>
    <cellStyle name="Normale 3 7 4 10" xfId="15181"/>
    <cellStyle name="Normale 3 7 4 11" xfId="26604"/>
    <cellStyle name="Normale 3 7 4 12" xfId="29993"/>
    <cellStyle name="Normale 3 7 4 13" xfId="30925"/>
    <cellStyle name="Normale 3 7 4 14" xfId="31846"/>
    <cellStyle name="Normale 3 7 4 15" xfId="32771"/>
    <cellStyle name="Normale 3 7 4 16" xfId="33708"/>
    <cellStyle name="Normale 3 7 4 17" xfId="34638"/>
    <cellStyle name="Normale 3 7 4 18" xfId="35564"/>
    <cellStyle name="Normale 3 7 4 19" xfId="36490"/>
    <cellStyle name="Normale 3 7 4 2" xfId="1275"/>
    <cellStyle name="Normale 3 7 4 2 2" xfId="8738"/>
    <cellStyle name="Normale 3 7 4 2 3" xfId="16146"/>
    <cellStyle name="Normale 3 7 4 2 4" xfId="23611"/>
    <cellStyle name="Normale 3 7 4 20" xfId="37410"/>
    <cellStyle name="Normale 3 7 4 3" xfId="2206"/>
    <cellStyle name="Normale 3 7 4 3 2" xfId="9669"/>
    <cellStyle name="Normale 3 7 4 3 3" xfId="17077"/>
    <cellStyle name="Normale 3 7 4 3 4" xfId="28370"/>
    <cellStyle name="Normale 3 7 4 4" xfId="3128"/>
    <cellStyle name="Normale 3 7 4 4 2" xfId="10591"/>
    <cellStyle name="Normale 3 7 4 4 3" xfId="17999"/>
    <cellStyle name="Normale 3 7 4 4 4" xfId="28160"/>
    <cellStyle name="Normale 3 7 4 5" xfId="4061"/>
    <cellStyle name="Normale 3 7 4 5 2" xfId="11524"/>
    <cellStyle name="Normale 3 7 4 5 3" xfId="18932"/>
    <cellStyle name="Normale 3 7 4 5 4" xfId="28137"/>
    <cellStyle name="Normale 3 7 4 6" xfId="4984"/>
    <cellStyle name="Normale 3 7 4 6 2" xfId="12447"/>
    <cellStyle name="Normale 3 7 4 6 3" xfId="19855"/>
    <cellStyle name="Normale 3 7 4 6 4" xfId="25161"/>
    <cellStyle name="Normale 3 7 4 7" xfId="5912"/>
    <cellStyle name="Normale 3 7 4 7 2" xfId="13375"/>
    <cellStyle name="Normale 3 7 4 7 3" xfId="20783"/>
    <cellStyle name="Normale 3 7 4 7 4" xfId="26567"/>
    <cellStyle name="Normale 3 7 4 8" xfId="6832"/>
    <cellStyle name="Normale 3 7 4 8 2" xfId="14295"/>
    <cellStyle name="Normale 3 7 4 8 3" xfId="21703"/>
    <cellStyle name="Normale 3 7 4 8 4" xfId="27461"/>
    <cellStyle name="Normale 3 7 4 9" xfId="7771"/>
    <cellStyle name="Normale 3 7 5" xfId="426"/>
    <cellStyle name="Normale 3 7 5 10" xfId="15299"/>
    <cellStyle name="Normale 3 7 5 11" xfId="28569"/>
    <cellStyle name="Normale 3 7 5 12" xfId="30111"/>
    <cellStyle name="Normale 3 7 5 13" xfId="31043"/>
    <cellStyle name="Normale 3 7 5 14" xfId="31964"/>
    <cellStyle name="Normale 3 7 5 15" xfId="32888"/>
    <cellStyle name="Normale 3 7 5 16" xfId="33826"/>
    <cellStyle name="Normale 3 7 5 17" xfId="34756"/>
    <cellStyle name="Normale 3 7 5 18" xfId="35682"/>
    <cellStyle name="Normale 3 7 5 19" xfId="36608"/>
    <cellStyle name="Normale 3 7 5 2" xfId="1393"/>
    <cellStyle name="Normale 3 7 5 2 2" xfId="8856"/>
    <cellStyle name="Normale 3 7 5 2 3" xfId="16264"/>
    <cellStyle name="Normale 3 7 5 2 4" xfId="25839"/>
    <cellStyle name="Normale 3 7 5 20" xfId="37527"/>
    <cellStyle name="Normale 3 7 5 3" xfId="2324"/>
    <cellStyle name="Normale 3 7 5 3 2" xfId="9787"/>
    <cellStyle name="Normale 3 7 5 3 3" xfId="17195"/>
    <cellStyle name="Normale 3 7 5 3 4" xfId="22947"/>
    <cellStyle name="Normale 3 7 5 4" xfId="3246"/>
    <cellStyle name="Normale 3 7 5 4 2" xfId="10709"/>
    <cellStyle name="Normale 3 7 5 4 3" xfId="18117"/>
    <cellStyle name="Normale 3 7 5 4 4" xfId="28692"/>
    <cellStyle name="Normale 3 7 5 5" xfId="4179"/>
    <cellStyle name="Normale 3 7 5 5 2" xfId="11642"/>
    <cellStyle name="Normale 3 7 5 5 3" xfId="19050"/>
    <cellStyle name="Normale 3 7 5 5 4" xfId="23665"/>
    <cellStyle name="Normale 3 7 5 6" xfId="5102"/>
    <cellStyle name="Normale 3 7 5 6 2" xfId="12565"/>
    <cellStyle name="Normale 3 7 5 6 3" xfId="19973"/>
    <cellStyle name="Normale 3 7 5 6 4" xfId="28517"/>
    <cellStyle name="Normale 3 7 5 7" xfId="6030"/>
    <cellStyle name="Normale 3 7 5 7 2" xfId="13493"/>
    <cellStyle name="Normale 3 7 5 7 3" xfId="20901"/>
    <cellStyle name="Normale 3 7 5 7 4" xfId="28532"/>
    <cellStyle name="Normale 3 7 5 8" xfId="6949"/>
    <cellStyle name="Normale 3 7 5 8 2" xfId="14412"/>
    <cellStyle name="Normale 3 7 5 8 3" xfId="21820"/>
    <cellStyle name="Normale 3 7 5 8 4" xfId="29632"/>
    <cellStyle name="Normale 3 7 5 9" xfId="7889"/>
    <cellStyle name="Normale 3 7 6" xfId="474"/>
    <cellStyle name="Normale 3 7 6 10" xfId="15347"/>
    <cellStyle name="Normale 3 7 6 11" xfId="28225"/>
    <cellStyle name="Normale 3 7 6 12" xfId="30159"/>
    <cellStyle name="Normale 3 7 6 13" xfId="31091"/>
    <cellStyle name="Normale 3 7 6 14" xfId="32012"/>
    <cellStyle name="Normale 3 7 6 15" xfId="32935"/>
    <cellStyle name="Normale 3 7 6 16" xfId="33874"/>
    <cellStyle name="Normale 3 7 6 17" xfId="34804"/>
    <cellStyle name="Normale 3 7 6 18" xfId="35730"/>
    <cellStyle name="Normale 3 7 6 19" xfId="36656"/>
    <cellStyle name="Normale 3 7 6 2" xfId="1441"/>
    <cellStyle name="Normale 3 7 6 2 2" xfId="8904"/>
    <cellStyle name="Normale 3 7 6 2 3" xfId="16312"/>
    <cellStyle name="Normale 3 7 6 2 4" xfId="24056"/>
    <cellStyle name="Normale 3 7 6 20" xfId="37574"/>
    <cellStyle name="Normale 3 7 6 3" xfId="2372"/>
    <cellStyle name="Normale 3 7 6 3 2" xfId="9835"/>
    <cellStyle name="Normale 3 7 6 3 3" xfId="17243"/>
    <cellStyle name="Normale 3 7 6 3 4" xfId="28902"/>
    <cellStyle name="Normale 3 7 6 4" xfId="3294"/>
    <cellStyle name="Normale 3 7 6 4 2" xfId="10757"/>
    <cellStyle name="Normale 3 7 6 4 3" xfId="18165"/>
    <cellStyle name="Normale 3 7 6 4 4" xfId="28316"/>
    <cellStyle name="Normale 3 7 6 5" xfId="4227"/>
    <cellStyle name="Normale 3 7 6 5 2" xfId="11690"/>
    <cellStyle name="Normale 3 7 6 5 3" xfId="19098"/>
    <cellStyle name="Normale 3 7 6 5 4" xfId="22612"/>
    <cellStyle name="Normale 3 7 6 6" xfId="5150"/>
    <cellStyle name="Normale 3 7 6 6 2" xfId="12613"/>
    <cellStyle name="Normale 3 7 6 6 3" xfId="20021"/>
    <cellStyle name="Normale 3 7 6 6 4" xfId="26756"/>
    <cellStyle name="Normale 3 7 6 7" xfId="6078"/>
    <cellStyle name="Normale 3 7 6 7 2" xfId="13541"/>
    <cellStyle name="Normale 3 7 6 7 3" xfId="20949"/>
    <cellStyle name="Normale 3 7 6 7 4" xfId="28082"/>
    <cellStyle name="Normale 3 7 6 8" xfId="6996"/>
    <cellStyle name="Normale 3 7 6 8 2" xfId="14459"/>
    <cellStyle name="Normale 3 7 6 8 3" xfId="21867"/>
    <cellStyle name="Normale 3 7 6 8 4" xfId="22814"/>
    <cellStyle name="Normale 3 7 6 9" xfId="7937"/>
    <cellStyle name="Normale 3 7 7" xfId="522"/>
    <cellStyle name="Normale 3 7 7 10" xfId="15395"/>
    <cellStyle name="Normale 3 7 7 11" xfId="27303"/>
    <cellStyle name="Normale 3 7 7 12" xfId="30206"/>
    <cellStyle name="Normale 3 7 7 13" xfId="31139"/>
    <cellStyle name="Normale 3 7 7 14" xfId="32059"/>
    <cellStyle name="Normale 3 7 7 15" xfId="32981"/>
    <cellStyle name="Normale 3 7 7 16" xfId="33922"/>
    <cellStyle name="Normale 3 7 7 17" xfId="34852"/>
    <cellStyle name="Normale 3 7 7 18" xfId="35778"/>
    <cellStyle name="Normale 3 7 7 19" xfId="36704"/>
    <cellStyle name="Normale 3 7 7 2" xfId="1489"/>
    <cellStyle name="Normale 3 7 7 2 2" xfId="8952"/>
    <cellStyle name="Normale 3 7 7 2 3" xfId="16360"/>
    <cellStyle name="Normale 3 7 7 2 4" xfId="22494"/>
    <cellStyle name="Normale 3 7 7 20" xfId="37620"/>
    <cellStyle name="Normale 3 7 7 3" xfId="2420"/>
    <cellStyle name="Normale 3 7 7 3 2" xfId="9883"/>
    <cellStyle name="Normale 3 7 7 3 3" xfId="17291"/>
    <cellStyle name="Normale 3 7 7 3 4" xfId="22469"/>
    <cellStyle name="Normale 3 7 7 4" xfId="3341"/>
    <cellStyle name="Normale 3 7 7 4 2" xfId="10804"/>
    <cellStyle name="Normale 3 7 7 4 3" xfId="18212"/>
    <cellStyle name="Normale 3 7 7 4 4" xfId="23909"/>
    <cellStyle name="Normale 3 7 7 5" xfId="4275"/>
    <cellStyle name="Normale 3 7 7 5 2" xfId="11738"/>
    <cellStyle name="Normale 3 7 7 5 3" xfId="19146"/>
    <cellStyle name="Normale 3 7 7 5 4" xfId="23944"/>
    <cellStyle name="Normale 3 7 7 6" xfId="5197"/>
    <cellStyle name="Normale 3 7 7 6 2" xfId="12660"/>
    <cellStyle name="Normale 3 7 7 6 3" xfId="20068"/>
    <cellStyle name="Normale 3 7 7 6 4" xfId="26998"/>
    <cellStyle name="Normale 3 7 7 7" xfId="6126"/>
    <cellStyle name="Normale 3 7 7 7 2" xfId="13589"/>
    <cellStyle name="Normale 3 7 7 7 3" xfId="20997"/>
    <cellStyle name="Normale 3 7 7 7 4" xfId="27162"/>
    <cellStyle name="Normale 3 7 7 8" xfId="7042"/>
    <cellStyle name="Normale 3 7 7 8 2" xfId="14505"/>
    <cellStyle name="Normale 3 7 7 8 3" xfId="21913"/>
    <cellStyle name="Normale 3 7 7 8 4" xfId="24850"/>
    <cellStyle name="Normale 3 7 7 9" xfId="7985"/>
    <cellStyle name="Normale 3 7 8" xfId="574"/>
    <cellStyle name="Normale 3 7 8 10" xfId="15447"/>
    <cellStyle name="Normale 3 7 8 11" xfId="29387"/>
    <cellStyle name="Normale 3 7 8 12" xfId="30257"/>
    <cellStyle name="Normale 3 7 8 13" xfId="31191"/>
    <cellStyle name="Normale 3 7 8 14" xfId="32110"/>
    <cellStyle name="Normale 3 7 8 15" xfId="33031"/>
    <cellStyle name="Normale 3 7 8 16" xfId="33974"/>
    <cellStyle name="Normale 3 7 8 17" xfId="34904"/>
    <cellStyle name="Normale 3 7 8 18" xfId="35830"/>
    <cellStyle name="Normale 3 7 8 19" xfId="36756"/>
    <cellStyle name="Normale 3 7 8 2" xfId="1541"/>
    <cellStyle name="Normale 3 7 8 2 2" xfId="9004"/>
    <cellStyle name="Normale 3 7 8 2 3" xfId="16412"/>
    <cellStyle name="Normale 3 7 8 2 4" xfId="27276"/>
    <cellStyle name="Normale 3 7 8 20" xfId="37670"/>
    <cellStyle name="Normale 3 7 8 3" xfId="2472"/>
    <cellStyle name="Normale 3 7 8 3 2" xfId="9935"/>
    <cellStyle name="Normale 3 7 8 3 3" xfId="17343"/>
    <cellStyle name="Normale 3 7 8 3 4" xfId="26588"/>
    <cellStyle name="Normale 3 7 8 4" xfId="3392"/>
    <cellStyle name="Normale 3 7 8 4 2" xfId="10855"/>
    <cellStyle name="Normale 3 7 8 4 3" xfId="18263"/>
    <cellStyle name="Normale 3 7 8 4 4" xfId="26662"/>
    <cellStyle name="Normale 3 7 8 5" xfId="4327"/>
    <cellStyle name="Normale 3 7 8 5 2" xfId="11790"/>
    <cellStyle name="Normale 3 7 8 5 3" xfId="19198"/>
    <cellStyle name="Normale 3 7 8 5 4" xfId="24451"/>
    <cellStyle name="Normale 3 7 8 6" xfId="5248"/>
    <cellStyle name="Normale 3 7 8 6 2" xfId="12711"/>
    <cellStyle name="Normale 3 7 8 6 3" xfId="20119"/>
    <cellStyle name="Normale 3 7 8 6 4" xfId="24428"/>
    <cellStyle name="Normale 3 7 8 7" xfId="6178"/>
    <cellStyle name="Normale 3 7 8 7 2" xfId="13641"/>
    <cellStyle name="Normale 3 7 8 7 3" xfId="21049"/>
    <cellStyle name="Normale 3 7 8 7 4" xfId="24780"/>
    <cellStyle name="Normale 3 7 8 8" xfId="7092"/>
    <cellStyle name="Normale 3 7 8 8 2" xfId="14555"/>
    <cellStyle name="Normale 3 7 8 8 3" xfId="21963"/>
    <cellStyle name="Normale 3 7 8 8 4" xfId="15711"/>
    <cellStyle name="Normale 3 7 8 9" xfId="8037"/>
    <cellStyle name="Normale 3 7 9" xfId="634"/>
    <cellStyle name="Normale 3 7 9 10" xfId="15506"/>
    <cellStyle name="Normale 3 7 9 11" xfId="24548"/>
    <cellStyle name="Normale 3 7 9 12" xfId="30313"/>
    <cellStyle name="Normale 3 7 9 13" xfId="31250"/>
    <cellStyle name="Normale 3 7 9 14" xfId="32167"/>
    <cellStyle name="Normale 3 7 9 15" xfId="33086"/>
    <cellStyle name="Normale 3 7 9 16" xfId="34033"/>
    <cellStyle name="Normale 3 7 9 17" xfId="34964"/>
    <cellStyle name="Normale 3 7 9 18" xfId="35890"/>
    <cellStyle name="Normale 3 7 9 19" xfId="36815"/>
    <cellStyle name="Normale 3 7 9 2" xfId="1600"/>
    <cellStyle name="Normale 3 7 9 2 2" xfId="9063"/>
    <cellStyle name="Normale 3 7 9 2 3" xfId="16471"/>
    <cellStyle name="Normale 3 7 9 2 4" xfId="24328"/>
    <cellStyle name="Normale 3 7 9 20" xfId="37725"/>
    <cellStyle name="Normale 3 7 9 3" xfId="2532"/>
    <cellStyle name="Normale 3 7 9 3 2" xfId="9995"/>
    <cellStyle name="Normale 3 7 9 3 3" xfId="17403"/>
    <cellStyle name="Normale 3 7 9 3 4" xfId="22654"/>
    <cellStyle name="Normale 3 7 9 4" xfId="3450"/>
    <cellStyle name="Normale 3 7 9 4 2" xfId="10913"/>
    <cellStyle name="Normale 3 7 9 4 3" xfId="18321"/>
    <cellStyle name="Normale 3 7 9 4 4" xfId="24738"/>
    <cellStyle name="Normale 3 7 9 5" xfId="4387"/>
    <cellStyle name="Normale 3 7 9 5 2" xfId="11850"/>
    <cellStyle name="Normale 3 7 9 5 3" xfId="19258"/>
    <cellStyle name="Normale 3 7 9 5 4" xfId="28755"/>
    <cellStyle name="Normale 3 7 9 6" xfId="5305"/>
    <cellStyle name="Normale 3 7 9 6 2" xfId="12768"/>
    <cellStyle name="Normale 3 7 9 6 3" xfId="20176"/>
    <cellStyle name="Normale 3 7 9 6 4" xfId="23317"/>
    <cellStyle name="Normale 3 7 9 7" xfId="6238"/>
    <cellStyle name="Normale 3 7 9 7 2" xfId="13701"/>
    <cellStyle name="Normale 3 7 9 7 3" xfId="21109"/>
    <cellStyle name="Normale 3 7 9 7 4" xfId="27888"/>
    <cellStyle name="Normale 3 7 9 8" xfId="7147"/>
    <cellStyle name="Normale 3 7 9 8 2" xfId="14610"/>
    <cellStyle name="Normale 3 7 9 8 3" xfId="22018"/>
    <cellStyle name="Normale 3 7 9 8 4" xfId="25298"/>
    <cellStyle name="Normale 3 7 9 9" xfId="8097"/>
    <cellStyle name="Normale 3 8" xfId="114"/>
    <cellStyle name="Normale 3 8 10" xfId="1087"/>
    <cellStyle name="Normale 3 8 10 2" xfId="8550"/>
    <cellStyle name="Normale 3 8 10 3" xfId="15958"/>
    <cellStyle name="Normale 3 8 10 4" xfId="27406"/>
    <cellStyle name="Normale 3 8 11" xfId="2014"/>
    <cellStyle name="Normale 3 8 11 2" xfId="9477"/>
    <cellStyle name="Normale 3 8 11 3" xfId="16885"/>
    <cellStyle name="Normale 3 8 11 4" xfId="28423"/>
    <cellStyle name="Normale 3 8 12" xfId="2940"/>
    <cellStyle name="Normale 3 8 12 2" xfId="10403"/>
    <cellStyle name="Normale 3 8 12 3" xfId="17811"/>
    <cellStyle name="Normale 3 8 12 4" xfId="28162"/>
    <cellStyle name="Normale 3 8 13" xfId="3869"/>
    <cellStyle name="Normale 3 8 13 2" xfId="11332"/>
    <cellStyle name="Normale 3 8 13 3" xfId="18740"/>
    <cellStyle name="Normale 3 8 13 4" xfId="23354"/>
    <cellStyle name="Normale 3 8 14" xfId="4796"/>
    <cellStyle name="Normale 3 8 14 2" xfId="12259"/>
    <cellStyle name="Normale 3 8 14 3" xfId="19667"/>
    <cellStyle name="Normale 3 8 14 4" xfId="22737"/>
    <cellStyle name="Normale 3 8 15" xfId="5723"/>
    <cellStyle name="Normale 3 8 15 2" xfId="13186"/>
    <cellStyle name="Normale 3 8 15 3" xfId="20594"/>
    <cellStyle name="Normale 3 8 15 4" xfId="23801"/>
    <cellStyle name="Normale 3 8 16" xfId="6645"/>
    <cellStyle name="Normale 3 8 16 2" xfId="14108"/>
    <cellStyle name="Normale 3 8 16 3" xfId="21516"/>
    <cellStyle name="Normale 3 8 16 4" xfId="27324"/>
    <cellStyle name="Normale 3 8 17" xfId="7579"/>
    <cellStyle name="Normale 3 8 18" xfId="14988"/>
    <cellStyle name="Normale 3 8 19" xfId="25880"/>
    <cellStyle name="Normale 3 8 2" xfId="115"/>
    <cellStyle name="Normale 3 8 2 10" xfId="7580"/>
    <cellStyle name="Normale 3 8 2 11" xfId="14989"/>
    <cellStyle name="Normale 3 8 2 12" xfId="24969"/>
    <cellStyle name="Normale 3 8 2 13" xfId="29806"/>
    <cellStyle name="Normale 3 8 2 14" xfId="30736"/>
    <cellStyle name="Normale 3 8 2 15" xfId="31659"/>
    <cellStyle name="Normale 3 8 2 16" xfId="32585"/>
    <cellStyle name="Normale 3 8 2 17" xfId="33519"/>
    <cellStyle name="Normale 3 8 2 18" xfId="34447"/>
    <cellStyle name="Normale 3 8 2 19" xfId="35375"/>
    <cellStyle name="Normale 3 8 2 2" xfId="313"/>
    <cellStyle name="Normale 3 8 2 2 10" xfId="15186"/>
    <cellStyle name="Normale 3 8 2 2 11" xfId="29286"/>
    <cellStyle name="Normale 3 8 2 2 12" xfId="29998"/>
    <cellStyle name="Normale 3 8 2 2 13" xfId="30930"/>
    <cellStyle name="Normale 3 8 2 2 14" xfId="31851"/>
    <cellStyle name="Normale 3 8 2 2 15" xfId="32776"/>
    <cellStyle name="Normale 3 8 2 2 16" xfId="33713"/>
    <cellStyle name="Normale 3 8 2 2 17" xfId="34643"/>
    <cellStyle name="Normale 3 8 2 2 18" xfId="35569"/>
    <cellStyle name="Normale 3 8 2 2 19" xfId="36495"/>
    <cellStyle name="Normale 3 8 2 2 2" xfId="1280"/>
    <cellStyle name="Normale 3 8 2 2 2 2" xfId="8743"/>
    <cellStyle name="Normale 3 8 2 2 2 3" xfId="16151"/>
    <cellStyle name="Normale 3 8 2 2 2 4" xfId="25256"/>
    <cellStyle name="Normale 3 8 2 2 20" xfId="37415"/>
    <cellStyle name="Normale 3 8 2 2 3" xfId="2211"/>
    <cellStyle name="Normale 3 8 2 2 3 2" xfId="9674"/>
    <cellStyle name="Normale 3 8 2 2 3 3" xfId="17082"/>
    <cellStyle name="Normale 3 8 2 2 3 4" xfId="23771"/>
    <cellStyle name="Normale 3 8 2 2 4" xfId="3133"/>
    <cellStyle name="Normale 3 8 2 2 4 2" xfId="10596"/>
    <cellStyle name="Normale 3 8 2 2 4 3" xfId="18004"/>
    <cellStyle name="Normale 3 8 2 2 4 4" xfId="23565"/>
    <cellStyle name="Normale 3 8 2 2 5" xfId="4066"/>
    <cellStyle name="Normale 3 8 2 2 5 2" xfId="11529"/>
    <cellStyle name="Normale 3 8 2 2 5 3" xfId="18937"/>
    <cellStyle name="Normale 3 8 2 2 5 4" xfId="23543"/>
    <cellStyle name="Normale 3 8 2 2 6" xfId="4989"/>
    <cellStyle name="Normale 3 8 2 2 6 2" xfId="12452"/>
    <cellStyle name="Normale 3 8 2 2 6 3" xfId="19860"/>
    <cellStyle name="Normale 3 8 2 2 6 4" xfId="28112"/>
    <cellStyle name="Normale 3 8 2 2 7" xfId="5917"/>
    <cellStyle name="Normale 3 8 2 2 7 2" xfId="13380"/>
    <cellStyle name="Normale 3 8 2 2 7 3" xfId="20788"/>
    <cellStyle name="Normale 3 8 2 2 7 4" xfId="29252"/>
    <cellStyle name="Normale 3 8 2 2 8" xfId="6837"/>
    <cellStyle name="Normale 3 8 2 2 8 2" xfId="14300"/>
    <cellStyle name="Normale 3 8 2 2 8 3" xfId="21708"/>
    <cellStyle name="Normale 3 8 2 2 8 4" xfId="23280"/>
    <cellStyle name="Normale 3 8 2 2 9" xfId="7776"/>
    <cellStyle name="Normale 3 8 2 20" xfId="36301"/>
    <cellStyle name="Normale 3 8 2 21" xfId="37224"/>
    <cellStyle name="Normale 3 8 2 3" xfId="1088"/>
    <cellStyle name="Normale 3 8 2 3 2" xfId="8551"/>
    <cellStyle name="Normale 3 8 2 3 3" xfId="15959"/>
    <cellStyle name="Normale 3 8 2 3 4" xfId="26498"/>
    <cellStyle name="Normale 3 8 2 4" xfId="2015"/>
    <cellStyle name="Normale 3 8 2 4 2" xfId="9478"/>
    <cellStyle name="Normale 3 8 2 4 3" xfId="16886"/>
    <cellStyle name="Normale 3 8 2 4 4" xfId="27498"/>
    <cellStyle name="Normale 3 8 2 5" xfId="2941"/>
    <cellStyle name="Normale 3 8 2 5 2" xfId="10404"/>
    <cellStyle name="Normale 3 8 2 5 3" xfId="17812"/>
    <cellStyle name="Normale 3 8 2 5 4" xfId="27240"/>
    <cellStyle name="Normale 3 8 2 6" xfId="3870"/>
    <cellStyle name="Normale 3 8 2 6 2" xfId="11333"/>
    <cellStyle name="Normale 3 8 2 6 3" xfId="18741"/>
    <cellStyle name="Normale 3 8 2 6 4" xfId="23252"/>
    <cellStyle name="Normale 3 8 2 7" xfId="4797"/>
    <cellStyle name="Normale 3 8 2 7 2" xfId="12260"/>
    <cellStyle name="Normale 3 8 2 7 3" xfId="19668"/>
    <cellStyle name="Normale 3 8 2 7 4" xfId="29167"/>
    <cellStyle name="Normale 3 8 2 8" xfId="5724"/>
    <cellStyle name="Normale 3 8 2 8 2" xfId="13187"/>
    <cellStyle name="Normale 3 8 2 8 3" xfId="20595"/>
    <cellStyle name="Normale 3 8 2 8 4" xfId="22822"/>
    <cellStyle name="Normale 3 8 2 9" xfId="6646"/>
    <cellStyle name="Normale 3 8 2 9 2" xfId="14109"/>
    <cellStyle name="Normale 3 8 2 9 3" xfId="21517"/>
    <cellStyle name="Normale 3 8 2 9 4" xfId="26416"/>
    <cellStyle name="Normale 3 8 20" xfId="29805"/>
    <cellStyle name="Normale 3 8 21" xfId="30735"/>
    <cellStyle name="Normale 3 8 22" xfId="31658"/>
    <cellStyle name="Normale 3 8 23" xfId="32584"/>
    <cellStyle name="Normale 3 8 24" xfId="33518"/>
    <cellStyle name="Normale 3 8 25" xfId="34446"/>
    <cellStyle name="Normale 3 8 26" xfId="35374"/>
    <cellStyle name="Normale 3 8 27" xfId="36300"/>
    <cellStyle name="Normale 3 8 28" xfId="37223"/>
    <cellStyle name="Normale 3 8 3" xfId="312"/>
    <cellStyle name="Normale 3 8 3 10" xfId="15185"/>
    <cellStyle name="Normale 3 8 3 11" xfId="22856"/>
    <cellStyle name="Normale 3 8 3 12" xfId="29997"/>
    <cellStyle name="Normale 3 8 3 13" xfId="30929"/>
    <cellStyle name="Normale 3 8 3 14" xfId="31850"/>
    <cellStyle name="Normale 3 8 3 15" xfId="32775"/>
    <cellStyle name="Normale 3 8 3 16" xfId="33712"/>
    <cellStyle name="Normale 3 8 3 17" xfId="34642"/>
    <cellStyle name="Normale 3 8 3 18" xfId="35568"/>
    <cellStyle name="Normale 3 8 3 19" xfId="36494"/>
    <cellStyle name="Normale 3 8 3 2" xfId="1279"/>
    <cellStyle name="Normale 3 8 3 2 2" xfId="8742"/>
    <cellStyle name="Normale 3 8 3 2 3" xfId="16150"/>
    <cellStyle name="Normale 3 8 3 2 4" xfId="26179"/>
    <cellStyle name="Normale 3 8 3 20" xfId="37414"/>
    <cellStyle name="Normale 3 8 3 3" xfId="2210"/>
    <cellStyle name="Normale 3 8 3 3 2" xfId="9673"/>
    <cellStyle name="Normale 3 8 3 3 3" xfId="17081"/>
    <cellStyle name="Normale 3 8 3 3 4" xfId="24694"/>
    <cellStyle name="Normale 3 8 3 4" xfId="3132"/>
    <cellStyle name="Normale 3 8 3 4 2" xfId="10595"/>
    <cellStyle name="Normale 3 8 3 4 3" xfId="18003"/>
    <cellStyle name="Normale 3 8 3 4 4" xfId="24485"/>
    <cellStyle name="Normale 3 8 3 5" xfId="4065"/>
    <cellStyle name="Normale 3 8 3 5 2" xfId="11528"/>
    <cellStyle name="Normale 3 8 3 5 3" xfId="18936"/>
    <cellStyle name="Normale 3 8 3 5 4" xfId="24462"/>
    <cellStyle name="Normale 3 8 3 6" xfId="4988"/>
    <cellStyle name="Normale 3 8 3 6 2" xfId="12451"/>
    <cellStyle name="Normale 3 8 3 6 3" xfId="19859"/>
    <cellStyle name="Normale 3 8 3 6 4" xfId="29022"/>
    <cellStyle name="Normale 3 8 3 7" xfId="5916"/>
    <cellStyle name="Normale 3 8 3 7 2" xfId="13379"/>
    <cellStyle name="Normale 3 8 3 7 3" xfId="20787"/>
    <cellStyle name="Normale 3 8 3 7 4" xfId="22821"/>
    <cellStyle name="Normale 3 8 3 8" xfId="6836"/>
    <cellStyle name="Normale 3 8 3 8 2" xfId="14299"/>
    <cellStyle name="Normale 3 8 3 8 3" xfId="21707"/>
    <cellStyle name="Normale 3 8 3 8 4" xfId="23271"/>
    <cellStyle name="Normale 3 8 3 9" xfId="7775"/>
    <cellStyle name="Normale 3 8 4" xfId="599"/>
    <cellStyle name="Normale 3 8 4 10" xfId="15472"/>
    <cellStyle name="Normale 3 8 4 11" xfId="28335"/>
    <cellStyle name="Normale 3 8 4 12" xfId="30282"/>
    <cellStyle name="Normale 3 8 4 13" xfId="31216"/>
    <cellStyle name="Normale 3 8 4 14" xfId="32135"/>
    <cellStyle name="Normale 3 8 4 15" xfId="33055"/>
    <cellStyle name="Normale 3 8 4 16" xfId="33999"/>
    <cellStyle name="Normale 3 8 4 17" xfId="34929"/>
    <cellStyle name="Normale 3 8 4 18" xfId="35855"/>
    <cellStyle name="Normale 3 8 4 19" xfId="36781"/>
    <cellStyle name="Normale 3 8 4 2" xfId="1566"/>
    <cellStyle name="Normale 3 8 4 2 2" xfId="9029"/>
    <cellStyle name="Normale 3 8 4 2 3" xfId="16437"/>
    <cellStyle name="Normale 3 8 4 2 4" xfId="26171"/>
    <cellStyle name="Normale 3 8 4 20" xfId="37694"/>
    <cellStyle name="Normale 3 8 4 3" xfId="2497"/>
    <cellStyle name="Normale 3 8 4 3 2" xfId="9960"/>
    <cellStyle name="Normale 3 8 4 3 3" xfId="17368"/>
    <cellStyle name="Normale 3 8 4 3 4" xfId="25513"/>
    <cellStyle name="Normale 3 8 4 4" xfId="3417"/>
    <cellStyle name="Normale 3 8 4 4 2" xfId="10880"/>
    <cellStyle name="Normale 3 8 4 4 3" xfId="18288"/>
    <cellStyle name="Normale 3 8 4 4 4" xfId="24284"/>
    <cellStyle name="Normale 3 8 4 5" xfId="4352"/>
    <cellStyle name="Normale 3 8 4 5 2" xfId="11815"/>
    <cellStyle name="Normale 3 8 4 5 3" xfId="19223"/>
    <cellStyle name="Normale 3 8 4 5 4" xfId="23341"/>
    <cellStyle name="Normale 3 8 4 6" xfId="5273"/>
    <cellStyle name="Normale 3 8 4 6 2" xfId="12736"/>
    <cellStyle name="Normale 3 8 4 6 3" xfId="20144"/>
    <cellStyle name="Normale 3 8 4 6 4" xfId="23318"/>
    <cellStyle name="Normale 3 8 4 7" xfId="6203"/>
    <cellStyle name="Normale 3 8 4 7 2" xfId="13666"/>
    <cellStyle name="Normale 3 8 4 7 3" xfId="21074"/>
    <cellStyle name="Normale 3 8 4 7 4" xfId="23699"/>
    <cellStyle name="Normale 3 8 4 8" xfId="7116"/>
    <cellStyle name="Normale 3 8 4 8 2" xfId="14579"/>
    <cellStyle name="Normale 3 8 4 8 3" xfId="21987"/>
    <cellStyle name="Normale 3 8 4 8 4" xfId="27579"/>
    <cellStyle name="Normale 3 8 4 9" xfId="8062"/>
    <cellStyle name="Normale 3 8 5" xfId="656"/>
    <cellStyle name="Normale 3 8 5 10" xfId="15528"/>
    <cellStyle name="Normale 3 8 5 11" xfId="26197"/>
    <cellStyle name="Normale 3 8 5 12" xfId="30335"/>
    <cellStyle name="Normale 3 8 5 13" xfId="31272"/>
    <cellStyle name="Normale 3 8 5 14" xfId="32189"/>
    <cellStyle name="Normale 3 8 5 15" xfId="33108"/>
    <cellStyle name="Normale 3 8 5 16" xfId="34055"/>
    <cellStyle name="Normale 3 8 5 17" xfId="34986"/>
    <cellStyle name="Normale 3 8 5 18" xfId="35912"/>
    <cellStyle name="Normale 3 8 5 19" xfId="36837"/>
    <cellStyle name="Normale 3 8 5 2" xfId="1622"/>
    <cellStyle name="Normale 3 8 5 2 2" xfId="9085"/>
    <cellStyle name="Normale 3 8 5 2 3" xfId="16493"/>
    <cellStyle name="Normale 3 8 5 2 4" xfId="26802"/>
    <cellStyle name="Normale 3 8 5 20" xfId="37747"/>
    <cellStyle name="Normale 3 8 5 3" xfId="2554"/>
    <cellStyle name="Normale 3 8 5 3 2" xfId="10017"/>
    <cellStyle name="Normale 3 8 5 3 3" xfId="17425"/>
    <cellStyle name="Normale 3 8 5 3 4" xfId="23580"/>
    <cellStyle name="Normale 3 8 5 4" xfId="3472"/>
    <cellStyle name="Normale 3 8 5 4 2" xfId="10935"/>
    <cellStyle name="Normale 3 8 5 4 3" xfId="18343"/>
    <cellStyle name="Normale 3 8 5 4 4" xfId="26435"/>
    <cellStyle name="Normale 3 8 5 5" xfId="4409"/>
    <cellStyle name="Normale 3 8 5 5 2" xfId="11872"/>
    <cellStyle name="Normale 3 8 5 5 3" xfId="19280"/>
    <cellStyle name="Normale 3 8 5 5 4" xfId="23007"/>
    <cellStyle name="Normale 3 8 5 6" xfId="5327"/>
    <cellStyle name="Normale 3 8 5 6 2" xfId="12790"/>
    <cellStyle name="Normale 3 8 5 6 3" xfId="20198"/>
    <cellStyle name="Normale 3 8 5 6 4" xfId="25846"/>
    <cellStyle name="Normale 3 8 5 7" xfId="6260"/>
    <cellStyle name="Normale 3 8 5 7 2" xfId="13723"/>
    <cellStyle name="Normale 3 8 5 7 3" xfId="21131"/>
    <cellStyle name="Normale 3 8 5 7 4" xfId="28990"/>
    <cellStyle name="Normale 3 8 5 8" xfId="7169"/>
    <cellStyle name="Normale 3 8 5 8 2" xfId="14632"/>
    <cellStyle name="Normale 3 8 5 8 3" xfId="22040"/>
    <cellStyle name="Normale 3 8 5 8 4" xfId="22903"/>
    <cellStyle name="Normale 3 8 5 9" xfId="8119"/>
    <cellStyle name="Normale 3 8 6" xfId="738"/>
    <cellStyle name="Normale 3 8 6 10" xfId="15609"/>
    <cellStyle name="Normale 3 8 6 11" xfId="28566"/>
    <cellStyle name="Normale 3 8 6 12" xfId="30412"/>
    <cellStyle name="Normale 3 8 6 13" xfId="31353"/>
    <cellStyle name="Normale 3 8 6 14" xfId="32266"/>
    <cellStyle name="Normale 3 8 6 15" xfId="33183"/>
    <cellStyle name="Normale 3 8 6 16" xfId="34136"/>
    <cellStyle name="Normale 3 8 6 17" xfId="35068"/>
    <cellStyle name="Normale 3 8 6 18" xfId="35994"/>
    <cellStyle name="Normale 3 8 6 19" xfId="36919"/>
    <cellStyle name="Normale 3 8 6 2" xfId="1703"/>
    <cellStyle name="Normale 3 8 6 2 2" xfId="9166"/>
    <cellStyle name="Normale 3 8 6 2 3" xfId="16574"/>
    <cellStyle name="Normale 3 8 6 2 4" xfId="25244"/>
    <cellStyle name="Normale 3 8 6 20" xfId="37822"/>
    <cellStyle name="Normale 3 8 6 3" xfId="2636"/>
    <cellStyle name="Normale 3 8 6 3 2" xfId="10099"/>
    <cellStyle name="Normale 3 8 6 3 3" xfId="17507"/>
    <cellStyle name="Normale 3 8 6 3 4" xfId="23197"/>
    <cellStyle name="Normale 3 8 6 4" xfId="3552"/>
    <cellStyle name="Normale 3 8 6 4 2" xfId="11015"/>
    <cellStyle name="Normale 3 8 6 4 3" xfId="18423"/>
    <cellStyle name="Normale 3 8 6 4 4" xfId="26861"/>
    <cellStyle name="Normale 3 8 6 5" xfId="4491"/>
    <cellStyle name="Normale 3 8 6 5 2" xfId="11954"/>
    <cellStyle name="Normale 3 8 6 5 3" xfId="19362"/>
    <cellStyle name="Normale 3 8 6 5 4" xfId="23499"/>
    <cellStyle name="Normale 3 8 6 6" xfId="5407"/>
    <cellStyle name="Normale 3 8 6 6 2" xfId="12870"/>
    <cellStyle name="Normale 3 8 6 6 3" xfId="20278"/>
    <cellStyle name="Normale 3 8 6 6 4" xfId="25149"/>
    <cellStyle name="Normale 3 8 6 7" xfId="6340"/>
    <cellStyle name="Normale 3 8 6 7 2" xfId="13803"/>
    <cellStyle name="Normale 3 8 6 7 3" xfId="21211"/>
    <cellStyle name="Normale 3 8 6 7 4" xfId="23254"/>
    <cellStyle name="Normale 3 8 6 8" xfId="7244"/>
    <cellStyle name="Normale 3 8 6 8 2" xfId="14707"/>
    <cellStyle name="Normale 3 8 6 8 3" xfId="22115"/>
    <cellStyle name="Normale 3 8 6 8 4" xfId="27132"/>
    <cellStyle name="Normale 3 8 6 9" xfId="8201"/>
    <cellStyle name="Normale 3 8 7" xfId="809"/>
    <cellStyle name="Normale 3 8 7 10" xfId="15680"/>
    <cellStyle name="Normale 3 8 7 11" xfId="27738"/>
    <cellStyle name="Normale 3 8 7 12" xfId="30481"/>
    <cellStyle name="Normale 3 8 7 13" xfId="31424"/>
    <cellStyle name="Normale 3 8 7 14" xfId="32336"/>
    <cellStyle name="Normale 3 8 7 15" xfId="33252"/>
    <cellStyle name="Normale 3 8 7 16" xfId="34207"/>
    <cellStyle name="Normale 3 8 7 17" xfId="35139"/>
    <cellStyle name="Normale 3 8 7 18" xfId="36065"/>
    <cellStyle name="Normale 3 8 7 19" xfId="36990"/>
    <cellStyle name="Normale 3 8 7 2" xfId="1774"/>
    <cellStyle name="Normale 3 8 7 2 2" xfId="9237"/>
    <cellStyle name="Normale 3 8 7 2 3" xfId="16645"/>
    <cellStyle name="Normale 3 8 7 2 4" xfId="26161"/>
    <cellStyle name="Normale 3 8 7 20" xfId="37891"/>
    <cellStyle name="Normale 3 8 7 3" xfId="2707"/>
    <cellStyle name="Normale 3 8 7 3 2" xfId="10170"/>
    <cellStyle name="Normale 3 8 7 3 3" xfId="17578"/>
    <cellStyle name="Normale 3 8 7 3 4" xfId="29476"/>
    <cellStyle name="Normale 3 8 7 4" xfId="3622"/>
    <cellStyle name="Normale 3 8 7 4 2" xfId="11085"/>
    <cellStyle name="Normale 3 8 7 4 3" xfId="18493"/>
    <cellStyle name="Normale 3 8 7 4 4" xfId="27038"/>
    <cellStyle name="Normale 3 8 7 5" xfId="4562"/>
    <cellStyle name="Normale 3 8 7 5 2" xfId="12025"/>
    <cellStyle name="Normale 3 8 7 5 3" xfId="19433"/>
    <cellStyle name="Normale 3 8 7 5 4" xfId="25047"/>
    <cellStyle name="Normale 3 8 7 6" xfId="5477"/>
    <cellStyle name="Normale 3 8 7 6 2" xfId="12940"/>
    <cellStyle name="Normale 3 8 7 6 3" xfId="20348"/>
    <cellStyle name="Normale 3 8 7 6 4" xfId="26985"/>
    <cellStyle name="Normale 3 8 7 7" xfId="6411"/>
    <cellStyle name="Normale 3 8 7 7 2" xfId="13874"/>
    <cellStyle name="Normale 3 8 7 7 3" xfId="21282"/>
    <cellStyle name="Normale 3 8 7 7 4" xfId="29546"/>
    <cellStyle name="Normale 3 8 7 8" xfId="7313"/>
    <cellStyle name="Normale 3 8 7 8 2" xfId="14776"/>
    <cellStyle name="Normale 3 8 7 8 3" xfId="22184"/>
    <cellStyle name="Normale 3 8 7 8 4" xfId="22859"/>
    <cellStyle name="Normale 3 8 7 9" xfId="8272"/>
    <cellStyle name="Normale 3 8 8" xfId="880"/>
    <cellStyle name="Normale 3 8 8 10" xfId="15751"/>
    <cellStyle name="Normale 3 8 8 11" xfId="26665"/>
    <cellStyle name="Normale 3 8 8 12" xfId="30549"/>
    <cellStyle name="Normale 3 8 8 13" xfId="31495"/>
    <cellStyle name="Normale 3 8 8 14" xfId="32406"/>
    <cellStyle name="Normale 3 8 8 15" xfId="33318"/>
    <cellStyle name="Normale 3 8 8 16" xfId="34278"/>
    <cellStyle name="Normale 3 8 8 17" xfId="35210"/>
    <cellStyle name="Normale 3 8 8 18" xfId="36136"/>
    <cellStyle name="Normale 3 8 8 19" xfId="37061"/>
    <cellStyle name="Normale 3 8 8 2" xfId="1845"/>
    <cellStyle name="Normale 3 8 8 2 2" xfId="9308"/>
    <cellStyle name="Normale 3 8 8 2 3" xfId="16716"/>
    <cellStyle name="Normale 3 8 8 2 4" xfId="24321"/>
    <cellStyle name="Normale 3 8 8 20" xfId="37957"/>
    <cellStyle name="Normale 3 8 8 3" xfId="2778"/>
    <cellStyle name="Normale 3 8 8 3 2" xfId="10241"/>
    <cellStyle name="Normale 3 8 8 3 3" xfId="17649"/>
    <cellStyle name="Normale 3 8 8 3 4" xfId="22841"/>
    <cellStyle name="Normale 3 8 8 4" xfId="3692"/>
    <cellStyle name="Normale 3 8 8 4 2" xfId="11155"/>
    <cellStyle name="Normale 3 8 8 4 3" xfId="18563"/>
    <cellStyle name="Normale 3 8 8 4 4" xfId="23080"/>
    <cellStyle name="Normale 3 8 8 5" xfId="4633"/>
    <cellStyle name="Normale 3 8 8 5 2" xfId="12096"/>
    <cellStyle name="Normale 3 8 8 5 3" xfId="19504"/>
    <cellStyle name="Normale 3 8 8 5 4" xfId="25702"/>
    <cellStyle name="Normale 3 8 8 6" xfId="5547"/>
    <cellStyle name="Normale 3 8 8 6 2" xfId="13010"/>
    <cellStyle name="Normale 3 8 8 6 3" xfId="20418"/>
    <cellStyle name="Normale 3 8 8 6 4" xfId="26069"/>
    <cellStyle name="Normale 3 8 8 7" xfId="6482"/>
    <cellStyle name="Normale 3 8 8 7 2" xfId="13945"/>
    <cellStyle name="Normale 3 8 8 7 3" xfId="21353"/>
    <cellStyle name="Normale 3 8 8 7 4" xfId="22868"/>
    <cellStyle name="Normale 3 8 8 8" xfId="7379"/>
    <cellStyle name="Normale 3 8 8 8 2" xfId="14842"/>
    <cellStyle name="Normale 3 8 8 8 3" xfId="22250"/>
    <cellStyle name="Normale 3 8 8 8 4" xfId="28050"/>
    <cellStyle name="Normale 3 8 8 9" xfId="8343"/>
    <cellStyle name="Normale 3 8 9" xfId="949"/>
    <cellStyle name="Normale 3 8 9 10" xfId="15820"/>
    <cellStyle name="Normale 3 8 9 11" xfId="29237"/>
    <cellStyle name="Normale 3 8 9 12" xfId="30615"/>
    <cellStyle name="Normale 3 8 9 13" xfId="31563"/>
    <cellStyle name="Normale 3 8 9 14" xfId="32474"/>
    <cellStyle name="Normale 3 8 9 15" xfId="33384"/>
    <cellStyle name="Normale 3 8 9 16" xfId="34347"/>
    <cellStyle name="Normale 3 8 9 17" xfId="35279"/>
    <cellStyle name="Normale 3 8 9 18" xfId="36204"/>
    <cellStyle name="Normale 3 8 9 19" xfId="37130"/>
    <cellStyle name="Normale 3 8 9 2" xfId="1914"/>
    <cellStyle name="Normale 3 8 9 2 2" xfId="9377"/>
    <cellStyle name="Normale 3 8 9 2 3" xfId="16785"/>
    <cellStyle name="Normale 3 8 9 2 4" xfId="23225"/>
    <cellStyle name="Normale 3 8 9 20" xfId="38023"/>
    <cellStyle name="Normale 3 8 9 3" xfId="2846"/>
    <cellStyle name="Normale 3 8 9 3 2" xfId="10309"/>
    <cellStyle name="Normale 3 8 9 3 3" xfId="17717"/>
    <cellStyle name="Normale 3 8 9 3 4" xfId="25217"/>
    <cellStyle name="Normale 3 8 9 4" xfId="3761"/>
    <cellStyle name="Normale 3 8 9 4 2" xfId="11224"/>
    <cellStyle name="Normale 3 8 9 4 3" xfId="18632"/>
    <cellStyle name="Normale 3 8 9 4 4" xfId="24274"/>
    <cellStyle name="Normale 3 8 9 5" xfId="4702"/>
    <cellStyle name="Normale 3 8 9 5 2" xfId="12165"/>
    <cellStyle name="Normale 3 8 9 5 3" xfId="19573"/>
    <cellStyle name="Normale 3 8 9 5 4" xfId="28119"/>
    <cellStyle name="Normale 3 8 9 6" xfId="5616"/>
    <cellStyle name="Normale 3 8 9 6 2" xfId="13079"/>
    <cellStyle name="Normale 3 8 9 6 3" xfId="20487"/>
    <cellStyle name="Normale 3 8 9 6 4" xfId="24224"/>
    <cellStyle name="Normale 3 8 9 7" xfId="6551"/>
    <cellStyle name="Normale 3 8 9 7 2" xfId="14014"/>
    <cellStyle name="Normale 3 8 9 7 3" xfId="21422"/>
    <cellStyle name="Normale 3 8 9 7 4" xfId="25313"/>
    <cellStyle name="Normale 3 8 9 8" xfId="7445"/>
    <cellStyle name="Normale 3 8 9 8 2" xfId="14908"/>
    <cellStyle name="Normale 3 8 9 8 3" xfId="22316"/>
    <cellStyle name="Normale 3 8 9 8 4" xfId="15370"/>
    <cellStyle name="Normale 3 8 9 9" xfId="8412"/>
    <cellStyle name="Normale 3 9" xfId="116"/>
    <cellStyle name="Normale 3 9 10" xfId="2942"/>
    <cellStyle name="Normale 3 9 10 2" xfId="10405"/>
    <cellStyle name="Normale 3 9 10 3" xfId="17813"/>
    <cellStyle name="Normale 3 9 10 4" xfId="26330"/>
    <cellStyle name="Normale 3 9 11" xfId="3871"/>
    <cellStyle name="Normale 3 9 11 2" xfId="11334"/>
    <cellStyle name="Normale 3 9 11 3" xfId="18742"/>
    <cellStyle name="Normale 3 9 11 4" xfId="29684"/>
    <cellStyle name="Normale 3 9 12" xfId="4798"/>
    <cellStyle name="Normale 3 9 12 2" xfId="12261"/>
    <cellStyle name="Normale 3 9 12 3" xfId="19669"/>
    <cellStyle name="Normale 3 9 12 4" xfId="28259"/>
    <cellStyle name="Normale 3 9 13" xfId="5725"/>
    <cellStyle name="Normale 3 9 13 2" xfId="13188"/>
    <cellStyle name="Normale 3 9 13 3" xfId="20596"/>
    <cellStyle name="Normale 3 9 13 4" xfId="29253"/>
    <cellStyle name="Normale 3 9 14" xfId="6647"/>
    <cellStyle name="Normale 3 9 14 2" xfId="14110"/>
    <cellStyle name="Normale 3 9 14 3" xfId="21518"/>
    <cellStyle name="Normale 3 9 14 4" xfId="25488"/>
    <cellStyle name="Normale 3 9 15" xfId="7581"/>
    <cellStyle name="Normale 3 9 16" xfId="14990"/>
    <cellStyle name="Normale 3 9 17" xfId="24043"/>
    <cellStyle name="Normale 3 9 18" xfId="29807"/>
    <cellStyle name="Normale 3 9 19" xfId="30737"/>
    <cellStyle name="Normale 3 9 2" xfId="314"/>
    <cellStyle name="Normale 3 9 2 10" xfId="15187"/>
    <cellStyle name="Normale 3 9 2 11" xfId="28382"/>
    <cellStyle name="Normale 3 9 2 12" xfId="29999"/>
    <cellStyle name="Normale 3 9 2 13" xfId="30931"/>
    <cellStyle name="Normale 3 9 2 14" xfId="31852"/>
    <cellStyle name="Normale 3 9 2 15" xfId="32777"/>
    <cellStyle name="Normale 3 9 2 16" xfId="33714"/>
    <cellStyle name="Normale 3 9 2 17" xfId="34644"/>
    <cellStyle name="Normale 3 9 2 18" xfId="35570"/>
    <cellStyle name="Normale 3 9 2 19" xfId="36496"/>
    <cellStyle name="Normale 3 9 2 2" xfId="1281"/>
    <cellStyle name="Normale 3 9 2 2 2" xfId="8744"/>
    <cellStyle name="Normale 3 9 2 2 3" xfId="16152"/>
    <cellStyle name="Normale 3 9 2 2 4" xfId="24337"/>
    <cellStyle name="Normale 3 9 2 20" xfId="37416"/>
    <cellStyle name="Normale 3 9 2 3" xfId="2212"/>
    <cellStyle name="Normale 3 9 2 3 2" xfId="9675"/>
    <cellStyle name="Normale 3 9 2 3 3" xfId="17083"/>
    <cellStyle name="Normale 3 9 2 3 4" xfId="22799"/>
    <cellStyle name="Normale 3 9 2 4" xfId="3134"/>
    <cellStyle name="Normale 3 9 2 4 2" xfId="10597"/>
    <cellStyle name="Normale 3 9 2 4 3" xfId="18005"/>
    <cellStyle name="Normale 3 9 2 4 4" xfId="22451"/>
    <cellStyle name="Normale 3 9 2 5" xfId="4067"/>
    <cellStyle name="Normale 3 9 2 5 2" xfId="11530"/>
    <cellStyle name="Normale 3 9 2 5 3" xfId="18938"/>
    <cellStyle name="Normale 3 9 2 5 4" xfId="22428"/>
    <cellStyle name="Normale 3 9 2 6" xfId="4990"/>
    <cellStyle name="Normale 3 9 2 6 2" xfId="12453"/>
    <cellStyle name="Normale 3 9 2 6 3" xfId="19861"/>
    <cellStyle name="Normale 3 9 2 6 4" xfId="27190"/>
    <cellStyle name="Normale 3 9 2 7" xfId="5918"/>
    <cellStyle name="Normale 3 9 2 7 2" xfId="13381"/>
    <cellStyle name="Normale 3 9 2 7 3" xfId="20789"/>
    <cellStyle name="Normale 3 9 2 7 4" xfId="28347"/>
    <cellStyle name="Normale 3 9 2 8" xfId="6838"/>
    <cellStyle name="Normale 3 9 2 8 2" xfId="14301"/>
    <cellStyle name="Normale 3 9 2 8 3" xfId="21709"/>
    <cellStyle name="Normale 3 9 2 8 4" xfId="22545"/>
    <cellStyle name="Normale 3 9 2 9" xfId="7777"/>
    <cellStyle name="Normale 3 9 20" xfId="31660"/>
    <cellStyle name="Normale 3 9 21" xfId="32586"/>
    <cellStyle name="Normale 3 9 22" xfId="33520"/>
    <cellStyle name="Normale 3 9 23" xfId="34448"/>
    <cellStyle name="Normale 3 9 24" xfId="35376"/>
    <cellStyle name="Normale 3 9 25" xfId="36302"/>
    <cellStyle name="Normale 3 9 26" xfId="37225"/>
    <cellStyle name="Normale 3 9 3" xfId="670"/>
    <cellStyle name="Normale 3 9 3 10" xfId="15542"/>
    <cellStyle name="Normale 3 9 3 11" xfId="28942"/>
    <cellStyle name="Normale 3 9 3 12" xfId="30346"/>
    <cellStyle name="Normale 3 9 3 13" xfId="31286"/>
    <cellStyle name="Normale 3 9 3 14" xfId="32201"/>
    <cellStyle name="Normale 3 9 3 15" xfId="33119"/>
    <cellStyle name="Normale 3 9 3 16" xfId="34069"/>
    <cellStyle name="Normale 3 9 3 17" xfId="35000"/>
    <cellStyle name="Normale 3 9 3 18" xfId="35926"/>
    <cellStyle name="Normale 3 9 3 19" xfId="36851"/>
    <cellStyle name="Normale 3 9 3 2" xfId="1636"/>
    <cellStyle name="Normale 3 9 3 2 2" xfId="9099"/>
    <cellStyle name="Normale 3 9 3 2 3" xfId="16507"/>
    <cellStyle name="Normale 3 9 3 2 4" xfId="28484"/>
    <cellStyle name="Normale 3 9 3 20" xfId="37758"/>
    <cellStyle name="Normale 3 9 3 3" xfId="2568"/>
    <cellStyle name="Normale 3 9 3 3 2" xfId="10031"/>
    <cellStyle name="Normale 3 9 3 3 3" xfId="17439"/>
    <cellStyle name="Normale 3 9 3 3 4" xfId="26936"/>
    <cellStyle name="Normale 3 9 3 4" xfId="3486"/>
    <cellStyle name="Normale 3 9 3 4 2" xfId="10949"/>
    <cellStyle name="Normale 3 9 3 4 3" xfId="18357"/>
    <cellStyle name="Normale 3 9 3 4 4" xfId="27042"/>
    <cellStyle name="Normale 3 9 3 5" xfId="4423"/>
    <cellStyle name="Normale 3 9 3 5 2" xfId="11886"/>
    <cellStyle name="Normale 3 9 3 5 3" xfId="19294"/>
    <cellStyle name="Normale 3 9 3 5 4" xfId="27827"/>
    <cellStyle name="Normale 3 9 3 6" xfId="5341"/>
    <cellStyle name="Normale 3 9 3 6 2" xfId="12804"/>
    <cellStyle name="Normale 3 9 3 6 3" xfId="20212"/>
    <cellStyle name="Normale 3 9 3 6 4" xfId="27534"/>
    <cellStyle name="Normale 3 9 3 7" xfId="6273"/>
    <cellStyle name="Normale 3 9 3 7 2" xfId="13736"/>
    <cellStyle name="Normale 3 9 3 7 3" xfId="21144"/>
    <cellStyle name="Normale 3 9 3 7 4" xfId="24613"/>
    <cellStyle name="Normale 3 9 3 8" xfId="7180"/>
    <cellStyle name="Normale 3 9 3 8 2" xfId="14643"/>
    <cellStyle name="Normale 3 9 3 8 3" xfId="22051"/>
    <cellStyle name="Normale 3 9 3 8 4" xfId="27463"/>
    <cellStyle name="Normale 3 9 3 9" xfId="8133"/>
    <cellStyle name="Normale 3 9 4" xfId="755"/>
    <cellStyle name="Normale 3 9 4 10" xfId="15626"/>
    <cellStyle name="Normale 3 9 4 11" xfId="27508"/>
    <cellStyle name="Normale 3 9 4 12" xfId="30429"/>
    <cellStyle name="Normale 3 9 4 13" xfId="31370"/>
    <cellStyle name="Normale 3 9 4 14" xfId="32283"/>
    <cellStyle name="Normale 3 9 4 15" xfId="33200"/>
    <cellStyle name="Normale 3 9 4 16" xfId="34153"/>
    <cellStyle name="Normale 3 9 4 17" xfId="35085"/>
    <cellStyle name="Normale 3 9 4 18" xfId="36011"/>
    <cellStyle name="Normale 3 9 4 19" xfId="36936"/>
    <cellStyle name="Normale 3 9 4 2" xfId="1720"/>
    <cellStyle name="Normale 3 9 4 2 2" xfId="9183"/>
    <cellStyle name="Normale 3 9 4 2 3" xfId="16591"/>
    <cellStyle name="Normale 3 9 4 2 4" xfId="23410"/>
    <cellStyle name="Normale 3 9 4 20" xfId="37839"/>
    <cellStyle name="Normale 3 9 4 3" xfId="2653"/>
    <cellStyle name="Normale 3 9 4 3 2" xfId="10116"/>
    <cellStyle name="Normale 3 9 4 3 3" xfId="17524"/>
    <cellStyle name="Normale 3 9 4 3 4" xfId="29492"/>
    <cellStyle name="Normale 3 9 4 4" xfId="3569"/>
    <cellStyle name="Normale 3 9 4 4 2" xfId="11032"/>
    <cellStyle name="Normale 3 9 4 4 3" xfId="18440"/>
    <cellStyle name="Normale 3 9 4 4 4" xfId="25785"/>
    <cellStyle name="Normale 3 9 4 5" xfId="4508"/>
    <cellStyle name="Normale 3 9 4 5 2" xfId="11971"/>
    <cellStyle name="Normale 3 9 4 5 3" xfId="19379"/>
    <cellStyle name="Normale 3 9 4 5 4" xfId="25063"/>
    <cellStyle name="Normale 3 9 4 6" xfId="5424"/>
    <cellStyle name="Normale 3 9 4 6 2" xfId="12887"/>
    <cellStyle name="Normale 3 9 4 6 3" xfId="20295"/>
    <cellStyle name="Normale 3 9 4 6 4" xfId="23315"/>
    <cellStyle name="Normale 3 9 4 7" xfId="6357"/>
    <cellStyle name="Normale 3 9 4 7 2" xfId="13820"/>
    <cellStyle name="Normale 3 9 4 7 3" xfId="21228"/>
    <cellStyle name="Normale 3 9 4 7 4" xfId="29561"/>
    <cellStyle name="Normale 3 9 4 8" xfId="7261"/>
    <cellStyle name="Normale 3 9 4 8 2" xfId="14724"/>
    <cellStyle name="Normale 3 9 4 8 3" xfId="22132"/>
    <cellStyle name="Normale 3 9 4 8 4" xfId="25296"/>
    <cellStyle name="Normale 3 9 4 9" xfId="8218"/>
    <cellStyle name="Normale 3 9 5" xfId="826"/>
    <cellStyle name="Normale 3 9 5 10" xfId="15697"/>
    <cellStyle name="Normale 3 9 5 11" xfId="26680"/>
    <cellStyle name="Normale 3 9 5 12" xfId="30498"/>
    <cellStyle name="Normale 3 9 5 13" xfId="31441"/>
    <cellStyle name="Normale 3 9 5 14" xfId="32353"/>
    <cellStyle name="Normale 3 9 5 15" xfId="33269"/>
    <cellStyle name="Normale 3 9 5 16" xfId="34224"/>
    <cellStyle name="Normale 3 9 5 17" xfId="35156"/>
    <cellStyle name="Normale 3 9 5 18" xfId="36082"/>
    <cellStyle name="Normale 3 9 5 19" xfId="37007"/>
    <cellStyle name="Normale 3 9 5 2" xfId="1791"/>
    <cellStyle name="Normale 3 9 5 2 2" xfId="9254"/>
    <cellStyle name="Normale 3 9 5 2 3" xfId="16662"/>
    <cellStyle name="Normale 3 9 5 2 4" xfId="22847"/>
    <cellStyle name="Normale 3 9 5 20" xfId="37908"/>
    <cellStyle name="Normale 3 9 5 3" xfId="2724"/>
    <cellStyle name="Normale 3 9 5 3 2" xfId="10187"/>
    <cellStyle name="Normale 3 9 5 3 3" xfId="17595"/>
    <cellStyle name="Normale 3 9 5 3 4" xfId="28446"/>
    <cellStyle name="Normale 3 9 5 4" xfId="3639"/>
    <cellStyle name="Normale 3 9 5 4 2" xfId="11102"/>
    <cellStyle name="Normale 3 9 5 4 3" xfId="18510"/>
    <cellStyle name="Normale 3 9 5 4 4" xfId="27036"/>
    <cellStyle name="Normale 3 9 5 5" xfId="4579"/>
    <cellStyle name="Normale 3 9 5 5 2" xfId="12042"/>
    <cellStyle name="Normale 3 9 5 5 3" xfId="19450"/>
    <cellStyle name="Normale 3 9 5 5 4" xfId="23980"/>
    <cellStyle name="Normale 3 9 5 6" xfId="5494"/>
    <cellStyle name="Normale 3 9 5 6 2" xfId="12957"/>
    <cellStyle name="Normale 3 9 5 6 3" xfId="20365"/>
    <cellStyle name="Normale 3 9 5 6 4" xfId="23803"/>
    <cellStyle name="Normale 3 9 5 7" xfId="6428"/>
    <cellStyle name="Normale 3 9 5 7 2" xfId="13891"/>
    <cellStyle name="Normale 3 9 5 7 3" xfId="21299"/>
    <cellStyle name="Normale 3 9 5 7 4" xfId="28501"/>
    <cellStyle name="Normale 3 9 5 8" xfId="7330"/>
    <cellStyle name="Normale 3 9 5 8 2" xfId="14793"/>
    <cellStyle name="Normale 3 9 5 8 3" xfId="22201"/>
    <cellStyle name="Normale 3 9 5 8 4" xfId="29193"/>
    <cellStyle name="Normale 3 9 5 9" xfId="8289"/>
    <cellStyle name="Normale 3 9 6" xfId="897"/>
    <cellStyle name="Normale 3 9 6 10" xfId="15768"/>
    <cellStyle name="Normale 3 9 6 11" xfId="25458"/>
    <cellStyle name="Normale 3 9 6 12" xfId="30566"/>
    <cellStyle name="Normale 3 9 6 13" xfId="31512"/>
    <cellStyle name="Normale 3 9 6 14" xfId="32423"/>
    <cellStyle name="Normale 3 9 6 15" xfId="33335"/>
    <cellStyle name="Normale 3 9 6 16" xfId="34295"/>
    <cellStyle name="Normale 3 9 6 17" xfId="35227"/>
    <cellStyle name="Normale 3 9 6 18" xfId="36153"/>
    <cellStyle name="Normale 3 9 6 19" xfId="37078"/>
    <cellStyle name="Normale 3 9 6 2" xfId="1862"/>
    <cellStyle name="Normale 3 9 6 2 2" xfId="9325"/>
    <cellStyle name="Normale 3 9 6 2 3" xfId="16733"/>
    <cellStyle name="Normale 3 9 6 2 4" xfId="22672"/>
    <cellStyle name="Normale 3 9 6 20" xfId="37974"/>
    <cellStyle name="Normale 3 9 6 3" xfId="2795"/>
    <cellStyle name="Normale 3 9 6 3 2" xfId="10258"/>
    <cellStyle name="Normale 3 9 6 3 3" xfId="17666"/>
    <cellStyle name="Normale 3 9 6 3 4" xfId="29180"/>
    <cellStyle name="Normale 3 9 6 4" xfId="3709"/>
    <cellStyle name="Normale 3 9 6 4 2" xfId="11172"/>
    <cellStyle name="Normale 3 9 6 4 3" xfId="18580"/>
    <cellStyle name="Normale 3 9 6 4 4" xfId="29367"/>
    <cellStyle name="Normale 3 9 6 5" xfId="4650"/>
    <cellStyle name="Normale 3 9 6 5 2" xfId="12113"/>
    <cellStyle name="Normale 3 9 6 5 3" xfId="19521"/>
    <cellStyle name="Normale 3 9 6 5 4" xfId="24679"/>
    <cellStyle name="Normale 3 9 6 6" xfId="5564"/>
    <cellStyle name="Normale 3 9 6 6 2" xfId="13027"/>
    <cellStyle name="Normale 3 9 6 6 3" xfId="20435"/>
    <cellStyle name="Normale 3 9 6 6 4" xfId="24227"/>
    <cellStyle name="Normale 3 9 6 7" xfId="6499"/>
    <cellStyle name="Normale 3 9 6 7 2" xfId="13962"/>
    <cellStyle name="Normale 3 9 6 7 3" xfId="21370"/>
    <cellStyle name="Normale 3 9 6 7 4" xfId="29203"/>
    <cellStyle name="Normale 3 9 6 8" xfId="7396"/>
    <cellStyle name="Normale 3 9 6 8 2" xfId="14859"/>
    <cellStyle name="Normale 3 9 6 8 3" xfId="22267"/>
    <cellStyle name="Normale 3 9 6 8 4" xfId="26219"/>
    <cellStyle name="Normale 3 9 6 9" xfId="8360"/>
    <cellStyle name="Normale 3 9 7" xfId="960"/>
    <cellStyle name="Normale 3 9 7 10" xfId="15831"/>
    <cellStyle name="Normale 3 9 7 11" xfId="26451"/>
    <cellStyle name="Normale 3 9 7 12" xfId="30626"/>
    <cellStyle name="Normale 3 9 7 13" xfId="31574"/>
    <cellStyle name="Normale 3 9 7 14" xfId="32485"/>
    <cellStyle name="Normale 3 9 7 15" xfId="33395"/>
    <cellStyle name="Normale 3 9 7 16" xfId="34358"/>
    <cellStyle name="Normale 3 9 7 17" xfId="35290"/>
    <cellStyle name="Normale 3 9 7 18" xfId="36215"/>
    <cellStyle name="Normale 3 9 7 19" xfId="37141"/>
    <cellStyle name="Normale 3 9 7 2" xfId="1925"/>
    <cellStyle name="Normale 3 9 7 2 2" xfId="9388"/>
    <cellStyle name="Normale 3 9 7 2 3" xfId="16796"/>
    <cellStyle name="Normale 3 9 7 2 4" xfId="27773"/>
    <cellStyle name="Normale 3 9 7 20" xfId="38034"/>
    <cellStyle name="Normale 3 9 7 3" xfId="2857"/>
    <cellStyle name="Normale 3 9 7 3 2" xfId="10320"/>
    <cellStyle name="Normale 3 9 7 3 3" xfId="17728"/>
    <cellStyle name="Normale 3 9 7 3 4" xfId="22459"/>
    <cellStyle name="Normale 3 9 7 4" xfId="3772"/>
    <cellStyle name="Normale 3 9 7 4 2" xfId="11235"/>
    <cellStyle name="Normale 3 9 7 4 3" xfId="18643"/>
    <cellStyle name="Normale 3 9 7 4 4" xfId="22432"/>
    <cellStyle name="Normale 3 9 7 5" xfId="4713"/>
    <cellStyle name="Normale 3 9 7 5 2" xfId="12176"/>
    <cellStyle name="Normale 3 9 7 5 3" xfId="19584"/>
    <cellStyle name="Normale 3 9 7 5 4" xfId="24250"/>
    <cellStyle name="Normale 3 9 7 6" xfId="5627"/>
    <cellStyle name="Normale 3 9 7 6 2" xfId="13090"/>
    <cellStyle name="Normale 3 9 7 6 3" xfId="20498"/>
    <cellStyle name="Normale 3 9 7 6 4" xfId="29566"/>
    <cellStyle name="Normale 3 9 7 7" xfId="6562"/>
    <cellStyle name="Normale 3 9 7 7 2" xfId="14025"/>
    <cellStyle name="Normale 3 9 7 7 3" xfId="21433"/>
    <cellStyle name="Normale 3 9 7 7 4" xfId="28983"/>
    <cellStyle name="Normale 3 9 7 8" xfId="7456"/>
    <cellStyle name="Normale 3 9 7 8 2" xfId="14919"/>
    <cellStyle name="Normale 3 9 7 8 3" xfId="22327"/>
    <cellStyle name="Normale 3 9 7 8 4" xfId="16509"/>
    <cellStyle name="Normale 3 9 7 9" xfId="8423"/>
    <cellStyle name="Normale 3 9 8" xfId="1089"/>
    <cellStyle name="Normale 3 9 8 2" xfId="8552"/>
    <cellStyle name="Normale 3 9 8 3" xfId="15960"/>
    <cellStyle name="Normale 3 9 8 4" xfId="25570"/>
    <cellStyle name="Normale 3 9 9" xfId="2016"/>
    <cellStyle name="Normale 3 9 9 2" xfId="9479"/>
    <cellStyle name="Normale 3 9 9 3" xfId="16887"/>
    <cellStyle name="Normale 3 9 9 4" xfId="26591"/>
    <cellStyle name="Normale 4" xfId="117"/>
    <cellStyle name="Normale 4 10" xfId="475"/>
    <cellStyle name="Normale 4 10 10" xfId="15348"/>
    <cellStyle name="Normale 4 10 11" xfId="27301"/>
    <cellStyle name="Normale 4 10 12" xfId="30160"/>
    <cellStyle name="Normale 4 10 13" xfId="31092"/>
    <cellStyle name="Normale 4 10 14" xfId="32013"/>
    <cellStyle name="Normale 4 10 15" xfId="32936"/>
    <cellStyle name="Normale 4 10 16" xfId="33875"/>
    <cellStyle name="Normale 4 10 17" xfId="34805"/>
    <cellStyle name="Normale 4 10 18" xfId="35731"/>
    <cellStyle name="Normale 4 10 19" xfId="36657"/>
    <cellStyle name="Normale 4 10 2" xfId="1442"/>
    <cellStyle name="Normale 4 10 2 2" xfId="8905"/>
    <cellStyle name="Normale 4 10 2 3" xfId="16313"/>
    <cellStyle name="Normale 4 10 2 4" xfId="23049"/>
    <cellStyle name="Normale 4 10 20" xfId="37575"/>
    <cellStyle name="Normale 4 10 3" xfId="2373"/>
    <cellStyle name="Normale 4 10 3 2" xfId="9836"/>
    <cellStyle name="Normale 4 10 3 3" xfId="17244"/>
    <cellStyle name="Normale 4 10 3 4" xfId="27989"/>
    <cellStyle name="Normale 4 10 4" xfId="3295"/>
    <cellStyle name="Normale 4 10 4 2" xfId="10758"/>
    <cellStyle name="Normale 4 10 4 3" xfId="18166"/>
    <cellStyle name="Normale 4 10 4 4" xfId="27392"/>
    <cellStyle name="Normale 4 10 5" xfId="4228"/>
    <cellStyle name="Normale 4 10 5 2" xfId="11691"/>
    <cellStyle name="Normale 4 10 5 3" xfId="19099"/>
    <cellStyle name="Normale 4 10 5 4" xfId="29042"/>
    <cellStyle name="Normale 4 10 6" xfId="5151"/>
    <cellStyle name="Normale 4 10 6 2" xfId="12614"/>
    <cellStyle name="Normale 4 10 6 3" xfId="20022"/>
    <cellStyle name="Normale 4 10 6 4" xfId="25824"/>
    <cellStyle name="Normale 4 10 7" xfId="6079"/>
    <cellStyle name="Normale 4 10 7 2" xfId="13542"/>
    <cellStyle name="Normale 4 10 7 3" xfId="20950"/>
    <cellStyle name="Normale 4 10 7 4" xfId="27160"/>
    <cellStyle name="Normale 4 10 8" xfId="6997"/>
    <cellStyle name="Normale 4 10 8 2" xfId="14460"/>
    <cellStyle name="Normale 4 10 8 3" xfId="21868"/>
    <cellStyle name="Normale 4 10 8 4" xfId="29245"/>
    <cellStyle name="Normale 4 10 9" xfId="7938"/>
    <cellStyle name="Normale 4 11" xfId="523"/>
    <cellStyle name="Normale 4 11 10" xfId="15396"/>
    <cellStyle name="Normale 4 11 11" xfId="26395"/>
    <cellStyle name="Normale 4 11 12" xfId="30207"/>
    <cellStyle name="Normale 4 11 13" xfId="31140"/>
    <cellStyle name="Normale 4 11 14" xfId="32060"/>
    <cellStyle name="Normale 4 11 15" xfId="32982"/>
    <cellStyle name="Normale 4 11 16" xfId="33923"/>
    <cellStyle name="Normale 4 11 17" xfId="34853"/>
    <cellStyle name="Normale 4 11 18" xfId="35779"/>
    <cellStyle name="Normale 4 11 19" xfId="36705"/>
    <cellStyle name="Normale 4 11 2" xfId="1490"/>
    <cellStyle name="Normale 4 11 2 2" xfId="8953"/>
    <cellStyle name="Normale 4 11 2 3" xfId="16361"/>
    <cellStyle name="Normale 4 11 2 4" xfId="22493"/>
    <cellStyle name="Normale 4 11 20" xfId="37621"/>
    <cellStyle name="Normale 4 11 3" xfId="2421"/>
    <cellStyle name="Normale 4 11 3 2" xfId="9884"/>
    <cellStyle name="Normale 4 11 3 3" xfId="17292"/>
    <cellStyle name="Normale 4 11 3 4" xfId="28900"/>
    <cellStyle name="Normale 4 11 4" xfId="3342"/>
    <cellStyle name="Normale 4 11 4 2" xfId="10805"/>
    <cellStyle name="Normale 4 11 4 3" xfId="18213"/>
    <cellStyle name="Normale 4 11 4 4" xfId="22635"/>
    <cellStyle name="Normale 4 11 5" xfId="4276"/>
    <cellStyle name="Normale 4 11 5 2" xfId="11739"/>
    <cellStyle name="Normale 4 11 5 3" xfId="19147"/>
    <cellStyle name="Normale 4 11 5 4" xfId="22416"/>
    <cellStyle name="Normale 4 11 6" xfId="5198"/>
    <cellStyle name="Normale 4 11 6 2" xfId="12661"/>
    <cellStyle name="Normale 4 11 6 3" xfId="20069"/>
    <cellStyle name="Normale 4 11 6 4" xfId="26080"/>
    <cellStyle name="Normale 4 11 7" xfId="6127"/>
    <cellStyle name="Normale 4 11 7 2" xfId="13590"/>
    <cellStyle name="Normale 4 11 7 3" xfId="20998"/>
    <cellStyle name="Normale 4 11 7 4" xfId="26252"/>
    <cellStyle name="Normale 4 11 8" xfId="7043"/>
    <cellStyle name="Normale 4 11 8 2" xfId="14506"/>
    <cellStyle name="Normale 4 11 8 3" xfId="21914"/>
    <cellStyle name="Normale 4 11 8 4" xfId="23925"/>
    <cellStyle name="Normale 4 11 9" xfId="7986"/>
    <cellStyle name="Normale 4 12" xfId="575"/>
    <cellStyle name="Normale 4 12 10" xfId="15448"/>
    <cellStyle name="Normale 4 12 11" xfId="28490"/>
    <cellStyle name="Normale 4 12 12" xfId="30258"/>
    <cellStyle name="Normale 4 12 13" xfId="31192"/>
    <cellStyle name="Normale 4 12 14" xfId="32111"/>
    <cellStyle name="Normale 4 12 15" xfId="33032"/>
    <cellStyle name="Normale 4 12 16" xfId="33975"/>
    <cellStyle name="Normale 4 12 17" xfId="34905"/>
    <cellStyle name="Normale 4 12 18" xfId="35831"/>
    <cellStyle name="Normale 4 12 19" xfId="36757"/>
    <cellStyle name="Normale 4 12 2" xfId="1542"/>
    <cellStyle name="Normale 4 12 2 2" xfId="9005"/>
    <cellStyle name="Normale 4 12 2 3" xfId="16413"/>
    <cellStyle name="Normale 4 12 2 4" xfId="26366"/>
    <cellStyle name="Normale 4 12 20" xfId="37671"/>
    <cellStyle name="Normale 4 12 3" xfId="2473"/>
    <cellStyle name="Normale 4 12 3 2" xfId="9936"/>
    <cellStyle name="Normale 4 12 3 3" xfId="17344"/>
    <cellStyle name="Normale 4 12 3 4" xfId="25658"/>
    <cellStyle name="Normale 4 12 4" xfId="3393"/>
    <cellStyle name="Normale 4 12 4 2" xfId="10856"/>
    <cellStyle name="Normale 4 12 4 3" xfId="18264"/>
    <cellStyle name="Normale 4 12 4 4" xfId="25731"/>
    <cellStyle name="Normale 4 12 5" xfId="4328"/>
    <cellStyle name="Normale 4 12 5 2" xfId="11791"/>
    <cellStyle name="Normale 4 12 5 3" xfId="19199"/>
    <cellStyle name="Normale 4 12 5 4" xfId="23532"/>
    <cellStyle name="Normale 4 12 6" xfId="5249"/>
    <cellStyle name="Normale 4 12 6 2" xfId="12712"/>
    <cellStyle name="Normale 4 12 6 3" xfId="20120"/>
    <cellStyle name="Normale 4 12 6 4" xfId="23509"/>
    <cellStyle name="Normale 4 12 7" xfId="6179"/>
    <cellStyle name="Normale 4 12 7 2" xfId="13642"/>
    <cellStyle name="Normale 4 12 7 3" xfId="21050"/>
    <cellStyle name="Normale 4 12 7 4" xfId="23856"/>
    <cellStyle name="Normale 4 12 8" xfId="7093"/>
    <cellStyle name="Normale 4 12 8 2" xfId="14556"/>
    <cellStyle name="Normale 4 12 8 3" xfId="21964"/>
    <cellStyle name="Normale 4 12 8 4" xfId="15640"/>
    <cellStyle name="Normale 4 12 9" xfId="8038"/>
    <cellStyle name="Normale 4 13" xfId="635"/>
    <cellStyle name="Normale 4 13 10" xfId="15507"/>
    <cellStyle name="Normale 4 13 11" xfId="23626"/>
    <cellStyle name="Normale 4 13 12" xfId="30314"/>
    <cellStyle name="Normale 4 13 13" xfId="31251"/>
    <cellStyle name="Normale 4 13 14" xfId="32168"/>
    <cellStyle name="Normale 4 13 15" xfId="33087"/>
    <cellStyle name="Normale 4 13 16" xfId="34034"/>
    <cellStyle name="Normale 4 13 17" xfId="34965"/>
    <cellStyle name="Normale 4 13 18" xfId="35891"/>
    <cellStyle name="Normale 4 13 19" xfId="36816"/>
    <cellStyle name="Normale 4 13 2" xfId="1601"/>
    <cellStyle name="Normale 4 13 2 2" xfId="9064"/>
    <cellStyle name="Normale 4 13 2 3" xfId="16472"/>
    <cellStyle name="Normale 4 13 2 4" xfId="23412"/>
    <cellStyle name="Normale 4 13 20" xfId="37726"/>
    <cellStyle name="Normale 4 13 3" xfId="2533"/>
    <cellStyle name="Normale 4 13 3 2" xfId="9996"/>
    <cellStyle name="Normale 4 13 3 3" xfId="17404"/>
    <cellStyle name="Normale 4 13 3 4" xfId="29084"/>
    <cellStyle name="Normale 4 13 4" xfId="3451"/>
    <cellStyle name="Normale 4 13 4 2" xfId="10914"/>
    <cellStyle name="Normale 4 13 4 3" xfId="18322"/>
    <cellStyle name="Normale 4 13 4 4" xfId="23815"/>
    <cellStyle name="Normale 4 13 5" xfId="4388"/>
    <cellStyle name="Normale 4 13 5 2" xfId="11851"/>
    <cellStyle name="Normale 4 13 5 3" xfId="19259"/>
    <cellStyle name="Normale 4 13 5 4" xfId="27828"/>
    <cellStyle name="Normale 4 13 6" xfId="5306"/>
    <cellStyle name="Normale 4 13 6 2" xfId="12769"/>
    <cellStyle name="Normale 4 13 6 3" xfId="20177"/>
    <cellStyle name="Normale 4 13 6 4" xfId="23205"/>
    <cellStyle name="Normale 4 13 7" xfId="6239"/>
    <cellStyle name="Normale 4 13 7 2" xfId="13702"/>
    <cellStyle name="Normale 4 13 7 3" xfId="21110"/>
    <cellStyle name="Normale 4 13 7 4" xfId="26458"/>
    <cellStyle name="Normale 4 13 8" xfId="7148"/>
    <cellStyle name="Normale 4 13 8 2" xfId="14611"/>
    <cellStyle name="Normale 4 13 8 3" xfId="22019"/>
    <cellStyle name="Normale 4 13 8 4" xfId="24382"/>
    <cellStyle name="Normale 4 13 9" xfId="8098"/>
    <cellStyle name="Normale 4 14" xfId="713"/>
    <cellStyle name="Normale 4 14 10" xfId="15584"/>
    <cellStyle name="Normale 4 14 11" xfId="29662"/>
    <cellStyle name="Normale 4 14 12" xfId="30387"/>
    <cellStyle name="Normale 4 14 13" xfId="31328"/>
    <cellStyle name="Normale 4 14 14" xfId="32241"/>
    <cellStyle name="Normale 4 14 15" xfId="33159"/>
    <cellStyle name="Normale 4 14 16" xfId="34111"/>
    <cellStyle name="Normale 4 14 17" xfId="35043"/>
    <cellStyle name="Normale 4 14 18" xfId="35969"/>
    <cellStyle name="Normale 4 14 19" xfId="36894"/>
    <cellStyle name="Normale 4 14 2" xfId="1678"/>
    <cellStyle name="Normale 4 14 2 2" xfId="9141"/>
    <cellStyle name="Normale 4 14 2 3" xfId="16549"/>
    <cellStyle name="Normale 4 14 2 4" xfId="26362"/>
    <cellStyle name="Normale 4 14 20" xfId="37798"/>
    <cellStyle name="Normale 4 14 3" xfId="2611"/>
    <cellStyle name="Normale 4 14 3 2" xfId="10074"/>
    <cellStyle name="Normale 4 14 3 3" xfId="17482"/>
    <cellStyle name="Normale 4 14 3 4" xfId="29177"/>
    <cellStyle name="Normale 4 14 4" xfId="3527"/>
    <cellStyle name="Normale 4 14 4 2" xfId="10990"/>
    <cellStyle name="Normale 4 14 4 3" xfId="18398"/>
    <cellStyle name="Normale 4 14 4 4" xfId="26319"/>
    <cellStyle name="Normale 4 14 5" xfId="4466"/>
    <cellStyle name="Normale 4 14 5 2" xfId="11929"/>
    <cellStyle name="Normale 4 14 5 3" xfId="19337"/>
    <cellStyle name="Normale 4 14 5 4" xfId="24732"/>
    <cellStyle name="Normale 4 14 6" xfId="5382"/>
    <cellStyle name="Normale 4 14 6 2" xfId="12845"/>
    <cellStyle name="Normale 4 14 6 3" xfId="20253"/>
    <cellStyle name="Normale 4 14 6 4" xfId="26267"/>
    <cellStyle name="Normale 4 14 7" xfId="6315"/>
    <cellStyle name="Normale 4 14 7 2" xfId="13778"/>
    <cellStyle name="Normale 4 14 7 3" xfId="21186"/>
    <cellStyle name="Normale 4 14 7 4" xfId="29200"/>
    <cellStyle name="Normale 4 14 8" xfId="7220"/>
    <cellStyle name="Normale 4 14 8 2" xfId="14683"/>
    <cellStyle name="Normale 4 14 8 3" xfId="22091"/>
    <cellStyle name="Normale 4 14 8 4" xfId="25980"/>
    <cellStyle name="Normale 4 14 9" xfId="8176"/>
    <cellStyle name="Normale 4 15" xfId="785"/>
    <cellStyle name="Normale 4 15 10" xfId="15656"/>
    <cellStyle name="Normale 4 15 11" xfId="25429"/>
    <cellStyle name="Normale 4 15 12" xfId="30457"/>
    <cellStyle name="Normale 4 15 13" xfId="31400"/>
    <cellStyle name="Normale 4 15 14" xfId="32312"/>
    <cellStyle name="Normale 4 15 15" xfId="33228"/>
    <cellStyle name="Normale 4 15 16" xfId="34183"/>
    <cellStyle name="Normale 4 15 17" xfId="35115"/>
    <cellStyle name="Normale 4 15 18" xfId="36041"/>
    <cellStyle name="Normale 4 15 19" xfId="36966"/>
    <cellStyle name="Normale 4 15 2" xfId="1750"/>
    <cellStyle name="Normale 4 15 2 2" xfId="9213"/>
    <cellStyle name="Normale 4 15 2 3" xfId="16621"/>
    <cellStyle name="Normale 4 15 2 4" xfId="26873"/>
    <cellStyle name="Normale 4 15 20" xfId="37867"/>
    <cellStyle name="Normale 4 15 3" xfId="2683"/>
    <cellStyle name="Normale 4 15 3 2" xfId="10146"/>
    <cellStyle name="Normale 4 15 3 3" xfId="17554"/>
    <cellStyle name="Normale 4 15 3 4" xfId="29674"/>
    <cellStyle name="Normale 4 15 4" xfId="3598"/>
    <cellStyle name="Normale 4 15 4 2" xfId="11061"/>
    <cellStyle name="Normale 4 15 4 3" xfId="18469"/>
    <cellStyle name="Normale 4 15 4 4" xfId="28314"/>
    <cellStyle name="Normale 4 15 5" xfId="4538"/>
    <cellStyle name="Normale 4 15 5 2" xfId="12001"/>
    <cellStyle name="Normale 4 15 5 3" xfId="19409"/>
    <cellStyle name="Normale 4 15 5 4" xfId="26292"/>
    <cellStyle name="Normale 4 15 6" xfId="5453"/>
    <cellStyle name="Normale 4 15 6 2" xfId="12916"/>
    <cellStyle name="Normale 4 15 6 3" xfId="20324"/>
    <cellStyle name="Normale 4 15 6 4" xfId="27753"/>
    <cellStyle name="Normale 4 15 7" xfId="6387"/>
    <cellStyle name="Normale 4 15 7 2" xfId="13850"/>
    <cellStyle name="Normale 4 15 7 3" xfId="21258"/>
    <cellStyle name="Normale 4 15 7 4" xfId="23483"/>
    <cellStyle name="Normale 4 15 8" xfId="7289"/>
    <cellStyle name="Normale 4 15 8 2" xfId="14752"/>
    <cellStyle name="Normale 4 15 8 3" xfId="22160"/>
    <cellStyle name="Normale 4 15 8 4" xfId="23045"/>
    <cellStyle name="Normale 4 15 9" xfId="8248"/>
    <cellStyle name="Normale 4 16" xfId="858"/>
    <cellStyle name="Normale 4 16 10" xfId="15729"/>
    <cellStyle name="Normale 4 16 11" xfId="25046"/>
    <cellStyle name="Normale 4 16 12" xfId="30527"/>
    <cellStyle name="Normale 4 16 13" xfId="31473"/>
    <cellStyle name="Normale 4 16 14" xfId="32384"/>
    <cellStyle name="Normale 4 16 15" xfId="33297"/>
    <cellStyle name="Normale 4 16 16" xfId="34256"/>
    <cellStyle name="Normale 4 16 17" xfId="35188"/>
    <cellStyle name="Normale 4 16 18" xfId="36114"/>
    <cellStyle name="Normale 4 16 19" xfId="37039"/>
    <cellStyle name="Normale 4 16 2" xfId="1823"/>
    <cellStyle name="Normale 4 16 2 2" xfId="9286"/>
    <cellStyle name="Normale 4 16 2 3" xfId="16694"/>
    <cellStyle name="Normale 4 16 2 4" xfId="28915"/>
    <cellStyle name="Normale 4 16 20" xfId="37936"/>
    <cellStyle name="Normale 4 16 3" xfId="2756"/>
    <cellStyle name="Normale 4 16 3 2" xfId="10219"/>
    <cellStyle name="Normale 4 16 3 3" xfId="17627"/>
    <cellStyle name="Normale 4 16 3 4" xfId="27979"/>
    <cellStyle name="Normale 4 16 4" xfId="3670"/>
    <cellStyle name="Normale 4 16 4 2" xfId="11133"/>
    <cellStyle name="Normale 4 16 4 3" xfId="18541"/>
    <cellStyle name="Normale 4 16 4 4" xfId="27954"/>
    <cellStyle name="Normale 4 16 5" xfId="4611"/>
    <cellStyle name="Normale 4 16 5 2" xfId="12074"/>
    <cellStyle name="Normale 4 16 5 3" xfId="19482"/>
    <cellStyle name="Normale 4 16 5 4" xfId="22603"/>
    <cellStyle name="Normale 4 16 6" xfId="5525"/>
    <cellStyle name="Normale 4 16 6 2" xfId="12988"/>
    <cellStyle name="Normale 4 16 6 3" xfId="20396"/>
    <cellStyle name="Normale 4 16 6 4" xfId="24420"/>
    <cellStyle name="Normale 4 16 7" xfId="6460"/>
    <cellStyle name="Normale 4 16 7 2" xfId="13923"/>
    <cellStyle name="Normale 4 16 7 3" xfId="21331"/>
    <cellStyle name="Normale 4 16 7 4" xfId="27154"/>
    <cellStyle name="Normale 4 16 8" xfId="7358"/>
    <cellStyle name="Normale 4 16 8 2" xfId="14821"/>
    <cellStyle name="Normale 4 16 8 3" xfId="22229"/>
    <cellStyle name="Normale 4 16 8 4" xfId="23908"/>
    <cellStyle name="Normale 4 16 9" xfId="8321"/>
    <cellStyle name="Normale 4 17" xfId="928"/>
    <cellStyle name="Normale 4 17 10" xfId="15799"/>
    <cellStyle name="Normale 4 17 11" xfId="26656"/>
    <cellStyle name="Normale 4 17 12" xfId="30594"/>
    <cellStyle name="Normale 4 17 13" xfId="31542"/>
    <cellStyle name="Normale 4 17 14" xfId="32453"/>
    <cellStyle name="Normale 4 17 15" xfId="33363"/>
    <cellStyle name="Normale 4 17 16" xfId="34326"/>
    <cellStyle name="Normale 4 17 17" xfId="35258"/>
    <cellStyle name="Normale 4 17 18" xfId="36183"/>
    <cellStyle name="Normale 4 17 19" xfId="37109"/>
    <cellStyle name="Normale 4 17 2" xfId="1893"/>
    <cellStyle name="Normale 4 17 2 2" xfId="9356"/>
    <cellStyle name="Normale 4 17 2 3" xfId="16764"/>
    <cellStyle name="Normale 4 17 2 4" xfId="25029"/>
    <cellStyle name="Normale 4 17 20" xfId="38002"/>
    <cellStyle name="Normale 4 17 3" xfId="2825"/>
    <cellStyle name="Normale 4 17 3 2" xfId="10288"/>
    <cellStyle name="Normale 4 17 3 3" xfId="17696"/>
    <cellStyle name="Normale 4 17 3 4" xfId="22460"/>
    <cellStyle name="Normale 4 17 4" xfId="3740"/>
    <cellStyle name="Normale 4 17 4 2" xfId="11203"/>
    <cellStyle name="Normale 4 17 4 3" xfId="18611"/>
    <cellStyle name="Normale 4 17 4 4" xfId="22743"/>
    <cellStyle name="Normale 4 17 5" xfId="4681"/>
    <cellStyle name="Normale 4 17 5 2" xfId="12144"/>
    <cellStyle name="Normale 4 17 5 3" xfId="19552"/>
    <cellStyle name="Normale 4 17 5 4" xfId="24251"/>
    <cellStyle name="Normale 4 17 6" xfId="5595"/>
    <cellStyle name="Normale 4 17 6 2" xfId="13058"/>
    <cellStyle name="Normale 4 17 6 3" xfId="20466"/>
    <cellStyle name="Normale 4 17 6 4" xfId="26849"/>
    <cellStyle name="Normale 4 17 7" xfId="6530"/>
    <cellStyle name="Normale 4 17 7 2" xfId="13993"/>
    <cellStyle name="Normale 4 17 7 3" xfId="21401"/>
    <cellStyle name="Normale 4 17 7 4" xfId="28984"/>
    <cellStyle name="Normale 4 17 8" xfId="7424"/>
    <cellStyle name="Normale 4 17 8 2" xfId="14887"/>
    <cellStyle name="Normale 4 17 8 3" xfId="22295"/>
    <cellStyle name="Normale 4 17 8 4" xfId="24052"/>
    <cellStyle name="Normale 4 17 9" xfId="8391"/>
    <cellStyle name="Normale 4 18" xfId="1090"/>
    <cellStyle name="Normale 4 18 2" xfId="8553"/>
    <cellStyle name="Normale 4 18 3" xfId="15961"/>
    <cellStyle name="Normale 4 18 4" xfId="24653"/>
    <cellStyle name="Normale 4 19" xfId="2017"/>
    <cellStyle name="Normale 4 19 2" xfId="9480"/>
    <cellStyle name="Normale 4 19 3" xfId="16888"/>
    <cellStyle name="Normale 4 19 4" xfId="25661"/>
    <cellStyle name="Normale 4 2" xfId="118"/>
    <cellStyle name="Normale 4 2 10" xfId="524"/>
    <cellStyle name="Normale 4 2 10 10" xfId="15397"/>
    <cellStyle name="Normale 4 2 10 11" xfId="25468"/>
    <cellStyle name="Normale 4 2 10 12" xfId="30208"/>
    <cellStyle name="Normale 4 2 10 13" xfId="31141"/>
    <cellStyle name="Normale 4 2 10 14" xfId="32061"/>
    <cellStyle name="Normale 4 2 10 15" xfId="32983"/>
    <cellStyle name="Normale 4 2 10 16" xfId="33924"/>
    <cellStyle name="Normale 4 2 10 17" xfId="34854"/>
    <cellStyle name="Normale 4 2 10 18" xfId="35780"/>
    <cellStyle name="Normale 4 2 10 19" xfId="36706"/>
    <cellStyle name="Normale 4 2 10 2" xfId="1491"/>
    <cellStyle name="Normale 4 2 10 2 2" xfId="8954"/>
    <cellStyle name="Normale 4 2 10 2 3" xfId="16362"/>
    <cellStyle name="Normale 4 2 10 2 4" xfId="28924"/>
    <cellStyle name="Normale 4 2 10 20" xfId="37622"/>
    <cellStyle name="Normale 4 2 10 3" xfId="2422"/>
    <cellStyle name="Normale 4 2 10 3 2" xfId="9885"/>
    <cellStyle name="Normale 4 2 10 3 3" xfId="17293"/>
    <cellStyle name="Normale 4 2 10 3 4" xfId="27986"/>
    <cellStyle name="Normale 4 2 10 4" xfId="3343"/>
    <cellStyle name="Normale 4 2 10 4 2" xfId="10806"/>
    <cellStyle name="Normale 4 2 10 4 3" xfId="18214"/>
    <cellStyle name="Normale 4 2 10 4 4" xfId="29065"/>
    <cellStyle name="Normale 4 2 10 5" xfId="4277"/>
    <cellStyle name="Normale 4 2 10 5 2" xfId="11740"/>
    <cellStyle name="Normale 4 2 10 5 3" xfId="19148"/>
    <cellStyle name="Normale 4 2 10 5 4" xfId="28847"/>
    <cellStyle name="Normale 4 2 10 6" xfId="5199"/>
    <cellStyle name="Normale 4 2 10 6 2" xfId="12662"/>
    <cellStyle name="Normale 4 2 10 6 3" xfId="20070"/>
    <cellStyle name="Normale 4 2 10 6 4" xfId="25156"/>
    <cellStyle name="Normale 4 2 10 7" xfId="6128"/>
    <cellStyle name="Normale 4 2 10 7 2" xfId="13591"/>
    <cellStyle name="Normale 4 2 10 7 3" xfId="20999"/>
    <cellStyle name="Normale 4 2 10 7 4" xfId="25325"/>
    <cellStyle name="Normale 4 2 10 8" xfId="7044"/>
    <cellStyle name="Normale 4 2 10 8 2" xfId="14507"/>
    <cellStyle name="Normale 4 2 10 8 3" xfId="21915"/>
    <cellStyle name="Normale 4 2 10 8 4" xfId="22862"/>
    <cellStyle name="Normale 4 2 10 9" xfId="7987"/>
    <cellStyle name="Normale 4 2 11" xfId="576"/>
    <cellStyle name="Normale 4 2 11 10" xfId="15449"/>
    <cellStyle name="Normale 4 2 11 11" xfId="27563"/>
    <cellStyle name="Normale 4 2 11 12" xfId="30259"/>
    <cellStyle name="Normale 4 2 11 13" xfId="31193"/>
    <cellStyle name="Normale 4 2 11 14" xfId="32112"/>
    <cellStyle name="Normale 4 2 11 15" xfId="33033"/>
    <cellStyle name="Normale 4 2 11 16" xfId="33976"/>
    <cellStyle name="Normale 4 2 11 17" xfId="34906"/>
    <cellStyle name="Normale 4 2 11 18" xfId="35832"/>
    <cellStyle name="Normale 4 2 11 19" xfId="36758"/>
    <cellStyle name="Normale 4 2 11 2" xfId="1543"/>
    <cellStyle name="Normale 4 2 11 2 2" xfId="9006"/>
    <cellStyle name="Normale 4 2 11 2 3" xfId="16414"/>
    <cellStyle name="Normale 4 2 11 2 4" xfId="25439"/>
    <cellStyle name="Normale 4 2 11 20" xfId="37672"/>
    <cellStyle name="Normale 4 2 11 3" xfId="2474"/>
    <cellStyle name="Normale 4 2 11 3 2" xfId="9937"/>
    <cellStyle name="Normale 4 2 11 3 3" xfId="17345"/>
    <cellStyle name="Normale 4 2 11 3 4" xfId="24744"/>
    <cellStyle name="Normale 4 2 11 4" xfId="3394"/>
    <cellStyle name="Normale 4 2 11 4 2" xfId="10857"/>
    <cellStyle name="Normale 4 2 11 4 3" xfId="18265"/>
    <cellStyle name="Normale 4 2 11 4 4" xfId="24819"/>
    <cellStyle name="Normale 4 2 11 5" xfId="4329"/>
    <cellStyle name="Normale 4 2 11 5 2" xfId="11792"/>
    <cellStyle name="Normale 4 2 11 5 3" xfId="19200"/>
    <cellStyle name="Normale 4 2 11 5 4" xfId="28851"/>
    <cellStyle name="Normale 4 2 11 6" xfId="5250"/>
    <cellStyle name="Normale 4 2 11 6 2" xfId="12713"/>
    <cellStyle name="Normale 4 2 11 6 3" xfId="20121"/>
    <cellStyle name="Normale 4 2 11 6 4" xfId="28828"/>
    <cellStyle name="Normale 4 2 11 7" xfId="6180"/>
    <cellStyle name="Normale 4 2 11 7 2" xfId="13643"/>
    <cellStyle name="Normale 4 2 11 7 3" xfId="21051"/>
    <cellStyle name="Normale 4 2 11 7 4" xfId="22869"/>
    <cellStyle name="Normale 4 2 11 8" xfId="7094"/>
    <cellStyle name="Normale 4 2 11 8 2" xfId="14557"/>
    <cellStyle name="Normale 4 2 11 8 3" xfId="21965"/>
    <cellStyle name="Normale 4 2 11 8 4" xfId="15544"/>
    <cellStyle name="Normale 4 2 11 9" xfId="8039"/>
    <cellStyle name="Normale 4 2 12" xfId="636"/>
    <cellStyle name="Normale 4 2 12 10" xfId="15508"/>
    <cellStyle name="Normale 4 2 12 11" xfId="22513"/>
    <cellStyle name="Normale 4 2 12 12" xfId="30315"/>
    <cellStyle name="Normale 4 2 12 13" xfId="31252"/>
    <cellStyle name="Normale 4 2 12 14" xfId="32169"/>
    <cellStyle name="Normale 4 2 12 15" xfId="33088"/>
    <cellStyle name="Normale 4 2 12 16" xfId="34035"/>
    <cellStyle name="Normale 4 2 12 17" xfId="34966"/>
    <cellStyle name="Normale 4 2 12 18" xfId="35892"/>
    <cellStyle name="Normale 4 2 12 19" xfId="36817"/>
    <cellStyle name="Normale 4 2 12 2" xfId="1602"/>
    <cellStyle name="Normale 4 2 12 2 2" xfId="9065"/>
    <cellStyle name="Normale 4 2 12 2 3" xfId="16473"/>
    <cellStyle name="Normale 4 2 12 2 4" xfId="23228"/>
    <cellStyle name="Normale 4 2 12 20" xfId="37727"/>
    <cellStyle name="Normale 4 2 12 3" xfId="2534"/>
    <cellStyle name="Normale 4 2 12 3 2" xfId="9997"/>
    <cellStyle name="Normale 4 2 12 3 3" xfId="17405"/>
    <cellStyle name="Normale 4 2 12 3 4" xfId="28174"/>
    <cellStyle name="Normale 4 2 12 4" xfId="3452"/>
    <cellStyle name="Normale 4 2 12 4 2" xfId="10915"/>
    <cellStyle name="Normale 4 2 12 4 3" xfId="18323"/>
    <cellStyle name="Normale 4 2 12 4 4" xfId="22836"/>
    <cellStyle name="Normale 4 2 12 5" xfId="4389"/>
    <cellStyle name="Normale 4 2 12 5 2" xfId="11852"/>
    <cellStyle name="Normale 4 2 12 5 3" xfId="19260"/>
    <cellStyle name="Normale 4 2 12 5 4" xfId="26926"/>
    <cellStyle name="Normale 4 2 12 6" xfId="5307"/>
    <cellStyle name="Normale 4 2 12 6 2" xfId="12770"/>
    <cellStyle name="Normale 4 2 12 6 3" xfId="20178"/>
    <cellStyle name="Normale 4 2 12 6 4" xfId="29635"/>
    <cellStyle name="Normale 4 2 12 7" xfId="6240"/>
    <cellStyle name="Normale 4 2 12 7 2" xfId="13703"/>
    <cellStyle name="Normale 4 2 12 7 3" xfId="21111"/>
    <cellStyle name="Normale 4 2 12 7 4" xfId="26052"/>
    <cellStyle name="Normale 4 2 12 8" xfId="7149"/>
    <cellStyle name="Normale 4 2 12 8 2" xfId="14612"/>
    <cellStyle name="Normale 4 2 12 8 3" xfId="22020"/>
    <cellStyle name="Normale 4 2 12 8 4" xfId="23463"/>
    <cellStyle name="Normale 4 2 12 9" xfId="8099"/>
    <cellStyle name="Normale 4 2 13" xfId="714"/>
    <cellStyle name="Normale 4 2 13 10" xfId="15585"/>
    <cellStyle name="Normale 4 2 13 11" xfId="28777"/>
    <cellStyle name="Normale 4 2 13 12" xfId="30388"/>
    <cellStyle name="Normale 4 2 13 13" xfId="31329"/>
    <cellStyle name="Normale 4 2 13 14" xfId="32242"/>
    <cellStyle name="Normale 4 2 13 15" xfId="33160"/>
    <cellStyle name="Normale 4 2 13 16" xfId="34112"/>
    <cellStyle name="Normale 4 2 13 17" xfId="35044"/>
    <cellStyle name="Normale 4 2 13 18" xfId="35970"/>
    <cellStyle name="Normale 4 2 13 19" xfId="36895"/>
    <cellStyle name="Normale 4 2 13 2" xfId="1679"/>
    <cellStyle name="Normale 4 2 13 2 2" xfId="9142"/>
    <cellStyle name="Normale 4 2 13 2 3" xfId="16550"/>
    <cellStyle name="Normale 4 2 13 2 4" xfId="25435"/>
    <cellStyle name="Normale 4 2 13 20" xfId="37799"/>
    <cellStyle name="Normale 4 2 13 3" xfId="2612"/>
    <cellStyle name="Normale 4 2 13 3 2" xfId="10075"/>
    <cellStyle name="Normale 4 2 13 3 3" xfId="17483"/>
    <cellStyle name="Normale 4 2 13 3 4" xfId="28269"/>
    <cellStyle name="Normale 4 2 13 4" xfId="3528"/>
    <cellStyle name="Normale 4 2 13 4 2" xfId="10991"/>
    <cellStyle name="Normale 4 2 13 4 3" xfId="18399"/>
    <cellStyle name="Normale 4 2 13 4 4" xfId="25392"/>
    <cellStyle name="Normale 4 2 13 5" xfId="4467"/>
    <cellStyle name="Normale 4 2 13 5 2" xfId="11930"/>
    <cellStyle name="Normale 4 2 13 5 3" xfId="19338"/>
    <cellStyle name="Normale 4 2 13 5 4" xfId="23809"/>
    <cellStyle name="Normale 4 2 13 6" xfId="5383"/>
    <cellStyle name="Normale 4 2 13 6 2" xfId="12846"/>
    <cellStyle name="Normale 4 2 13 6 3" xfId="20254"/>
    <cellStyle name="Normale 4 2 13 6 4" xfId="25340"/>
    <cellStyle name="Normale 4 2 13 7" xfId="6316"/>
    <cellStyle name="Normale 4 2 13 7 2" xfId="13779"/>
    <cellStyle name="Normale 4 2 13 7 3" xfId="21187"/>
    <cellStyle name="Normale 4 2 13 7 4" xfId="28294"/>
    <cellStyle name="Normale 4 2 13 8" xfId="7221"/>
    <cellStyle name="Normale 4 2 13 8 2" xfId="14684"/>
    <cellStyle name="Normale 4 2 13 8 3" xfId="22092"/>
    <cellStyle name="Normale 4 2 13 8 4" xfId="24663"/>
    <cellStyle name="Normale 4 2 13 9" xfId="8177"/>
    <cellStyle name="Normale 4 2 14" xfId="786"/>
    <cellStyle name="Normale 4 2 14 10" xfId="15657"/>
    <cellStyle name="Normale 4 2 14 11" xfId="24513"/>
    <cellStyle name="Normale 4 2 14 12" xfId="30458"/>
    <cellStyle name="Normale 4 2 14 13" xfId="31401"/>
    <cellStyle name="Normale 4 2 14 14" xfId="32313"/>
    <cellStyle name="Normale 4 2 14 15" xfId="33229"/>
    <cellStyle name="Normale 4 2 14 16" xfId="34184"/>
    <cellStyle name="Normale 4 2 14 17" xfId="35116"/>
    <cellStyle name="Normale 4 2 14 18" xfId="36042"/>
    <cellStyle name="Normale 4 2 14 19" xfId="36967"/>
    <cellStyle name="Normale 4 2 14 2" xfId="1751"/>
    <cellStyle name="Normale 4 2 14 2 2" xfId="9214"/>
    <cellStyle name="Normale 4 2 14 2 3" xfId="16622"/>
    <cellStyle name="Normale 4 2 14 2 4" xfId="25939"/>
    <cellStyle name="Normale 4 2 14 20" xfId="37868"/>
    <cellStyle name="Normale 4 2 14 3" xfId="2684"/>
    <cellStyle name="Normale 4 2 14 3 2" xfId="10147"/>
    <cellStyle name="Normale 4 2 14 3 3" xfId="17555"/>
    <cellStyle name="Normale 4 2 14 3 4" xfId="28789"/>
    <cellStyle name="Normale 4 2 14 4" xfId="3599"/>
    <cellStyle name="Normale 4 2 14 4 2" xfId="11062"/>
    <cellStyle name="Normale 4 2 14 4 3" xfId="18470"/>
    <cellStyle name="Normale 4 2 14 4 4" xfId="27390"/>
    <cellStyle name="Normale 4 2 14 5" xfId="4539"/>
    <cellStyle name="Normale 4 2 14 5 2" xfId="12002"/>
    <cellStyle name="Normale 4 2 14 5 3" xfId="19410"/>
    <cellStyle name="Normale 4 2 14 5 4" xfId="25365"/>
    <cellStyle name="Normale 4 2 14 6" xfId="5454"/>
    <cellStyle name="Normale 4 2 14 6 2" xfId="12917"/>
    <cellStyle name="Normale 4 2 14 6 3" xfId="20325"/>
    <cellStyle name="Normale 4 2 14 6 4" xfId="26850"/>
    <cellStyle name="Normale 4 2 14 7" xfId="6388"/>
    <cellStyle name="Normale 4 2 14 7 2" xfId="13851"/>
    <cellStyle name="Normale 4 2 14 7 3" xfId="21259"/>
    <cellStyle name="Normale 4 2 14 7 4" xfId="22368"/>
    <cellStyle name="Normale 4 2 14 8" xfId="7290"/>
    <cellStyle name="Normale 4 2 14 8 2" xfId="14753"/>
    <cellStyle name="Normale 4 2 14 8 3" xfId="22161"/>
    <cellStyle name="Normale 4 2 14 8 4" xfId="29474"/>
    <cellStyle name="Normale 4 2 14 9" xfId="8249"/>
    <cellStyle name="Normale 4 2 15" xfId="859"/>
    <cellStyle name="Normale 4 2 15 10" xfId="15730"/>
    <cellStyle name="Normale 4 2 15 11" xfId="24120"/>
    <cellStyle name="Normale 4 2 15 12" xfId="30528"/>
    <cellStyle name="Normale 4 2 15 13" xfId="31474"/>
    <cellStyle name="Normale 4 2 15 14" xfId="32385"/>
    <cellStyle name="Normale 4 2 15 15" xfId="33298"/>
    <cellStyle name="Normale 4 2 15 16" xfId="34257"/>
    <cellStyle name="Normale 4 2 15 17" xfId="35189"/>
    <cellStyle name="Normale 4 2 15 18" xfId="36115"/>
    <cellStyle name="Normale 4 2 15 19" xfId="37040"/>
    <cellStyle name="Normale 4 2 15 2" xfId="1824"/>
    <cellStyle name="Normale 4 2 15 2 2" xfId="9287"/>
    <cellStyle name="Normale 4 2 15 2 3" xfId="16695"/>
    <cellStyle name="Normale 4 2 15 2 4" xfId="28002"/>
    <cellStyle name="Normale 4 2 15 20" xfId="37937"/>
    <cellStyle name="Normale 4 2 15 3" xfId="2757"/>
    <cellStyle name="Normale 4 2 15 3 2" xfId="10220"/>
    <cellStyle name="Normale 4 2 15 3 3" xfId="17628"/>
    <cellStyle name="Normale 4 2 15 3 4" xfId="27060"/>
    <cellStyle name="Normale 4 2 15 4" xfId="3671"/>
    <cellStyle name="Normale 4 2 15 4 2" xfId="11134"/>
    <cellStyle name="Normale 4 2 15 4 3" xfId="18542"/>
    <cellStyle name="Normale 4 2 15 4 4" xfId="27035"/>
    <cellStyle name="Normale 4 2 15 5" xfId="4612"/>
    <cellStyle name="Normale 4 2 15 5 2" xfId="12075"/>
    <cellStyle name="Normale 4 2 15 5 3" xfId="19483"/>
    <cellStyle name="Normale 4 2 15 5 4" xfId="29033"/>
    <cellStyle name="Normale 4 2 15 6" xfId="5526"/>
    <cellStyle name="Normale 4 2 15 6 2" xfId="12989"/>
    <cellStyle name="Normale 4 2 15 6 3" xfId="20397"/>
    <cellStyle name="Normale 4 2 15 6 4" xfId="23501"/>
    <cellStyle name="Normale 4 2 15 7" xfId="6461"/>
    <cellStyle name="Normale 4 2 15 7 2" xfId="13924"/>
    <cellStyle name="Normale 4 2 15 7 3" xfId="21332"/>
    <cellStyle name="Normale 4 2 15 7 4" xfId="26244"/>
    <cellStyle name="Normale 4 2 15 8" xfId="7359"/>
    <cellStyle name="Normale 4 2 15 8 2" xfId="14822"/>
    <cellStyle name="Normale 4 2 15 8 3" xfId="22230"/>
    <cellStyle name="Normale 4 2 15 8 4" xfId="23263"/>
    <cellStyle name="Normale 4 2 15 9" xfId="8322"/>
    <cellStyle name="Normale 4 2 16" xfId="929"/>
    <cellStyle name="Normale 4 2 16 10" xfId="15800"/>
    <cellStyle name="Normale 4 2 16 11" xfId="25725"/>
    <cellStyle name="Normale 4 2 16 12" xfId="30595"/>
    <cellStyle name="Normale 4 2 16 13" xfId="31543"/>
    <cellStyle name="Normale 4 2 16 14" xfId="32454"/>
    <cellStyle name="Normale 4 2 16 15" xfId="33364"/>
    <cellStyle name="Normale 4 2 16 16" xfId="34327"/>
    <cellStyle name="Normale 4 2 16 17" xfId="35259"/>
    <cellStyle name="Normale 4 2 16 18" xfId="36184"/>
    <cellStyle name="Normale 4 2 16 19" xfId="37110"/>
    <cellStyle name="Normale 4 2 16 2" xfId="1894"/>
    <cellStyle name="Normale 4 2 16 2 2" xfId="9357"/>
    <cellStyle name="Normale 4 2 16 2 3" xfId="16765"/>
    <cellStyle name="Normale 4 2 16 2 4" xfId="24103"/>
    <cellStyle name="Normale 4 2 16 20" xfId="38003"/>
    <cellStyle name="Normale 4 2 16 3" xfId="2826"/>
    <cellStyle name="Normale 4 2 16 3 2" xfId="10289"/>
    <cellStyle name="Normale 4 2 16 3 3" xfId="17697"/>
    <cellStyle name="Normale 4 2 16 3 4" xfId="22457"/>
    <cellStyle name="Normale 4 2 16 4" xfId="3741"/>
    <cellStyle name="Normale 4 2 16 4 2" xfId="11204"/>
    <cellStyle name="Normale 4 2 16 4 3" xfId="18612"/>
    <cellStyle name="Normale 4 2 16 4 4" xfId="29173"/>
    <cellStyle name="Normale 4 2 16 5" xfId="4682"/>
    <cellStyle name="Normale 4 2 16 5 2" xfId="12145"/>
    <cellStyle name="Normale 4 2 16 5 3" xfId="19553"/>
    <cellStyle name="Normale 4 2 16 5 4" xfId="23335"/>
    <cellStyle name="Normale 4 2 16 6" xfId="5596"/>
    <cellStyle name="Normale 4 2 16 6 2" xfId="13059"/>
    <cellStyle name="Normale 4 2 16 6 3" xfId="20467"/>
    <cellStyle name="Normale 4 2 16 6 4" xfId="25915"/>
    <cellStyle name="Normale 4 2 16 7" xfId="6531"/>
    <cellStyle name="Normale 4 2 16 7 2" xfId="13994"/>
    <cellStyle name="Normale 4 2 16 7 3" xfId="21402"/>
    <cellStyle name="Normale 4 2 16 7 4" xfId="28074"/>
    <cellStyle name="Normale 4 2 16 8" xfId="7425"/>
    <cellStyle name="Normale 4 2 16 8 2" xfId="14888"/>
    <cellStyle name="Normale 4 2 16 8 3" xfId="22296"/>
    <cellStyle name="Normale 4 2 16 8 4" xfId="23061"/>
    <cellStyle name="Normale 4 2 16 9" xfId="8392"/>
    <cellStyle name="Normale 4 2 17" xfId="1091"/>
    <cellStyle name="Normale 4 2 17 2" xfId="8554"/>
    <cellStyle name="Normale 4 2 17 3" xfId="15962"/>
    <cellStyle name="Normale 4 2 17 4" xfId="23731"/>
    <cellStyle name="Normale 4 2 18" xfId="2018"/>
    <cellStyle name="Normale 4 2 18 2" xfId="9481"/>
    <cellStyle name="Normale 4 2 18 3" xfId="16889"/>
    <cellStyle name="Normale 4 2 18 4" xfId="24747"/>
    <cellStyle name="Normale 4 2 19" xfId="2944"/>
    <cellStyle name="Normale 4 2 19 2" xfId="10407"/>
    <cellStyle name="Normale 4 2 19 3" xfId="17815"/>
    <cellStyle name="Normale 4 2 19 4" xfId="24487"/>
    <cellStyle name="Normale 4 2 2" xfId="119"/>
    <cellStyle name="Normale 4 2 2 10" xfId="715"/>
    <cellStyle name="Normale 4 2 2 10 10" xfId="15586"/>
    <cellStyle name="Normale 4 2 2 10 11" xfId="27850"/>
    <cellStyle name="Normale 4 2 2 10 12" xfId="30389"/>
    <cellStyle name="Normale 4 2 2 10 13" xfId="31330"/>
    <cellStyle name="Normale 4 2 2 10 14" xfId="32243"/>
    <cellStyle name="Normale 4 2 2 10 15" xfId="33161"/>
    <cellStyle name="Normale 4 2 2 10 16" xfId="34113"/>
    <cellStyle name="Normale 4 2 2 10 17" xfId="35045"/>
    <cellStyle name="Normale 4 2 2 10 18" xfId="35971"/>
    <cellStyle name="Normale 4 2 2 10 19" xfId="36896"/>
    <cellStyle name="Normale 4 2 2 10 2" xfId="1680"/>
    <cellStyle name="Normale 4 2 2 10 2 2" xfId="9143"/>
    <cellStyle name="Normale 4 2 2 10 2 3" xfId="16551"/>
    <cellStyle name="Normale 4 2 2 10 2 4" xfId="24519"/>
    <cellStyle name="Normale 4 2 2 10 20" xfId="37800"/>
    <cellStyle name="Normale 4 2 2 10 3" xfId="2613"/>
    <cellStyle name="Normale 4 2 2 10 3 2" xfId="10076"/>
    <cellStyle name="Normale 4 2 2 10 3 3" xfId="17484"/>
    <cellStyle name="Normale 4 2 2 10 3 4" xfId="27345"/>
    <cellStyle name="Normale 4 2 2 10 4" xfId="3529"/>
    <cellStyle name="Normale 4 2 2 10 4 2" xfId="10992"/>
    <cellStyle name="Normale 4 2 2 10 4 3" xfId="18400"/>
    <cellStyle name="Normale 4 2 2 10 4 4" xfId="24476"/>
    <cellStyle name="Normale 4 2 2 10 5" xfId="4468"/>
    <cellStyle name="Normale 4 2 2 10 5 2" xfId="11931"/>
    <cellStyle name="Normale 4 2 2 10 5 3" xfId="19339"/>
    <cellStyle name="Normale 4 2 2 10 5 4" xfId="22830"/>
    <cellStyle name="Normale 4 2 2 10 6" xfId="5384"/>
    <cellStyle name="Normale 4 2 2 10 6 2" xfId="12847"/>
    <cellStyle name="Normale 4 2 2 10 6 3" xfId="20255"/>
    <cellStyle name="Normale 4 2 2 10 6 4" xfId="24424"/>
    <cellStyle name="Normale 4 2 2 10 7" xfId="6317"/>
    <cellStyle name="Normale 4 2 2 10 7 2" xfId="13780"/>
    <cellStyle name="Normale 4 2 2 10 7 3" xfId="21188"/>
    <cellStyle name="Normale 4 2 2 10 7 4" xfId="27370"/>
    <cellStyle name="Normale 4 2 2 10 8" xfId="7222"/>
    <cellStyle name="Normale 4 2 2 10 8 2" xfId="14685"/>
    <cellStyle name="Normale 4 2 2 10 8 3" xfId="22093"/>
    <cellStyle name="Normale 4 2 2 10 8 4" xfId="24207"/>
    <cellStyle name="Normale 4 2 2 10 9" xfId="8178"/>
    <cellStyle name="Normale 4 2 2 11" xfId="787"/>
    <cellStyle name="Normale 4 2 2 11 10" xfId="15658"/>
    <cellStyle name="Normale 4 2 2 11 11" xfId="23593"/>
    <cellStyle name="Normale 4 2 2 11 12" xfId="30459"/>
    <cellStyle name="Normale 4 2 2 11 13" xfId="31402"/>
    <cellStyle name="Normale 4 2 2 11 14" xfId="32314"/>
    <cellStyle name="Normale 4 2 2 11 15" xfId="33230"/>
    <cellStyle name="Normale 4 2 2 11 16" xfId="34185"/>
    <cellStyle name="Normale 4 2 2 11 17" xfId="35117"/>
    <cellStyle name="Normale 4 2 2 11 18" xfId="36043"/>
    <cellStyle name="Normale 4 2 2 11 19" xfId="36968"/>
    <cellStyle name="Normale 4 2 2 11 2" xfId="1752"/>
    <cellStyle name="Normale 4 2 2 11 2 2" xfId="9215"/>
    <cellStyle name="Normale 4 2 2 11 2 3" xfId="16623"/>
    <cellStyle name="Normale 4 2 2 11 2 4" xfId="25030"/>
    <cellStyle name="Normale 4 2 2 11 20" xfId="37869"/>
    <cellStyle name="Normale 4 2 2 11 3" xfId="2685"/>
    <cellStyle name="Normale 4 2 2 11 3 2" xfId="10148"/>
    <cellStyle name="Normale 4 2 2 11 3 3" xfId="17556"/>
    <cellStyle name="Normale 4 2 2 11 3 4" xfId="27862"/>
    <cellStyle name="Normale 4 2 2 11 4" xfId="3600"/>
    <cellStyle name="Normale 4 2 2 11 4 2" xfId="11063"/>
    <cellStyle name="Normale 4 2 2 11 4 3" xfId="18471"/>
    <cellStyle name="Normale 4 2 2 11 4 4" xfId="26482"/>
    <cellStyle name="Normale 4 2 2 11 5" xfId="4540"/>
    <cellStyle name="Normale 4 2 2 11 5 2" xfId="12003"/>
    <cellStyle name="Normale 4 2 2 11 5 3" xfId="19411"/>
    <cellStyle name="Normale 4 2 2 11 5 4" xfId="24449"/>
    <cellStyle name="Normale 4 2 2 11 6" xfId="5455"/>
    <cellStyle name="Normale 4 2 2 11 6 2" xfId="12918"/>
    <cellStyle name="Normale 4 2 2 11 6 3" xfId="20326"/>
    <cellStyle name="Normale 4 2 2 11 6 4" xfId="25916"/>
    <cellStyle name="Normale 4 2 2 11 7" xfId="6389"/>
    <cellStyle name="Normale 4 2 2 11 7 2" xfId="13852"/>
    <cellStyle name="Normale 4 2 2 11 7 3" xfId="21260"/>
    <cellStyle name="Normale 4 2 2 11 7 4" xfId="28386"/>
    <cellStyle name="Normale 4 2 2 11 8" xfId="7291"/>
    <cellStyle name="Normale 4 2 2 11 8 2" xfId="14754"/>
    <cellStyle name="Normale 4 2 2 11 8 3" xfId="22162"/>
    <cellStyle name="Normale 4 2 2 11 8 4" xfId="28581"/>
    <cellStyle name="Normale 4 2 2 11 9" xfId="8250"/>
    <cellStyle name="Normale 4 2 2 12" xfId="860"/>
    <cellStyle name="Normale 4 2 2 12 10" xfId="15731"/>
    <cellStyle name="Normale 4 2 2 12 11" xfId="23111"/>
    <cellStyle name="Normale 4 2 2 12 12" xfId="30529"/>
    <cellStyle name="Normale 4 2 2 12 13" xfId="31475"/>
    <cellStyle name="Normale 4 2 2 12 14" xfId="32386"/>
    <cellStyle name="Normale 4 2 2 12 15" xfId="33299"/>
    <cellStyle name="Normale 4 2 2 12 16" xfId="34258"/>
    <cellStyle name="Normale 4 2 2 12 17" xfId="35190"/>
    <cellStyle name="Normale 4 2 2 12 18" xfId="36116"/>
    <cellStyle name="Normale 4 2 2 12 19" xfId="37041"/>
    <cellStyle name="Normale 4 2 2 12 2" xfId="1825"/>
    <cellStyle name="Normale 4 2 2 12 2 2" xfId="9288"/>
    <cellStyle name="Normale 4 2 2 12 2 3" xfId="16696"/>
    <cellStyle name="Normale 4 2 2 12 2 4" xfId="27083"/>
    <cellStyle name="Normale 4 2 2 12 20" xfId="37938"/>
    <cellStyle name="Normale 4 2 2 12 3" xfId="2758"/>
    <cellStyle name="Normale 4 2 2 12 3 2" xfId="10221"/>
    <cellStyle name="Normale 4 2 2 12 3 3" xfId="17629"/>
    <cellStyle name="Normale 4 2 2 12 3 4" xfId="26142"/>
    <cellStyle name="Normale 4 2 2 12 4" xfId="3672"/>
    <cellStyle name="Normale 4 2 2 12 4 2" xfId="11135"/>
    <cellStyle name="Normale 4 2 2 12 4 3" xfId="18543"/>
    <cellStyle name="Normale 4 2 2 12 4 4" xfId="26117"/>
    <cellStyle name="Normale 4 2 2 12 5" xfId="4613"/>
    <cellStyle name="Normale 4 2 2 12 5 2" xfId="12076"/>
    <cellStyle name="Normale 4 2 2 12 5 3" xfId="19484"/>
    <cellStyle name="Normale 4 2 2 12 5 4" xfId="28123"/>
    <cellStyle name="Normale 4 2 2 12 6" xfId="5527"/>
    <cellStyle name="Normale 4 2 2 12 6 2" xfId="12990"/>
    <cellStyle name="Normale 4 2 2 12 6 3" xfId="20398"/>
    <cellStyle name="Normale 4 2 2 12 6 4" xfId="28820"/>
    <cellStyle name="Normale 4 2 2 12 7" xfId="6462"/>
    <cellStyle name="Normale 4 2 2 12 7 2" xfId="13925"/>
    <cellStyle name="Normale 4 2 2 12 7 3" xfId="21333"/>
    <cellStyle name="Normale 4 2 2 12 7 4" xfId="25317"/>
    <cellStyle name="Normale 4 2 2 12 8" xfId="7360"/>
    <cellStyle name="Normale 4 2 2 12 8 2" xfId="14823"/>
    <cellStyle name="Normale 4 2 2 12 8 3" xfId="22231"/>
    <cellStyle name="Normale 4 2 2 12 8 4" xfId="22532"/>
    <cellStyle name="Normale 4 2 2 12 9" xfId="8323"/>
    <cellStyle name="Normale 4 2 2 13" xfId="930"/>
    <cellStyle name="Normale 4 2 2 13 10" xfId="15801"/>
    <cellStyle name="Normale 4 2 2 13 11" xfId="24813"/>
    <cellStyle name="Normale 4 2 2 13 12" xfId="30596"/>
    <cellStyle name="Normale 4 2 2 13 13" xfId="31544"/>
    <cellStyle name="Normale 4 2 2 13 14" xfId="32455"/>
    <cellStyle name="Normale 4 2 2 13 15" xfId="33365"/>
    <cellStyle name="Normale 4 2 2 13 16" xfId="34328"/>
    <cellStyle name="Normale 4 2 2 13 17" xfId="35260"/>
    <cellStyle name="Normale 4 2 2 13 18" xfId="36185"/>
    <cellStyle name="Normale 4 2 2 13 19" xfId="37111"/>
    <cellStyle name="Normale 4 2 2 13 2" xfId="1895"/>
    <cellStyle name="Normale 4 2 2 13 2 2" xfId="9358"/>
    <cellStyle name="Normale 4 2 2 13 2 3" xfId="16766"/>
    <cellStyle name="Normale 4 2 2 13 2 4" xfId="23092"/>
    <cellStyle name="Normale 4 2 2 13 20" xfId="38004"/>
    <cellStyle name="Normale 4 2 2 13 3" xfId="2827"/>
    <cellStyle name="Normale 4 2 2 13 3 2" xfId="10290"/>
    <cellStyle name="Normale 4 2 2 13 3 3" xfId="17698"/>
    <cellStyle name="Normale 4 2 2 13 3 4" xfId="28888"/>
    <cellStyle name="Normale 4 2 2 13 4" xfId="3742"/>
    <cellStyle name="Normale 4 2 2 13 4 2" xfId="11205"/>
    <cellStyle name="Normale 4 2 2 13 4 3" xfId="18613"/>
    <cellStyle name="Normale 4 2 2 13 4 4" xfId="28265"/>
    <cellStyle name="Normale 4 2 2 13 5" xfId="4683"/>
    <cellStyle name="Normale 4 2 2 13 5 2" xfId="12146"/>
    <cellStyle name="Normale 4 2 2 13 5 3" xfId="19554"/>
    <cellStyle name="Normale 4 2 2 13 5 4" xfId="22601"/>
    <cellStyle name="Normale 4 2 2 13 6" xfId="5597"/>
    <cellStyle name="Normale 4 2 2 13 6 2" xfId="13060"/>
    <cellStyle name="Normale 4 2 2 13 6 3" xfId="20468"/>
    <cellStyle name="Normale 4 2 2 13 6 4" xfId="25006"/>
    <cellStyle name="Normale 4 2 2 13 7" xfId="6532"/>
    <cellStyle name="Normale 4 2 2 13 7 2" xfId="13995"/>
    <cellStyle name="Normale 4 2 2 13 7 3" xfId="21403"/>
    <cellStyle name="Normale 4 2 2 13 7 4" xfId="27152"/>
    <cellStyle name="Normale 4 2 2 13 8" xfId="7426"/>
    <cellStyle name="Normale 4 2 2 13 8 2" xfId="14889"/>
    <cellStyle name="Normale 4 2 2 13 8 3" xfId="22297"/>
    <cellStyle name="Normale 4 2 2 13 8 4" xfId="29490"/>
    <cellStyle name="Normale 4 2 2 13 9" xfId="8393"/>
    <cellStyle name="Normale 4 2 2 14" xfId="1092"/>
    <cellStyle name="Normale 4 2 2 14 2" xfId="8555"/>
    <cellStyle name="Normale 4 2 2 14 3" xfId="15963"/>
    <cellStyle name="Normale 4 2 2 14 4" xfId="22760"/>
    <cellStyle name="Normale 4 2 2 15" xfId="2019"/>
    <cellStyle name="Normale 4 2 2 15 2" xfId="9482"/>
    <cellStyle name="Normale 4 2 2 15 3" xfId="16890"/>
    <cellStyle name="Normale 4 2 2 15 4" xfId="23824"/>
    <cellStyle name="Normale 4 2 2 16" xfId="2945"/>
    <cellStyle name="Normale 4 2 2 16 2" xfId="10408"/>
    <cellStyle name="Normale 4 2 2 16 3" xfId="17816"/>
    <cellStyle name="Normale 4 2 2 16 4" xfId="23567"/>
    <cellStyle name="Normale 4 2 2 17" xfId="3874"/>
    <cellStyle name="Normale 4 2 2 17 2" xfId="11337"/>
    <cellStyle name="Normale 4 2 2 17 3" xfId="18745"/>
    <cellStyle name="Normale 4 2 2 17 4" xfId="26969"/>
    <cellStyle name="Normale 4 2 2 18" xfId="4801"/>
    <cellStyle name="Normale 4 2 2 18 2" xfId="12264"/>
    <cellStyle name="Normale 4 2 2 18 3" xfId="19672"/>
    <cellStyle name="Normale 4 2 2 18 4" xfId="25499"/>
    <cellStyle name="Normale 4 2 2 19" xfId="5728"/>
    <cellStyle name="Normale 4 2 2 19 2" xfId="13191"/>
    <cellStyle name="Normale 4 2 2 19 3" xfId="20599"/>
    <cellStyle name="Normale 4 2 2 19 4" xfId="26516"/>
    <cellStyle name="Normale 4 2 2 2" xfId="120"/>
    <cellStyle name="Normale 4 2 2 2 10" xfId="6651"/>
    <cellStyle name="Normale 4 2 2 2 10 2" xfId="14114"/>
    <cellStyle name="Normale 4 2 2 2 10 3" xfId="21522"/>
    <cellStyle name="Normale 4 2 2 2 10 4" xfId="28977"/>
    <cellStyle name="Normale 4 2 2 2 11" xfId="7585"/>
    <cellStyle name="Normale 4 2 2 2 12" xfId="14994"/>
    <cellStyle name="Normale 4 2 2 2 13" xfId="27646"/>
    <cellStyle name="Normale 4 2 2 2 14" xfId="29811"/>
    <cellStyle name="Normale 4 2 2 2 15" xfId="30741"/>
    <cellStyle name="Normale 4 2 2 2 16" xfId="31664"/>
    <cellStyle name="Normale 4 2 2 2 17" xfId="32590"/>
    <cellStyle name="Normale 4 2 2 2 18" xfId="33524"/>
    <cellStyle name="Normale 4 2 2 2 19" xfId="34452"/>
    <cellStyle name="Normale 4 2 2 2 2" xfId="121"/>
    <cellStyle name="Normale 4 2 2 2 2 10" xfId="7586"/>
    <cellStyle name="Normale 4 2 2 2 2 11" xfId="14995"/>
    <cellStyle name="Normale 4 2 2 2 2 12" xfId="26742"/>
    <cellStyle name="Normale 4 2 2 2 2 13" xfId="29812"/>
    <cellStyle name="Normale 4 2 2 2 2 14" xfId="30742"/>
    <cellStyle name="Normale 4 2 2 2 2 15" xfId="31665"/>
    <cellStyle name="Normale 4 2 2 2 2 16" xfId="32591"/>
    <cellStyle name="Normale 4 2 2 2 2 17" xfId="33525"/>
    <cellStyle name="Normale 4 2 2 2 2 18" xfId="34453"/>
    <cellStyle name="Normale 4 2 2 2 2 19" xfId="35381"/>
    <cellStyle name="Normale 4 2 2 2 2 2" xfId="319"/>
    <cellStyle name="Normale 4 2 2 2 2 2 10" xfId="15192"/>
    <cellStyle name="Normale 4 2 2 2 2 2 11" xfId="23783"/>
    <cellStyle name="Normale 4 2 2 2 2 2 12" xfId="30004"/>
    <cellStyle name="Normale 4 2 2 2 2 2 13" xfId="30936"/>
    <cellStyle name="Normale 4 2 2 2 2 2 14" xfId="31857"/>
    <cellStyle name="Normale 4 2 2 2 2 2 15" xfId="32782"/>
    <cellStyle name="Normale 4 2 2 2 2 2 16" xfId="33719"/>
    <cellStyle name="Normale 4 2 2 2 2 2 17" xfId="34649"/>
    <cellStyle name="Normale 4 2 2 2 2 2 18" xfId="35575"/>
    <cellStyle name="Normale 4 2 2 2 2 2 19" xfId="36501"/>
    <cellStyle name="Normale 4 2 2 2 2 2 2" xfId="1286"/>
    <cellStyle name="Normale 4 2 2 2 2 2 2 2" xfId="8749"/>
    <cellStyle name="Normale 4 2 2 2 2 2 2 3" xfId="16157"/>
    <cellStyle name="Normale 4 2 2 2 2 2 2 4" xfId="27285"/>
    <cellStyle name="Normale 4 2 2 2 2 2 20" xfId="37421"/>
    <cellStyle name="Normale 4 2 2 2 2 2 3" xfId="2217"/>
    <cellStyle name="Normale 4 2 2 2 2 2 3 2" xfId="9680"/>
    <cellStyle name="Normale 4 2 2 2 2 2 3 3" xfId="17088"/>
    <cellStyle name="Normale 4 2 2 2 2 2 3 4" xfId="25563"/>
    <cellStyle name="Normale 4 2 2 2 2 2 4" xfId="3139"/>
    <cellStyle name="Normale 4 2 2 2 2 2 4 2" xfId="10602"/>
    <cellStyle name="Normale 4 2 2 2 2 2 4 3" xfId="18010"/>
    <cellStyle name="Normale 4 2 2 2 2 2 4 4" xfId="26130"/>
    <cellStyle name="Normale 4 2 2 2 2 2 5" xfId="4072"/>
    <cellStyle name="Normale 4 2 2 2 2 2 5 2" xfId="11535"/>
    <cellStyle name="Normale 4 2 2 2 2 2 5 3" xfId="18943"/>
    <cellStyle name="Normale 4 2 2 2 2 2 5 4" xfId="26107"/>
    <cellStyle name="Normale 4 2 2 2 2 2 6" xfId="4995"/>
    <cellStyle name="Normale 4 2 2 2 2 2 6 2" xfId="12458"/>
    <cellStyle name="Normale 4 2 2 2 2 2 6 3" xfId="19866"/>
    <cellStyle name="Normale 4 2 2 2 2 2 6 4" xfId="22403"/>
    <cellStyle name="Normale 4 2 2 2 2 2 7" xfId="5923"/>
    <cellStyle name="Normale 4 2 2 2 2 2 7 2" xfId="13386"/>
    <cellStyle name="Normale 4 2 2 2 2 2 7 3" xfId="20794"/>
    <cellStyle name="Normale 4 2 2 2 2 2 7 4" xfId="23748"/>
    <cellStyle name="Normale 4 2 2 2 2 2 8" xfId="6843"/>
    <cellStyle name="Normale 4 2 2 2 2 2 8 2" xfId="14306"/>
    <cellStyle name="Normale 4 2 2 2 2 2 8 3" xfId="21714"/>
    <cellStyle name="Normale 4 2 2 2 2 2 8 4" xfId="25306"/>
    <cellStyle name="Normale 4 2 2 2 2 2 9" xfId="7782"/>
    <cellStyle name="Normale 4 2 2 2 2 20" xfId="36307"/>
    <cellStyle name="Normale 4 2 2 2 2 21" xfId="37230"/>
    <cellStyle name="Normale 4 2 2 2 2 3" xfId="1094"/>
    <cellStyle name="Normale 4 2 2 2 2 3 2" xfId="8557"/>
    <cellStyle name="Normale 4 2 2 2 2 3 3" xfId="15965"/>
    <cellStyle name="Normale 4 2 2 2 2 3 4" xfId="28282"/>
    <cellStyle name="Normale 4 2 2 2 2 4" xfId="2021"/>
    <cellStyle name="Normale 4 2 2 2 2 4 2" xfId="9484"/>
    <cellStyle name="Normale 4 2 2 2 2 4 3" xfId="16892"/>
    <cellStyle name="Normale 4 2 2 2 2 4 4" xfId="29276"/>
    <cellStyle name="Normale 4 2 2 2 2 5" xfId="2947"/>
    <cellStyle name="Normale 4 2 2 2 2 5 2" xfId="10410"/>
    <cellStyle name="Normale 4 2 2 2 2 5 3" xfId="17818"/>
    <cellStyle name="Normale 4 2 2 2 2 5 4" xfId="27974"/>
    <cellStyle name="Normale 4 2 2 2 2 6" xfId="3876"/>
    <cellStyle name="Normale 4 2 2 2 2 6 2" xfId="11339"/>
    <cellStyle name="Normale 4 2 2 2 2 6 3" xfId="18747"/>
    <cellStyle name="Normale 4 2 2 2 2 6 4" xfId="25126"/>
    <cellStyle name="Normale 4 2 2 2 2 7" xfId="4803"/>
    <cellStyle name="Normale 4 2 2 2 2 7 2" xfId="12266"/>
    <cellStyle name="Normale 4 2 2 2 2 7 3" xfId="19674"/>
    <cellStyle name="Normale 4 2 2 2 2 7 4" xfId="23661"/>
    <cellStyle name="Normale 4 2 2 2 2 8" xfId="5730"/>
    <cellStyle name="Normale 4 2 2 2 2 8 2" xfId="13193"/>
    <cellStyle name="Normale 4 2 2 2 2 8 3" xfId="20601"/>
    <cellStyle name="Normale 4 2 2 2 2 8 4" xfId="24672"/>
    <cellStyle name="Normale 4 2 2 2 2 9" xfId="6652"/>
    <cellStyle name="Normale 4 2 2 2 2 9 2" xfId="14115"/>
    <cellStyle name="Normale 4 2 2 2 2 9 3" xfId="21523"/>
    <cellStyle name="Normale 4 2 2 2 2 9 4" xfId="28067"/>
    <cellStyle name="Normale 4 2 2 2 20" xfId="35380"/>
    <cellStyle name="Normale 4 2 2 2 21" xfId="36306"/>
    <cellStyle name="Normale 4 2 2 2 22" xfId="37229"/>
    <cellStyle name="Normale 4 2 2 2 3" xfId="318"/>
    <cellStyle name="Normale 4 2 2 2 3 10" xfId="15191"/>
    <cellStyle name="Normale 4 2 2 2 3 11" xfId="24706"/>
    <cellStyle name="Normale 4 2 2 2 3 12" xfId="30003"/>
    <cellStyle name="Normale 4 2 2 2 3 13" xfId="30935"/>
    <cellStyle name="Normale 4 2 2 2 3 14" xfId="31856"/>
    <cellStyle name="Normale 4 2 2 2 3 15" xfId="32781"/>
    <cellStyle name="Normale 4 2 2 2 3 16" xfId="33718"/>
    <cellStyle name="Normale 4 2 2 2 3 17" xfId="34648"/>
    <cellStyle name="Normale 4 2 2 2 3 18" xfId="35574"/>
    <cellStyle name="Normale 4 2 2 2 3 19" xfId="36500"/>
    <cellStyle name="Normale 4 2 2 2 3 2" xfId="1285"/>
    <cellStyle name="Normale 4 2 2 2 3 2 2" xfId="8748"/>
    <cellStyle name="Normale 4 2 2 2 3 2 3" xfId="16156"/>
    <cellStyle name="Normale 4 2 2 2 3 2 4" xfId="28207"/>
    <cellStyle name="Normale 4 2 2 2 3 20" xfId="37420"/>
    <cellStyle name="Normale 4 2 2 2 3 3" xfId="2216"/>
    <cellStyle name="Normale 4 2 2 2 3 3 2" xfId="9679"/>
    <cellStyle name="Normale 4 2 2 2 3 3 3" xfId="17087"/>
    <cellStyle name="Normale 4 2 2 2 3 3 4" xfId="26491"/>
    <cellStyle name="Normale 4 2 2 2 3 4" xfId="3138"/>
    <cellStyle name="Normale 4 2 2 2 3 4 2" xfId="10601"/>
    <cellStyle name="Normale 4 2 2 2 3 4 3" xfId="18009"/>
    <cellStyle name="Normale 4 2 2 2 3 4 4" xfId="27048"/>
    <cellStyle name="Normale 4 2 2 2 3 5" xfId="4071"/>
    <cellStyle name="Normale 4 2 2 2 3 5 2" xfId="11534"/>
    <cellStyle name="Normale 4 2 2 2 3 5 3" xfId="18942"/>
    <cellStyle name="Normale 4 2 2 2 3 5 4" xfId="27025"/>
    <cellStyle name="Normale 4 2 2 2 3 6" xfId="4994"/>
    <cellStyle name="Normale 4 2 2 2 3 6 2" xfId="12457"/>
    <cellStyle name="Normale 4 2 2 2 3 6 3" xfId="19865"/>
    <cellStyle name="Normale 4 2 2 2 3 6 4" xfId="23518"/>
    <cellStyle name="Normale 4 2 2 2 3 7" xfId="5922"/>
    <cellStyle name="Normale 4 2 2 2 3 7 2" xfId="13385"/>
    <cellStyle name="Normale 4 2 2 2 3 7 3" xfId="20793"/>
    <cellStyle name="Normale 4 2 2 2 3 7 4" xfId="24671"/>
    <cellStyle name="Normale 4 2 2 2 3 8" xfId="6842"/>
    <cellStyle name="Normale 4 2 2 2 3 8 2" xfId="14305"/>
    <cellStyle name="Normale 4 2 2 2 3 8 3" xfId="21713"/>
    <cellStyle name="Normale 4 2 2 2 3 8 4" xfId="26233"/>
    <cellStyle name="Normale 4 2 2 2 3 9" xfId="7781"/>
    <cellStyle name="Normale 4 2 2 2 4" xfId="1093"/>
    <cellStyle name="Normale 4 2 2 2 4 2" xfId="8556"/>
    <cellStyle name="Normale 4 2 2 2 4 3" xfId="15964"/>
    <cellStyle name="Normale 4 2 2 2 4 4" xfId="29190"/>
    <cellStyle name="Normale 4 2 2 2 5" xfId="2020"/>
    <cellStyle name="Normale 4 2 2 2 5 2" xfId="9483"/>
    <cellStyle name="Normale 4 2 2 2 5 3" xfId="16891"/>
    <cellStyle name="Normale 4 2 2 2 5 4" xfId="22845"/>
    <cellStyle name="Normale 4 2 2 2 6" xfId="2946"/>
    <cellStyle name="Normale 4 2 2 2 6 2" xfId="10409"/>
    <cellStyle name="Normale 4 2 2 2 6 3" xfId="17817"/>
    <cellStyle name="Normale 4 2 2 2 6 4" xfId="28887"/>
    <cellStyle name="Normale 4 2 2 2 7" xfId="3875"/>
    <cellStyle name="Normale 4 2 2 2 7 2" xfId="11338"/>
    <cellStyle name="Normale 4 2 2 2 7 3" xfId="18746"/>
    <cellStyle name="Normale 4 2 2 2 7 4" xfId="26036"/>
    <cellStyle name="Normale 4 2 2 2 8" xfId="4802"/>
    <cellStyle name="Normale 4 2 2 2 8 2" xfId="12265"/>
    <cellStyle name="Normale 4 2 2 2 8 3" xfId="19673"/>
    <cellStyle name="Normale 4 2 2 2 8 4" xfId="24582"/>
    <cellStyle name="Normale 4 2 2 2 9" xfId="5729"/>
    <cellStyle name="Normale 4 2 2 2 9 2" xfId="13192"/>
    <cellStyle name="Normale 4 2 2 2 9 3" xfId="20600"/>
    <cellStyle name="Normale 4 2 2 2 9 4" xfId="25587"/>
    <cellStyle name="Normale 4 2 2 20" xfId="6650"/>
    <cellStyle name="Normale 4 2 2 20 2" xfId="14113"/>
    <cellStyle name="Normale 4 2 2 20 3" xfId="21521"/>
    <cellStyle name="Normale 4 2 2 20 4" xfId="22547"/>
    <cellStyle name="Normale 4 2 2 21" xfId="7584"/>
    <cellStyle name="Normale 4 2 2 22" xfId="14993"/>
    <cellStyle name="Normale 4 2 2 23" xfId="28572"/>
    <cellStyle name="Normale 4 2 2 24" xfId="29810"/>
    <cellStyle name="Normale 4 2 2 25" xfId="30740"/>
    <cellStyle name="Normale 4 2 2 26" xfId="31663"/>
    <cellStyle name="Normale 4 2 2 27" xfId="32589"/>
    <cellStyle name="Normale 4 2 2 28" xfId="33523"/>
    <cellStyle name="Normale 4 2 2 29" xfId="34451"/>
    <cellStyle name="Normale 4 2 2 3" xfId="122"/>
    <cellStyle name="Normale 4 2 2 3 10" xfId="7587"/>
    <cellStyle name="Normale 4 2 2 3 11" xfId="14996"/>
    <cellStyle name="Normale 4 2 2 3 12" xfId="25810"/>
    <cellStyle name="Normale 4 2 2 3 13" xfId="29813"/>
    <cellStyle name="Normale 4 2 2 3 14" xfId="30743"/>
    <cellStyle name="Normale 4 2 2 3 15" xfId="31666"/>
    <cellStyle name="Normale 4 2 2 3 16" xfId="32592"/>
    <cellStyle name="Normale 4 2 2 3 17" xfId="33526"/>
    <cellStyle name="Normale 4 2 2 3 18" xfId="34454"/>
    <cellStyle name="Normale 4 2 2 3 19" xfId="35382"/>
    <cellStyle name="Normale 4 2 2 3 2" xfId="320"/>
    <cellStyle name="Normale 4 2 2 3 2 10" xfId="15193"/>
    <cellStyle name="Normale 4 2 2 3 2 11" xfId="22812"/>
    <cellStyle name="Normale 4 2 2 3 2 12" xfId="30005"/>
    <cellStyle name="Normale 4 2 2 3 2 13" xfId="30937"/>
    <cellStyle name="Normale 4 2 2 3 2 14" xfId="31858"/>
    <cellStyle name="Normale 4 2 2 3 2 15" xfId="32783"/>
    <cellStyle name="Normale 4 2 2 3 2 16" xfId="33720"/>
    <cellStyle name="Normale 4 2 2 3 2 17" xfId="34650"/>
    <cellStyle name="Normale 4 2 2 3 2 18" xfId="35576"/>
    <cellStyle name="Normale 4 2 2 3 2 19" xfId="36502"/>
    <cellStyle name="Normale 4 2 2 3 2 2" xfId="1287"/>
    <cellStyle name="Normale 4 2 2 3 2 2 2" xfId="8750"/>
    <cellStyle name="Normale 4 2 2 3 2 2 3" xfId="16158"/>
    <cellStyle name="Normale 4 2 2 3 2 2 4" xfId="26375"/>
    <cellStyle name="Normale 4 2 2 3 2 20" xfId="37422"/>
    <cellStyle name="Normale 4 2 2 3 2 3" xfId="2218"/>
    <cellStyle name="Normale 4 2 2 3 2 3 2" xfId="9681"/>
    <cellStyle name="Normale 4 2 2 3 2 3 3" xfId="17089"/>
    <cellStyle name="Normale 4 2 2 3 2 3 4" xfId="24646"/>
    <cellStyle name="Normale 4 2 2 3 2 4" xfId="3140"/>
    <cellStyle name="Normale 4 2 2 3 2 4 2" xfId="10603"/>
    <cellStyle name="Normale 4 2 2 3 2 4 3" xfId="18011"/>
    <cellStyle name="Normale 4 2 2 3 2 4 4" xfId="25207"/>
    <cellStyle name="Normale 4 2 2 3 2 5" xfId="4073"/>
    <cellStyle name="Normale 4 2 2 3 2 5 2" xfId="11536"/>
    <cellStyle name="Normale 4 2 2 3 2 5 3" xfId="18944"/>
    <cellStyle name="Normale 4 2 2 3 2 5 4" xfId="25184"/>
    <cellStyle name="Normale 4 2 2 3 2 6" xfId="4996"/>
    <cellStyle name="Normale 4 2 2 3 2 6 2" xfId="12459"/>
    <cellStyle name="Normale 4 2 2 3 2 6 3" xfId="19867"/>
    <cellStyle name="Normale 4 2 2 3 2 6 4" xfId="22402"/>
    <cellStyle name="Normale 4 2 2 3 2 7" xfId="5924"/>
    <cellStyle name="Normale 4 2 2 3 2 7 2" xfId="13387"/>
    <cellStyle name="Normale 4 2 2 3 2 7 3" xfId="20795"/>
    <cellStyle name="Normale 4 2 2 3 2 7 4" xfId="22776"/>
    <cellStyle name="Normale 4 2 2 3 2 8" xfId="6844"/>
    <cellStyle name="Normale 4 2 2 3 2 8 2" xfId="14307"/>
    <cellStyle name="Normale 4 2 2 3 2 8 3" xfId="21715"/>
    <cellStyle name="Normale 4 2 2 3 2 8 4" xfId="24390"/>
    <cellStyle name="Normale 4 2 2 3 2 9" xfId="7783"/>
    <cellStyle name="Normale 4 2 2 3 20" xfId="36308"/>
    <cellStyle name="Normale 4 2 2 3 21" xfId="37231"/>
    <cellStyle name="Normale 4 2 2 3 3" xfId="1095"/>
    <cellStyle name="Normale 4 2 2 3 3 2" xfId="8558"/>
    <cellStyle name="Normale 4 2 2 3 3 3" xfId="15966"/>
    <cellStyle name="Normale 4 2 2 3 3 4" xfId="27358"/>
    <cellStyle name="Normale 4 2 2 3 4" xfId="2022"/>
    <cellStyle name="Normale 4 2 2 3 4 2" xfId="9485"/>
    <cellStyle name="Normale 4 2 2 3 4 3" xfId="16893"/>
    <cellStyle name="Normale 4 2 2 3 4 4" xfId="28371"/>
    <cellStyle name="Normale 4 2 2 3 5" xfId="2948"/>
    <cellStyle name="Normale 4 2 2 3 5 2" xfId="10411"/>
    <cellStyle name="Normale 4 2 2 3 5 3" xfId="17819"/>
    <cellStyle name="Normale 4 2 2 3 5 4" xfId="27055"/>
    <cellStyle name="Normale 4 2 2 3 6" xfId="3877"/>
    <cellStyle name="Normale 4 2 2 3 6 2" xfId="11340"/>
    <cellStyle name="Normale 4 2 2 3 6 3" xfId="18748"/>
    <cellStyle name="Normale 4 2 2 3 6 4" xfId="24200"/>
    <cellStyle name="Normale 4 2 2 3 7" xfId="4804"/>
    <cellStyle name="Normale 4 2 2 3 7 2" xfId="12267"/>
    <cellStyle name="Normale 4 2 2 3 7 3" xfId="19675"/>
    <cellStyle name="Normale 4 2 2 3 7 4" xfId="22594"/>
    <cellStyle name="Normale 4 2 2 3 8" xfId="5731"/>
    <cellStyle name="Normale 4 2 2 3 8 2" xfId="13194"/>
    <cellStyle name="Normale 4 2 2 3 8 3" xfId="20602"/>
    <cellStyle name="Normale 4 2 2 3 8 4" xfId="23749"/>
    <cellStyle name="Normale 4 2 2 3 9" xfId="6653"/>
    <cellStyle name="Normale 4 2 2 3 9 2" xfId="14116"/>
    <cellStyle name="Normale 4 2 2 3 9 3" xfId="21524"/>
    <cellStyle name="Normale 4 2 2 3 9 4" xfId="27145"/>
    <cellStyle name="Normale 4 2 2 30" xfId="35379"/>
    <cellStyle name="Normale 4 2 2 31" xfId="36305"/>
    <cellStyle name="Normale 4 2 2 32" xfId="37228"/>
    <cellStyle name="Normale 4 2 2 4" xfId="317"/>
    <cellStyle name="Normale 4 2 2 4 10" xfId="15190"/>
    <cellStyle name="Normale 4 2 2 4 11" xfId="25621"/>
    <cellStyle name="Normale 4 2 2 4 12" xfId="30002"/>
    <cellStyle name="Normale 4 2 2 4 13" xfId="30934"/>
    <cellStyle name="Normale 4 2 2 4 14" xfId="31855"/>
    <cellStyle name="Normale 4 2 2 4 15" xfId="32780"/>
    <cellStyle name="Normale 4 2 2 4 16" xfId="33717"/>
    <cellStyle name="Normale 4 2 2 4 17" xfId="34647"/>
    <cellStyle name="Normale 4 2 2 4 18" xfId="35573"/>
    <cellStyle name="Normale 4 2 2 4 19" xfId="36499"/>
    <cellStyle name="Normale 4 2 2 4 2" xfId="1284"/>
    <cellStyle name="Normale 4 2 2 4 2 2" xfId="8747"/>
    <cellStyle name="Normale 4 2 2 4 2 3" xfId="16155"/>
    <cellStyle name="Normale 4 2 2 4 2 4" xfId="29117"/>
    <cellStyle name="Normale 4 2 2 4 20" xfId="37419"/>
    <cellStyle name="Normale 4 2 2 4 3" xfId="2215"/>
    <cellStyle name="Normale 4 2 2 4 3 2" xfId="9678"/>
    <cellStyle name="Normale 4 2 2 4 3 3" xfId="17086"/>
    <cellStyle name="Normale 4 2 2 4 3 4" xfId="27399"/>
    <cellStyle name="Normale 4 2 2 4 4" xfId="3137"/>
    <cellStyle name="Normale 4 2 2 4 4 2" xfId="10600"/>
    <cellStyle name="Normale 4 2 2 4 4 3" xfId="18008"/>
    <cellStyle name="Normale 4 2 2 4 4 4" xfId="27967"/>
    <cellStyle name="Normale 4 2 2 4 5" xfId="4070"/>
    <cellStyle name="Normale 4 2 2 4 5 2" xfId="11533"/>
    <cellStyle name="Normale 4 2 2 4 5 3" xfId="18941"/>
    <cellStyle name="Normale 4 2 2 4 5 4" xfId="27944"/>
    <cellStyle name="Normale 4 2 2 4 6" xfId="4993"/>
    <cellStyle name="Normale 4 2 2 4 6 2" xfId="12456"/>
    <cellStyle name="Normale 4 2 2 4 6 3" xfId="19864"/>
    <cellStyle name="Normale 4 2 2 4 6 4" xfId="24437"/>
    <cellStyle name="Normale 4 2 2 4 7" xfId="5921"/>
    <cellStyle name="Normale 4 2 2 4 7 2" xfId="13384"/>
    <cellStyle name="Normale 4 2 2 4 7 3" xfId="20792"/>
    <cellStyle name="Normale 4 2 2 4 7 4" xfId="25586"/>
    <cellStyle name="Normale 4 2 2 4 8" xfId="6841"/>
    <cellStyle name="Normale 4 2 2 4 8 2" xfId="14304"/>
    <cellStyle name="Normale 4 2 2 4 8 3" xfId="21712"/>
    <cellStyle name="Normale 4 2 2 4 8 4" xfId="27143"/>
    <cellStyle name="Normale 4 2 2 4 9" xfId="7780"/>
    <cellStyle name="Normale 4 2 2 5" xfId="429"/>
    <cellStyle name="Normale 4 2 2 5 10" xfId="15302"/>
    <cellStyle name="Normale 4 2 2 5 11" xfId="25807"/>
    <cellStyle name="Normale 4 2 2 5 12" xfId="30114"/>
    <cellStyle name="Normale 4 2 2 5 13" xfId="31046"/>
    <cellStyle name="Normale 4 2 2 5 14" xfId="31967"/>
    <cellStyle name="Normale 4 2 2 5 15" xfId="32891"/>
    <cellStyle name="Normale 4 2 2 5 16" xfId="33829"/>
    <cellStyle name="Normale 4 2 2 5 17" xfId="34759"/>
    <cellStyle name="Normale 4 2 2 5 18" xfId="35685"/>
    <cellStyle name="Normale 4 2 2 5 19" xfId="36611"/>
    <cellStyle name="Normale 4 2 2 5 2" xfId="1396"/>
    <cellStyle name="Normale 4 2 2 5 2 2" xfId="8859"/>
    <cellStyle name="Normale 4 2 2 5 2 3" xfId="16267"/>
    <cellStyle name="Normale 4 2 2 5 2 4" xfId="22982"/>
    <cellStyle name="Normale 4 2 2 5 20" xfId="37530"/>
    <cellStyle name="Normale 4 2 2 5 3" xfId="2327"/>
    <cellStyle name="Normale 4 2 2 5 3 2" xfId="9790"/>
    <cellStyle name="Normale 4 2 2 5 3 3" xfId="17198"/>
    <cellStyle name="Normale 4 2 2 5 3 4" xfId="27552"/>
    <cellStyle name="Normale 4 2 2 5 4" xfId="3249"/>
    <cellStyle name="Normale 4 2 2 5 4 2" xfId="10712"/>
    <cellStyle name="Normale 4 2 2 5 4 3" xfId="18120"/>
    <cellStyle name="Normale 4 2 2 5 4 4" xfId="25928"/>
    <cellStyle name="Normale 4 2 2 5 5" xfId="4182"/>
    <cellStyle name="Normale 4 2 2 5 5 2" xfId="11645"/>
    <cellStyle name="Normale 4 2 2 5 5 3" xfId="19053"/>
    <cellStyle name="Normale 4 2 2 5 5 4" xfId="28130"/>
    <cellStyle name="Normale 4 2 2 5 6" xfId="5105"/>
    <cellStyle name="Normale 4 2 2 5 6 2" xfId="12568"/>
    <cellStyle name="Normale 4 2 2 5 6 3" xfId="19976"/>
    <cellStyle name="Normale 4 2 2 5 6 4" xfId="25755"/>
    <cellStyle name="Normale 4 2 2 5 7" xfId="6033"/>
    <cellStyle name="Normale 4 2 2 5 7 2" xfId="13496"/>
    <cellStyle name="Normale 4 2 2 5 7 3" xfId="20904"/>
    <cellStyle name="Normale 4 2 2 5 7 4" xfId="25770"/>
    <cellStyle name="Normale 4 2 2 5 8" xfId="6952"/>
    <cellStyle name="Normale 4 2 2 5 8 2" xfId="14415"/>
    <cellStyle name="Normale 4 2 2 5 8 3" xfId="21823"/>
    <cellStyle name="Normale 4 2 2 5 8 4" xfId="26916"/>
    <cellStyle name="Normale 4 2 2 5 9" xfId="7892"/>
    <cellStyle name="Normale 4 2 2 6" xfId="477"/>
    <cellStyle name="Normale 4 2 2 6 10" xfId="15350"/>
    <cellStyle name="Normale 4 2 2 6 11" xfId="25466"/>
    <cellStyle name="Normale 4 2 2 6 12" xfId="30162"/>
    <cellStyle name="Normale 4 2 2 6 13" xfId="31094"/>
    <cellStyle name="Normale 4 2 2 6 14" xfId="32015"/>
    <cellStyle name="Normale 4 2 2 6 15" xfId="32938"/>
    <cellStyle name="Normale 4 2 2 6 16" xfId="33877"/>
    <cellStyle name="Normale 4 2 2 6 17" xfId="34807"/>
    <cellStyle name="Normale 4 2 2 6 18" xfId="35733"/>
    <cellStyle name="Normale 4 2 2 6 19" xfId="36659"/>
    <cellStyle name="Normale 4 2 2 6 2" xfId="1444"/>
    <cellStyle name="Normale 4 2 2 6 2 2" xfId="8907"/>
    <cellStyle name="Normale 4 2 2 6 2 3" xfId="16315"/>
    <cellStyle name="Normale 4 2 2 6 2 4" xfId="28585"/>
    <cellStyle name="Normale 4 2 2 6 20" xfId="37577"/>
    <cellStyle name="Normale 4 2 2 6 3" xfId="2375"/>
    <cellStyle name="Normale 4 2 2 6 3 2" xfId="9838"/>
    <cellStyle name="Normale 4 2 2 6 3 3" xfId="17246"/>
    <cellStyle name="Normale 4 2 2 6 3 4" xfId="26152"/>
    <cellStyle name="Normale 4 2 2 6 4" xfId="3297"/>
    <cellStyle name="Normale 4 2 2 6 4 2" xfId="10760"/>
    <cellStyle name="Normale 4 2 2 6 4 3" xfId="18168"/>
    <cellStyle name="Normale 4 2 2 6 4 4" xfId="25556"/>
    <cellStyle name="Normale 4 2 2 6 5" xfId="4230"/>
    <cellStyle name="Normale 4 2 2 6 5 2" xfId="11693"/>
    <cellStyle name="Normale 4 2 2 6 5 3" xfId="19101"/>
    <cellStyle name="Normale 4 2 2 6 5 4" xfId="27210"/>
    <cellStyle name="Normale 4 2 2 6 6" xfId="5153"/>
    <cellStyle name="Normale 4 2 2 6 6 2" xfId="12616"/>
    <cellStyle name="Normale 4 2 2 6 6 3" xfId="20024"/>
    <cellStyle name="Normale 4 2 2 6 6 4" xfId="23987"/>
    <cellStyle name="Normale 4 2 2 6 7" xfId="6081"/>
    <cellStyle name="Normale 4 2 2 6 7 2" xfId="13544"/>
    <cellStyle name="Normale 4 2 2 6 7 3" xfId="20952"/>
    <cellStyle name="Normale 4 2 2 6 7 4" xfId="25323"/>
    <cellStyle name="Normale 4 2 2 6 8" xfId="6999"/>
    <cellStyle name="Normale 4 2 2 6 8 2" xfId="14462"/>
    <cellStyle name="Normale 4 2 2 6 8 3" xfId="21870"/>
    <cellStyle name="Normale 4 2 2 6 8 4" xfId="27416"/>
    <cellStyle name="Normale 4 2 2 6 9" xfId="7940"/>
    <cellStyle name="Normale 4 2 2 7" xfId="525"/>
    <cellStyle name="Normale 4 2 2 7 10" xfId="15398"/>
    <cellStyle name="Normale 4 2 2 7 11" xfId="24551"/>
    <cellStyle name="Normale 4 2 2 7 12" xfId="30209"/>
    <cellStyle name="Normale 4 2 2 7 13" xfId="31142"/>
    <cellStyle name="Normale 4 2 2 7 14" xfId="32062"/>
    <cellStyle name="Normale 4 2 2 7 15" xfId="32984"/>
    <cellStyle name="Normale 4 2 2 7 16" xfId="33925"/>
    <cellStyle name="Normale 4 2 2 7 17" xfId="34855"/>
    <cellStyle name="Normale 4 2 2 7 18" xfId="35781"/>
    <cellStyle name="Normale 4 2 2 7 19" xfId="36707"/>
    <cellStyle name="Normale 4 2 2 7 2" xfId="1492"/>
    <cellStyle name="Normale 4 2 2 7 2 2" xfId="8955"/>
    <cellStyle name="Normale 4 2 2 7 2 3" xfId="16363"/>
    <cellStyle name="Normale 4 2 2 7 2 4" xfId="28011"/>
    <cellStyle name="Normale 4 2 2 7 20" xfId="37623"/>
    <cellStyle name="Normale 4 2 2 7 3" xfId="2423"/>
    <cellStyle name="Normale 4 2 2 7 3 2" xfId="9886"/>
    <cellStyle name="Normale 4 2 2 7 3 3" xfId="17294"/>
    <cellStyle name="Normale 4 2 2 7 3 4" xfId="27067"/>
    <cellStyle name="Normale 4 2 2 7 4" xfId="3344"/>
    <cellStyle name="Normale 4 2 2 7 4 2" xfId="10807"/>
    <cellStyle name="Normale 4 2 2 7 4 3" xfId="18215"/>
    <cellStyle name="Normale 4 2 2 7 4 4" xfId="28155"/>
    <cellStyle name="Normale 4 2 2 7 5" xfId="4278"/>
    <cellStyle name="Normale 4 2 2 7 5 2" xfId="11741"/>
    <cellStyle name="Normale 4 2 2 7 5 3" xfId="19149"/>
    <cellStyle name="Normale 4 2 2 7 5 4" xfId="27934"/>
    <cellStyle name="Normale 4 2 2 7 6" xfId="5200"/>
    <cellStyle name="Normale 4 2 2 7 6 2" xfId="12663"/>
    <cellStyle name="Normale 4 2 2 7 6 3" xfId="20071"/>
    <cellStyle name="Normale 4 2 2 7 6 4" xfId="24237"/>
    <cellStyle name="Normale 4 2 2 7 7" xfId="6129"/>
    <cellStyle name="Normale 4 2 2 7 7 2" xfId="13592"/>
    <cellStyle name="Normale 4 2 2 7 7 3" xfId="21000"/>
    <cellStyle name="Normale 4 2 2 7 7 4" xfId="24409"/>
    <cellStyle name="Normale 4 2 2 7 8" xfId="7045"/>
    <cellStyle name="Normale 4 2 2 7 8 2" xfId="14508"/>
    <cellStyle name="Normale 4 2 2 7 8 3" xfId="21916"/>
    <cellStyle name="Normale 4 2 2 7 8 4" xfId="29291"/>
    <cellStyle name="Normale 4 2 2 7 9" xfId="7988"/>
    <cellStyle name="Normale 4 2 2 8" xfId="577"/>
    <cellStyle name="Normale 4 2 2 8 10" xfId="15450"/>
    <cellStyle name="Normale 4 2 2 8 11" xfId="26658"/>
    <cellStyle name="Normale 4 2 2 8 12" xfId="30260"/>
    <cellStyle name="Normale 4 2 2 8 13" xfId="31194"/>
    <cellStyle name="Normale 4 2 2 8 14" xfId="32113"/>
    <cellStyle name="Normale 4 2 2 8 15" xfId="33034"/>
    <cellStyle name="Normale 4 2 2 8 16" xfId="33977"/>
    <cellStyle name="Normale 4 2 2 8 17" xfId="34907"/>
    <cellStyle name="Normale 4 2 2 8 18" xfId="35833"/>
    <cellStyle name="Normale 4 2 2 8 19" xfId="36759"/>
    <cellStyle name="Normale 4 2 2 8 2" xfId="1544"/>
    <cellStyle name="Normale 4 2 2 8 2 2" xfId="9007"/>
    <cellStyle name="Normale 4 2 2 8 2 3" xfId="16415"/>
    <cellStyle name="Normale 4 2 2 8 2 4" xfId="24523"/>
    <cellStyle name="Normale 4 2 2 8 20" xfId="37673"/>
    <cellStyle name="Normale 4 2 2 8 3" xfId="2475"/>
    <cellStyle name="Normale 4 2 2 8 3 2" xfId="9938"/>
    <cellStyle name="Normale 4 2 2 8 3 3" xfId="17346"/>
    <cellStyle name="Normale 4 2 2 8 3 4" xfId="23821"/>
    <cellStyle name="Normale 4 2 2 8 4" xfId="3395"/>
    <cellStyle name="Normale 4 2 2 8 4 2" xfId="10858"/>
    <cellStyle name="Normale 4 2 2 8 4 3" xfId="18266"/>
    <cellStyle name="Normale 4 2 2 8 4 4" xfId="23895"/>
    <cellStyle name="Normale 4 2 2 8 5" xfId="4330"/>
    <cellStyle name="Normale 4 2 2 8 5 2" xfId="11793"/>
    <cellStyle name="Normale 4 2 2 8 5 3" xfId="19201"/>
    <cellStyle name="Normale 4 2 2 8 5 4" xfId="27938"/>
    <cellStyle name="Normale 4 2 2 8 6" xfId="5251"/>
    <cellStyle name="Normale 4 2 2 8 6 2" xfId="12714"/>
    <cellStyle name="Normale 4 2 2 8 6 3" xfId="20122"/>
    <cellStyle name="Normale 4 2 2 8 6 4" xfId="27915"/>
    <cellStyle name="Normale 4 2 2 8 7" xfId="6181"/>
    <cellStyle name="Normale 4 2 2 8 7 2" xfId="13644"/>
    <cellStyle name="Normale 4 2 2 8 7 3" xfId="21052"/>
    <cellStyle name="Normale 4 2 2 8 7 4" xfId="29298"/>
    <cellStyle name="Normale 4 2 2 8 8" xfId="7095"/>
    <cellStyle name="Normale 4 2 2 8 8 2" xfId="14558"/>
    <cellStyle name="Normale 4 2 2 8 8 3" xfId="21966"/>
    <cellStyle name="Normale 4 2 2 8 8 4" xfId="15474"/>
    <cellStyle name="Normale 4 2 2 8 9" xfId="8040"/>
    <cellStyle name="Normale 4 2 2 9" xfId="637"/>
    <cellStyle name="Normale 4 2 2 9 10" xfId="15509"/>
    <cellStyle name="Normale 4 2 2 9 11" xfId="22512"/>
    <cellStyle name="Normale 4 2 2 9 12" xfId="30316"/>
    <cellStyle name="Normale 4 2 2 9 13" xfId="31253"/>
    <cellStyle name="Normale 4 2 2 9 14" xfId="32170"/>
    <cellStyle name="Normale 4 2 2 9 15" xfId="33089"/>
    <cellStyle name="Normale 4 2 2 9 16" xfId="34036"/>
    <cellStyle name="Normale 4 2 2 9 17" xfId="34967"/>
    <cellStyle name="Normale 4 2 2 9 18" xfId="35893"/>
    <cellStyle name="Normale 4 2 2 9 19" xfId="36818"/>
    <cellStyle name="Normale 4 2 2 9 2" xfId="1603"/>
    <cellStyle name="Normale 4 2 2 9 2 2" xfId="9066"/>
    <cellStyle name="Normale 4 2 2 9 2 3" xfId="16474"/>
    <cellStyle name="Normale 4 2 2 9 2 4" xfId="29658"/>
    <cellStyle name="Normale 4 2 2 9 20" xfId="37728"/>
    <cellStyle name="Normale 4 2 2 9 3" xfId="2535"/>
    <cellStyle name="Normale 4 2 2 9 3 2" xfId="9998"/>
    <cellStyle name="Normale 4 2 2 9 3 3" xfId="17406"/>
    <cellStyle name="Normale 4 2 2 9 3 4" xfId="27252"/>
    <cellStyle name="Normale 4 2 2 9 4" xfId="3453"/>
    <cellStyle name="Normale 4 2 2 9 4 2" xfId="10916"/>
    <cellStyle name="Normale 4 2 2 9 4 3" xfId="18324"/>
    <cellStyle name="Normale 4 2 2 9 4 4" xfId="29267"/>
    <cellStyle name="Normale 4 2 2 9 5" xfId="4390"/>
    <cellStyle name="Normale 4 2 2 9 5 2" xfId="11853"/>
    <cellStyle name="Normale 4 2 2 9 5 3" xfId="19261"/>
    <cellStyle name="Normale 4 2 2 9 5 4" xfId="25992"/>
    <cellStyle name="Normale 4 2 2 9 6" xfId="5308"/>
    <cellStyle name="Normale 4 2 2 9 6 2" xfId="12771"/>
    <cellStyle name="Normale 4 2 2 9 6 3" xfId="20179"/>
    <cellStyle name="Normale 4 2 2 9 6 4" xfId="28750"/>
    <cellStyle name="Normale 4 2 2 9 7" xfId="6241"/>
    <cellStyle name="Normale 4 2 2 9 7 2" xfId="13704"/>
    <cellStyle name="Normale 4 2 2 9 7 3" xfId="21112"/>
    <cellStyle name="Normale 4 2 2 9 7 4" xfId="24565"/>
    <cellStyle name="Normale 4 2 2 9 8" xfId="7150"/>
    <cellStyle name="Normale 4 2 2 9 8 2" xfId="14613"/>
    <cellStyle name="Normale 4 2 2 9 8 3" xfId="22021"/>
    <cellStyle name="Normale 4 2 2 9 8 4" xfId="27578"/>
    <cellStyle name="Normale 4 2 2 9 9" xfId="8100"/>
    <cellStyle name="Normale 4 2 20" xfId="3873"/>
    <cellStyle name="Normale 4 2 20 2" xfId="11336"/>
    <cellStyle name="Normale 4 2 20 3" xfId="18744"/>
    <cellStyle name="Normale 4 2 20 4" xfId="27872"/>
    <cellStyle name="Normale 4 2 21" xfId="4800"/>
    <cellStyle name="Normale 4 2 21 2" xfId="12263"/>
    <cellStyle name="Normale 4 2 21 3" xfId="19671"/>
    <cellStyle name="Normale 4 2 21 4" xfId="26427"/>
    <cellStyle name="Normale 4 2 22" xfId="5727"/>
    <cellStyle name="Normale 4 2 22 2" xfId="13190"/>
    <cellStyle name="Normale 4 2 22 3" xfId="20598"/>
    <cellStyle name="Normale 4 2 22 4" xfId="27424"/>
    <cellStyle name="Normale 4 2 23" xfId="6649"/>
    <cellStyle name="Normale 4 2 23 2" xfId="14112"/>
    <cellStyle name="Normale 4 2 23 3" xfId="21520"/>
    <cellStyle name="Normale 4 2 23 4" xfId="23650"/>
    <cellStyle name="Normale 4 2 24" xfId="7583"/>
    <cellStyle name="Normale 4 2 25" xfId="14992"/>
    <cellStyle name="Normale 4 2 26" xfId="29465"/>
    <cellStyle name="Normale 4 2 27" xfId="29809"/>
    <cellStyle name="Normale 4 2 28" xfId="30739"/>
    <cellStyle name="Normale 4 2 29" xfId="31662"/>
    <cellStyle name="Normale 4 2 3" xfId="123"/>
    <cellStyle name="Normale 4 2 3 10" xfId="716"/>
    <cellStyle name="Normale 4 2 3 10 10" xfId="15587"/>
    <cellStyle name="Normale 4 2 3 10 11" xfId="26947"/>
    <cellStyle name="Normale 4 2 3 10 12" xfId="30390"/>
    <cellStyle name="Normale 4 2 3 10 13" xfId="31331"/>
    <cellStyle name="Normale 4 2 3 10 14" xfId="32244"/>
    <cellStyle name="Normale 4 2 3 10 15" xfId="33162"/>
    <cellStyle name="Normale 4 2 3 10 16" xfId="34114"/>
    <cellStyle name="Normale 4 2 3 10 17" xfId="35046"/>
    <cellStyle name="Normale 4 2 3 10 18" xfId="35972"/>
    <cellStyle name="Normale 4 2 3 10 19" xfId="36897"/>
    <cellStyle name="Normale 4 2 3 10 2" xfId="1681"/>
    <cellStyle name="Normale 4 2 3 10 2 2" xfId="9144"/>
    <cellStyle name="Normale 4 2 3 10 2 3" xfId="16552"/>
    <cellStyle name="Normale 4 2 3 10 2 4" xfId="23599"/>
    <cellStyle name="Normale 4 2 3 10 20" xfId="37801"/>
    <cellStyle name="Normale 4 2 3 10 3" xfId="2614"/>
    <cellStyle name="Normale 4 2 3 10 3 2" xfId="10077"/>
    <cellStyle name="Normale 4 2 3 10 3 3" xfId="17485"/>
    <cellStyle name="Normale 4 2 3 10 3 4" xfId="26437"/>
    <cellStyle name="Normale 4 2 3 10 4" xfId="3530"/>
    <cellStyle name="Normale 4 2 3 10 4 2" xfId="10993"/>
    <cellStyle name="Normale 4 2 3 10 4 3" xfId="18401"/>
    <cellStyle name="Normale 4 2 3 10 4 4" xfId="23556"/>
    <cellStyle name="Normale 4 2 3 10 5" xfId="4469"/>
    <cellStyle name="Normale 4 2 3 10 5 2" xfId="11932"/>
    <cellStyle name="Normale 4 2 3 10 5 3" xfId="19340"/>
    <cellStyle name="Normale 4 2 3 10 5 4" xfId="29261"/>
    <cellStyle name="Normale 4 2 3 10 6" xfId="5385"/>
    <cellStyle name="Normale 4 2 3 10 6 2" xfId="12848"/>
    <cellStyle name="Normale 4 2 3 10 6 3" xfId="20256"/>
    <cellStyle name="Normale 4 2 3 10 6 4" xfId="23505"/>
    <cellStyle name="Normale 4 2 3 10 7" xfId="6318"/>
    <cellStyle name="Normale 4 2 3 10 7 2" xfId="13781"/>
    <cellStyle name="Normale 4 2 3 10 7 3" xfId="21189"/>
    <cellStyle name="Normale 4 2 3 10 7 4" xfId="26462"/>
    <cellStyle name="Normale 4 2 3 10 8" xfId="7223"/>
    <cellStyle name="Normale 4 2 3 10 8 2" xfId="14686"/>
    <cellStyle name="Normale 4 2 3 10 8 3" xfId="22094"/>
    <cellStyle name="Normale 4 2 3 10 8 4" xfId="23267"/>
    <cellStyle name="Normale 4 2 3 10 9" xfId="8179"/>
    <cellStyle name="Normale 4 2 3 11" xfId="788"/>
    <cellStyle name="Normale 4 2 3 11 10" xfId="15659"/>
    <cellStyle name="Normale 4 2 3 11 11" xfId="24348"/>
    <cellStyle name="Normale 4 2 3 11 12" xfId="30460"/>
    <cellStyle name="Normale 4 2 3 11 13" xfId="31403"/>
    <cellStyle name="Normale 4 2 3 11 14" xfId="32315"/>
    <cellStyle name="Normale 4 2 3 11 15" xfId="33231"/>
    <cellStyle name="Normale 4 2 3 11 16" xfId="34186"/>
    <cellStyle name="Normale 4 2 3 11 17" xfId="35118"/>
    <cellStyle name="Normale 4 2 3 11 18" xfId="36044"/>
    <cellStyle name="Normale 4 2 3 11 19" xfId="36969"/>
    <cellStyle name="Normale 4 2 3 11 2" xfId="1753"/>
    <cellStyle name="Normale 4 2 3 11 2 2" xfId="9216"/>
    <cellStyle name="Normale 4 2 3 11 2 3" xfId="16624"/>
    <cellStyle name="Normale 4 2 3 11 2 4" xfId="24104"/>
    <cellStyle name="Normale 4 2 3 11 20" xfId="37870"/>
    <cellStyle name="Normale 4 2 3 11 3" xfId="2686"/>
    <cellStyle name="Normale 4 2 3 11 3 2" xfId="10149"/>
    <cellStyle name="Normale 4 2 3 11 3 3" xfId="17557"/>
    <cellStyle name="Normale 4 2 3 11 3 4" xfId="26959"/>
    <cellStyle name="Normale 4 2 3 11 4" xfId="3601"/>
    <cellStyle name="Normale 4 2 3 11 4 2" xfId="11064"/>
    <cellStyle name="Normale 4 2 3 11 4 3" xfId="18472"/>
    <cellStyle name="Normale 4 2 3 11 4 4" xfId="25554"/>
    <cellStyle name="Normale 4 2 3 11 5" xfId="4541"/>
    <cellStyle name="Normale 4 2 3 11 5 2" xfId="12004"/>
    <cellStyle name="Normale 4 2 3 11 5 3" xfId="19412"/>
    <cellStyle name="Normale 4 2 3 11 5 4" xfId="23530"/>
    <cellStyle name="Normale 4 2 3 11 6" xfId="5456"/>
    <cellStyle name="Normale 4 2 3 11 6 2" xfId="12919"/>
    <cellStyle name="Normale 4 2 3 11 6 3" xfId="20327"/>
    <cellStyle name="Normale 4 2 3 11 6 4" xfId="25007"/>
    <cellStyle name="Normale 4 2 3 11 7" xfId="6390"/>
    <cellStyle name="Normale 4 2 3 11 7 2" xfId="13853"/>
    <cellStyle name="Normale 4 2 3 11 7 3" xfId="21261"/>
    <cellStyle name="Normale 4 2 3 11 7 4" xfId="27886"/>
    <cellStyle name="Normale 4 2 3 11 8" xfId="7292"/>
    <cellStyle name="Normale 4 2 3 11 8 2" xfId="14755"/>
    <cellStyle name="Normale 4 2 3 11 8 3" xfId="22163"/>
    <cellStyle name="Normale 4 2 3 11 8 4" xfId="27655"/>
    <cellStyle name="Normale 4 2 3 11 9" xfId="8251"/>
    <cellStyle name="Normale 4 2 3 12" xfId="861"/>
    <cellStyle name="Normale 4 2 3 12 10" xfId="15732"/>
    <cellStyle name="Normale 4 2 3 12 11" xfId="29540"/>
    <cellStyle name="Normale 4 2 3 12 12" xfId="30530"/>
    <cellStyle name="Normale 4 2 3 12 13" xfId="31476"/>
    <cellStyle name="Normale 4 2 3 12 14" xfId="32387"/>
    <cellStyle name="Normale 4 2 3 12 15" xfId="33300"/>
    <cellStyle name="Normale 4 2 3 12 16" xfId="34259"/>
    <cellStyle name="Normale 4 2 3 12 17" xfId="35191"/>
    <cellStyle name="Normale 4 2 3 12 18" xfId="36117"/>
    <cellStyle name="Normale 4 2 3 12 19" xfId="37042"/>
    <cellStyle name="Normale 4 2 3 12 2" xfId="1826"/>
    <cellStyle name="Normale 4 2 3 12 2 2" xfId="9289"/>
    <cellStyle name="Normale 4 2 3 12 2 3" xfId="16697"/>
    <cellStyle name="Normale 4 2 3 12 2 4" xfId="26165"/>
    <cellStyle name="Normale 4 2 3 12 20" xfId="37939"/>
    <cellStyle name="Normale 4 2 3 12 3" xfId="2759"/>
    <cellStyle name="Normale 4 2 3 12 3 2" xfId="10222"/>
    <cellStyle name="Normale 4 2 3 12 3 3" xfId="17630"/>
    <cellStyle name="Normale 4 2 3 12 3 4" xfId="25219"/>
    <cellStyle name="Normale 4 2 3 12 4" xfId="3673"/>
    <cellStyle name="Normale 4 2 3 12 4 2" xfId="11136"/>
    <cellStyle name="Normale 4 2 3 12 4 3" xfId="18544"/>
    <cellStyle name="Normale 4 2 3 12 4 4" xfId="25194"/>
    <cellStyle name="Normale 4 2 3 12 5" xfId="4614"/>
    <cellStyle name="Normale 4 2 3 12 5 2" xfId="12077"/>
    <cellStyle name="Normale 4 2 3 12 5 3" xfId="19485"/>
    <cellStyle name="Normale 4 2 3 12 5 4" xfId="27201"/>
    <cellStyle name="Normale 4 2 3 12 6" xfId="5528"/>
    <cellStyle name="Normale 4 2 3 12 6 2" xfId="12991"/>
    <cellStyle name="Normale 4 2 3 12 6 3" xfId="20399"/>
    <cellStyle name="Normale 4 2 3 12 6 4" xfId="27907"/>
    <cellStyle name="Normale 4 2 3 12 7" xfId="6463"/>
    <cellStyle name="Normale 4 2 3 12 7 2" xfId="13926"/>
    <cellStyle name="Normale 4 2 3 12 7 3" xfId="21334"/>
    <cellStyle name="Normale 4 2 3 12 7 4" xfId="24401"/>
    <cellStyle name="Normale 4 2 3 12 8" xfId="7361"/>
    <cellStyle name="Normale 4 2 3 12 8 2" xfId="14824"/>
    <cellStyle name="Normale 4 2 3 12 8 3" xfId="22232"/>
    <cellStyle name="Normale 4 2 3 12 8 4" xfId="28962"/>
    <cellStyle name="Normale 4 2 3 12 9" xfId="8324"/>
    <cellStyle name="Normale 4 2 3 13" xfId="931"/>
    <cellStyle name="Normale 4 2 3 13 10" xfId="15802"/>
    <cellStyle name="Normale 4 2 3 13 11" xfId="23889"/>
    <cellStyle name="Normale 4 2 3 13 12" xfId="30597"/>
    <cellStyle name="Normale 4 2 3 13 13" xfId="31545"/>
    <cellStyle name="Normale 4 2 3 13 14" xfId="32456"/>
    <cellStyle name="Normale 4 2 3 13 15" xfId="33366"/>
    <cellStyle name="Normale 4 2 3 13 16" xfId="34329"/>
    <cellStyle name="Normale 4 2 3 13 17" xfId="35261"/>
    <cellStyle name="Normale 4 2 3 13 18" xfId="36186"/>
    <cellStyle name="Normale 4 2 3 13 19" xfId="37112"/>
    <cellStyle name="Normale 4 2 3 13 2" xfId="1896"/>
    <cellStyle name="Normale 4 2 3 13 2 2" xfId="9359"/>
    <cellStyle name="Normale 4 2 3 13 2 3" xfId="16767"/>
    <cellStyle name="Normale 4 2 3 13 2 4" xfId="29521"/>
    <cellStyle name="Normale 4 2 3 13 20" xfId="38005"/>
    <cellStyle name="Normale 4 2 3 13 3" xfId="2828"/>
    <cellStyle name="Normale 4 2 3 13 3 2" xfId="10291"/>
    <cellStyle name="Normale 4 2 3 13 3 3" xfId="17699"/>
    <cellStyle name="Normale 4 2 3 13 3 4" xfId="27976"/>
    <cellStyle name="Normale 4 2 3 13 4" xfId="3743"/>
    <cellStyle name="Normale 4 2 3 13 4 2" xfId="11206"/>
    <cellStyle name="Normale 4 2 3 13 4 3" xfId="18614"/>
    <cellStyle name="Normale 4 2 3 13 4 4" xfId="27341"/>
    <cellStyle name="Normale 4 2 3 13 5" xfId="4684"/>
    <cellStyle name="Normale 4 2 3 13 5 2" xfId="12147"/>
    <cellStyle name="Normale 4 2 3 13 5 3" xfId="19555"/>
    <cellStyle name="Normale 4 2 3 13 5 4" xfId="29031"/>
    <cellStyle name="Normale 4 2 3 13 6" xfId="5598"/>
    <cellStyle name="Normale 4 2 3 13 6 2" xfId="13061"/>
    <cellStyle name="Normale 4 2 3 13 6 3" xfId="20469"/>
    <cellStyle name="Normale 4 2 3 13 6 4" xfId="24080"/>
    <cellStyle name="Normale 4 2 3 13 7" xfId="6533"/>
    <cellStyle name="Normale 4 2 3 13 7 2" xfId="13996"/>
    <cellStyle name="Normale 4 2 3 13 7 3" xfId="21404"/>
    <cellStyle name="Normale 4 2 3 13 7 4" xfId="26242"/>
    <cellStyle name="Normale 4 2 3 13 8" xfId="7427"/>
    <cellStyle name="Normale 4 2 3 13 8 2" xfId="14890"/>
    <cellStyle name="Normale 4 2 3 13 8 3" xfId="22298"/>
    <cellStyle name="Normale 4 2 3 13 8 4" xfId="28597"/>
    <cellStyle name="Normale 4 2 3 13 9" xfId="8394"/>
    <cellStyle name="Normale 4 2 3 14" xfId="1096"/>
    <cellStyle name="Normale 4 2 3 14 2" xfId="8559"/>
    <cellStyle name="Normale 4 2 3 14 3" xfId="15967"/>
    <cellStyle name="Normale 4 2 3 14 4" xfId="26450"/>
    <cellStyle name="Normale 4 2 3 15" xfId="2023"/>
    <cellStyle name="Normale 4 2 3 15 2" xfId="9486"/>
    <cellStyle name="Normale 4 2 3 15 3" xfId="16894"/>
    <cellStyle name="Normale 4 2 3 15 4" xfId="27447"/>
    <cellStyle name="Normale 4 2 3 16" xfId="2949"/>
    <cellStyle name="Normale 4 2 3 16 2" xfId="10412"/>
    <cellStyle name="Normale 4 2 3 16 3" xfId="17820"/>
    <cellStyle name="Normale 4 2 3 16 4" xfId="26137"/>
    <cellStyle name="Normale 4 2 3 17" xfId="3878"/>
    <cellStyle name="Normale 4 2 3 17 2" xfId="11341"/>
    <cellStyle name="Normale 4 2 3 17 3" xfId="18749"/>
    <cellStyle name="Normale 4 2 3 17 4" xfId="23196"/>
    <cellStyle name="Normale 4 2 3 18" xfId="4805"/>
    <cellStyle name="Normale 4 2 3 18 2" xfId="12268"/>
    <cellStyle name="Normale 4 2 3 18 3" xfId="19676"/>
    <cellStyle name="Normale 4 2 3 18 4" xfId="29024"/>
    <cellStyle name="Normale 4 2 3 19" xfId="5732"/>
    <cellStyle name="Normale 4 2 3 19 2" xfId="13195"/>
    <cellStyle name="Normale 4 2 3 19 3" xfId="20603"/>
    <cellStyle name="Normale 4 2 3 19 4" xfId="22777"/>
    <cellStyle name="Normale 4 2 3 2" xfId="124"/>
    <cellStyle name="Normale 4 2 3 2 10" xfId="6655"/>
    <cellStyle name="Normale 4 2 3 2 10 2" xfId="14118"/>
    <cellStyle name="Normale 4 2 3 2 10 3" xfId="21526"/>
    <cellStyle name="Normale 4 2 3 2 10 4" xfId="25308"/>
    <cellStyle name="Normale 4 2 3 2 11" xfId="7589"/>
    <cellStyle name="Normale 4 2 3 2 12" xfId="14998"/>
    <cellStyle name="Normale 4 2 3 2 13" xfId="23973"/>
    <cellStyle name="Normale 4 2 3 2 14" xfId="29815"/>
    <cellStyle name="Normale 4 2 3 2 15" xfId="30745"/>
    <cellStyle name="Normale 4 2 3 2 16" xfId="31668"/>
    <cellStyle name="Normale 4 2 3 2 17" xfId="32594"/>
    <cellStyle name="Normale 4 2 3 2 18" xfId="33528"/>
    <cellStyle name="Normale 4 2 3 2 19" xfId="34456"/>
    <cellStyle name="Normale 4 2 3 2 2" xfId="125"/>
    <cellStyle name="Normale 4 2 3 2 2 10" xfId="7590"/>
    <cellStyle name="Normale 4 2 3 2 2 11" xfId="14999"/>
    <cellStyle name="Normale 4 2 3 2 2 12" xfId="22961"/>
    <cellStyle name="Normale 4 2 3 2 2 13" xfId="29816"/>
    <cellStyle name="Normale 4 2 3 2 2 14" xfId="30746"/>
    <cellStyle name="Normale 4 2 3 2 2 15" xfId="31669"/>
    <cellStyle name="Normale 4 2 3 2 2 16" xfId="32595"/>
    <cellStyle name="Normale 4 2 3 2 2 17" xfId="33529"/>
    <cellStyle name="Normale 4 2 3 2 2 18" xfId="34457"/>
    <cellStyle name="Normale 4 2 3 2 2 19" xfId="35385"/>
    <cellStyle name="Normale 4 2 3 2 2 2" xfId="323"/>
    <cellStyle name="Normale 4 2 3 2 2 2 10" xfId="15196"/>
    <cellStyle name="Normale 4 2 3 2 2 2 11" xfId="27413"/>
    <cellStyle name="Normale 4 2 3 2 2 2 12" xfId="30008"/>
    <cellStyle name="Normale 4 2 3 2 2 2 13" xfId="30940"/>
    <cellStyle name="Normale 4 2 3 2 2 2 14" xfId="31861"/>
    <cellStyle name="Normale 4 2 3 2 2 2 15" xfId="32786"/>
    <cellStyle name="Normale 4 2 3 2 2 2 16" xfId="33723"/>
    <cellStyle name="Normale 4 2 3 2 2 2 17" xfId="34653"/>
    <cellStyle name="Normale 4 2 3 2 2 2 18" xfId="35579"/>
    <cellStyle name="Normale 4 2 3 2 2 2 19" xfId="36505"/>
    <cellStyle name="Normale 4 2 3 2 2 2 2" xfId="1290"/>
    <cellStyle name="Normale 4 2 3 2 2 2 2 2" xfId="8753"/>
    <cellStyle name="Normale 4 2 3 2 2 2 2 3" xfId="16161"/>
    <cellStyle name="Normale 4 2 3 2 2 2 2 4" xfId="23612"/>
    <cellStyle name="Normale 4 2 3 2 2 2 20" xfId="37425"/>
    <cellStyle name="Normale 4 2 3 2 2 2 3" xfId="2221"/>
    <cellStyle name="Normale 4 2 3 2 2 2 3 2" xfId="9684"/>
    <cellStyle name="Normale 4 2 3 2 2 2 3 3" xfId="17092"/>
    <cellStyle name="Normale 4 2 3 2 2 2 3 4" xfId="29183"/>
    <cellStyle name="Normale 4 2 3 2 2 2 4" xfId="3143"/>
    <cellStyle name="Normale 4 2 3 2 2 2 4 2" xfId="10606"/>
    <cellStyle name="Normale 4 2 3 2 2 2 4 3" xfId="18014"/>
    <cellStyle name="Normale 4 2 3 2 2 2 4 4" xfId="23218"/>
    <cellStyle name="Normale 4 2 3 2 2 2 5" xfId="4076"/>
    <cellStyle name="Normale 4 2 3 2 2 2 5 2" xfId="11539"/>
    <cellStyle name="Normale 4 2 3 2 2 2 5 3" xfId="18947"/>
    <cellStyle name="Normale 4 2 3 2 2 2 5 4" xfId="22615"/>
    <cellStyle name="Normale 4 2 3 2 2 2 6" xfId="4999"/>
    <cellStyle name="Normale 4 2 3 2 2 2 6 2" xfId="12462"/>
    <cellStyle name="Normale 4 2 3 2 2 2 6 3" xfId="19870"/>
    <cellStyle name="Normale 4 2 3 2 2 2 6 4" xfId="27001"/>
    <cellStyle name="Normale 4 2 3 2 2 2 7" xfId="5927"/>
    <cellStyle name="Normale 4 2 3 2 2 2 7 2" xfId="13390"/>
    <cellStyle name="Normale 4 2 3 2 2 2 7 3" xfId="20798"/>
    <cellStyle name="Normale 4 2 3 2 2 2 7 4" xfId="27376"/>
    <cellStyle name="Normale 4 2 3 2 2 2 8" xfId="6847"/>
    <cellStyle name="Normale 4 2 3 2 2 2 8 2" xfId="14310"/>
    <cellStyle name="Normale 4 2 3 2 2 2 8 3" xfId="21718"/>
    <cellStyle name="Normale 4 2 3 2 2 2 8 4" xfId="22355"/>
    <cellStyle name="Normale 4 2 3 2 2 2 9" xfId="7786"/>
    <cellStyle name="Normale 4 2 3 2 2 20" xfId="36311"/>
    <cellStyle name="Normale 4 2 3 2 2 21" xfId="37234"/>
    <cellStyle name="Normale 4 2 3 2 2 3" xfId="1098"/>
    <cellStyle name="Normale 4 2 3 2 2 3 2" xfId="8561"/>
    <cellStyle name="Normale 4 2 3 2 2 3 3" xfId="15969"/>
    <cellStyle name="Normale 4 2 3 2 2 3 4" xfId="24605"/>
    <cellStyle name="Normale 4 2 3 2 2 4" xfId="2025"/>
    <cellStyle name="Normale 4 2 3 2 2 4 2" xfId="9488"/>
    <cellStyle name="Normale 4 2 3 2 2 4 3" xfId="16896"/>
    <cellStyle name="Normale 4 2 3 2 2 4 4" xfId="25610"/>
    <cellStyle name="Normale 4 2 3 2 2 5" xfId="2951"/>
    <cellStyle name="Normale 4 2 3 2 2 5 2" xfId="10414"/>
    <cellStyle name="Normale 4 2 3 2 2 5 3" xfId="17822"/>
    <cellStyle name="Normale 4 2 3 2 2 5 4" xfId="24295"/>
    <cellStyle name="Normale 4 2 3 2 2 6" xfId="3880"/>
    <cellStyle name="Normale 4 2 3 2 2 6 2" xfId="11343"/>
    <cellStyle name="Normale 4 2 3 2 2 6 3" xfId="18751"/>
    <cellStyle name="Normale 4 2 3 2 2 6 4" xfId="28738"/>
    <cellStyle name="Normale 4 2 3 2 2 7" xfId="4807"/>
    <cellStyle name="Normale 4 2 3 2 2 7 2" xfId="12270"/>
    <cellStyle name="Normale 4 2 3 2 2 7 3" xfId="19678"/>
    <cellStyle name="Normale 4 2 3 2 2 7 4" xfId="27192"/>
    <cellStyle name="Normale 4 2 3 2 2 8" xfId="5734"/>
    <cellStyle name="Normale 4 2 3 2 2 8 2" xfId="13197"/>
    <cellStyle name="Normale 4 2 3 2 2 8 3" xfId="20605"/>
    <cellStyle name="Normale 4 2 3 2 2 8 4" xfId="28301"/>
    <cellStyle name="Normale 4 2 3 2 2 9" xfId="6656"/>
    <cellStyle name="Normale 4 2 3 2 2 9 2" xfId="14119"/>
    <cellStyle name="Normale 4 2 3 2 2 9 3" xfId="21527"/>
    <cellStyle name="Normale 4 2 3 2 2 9 4" xfId="24392"/>
    <cellStyle name="Normale 4 2 3 2 20" xfId="35384"/>
    <cellStyle name="Normale 4 2 3 2 21" xfId="36310"/>
    <cellStyle name="Normale 4 2 3 2 22" xfId="37233"/>
    <cellStyle name="Normale 4 2 3 2 3" xfId="322"/>
    <cellStyle name="Normale 4 2 3 2 3 10" xfId="15195"/>
    <cellStyle name="Normale 4 2 3 2 3 11" xfId="28337"/>
    <cellStyle name="Normale 4 2 3 2 3 12" xfId="30007"/>
    <cellStyle name="Normale 4 2 3 2 3 13" xfId="30939"/>
    <cellStyle name="Normale 4 2 3 2 3 14" xfId="31860"/>
    <cellStyle name="Normale 4 2 3 2 3 15" xfId="32785"/>
    <cellStyle name="Normale 4 2 3 2 3 16" xfId="33722"/>
    <cellStyle name="Normale 4 2 3 2 3 17" xfId="34652"/>
    <cellStyle name="Normale 4 2 3 2 3 18" xfId="35578"/>
    <cellStyle name="Normale 4 2 3 2 3 19" xfId="36504"/>
    <cellStyle name="Normale 4 2 3 2 3 2" xfId="1289"/>
    <cellStyle name="Normale 4 2 3 2 3 2 2" xfId="8752"/>
    <cellStyle name="Normale 4 2 3 2 3 2 3" xfId="16160"/>
    <cellStyle name="Normale 4 2 3 2 3 2 4" xfId="24532"/>
    <cellStyle name="Normale 4 2 3 2 3 20" xfId="37424"/>
    <cellStyle name="Normale 4 2 3 2 3 3" xfId="2220"/>
    <cellStyle name="Normale 4 2 3 2 3 3 2" xfId="9683"/>
    <cellStyle name="Normale 4 2 3 2 3 3 3" xfId="17091"/>
    <cellStyle name="Normale 4 2 3 2 3 3 4" xfId="22753"/>
    <cellStyle name="Normale 4 2 3 2 3 4" xfId="3142"/>
    <cellStyle name="Normale 4 2 3 2 3 4 2" xfId="10605"/>
    <cellStyle name="Normale 4 2 3 2 3 4 3" xfId="18013"/>
    <cellStyle name="Normale 4 2 3 2 3 4 4" xfId="23372"/>
    <cellStyle name="Normale 4 2 3 2 3 5" xfId="4075"/>
    <cellStyle name="Normale 4 2 3 2 3 5 2" xfId="11538"/>
    <cellStyle name="Normale 4 2 3 2 3 5 3" xfId="18946"/>
    <cellStyle name="Normale 4 2 3 2 3 5 4" xfId="23349"/>
    <cellStyle name="Normale 4 2 3 2 3 6" xfId="4998"/>
    <cellStyle name="Normale 4 2 3 2 3 6 2" xfId="12461"/>
    <cellStyle name="Normale 4 2 3 2 3 6 3" xfId="19869"/>
    <cellStyle name="Normale 4 2 3 2 3 6 4" xfId="27919"/>
    <cellStyle name="Normale 4 2 3 2 3 7" xfId="5926"/>
    <cellStyle name="Normale 4 2 3 2 3 7 2" xfId="13389"/>
    <cellStyle name="Normale 4 2 3 2 3 7 3" xfId="20797"/>
    <cellStyle name="Normale 4 2 3 2 3 7 4" xfId="28300"/>
    <cellStyle name="Normale 4 2 3 2 3 8" xfId="6846"/>
    <cellStyle name="Normale 4 2 3 2 3 8 2" xfId="14309"/>
    <cellStyle name="Normale 4 2 3 2 3 8 3" xfId="21717"/>
    <cellStyle name="Normale 4 2 3 2 3 8 4" xfId="22356"/>
    <cellStyle name="Normale 4 2 3 2 3 9" xfId="7785"/>
    <cellStyle name="Normale 4 2 3 2 4" xfId="1097"/>
    <cellStyle name="Normale 4 2 3 2 4 2" xfId="8560"/>
    <cellStyle name="Normale 4 2 3 2 4 3" xfId="15968"/>
    <cellStyle name="Normale 4 2 3 2 4 4" xfId="25522"/>
    <cellStyle name="Normale 4 2 3 2 5" xfId="2024"/>
    <cellStyle name="Normale 4 2 3 2 5 2" xfId="9487"/>
    <cellStyle name="Normale 4 2 3 2 5 3" xfId="16895"/>
    <cellStyle name="Normale 4 2 3 2 5 4" xfId="26539"/>
    <cellStyle name="Normale 4 2 3 2 6" xfId="2950"/>
    <cellStyle name="Normale 4 2 3 2 6 2" xfId="10413"/>
    <cellStyle name="Normale 4 2 3 2 6 3" xfId="17821"/>
    <cellStyle name="Normale 4 2 3 2 6 4" xfId="25214"/>
    <cellStyle name="Normale 4 2 3 2 7" xfId="3879"/>
    <cellStyle name="Normale 4 2 3 2 7 2" xfId="11342"/>
    <cellStyle name="Normale 4 2 3 2 7 3" xfId="18750"/>
    <cellStyle name="Normale 4 2 3 2 7 4" xfId="29626"/>
    <cellStyle name="Normale 4 2 3 2 8" xfId="4806"/>
    <cellStyle name="Normale 4 2 3 2 8 2" xfId="12269"/>
    <cellStyle name="Normale 4 2 3 2 8 3" xfId="19677"/>
    <cellStyle name="Normale 4 2 3 2 8 4" xfId="28114"/>
    <cellStyle name="Normale 4 2 3 2 9" xfId="5733"/>
    <cellStyle name="Normale 4 2 3 2 9 2" xfId="13196"/>
    <cellStyle name="Normale 4 2 3 2 9 3" xfId="20604"/>
    <cellStyle name="Normale 4 2 3 2 9 4" xfId="29207"/>
    <cellStyle name="Normale 4 2 3 20" xfId="6654"/>
    <cellStyle name="Normale 4 2 3 20 2" xfId="14117"/>
    <cellStyle name="Normale 4 2 3 20 3" xfId="21525"/>
    <cellStyle name="Normale 4 2 3 20 4" xfId="26235"/>
    <cellStyle name="Normale 4 2 3 21" xfId="7588"/>
    <cellStyle name="Normale 4 2 3 22" xfId="14997"/>
    <cellStyle name="Normale 4 2 3 23" xfId="24898"/>
    <cellStyle name="Normale 4 2 3 24" xfId="29814"/>
    <cellStyle name="Normale 4 2 3 25" xfId="30744"/>
    <cellStyle name="Normale 4 2 3 26" xfId="31667"/>
    <cellStyle name="Normale 4 2 3 27" xfId="32593"/>
    <cellStyle name="Normale 4 2 3 28" xfId="33527"/>
    <cellStyle name="Normale 4 2 3 29" xfId="34455"/>
    <cellStyle name="Normale 4 2 3 3" xfId="126"/>
    <cellStyle name="Normale 4 2 3 3 10" xfId="7591"/>
    <cellStyle name="Normale 4 2 3 3 11" xfId="15000"/>
    <cellStyle name="Normale 4 2 3 3 12" xfId="29390"/>
    <cellStyle name="Normale 4 2 3 3 13" xfId="29817"/>
    <cellStyle name="Normale 4 2 3 3 14" xfId="30747"/>
    <cellStyle name="Normale 4 2 3 3 15" xfId="31670"/>
    <cellStyle name="Normale 4 2 3 3 16" xfId="32596"/>
    <cellStyle name="Normale 4 2 3 3 17" xfId="33530"/>
    <cellStyle name="Normale 4 2 3 3 18" xfId="34458"/>
    <cellStyle name="Normale 4 2 3 3 19" xfId="35386"/>
    <cellStyle name="Normale 4 2 3 3 2" xfId="324"/>
    <cellStyle name="Normale 4 2 3 3 2 10" xfId="15197"/>
    <cellStyle name="Normale 4 2 3 3 2 11" xfId="26504"/>
    <cellStyle name="Normale 4 2 3 3 2 12" xfId="30009"/>
    <cellStyle name="Normale 4 2 3 3 2 13" xfId="30941"/>
    <cellStyle name="Normale 4 2 3 3 2 14" xfId="31862"/>
    <cellStyle name="Normale 4 2 3 3 2 15" xfId="32787"/>
    <cellStyle name="Normale 4 2 3 3 2 16" xfId="33724"/>
    <cellStyle name="Normale 4 2 3 3 2 17" xfId="34654"/>
    <cellStyle name="Normale 4 2 3 3 2 18" xfId="35580"/>
    <cellStyle name="Normale 4 2 3 3 2 19" xfId="36506"/>
    <cellStyle name="Normale 4 2 3 3 2 2" xfId="1291"/>
    <cellStyle name="Normale 4 2 3 3 2 2 2" xfId="8754"/>
    <cellStyle name="Normale 4 2 3 3 2 2 3" xfId="16162"/>
    <cellStyle name="Normale 4 2 3 3 2 2 4" xfId="22498"/>
    <cellStyle name="Normale 4 2 3 3 2 20" xfId="37426"/>
    <cellStyle name="Normale 4 2 3 3 2 3" xfId="2222"/>
    <cellStyle name="Normale 4 2 3 3 2 3 2" xfId="9685"/>
    <cellStyle name="Normale 4 2 3 3 2 3 3" xfId="17093"/>
    <cellStyle name="Normale 4 2 3 3 2 3 4" xfId="28275"/>
    <cellStyle name="Normale 4 2 3 3 2 4" xfId="3144"/>
    <cellStyle name="Normale 4 2 3 3 2 4 2" xfId="10607"/>
    <cellStyle name="Normale 4 2 3 3 2 4 3" xfId="18015"/>
    <cellStyle name="Normale 4 2 3 3 2 4 4" xfId="29648"/>
    <cellStyle name="Normale 4 2 3 3 2 5" xfId="4077"/>
    <cellStyle name="Normale 4 2 3 3 2 5 2" xfId="11540"/>
    <cellStyle name="Normale 4 2 3 3 2 5 3" xfId="18948"/>
    <cellStyle name="Normale 4 2 3 3 2 5 4" xfId="29045"/>
    <cellStyle name="Normale 4 2 3 3 2 6" xfId="5000"/>
    <cellStyle name="Normale 4 2 3 3 2 6 2" xfId="12463"/>
    <cellStyle name="Normale 4 2 3 3 2 6 3" xfId="19871"/>
    <cellStyle name="Normale 4 2 3 3 2 6 4" xfId="26083"/>
    <cellStyle name="Normale 4 2 3 3 2 7" xfId="5928"/>
    <cellStyle name="Normale 4 2 3 3 2 7 2" xfId="13391"/>
    <cellStyle name="Normale 4 2 3 3 2 7 3" xfId="20799"/>
    <cellStyle name="Normale 4 2 3 3 2 7 4" xfId="26468"/>
    <cellStyle name="Normale 4 2 3 3 2 8" xfId="6848"/>
    <cellStyle name="Normale 4 2 3 3 2 8 2" xfId="14311"/>
    <cellStyle name="Normale 4 2 3 3 2 8 3" xfId="21719"/>
    <cellStyle name="Normale 4 2 3 3 2 8 4" xfId="28676"/>
    <cellStyle name="Normale 4 2 3 3 2 9" xfId="7787"/>
    <cellStyle name="Normale 4 2 3 3 20" xfId="36312"/>
    <cellStyle name="Normale 4 2 3 3 21" xfId="37235"/>
    <cellStyle name="Normale 4 2 3 3 3" xfId="1099"/>
    <cellStyle name="Normale 4 2 3 3 3 2" xfId="8562"/>
    <cellStyle name="Normale 4 2 3 3 3 3" xfId="15970"/>
    <cellStyle name="Normale 4 2 3 3 3 4" xfId="23684"/>
    <cellStyle name="Normale 4 2 3 3 4" xfId="2026"/>
    <cellStyle name="Normale 4 2 3 3 4 2" xfId="9489"/>
    <cellStyle name="Normale 4 2 3 3 4 3" xfId="16897"/>
    <cellStyle name="Normale 4 2 3 3 4 4" xfId="24695"/>
    <cellStyle name="Normale 4 2 3 3 5" xfId="2952"/>
    <cellStyle name="Normale 4 2 3 3 5 2" xfId="10415"/>
    <cellStyle name="Normale 4 2 3 3 5 3" xfId="17823"/>
    <cellStyle name="Normale 4 2 3 3 5 4" xfId="23379"/>
    <cellStyle name="Normale 4 2 3 3 6" xfId="3881"/>
    <cellStyle name="Normale 4 2 3 3 6 2" xfId="11344"/>
    <cellStyle name="Normale 4 2 3 3 6 3" xfId="18752"/>
    <cellStyle name="Normale 4 2 3 3 6 4" xfId="27811"/>
    <cellStyle name="Normale 4 2 3 3 7" xfId="4808"/>
    <cellStyle name="Normale 4 2 3 3 7 2" xfId="12271"/>
    <cellStyle name="Normale 4 2 3 3 7 3" xfId="19679"/>
    <cellStyle name="Normale 4 2 3 3 7 4" xfId="26282"/>
    <cellStyle name="Normale 4 2 3 3 8" xfId="5735"/>
    <cellStyle name="Normale 4 2 3 3 8 2" xfId="13198"/>
    <cellStyle name="Normale 4 2 3 3 8 3" xfId="20606"/>
    <cellStyle name="Normale 4 2 3 3 8 4" xfId="27377"/>
    <cellStyle name="Normale 4 2 3 3 9" xfId="6657"/>
    <cellStyle name="Normale 4 2 3 3 9 2" xfId="14120"/>
    <cellStyle name="Normale 4 2 3 3 9 3" xfId="21528"/>
    <cellStyle name="Normale 4 2 3 3 9 4" xfId="23473"/>
    <cellStyle name="Normale 4 2 3 30" xfId="35383"/>
    <cellStyle name="Normale 4 2 3 31" xfId="36309"/>
    <cellStyle name="Normale 4 2 3 32" xfId="37232"/>
    <cellStyle name="Normale 4 2 3 4" xfId="321"/>
    <cellStyle name="Normale 4 2 3 4 10" xfId="15194"/>
    <cellStyle name="Normale 4 2 3 4 11" xfId="29243"/>
    <cellStyle name="Normale 4 2 3 4 12" xfId="30006"/>
    <cellStyle name="Normale 4 2 3 4 13" xfId="30938"/>
    <cellStyle name="Normale 4 2 3 4 14" xfId="31859"/>
    <cellStyle name="Normale 4 2 3 4 15" xfId="32784"/>
    <cellStyle name="Normale 4 2 3 4 16" xfId="33721"/>
    <cellStyle name="Normale 4 2 3 4 17" xfId="34651"/>
    <cellStyle name="Normale 4 2 3 4 18" xfId="35577"/>
    <cellStyle name="Normale 4 2 3 4 19" xfId="36503"/>
    <cellStyle name="Normale 4 2 3 4 2" xfId="1288"/>
    <cellStyle name="Normale 4 2 3 4 2 2" xfId="8751"/>
    <cellStyle name="Normale 4 2 3 4 2 3" xfId="16159"/>
    <cellStyle name="Normale 4 2 3 4 2 4" xfId="25448"/>
    <cellStyle name="Normale 4 2 3 4 20" xfId="37423"/>
    <cellStyle name="Normale 4 2 3 4 3" xfId="2219"/>
    <cellStyle name="Normale 4 2 3 4 3 2" xfId="9682"/>
    <cellStyle name="Normale 4 2 3 4 3 3" xfId="17090"/>
    <cellStyle name="Normale 4 2 3 4 3 4" xfId="23724"/>
    <cellStyle name="Normale 4 2 3 4 4" xfId="3141"/>
    <cellStyle name="Normale 4 2 3 4 4 2" xfId="10604"/>
    <cellStyle name="Normale 4 2 3 4 4 3" xfId="18012"/>
    <cellStyle name="Normale 4 2 3 4 4 4" xfId="24288"/>
    <cellStyle name="Normale 4 2 3 4 5" xfId="4074"/>
    <cellStyle name="Normale 4 2 3 4 5 2" xfId="11537"/>
    <cellStyle name="Normale 4 2 3 4 5 3" xfId="18945"/>
    <cellStyle name="Normale 4 2 3 4 5 4" xfId="24265"/>
    <cellStyle name="Normale 4 2 3 4 6" xfId="4997"/>
    <cellStyle name="Normale 4 2 3 4 6 2" xfId="12460"/>
    <cellStyle name="Normale 4 2 3 4 6 3" xfId="19868"/>
    <cellStyle name="Normale 4 2 3 4 6 4" xfId="28833"/>
    <cellStyle name="Normale 4 2 3 4 7" xfId="5925"/>
    <cellStyle name="Normale 4 2 3 4 7 2" xfId="13388"/>
    <cellStyle name="Normale 4 2 3 4 7 3" xfId="20796"/>
    <cellStyle name="Normale 4 2 3 4 7 4" xfId="29206"/>
    <cellStyle name="Normale 4 2 3 4 8" xfId="6845"/>
    <cellStyle name="Normale 4 2 3 4 8 2" xfId="14308"/>
    <cellStyle name="Normale 4 2 3 4 8 3" xfId="21716"/>
    <cellStyle name="Normale 4 2 3 4 8 4" xfId="23471"/>
    <cellStyle name="Normale 4 2 3 4 9" xfId="7784"/>
    <cellStyle name="Normale 4 2 3 5" xfId="430"/>
    <cellStyle name="Normale 4 2 3 5 10" xfId="15303"/>
    <cellStyle name="Normale 4 2 3 5 11" xfId="24895"/>
    <cellStyle name="Normale 4 2 3 5 12" xfId="30115"/>
    <cellStyle name="Normale 4 2 3 5 13" xfId="31047"/>
    <cellStyle name="Normale 4 2 3 5 14" xfId="31968"/>
    <cellStyle name="Normale 4 2 3 5 15" xfId="32892"/>
    <cellStyle name="Normale 4 2 3 5 16" xfId="33830"/>
    <cellStyle name="Normale 4 2 3 5 17" xfId="34760"/>
    <cellStyle name="Normale 4 2 3 5 18" xfId="35686"/>
    <cellStyle name="Normale 4 2 3 5 19" xfId="36612"/>
    <cellStyle name="Normale 4 2 3 5 2" xfId="1397"/>
    <cellStyle name="Normale 4 2 3 5 2 2" xfId="8860"/>
    <cellStyle name="Normale 4 2 3 5 2 3" xfId="16268"/>
    <cellStyle name="Normale 4 2 3 5 2 4" xfId="29411"/>
    <cellStyle name="Normale 4 2 3 5 20" xfId="37531"/>
    <cellStyle name="Normale 4 2 3 5 3" xfId="2328"/>
    <cellStyle name="Normale 4 2 3 5 3 2" xfId="9791"/>
    <cellStyle name="Normale 4 2 3 5 3 3" xfId="17199"/>
    <cellStyle name="Normale 4 2 3 5 3 4" xfId="26648"/>
    <cellStyle name="Normale 4 2 3 5 4" xfId="3250"/>
    <cellStyle name="Normale 4 2 3 5 4 2" xfId="10713"/>
    <cellStyle name="Normale 4 2 3 5 4 3" xfId="18121"/>
    <cellStyle name="Normale 4 2 3 5 4 4" xfId="25019"/>
    <cellStyle name="Normale 4 2 3 5 5" xfId="4183"/>
    <cellStyle name="Normale 4 2 3 5 5 2" xfId="11646"/>
    <cellStyle name="Normale 4 2 3 5 5 3" xfId="19054"/>
    <cellStyle name="Normale 4 2 3 5 5 4" xfId="27208"/>
    <cellStyle name="Normale 4 2 3 5 6" xfId="5106"/>
    <cellStyle name="Normale 4 2 3 5 6 2" xfId="12569"/>
    <cellStyle name="Normale 4 2 3 5 6 3" xfId="19977"/>
    <cellStyle name="Normale 4 2 3 5 6 4" xfId="24843"/>
    <cellStyle name="Normale 4 2 3 5 7" xfId="6034"/>
    <cellStyle name="Normale 4 2 3 5 7 2" xfId="13497"/>
    <cellStyle name="Normale 4 2 3 5 7 3" xfId="20905"/>
    <cellStyle name="Normale 4 2 3 5 7 4" xfId="24858"/>
    <cellStyle name="Normale 4 2 3 5 8" xfId="6953"/>
    <cellStyle name="Normale 4 2 3 5 8 2" xfId="14416"/>
    <cellStyle name="Normale 4 2 3 5 8 3" xfId="21824"/>
    <cellStyle name="Normale 4 2 3 5 8 4" xfId="25982"/>
    <cellStyle name="Normale 4 2 3 5 9" xfId="7893"/>
    <cellStyle name="Normale 4 2 3 6" xfId="478"/>
    <cellStyle name="Normale 4 2 3 6 10" xfId="15351"/>
    <cellStyle name="Normale 4 2 3 6 11" xfId="24549"/>
    <cellStyle name="Normale 4 2 3 6 12" xfId="30163"/>
    <cellStyle name="Normale 4 2 3 6 13" xfId="31095"/>
    <cellStyle name="Normale 4 2 3 6 14" xfId="32016"/>
    <cellStyle name="Normale 4 2 3 6 15" xfId="32939"/>
    <cellStyle name="Normale 4 2 3 6 16" xfId="33878"/>
    <cellStyle name="Normale 4 2 3 6 17" xfId="34808"/>
    <cellStyle name="Normale 4 2 3 6 18" xfId="35734"/>
    <cellStyle name="Normale 4 2 3 6 19" xfId="36660"/>
    <cellStyle name="Normale 4 2 3 6 2" xfId="1445"/>
    <cellStyle name="Normale 4 2 3 6 2 2" xfId="8908"/>
    <cellStyle name="Normale 4 2 3 6 2 3" xfId="16316"/>
    <cellStyle name="Normale 4 2 3 6 2 4" xfId="27659"/>
    <cellStyle name="Normale 4 2 3 6 20" xfId="37578"/>
    <cellStyle name="Normale 4 2 3 6 3" xfId="2376"/>
    <cellStyle name="Normale 4 2 3 6 3 2" xfId="9839"/>
    <cellStyle name="Normale 4 2 3 6 3 3" xfId="17247"/>
    <cellStyle name="Normale 4 2 3 6 3 4" xfId="25229"/>
    <cellStyle name="Normale 4 2 3 6 4" xfId="3298"/>
    <cellStyle name="Normale 4 2 3 6 4 2" xfId="10761"/>
    <cellStyle name="Normale 4 2 3 6 4 3" xfId="18169"/>
    <cellStyle name="Normale 4 2 3 6 4 4" xfId="24639"/>
    <cellStyle name="Normale 4 2 3 6 5" xfId="4231"/>
    <cellStyle name="Normale 4 2 3 6 5 2" xfId="11694"/>
    <cellStyle name="Normale 4 2 3 6 5 3" xfId="19102"/>
    <cellStyle name="Normale 4 2 3 6 5 4" xfId="26300"/>
    <cellStyle name="Normale 4 2 3 6 6" xfId="5154"/>
    <cellStyle name="Normale 4 2 3 6 6 2" xfId="12617"/>
    <cellStyle name="Normale 4 2 3 6 6 3" xfId="20025"/>
    <cellStyle name="Normale 4 2 3 6 6 4" xfId="22972"/>
    <cellStyle name="Normale 4 2 3 6 7" xfId="6082"/>
    <cellStyle name="Normale 4 2 3 6 7 2" xfId="13545"/>
    <cellStyle name="Normale 4 2 3 6 7 3" xfId="20953"/>
    <cellStyle name="Normale 4 2 3 6 7 4" xfId="24407"/>
    <cellStyle name="Normale 4 2 3 6 8" xfId="7000"/>
    <cellStyle name="Normale 4 2 3 6 8 2" xfId="14463"/>
    <cellStyle name="Normale 4 2 3 6 8 3" xfId="21871"/>
    <cellStyle name="Normale 4 2 3 6 8 4" xfId="26508"/>
    <cellStyle name="Normale 4 2 3 6 9" xfId="7941"/>
    <cellStyle name="Normale 4 2 3 7" xfId="526"/>
    <cellStyle name="Normale 4 2 3 7 10" xfId="15399"/>
    <cellStyle name="Normale 4 2 3 7 11" xfId="23629"/>
    <cellStyle name="Normale 4 2 3 7 12" xfId="30210"/>
    <cellStyle name="Normale 4 2 3 7 13" xfId="31143"/>
    <cellStyle name="Normale 4 2 3 7 14" xfId="32063"/>
    <cellStyle name="Normale 4 2 3 7 15" xfId="32985"/>
    <cellStyle name="Normale 4 2 3 7 16" xfId="33926"/>
    <cellStyle name="Normale 4 2 3 7 17" xfId="34856"/>
    <cellStyle name="Normale 4 2 3 7 18" xfId="35782"/>
    <cellStyle name="Normale 4 2 3 7 19" xfId="36708"/>
    <cellStyle name="Normale 4 2 3 7 2" xfId="1493"/>
    <cellStyle name="Normale 4 2 3 7 2 2" xfId="8956"/>
    <cellStyle name="Normale 4 2 3 7 2 3" xfId="16364"/>
    <cellStyle name="Normale 4 2 3 7 2 4" xfId="27092"/>
    <cellStyle name="Normale 4 2 3 7 20" xfId="37624"/>
    <cellStyle name="Normale 4 2 3 7 3" xfId="2424"/>
    <cellStyle name="Normale 4 2 3 7 3 2" xfId="9887"/>
    <cellStyle name="Normale 4 2 3 7 3 3" xfId="17295"/>
    <cellStyle name="Normale 4 2 3 7 3 4" xfId="26149"/>
    <cellStyle name="Normale 4 2 3 7 4" xfId="3345"/>
    <cellStyle name="Normale 4 2 3 7 4 2" xfId="10808"/>
    <cellStyle name="Normale 4 2 3 7 4 3" xfId="18216"/>
    <cellStyle name="Normale 4 2 3 7 4 4" xfId="27233"/>
    <cellStyle name="Normale 4 2 3 7 5" xfId="4279"/>
    <cellStyle name="Normale 4 2 3 7 5 2" xfId="11742"/>
    <cellStyle name="Normale 4 2 3 7 5 3" xfId="19150"/>
    <cellStyle name="Normale 4 2 3 7 5 4" xfId="27015"/>
    <cellStyle name="Normale 4 2 3 7 6" xfId="5201"/>
    <cellStyle name="Normale 4 2 3 7 6 2" xfId="12664"/>
    <cellStyle name="Normale 4 2 3 7 6 3" xfId="20072"/>
    <cellStyle name="Normale 4 2 3 7 6 4" xfId="23321"/>
    <cellStyle name="Normale 4 2 3 7 7" xfId="6130"/>
    <cellStyle name="Normale 4 2 3 7 7 2" xfId="13593"/>
    <cellStyle name="Normale 4 2 3 7 7 3" xfId="21001"/>
    <cellStyle name="Normale 4 2 3 7 7 4" xfId="23490"/>
    <cellStyle name="Normale 4 2 3 7 8" xfId="7046"/>
    <cellStyle name="Normale 4 2 3 7 8 2" xfId="14509"/>
    <cellStyle name="Normale 4 2 3 7 8 3" xfId="21917"/>
    <cellStyle name="Normale 4 2 3 7 8 4" xfId="28390"/>
    <cellStyle name="Normale 4 2 3 7 9" xfId="7989"/>
    <cellStyle name="Normale 4 2 3 8" xfId="578"/>
    <cellStyle name="Normale 4 2 3 8 10" xfId="15451"/>
    <cellStyle name="Normale 4 2 3 8 11" xfId="25727"/>
    <cellStyle name="Normale 4 2 3 8 12" xfId="30261"/>
    <cellStyle name="Normale 4 2 3 8 13" xfId="31195"/>
    <cellStyle name="Normale 4 2 3 8 14" xfId="32114"/>
    <cellStyle name="Normale 4 2 3 8 15" xfId="33035"/>
    <cellStyle name="Normale 4 2 3 8 16" xfId="33978"/>
    <cellStyle name="Normale 4 2 3 8 17" xfId="34908"/>
    <cellStyle name="Normale 4 2 3 8 18" xfId="35834"/>
    <cellStyle name="Normale 4 2 3 8 19" xfId="36760"/>
    <cellStyle name="Normale 4 2 3 8 2" xfId="1545"/>
    <cellStyle name="Normale 4 2 3 8 2 2" xfId="9008"/>
    <cellStyle name="Normale 4 2 3 8 2 3" xfId="16416"/>
    <cellStyle name="Normale 4 2 3 8 2 4" xfId="23603"/>
    <cellStyle name="Normale 4 2 3 8 20" xfId="37674"/>
    <cellStyle name="Normale 4 2 3 8 3" xfId="2476"/>
    <cellStyle name="Normale 4 2 3 8 3 2" xfId="9939"/>
    <cellStyle name="Normale 4 2 3 8 3 3" xfId="17347"/>
    <cellStyle name="Normale 4 2 3 8 3 4" xfId="22842"/>
    <cellStyle name="Normale 4 2 3 8 4" xfId="3396"/>
    <cellStyle name="Normale 4 2 3 8 4 2" xfId="10859"/>
    <cellStyle name="Normale 4 2 3 8 4 3" xfId="18267"/>
    <cellStyle name="Normale 4 2 3 8 4 4" xfId="22909"/>
    <cellStyle name="Normale 4 2 3 8 5" xfId="4331"/>
    <cellStyle name="Normale 4 2 3 8 5 2" xfId="11794"/>
    <cellStyle name="Normale 4 2 3 8 5 3" xfId="19202"/>
    <cellStyle name="Normale 4 2 3 8 5 4" xfId="27019"/>
    <cellStyle name="Normale 4 2 3 8 6" xfId="5252"/>
    <cellStyle name="Normale 4 2 3 8 6 2" xfId="12715"/>
    <cellStyle name="Normale 4 2 3 8 6 3" xfId="20123"/>
    <cellStyle name="Normale 4 2 3 8 6 4" xfId="26997"/>
    <cellStyle name="Normale 4 2 3 8 7" xfId="6182"/>
    <cellStyle name="Normale 4 2 3 8 7 2" xfId="13645"/>
    <cellStyle name="Normale 4 2 3 8 7 3" xfId="21053"/>
    <cellStyle name="Normale 4 2 3 8 7 4" xfId="28397"/>
    <cellStyle name="Normale 4 2 3 8 8" xfId="7096"/>
    <cellStyle name="Normale 4 2 3 8 8 2" xfId="14559"/>
    <cellStyle name="Normale 4 2 3 8 8 3" xfId="21967"/>
    <cellStyle name="Normale 4 2 3 8 8 4" xfId="15417"/>
    <cellStyle name="Normale 4 2 3 8 9" xfId="8041"/>
    <cellStyle name="Normale 4 2 3 9" xfId="638"/>
    <cellStyle name="Normale 4 2 3 9 10" xfId="15510"/>
    <cellStyle name="Normale 4 2 3 9 11" xfId="28941"/>
    <cellStyle name="Normale 4 2 3 9 12" xfId="30317"/>
    <cellStyle name="Normale 4 2 3 9 13" xfId="31254"/>
    <cellStyle name="Normale 4 2 3 9 14" xfId="32171"/>
    <cellStyle name="Normale 4 2 3 9 15" xfId="33090"/>
    <cellStyle name="Normale 4 2 3 9 16" xfId="34037"/>
    <cellStyle name="Normale 4 2 3 9 17" xfId="34968"/>
    <cellStyle name="Normale 4 2 3 9 18" xfId="35894"/>
    <cellStyle name="Normale 4 2 3 9 19" xfId="36819"/>
    <cellStyle name="Normale 4 2 3 9 2" xfId="1604"/>
    <cellStyle name="Normale 4 2 3 9 2 2" xfId="9067"/>
    <cellStyle name="Normale 4 2 3 9 2 3" xfId="16475"/>
    <cellStyle name="Normale 4 2 3 9 2 4" xfId="28773"/>
    <cellStyle name="Normale 4 2 3 9 20" xfId="37729"/>
    <cellStyle name="Normale 4 2 3 9 3" xfId="2536"/>
    <cellStyle name="Normale 4 2 3 9 3 2" xfId="9999"/>
    <cellStyle name="Normale 4 2 3 9 3 3" xfId="17407"/>
    <cellStyle name="Normale 4 2 3 9 3 4" xfId="26342"/>
    <cellStyle name="Normale 4 2 3 9 4" xfId="3454"/>
    <cellStyle name="Normale 4 2 3 9 4 2" xfId="10917"/>
    <cellStyle name="Normale 4 2 3 9 4 3" xfId="18325"/>
    <cellStyle name="Normale 4 2 3 9 4 4" xfId="28362"/>
    <cellStyle name="Normale 4 2 3 9 5" xfId="4391"/>
    <cellStyle name="Normale 4 2 3 9 5 2" xfId="11854"/>
    <cellStyle name="Normale 4 2 3 9 5 3" xfId="19262"/>
    <cellStyle name="Normale 4 2 3 9 5 4" xfId="25082"/>
    <cellStyle name="Normale 4 2 3 9 6" xfId="5309"/>
    <cellStyle name="Normale 4 2 3 9 6 2" xfId="12772"/>
    <cellStyle name="Normale 4 2 3 9 6 3" xfId="20180"/>
    <cellStyle name="Normale 4 2 3 9 6 4" xfId="27823"/>
    <cellStyle name="Normale 4 2 3 9 7" xfId="6242"/>
    <cellStyle name="Normale 4 2 3 9 7 2" xfId="13705"/>
    <cellStyle name="Normale 4 2 3 9 7 3" xfId="21113"/>
    <cellStyle name="Normale 4 2 3 9 7 4" xfId="24209"/>
    <cellStyle name="Normale 4 2 3 9 8" xfId="7151"/>
    <cellStyle name="Normale 4 2 3 9 8 2" xfId="14614"/>
    <cellStyle name="Normale 4 2 3 9 8 3" xfId="22022"/>
    <cellStyle name="Normale 4 2 3 9 8 4" xfId="27747"/>
    <cellStyle name="Normale 4 2 3 9 9" xfId="8101"/>
    <cellStyle name="Normale 4 2 30" xfId="32588"/>
    <cellStyle name="Normale 4 2 31" xfId="33522"/>
    <cellStyle name="Normale 4 2 32" xfId="34450"/>
    <cellStyle name="Normale 4 2 33" xfId="35378"/>
    <cellStyle name="Normale 4 2 34" xfId="36304"/>
    <cellStyle name="Normale 4 2 35" xfId="37227"/>
    <cellStyle name="Normale 4 2 4" xfId="127"/>
    <cellStyle name="Normale 4 2 4 10" xfId="717"/>
    <cellStyle name="Normale 4 2 4 10 10" xfId="15588"/>
    <cellStyle name="Normale 4 2 4 10 11" xfId="26014"/>
    <cellStyle name="Normale 4 2 4 10 12" xfId="30391"/>
    <cellStyle name="Normale 4 2 4 10 13" xfId="31332"/>
    <cellStyle name="Normale 4 2 4 10 14" xfId="32245"/>
    <cellStyle name="Normale 4 2 4 10 15" xfId="33163"/>
    <cellStyle name="Normale 4 2 4 10 16" xfId="34115"/>
    <cellStyle name="Normale 4 2 4 10 17" xfId="35047"/>
    <cellStyle name="Normale 4 2 4 10 18" xfId="35973"/>
    <cellStyle name="Normale 4 2 4 10 19" xfId="36898"/>
    <cellStyle name="Normale 4 2 4 10 2" xfId="1682"/>
    <cellStyle name="Normale 4 2 4 10 2 2" xfId="9145"/>
    <cellStyle name="Normale 4 2 4 10 2 3" xfId="16553"/>
    <cellStyle name="Normale 4 2 4 10 2 4" xfId="28919"/>
    <cellStyle name="Normale 4 2 4 10 20" xfId="37802"/>
    <cellStyle name="Normale 4 2 4 10 3" xfId="2615"/>
    <cellStyle name="Normale 4 2 4 10 3 2" xfId="10078"/>
    <cellStyle name="Normale 4 2 4 10 3 3" xfId="17486"/>
    <cellStyle name="Normale 4 2 4 10 3 4" xfId="25509"/>
    <cellStyle name="Normale 4 2 4 10 4" xfId="3531"/>
    <cellStyle name="Normale 4 2 4 10 4 2" xfId="10994"/>
    <cellStyle name="Normale 4 2 4 10 4 3" xfId="18402"/>
    <cellStyle name="Normale 4 2 4 10 4 4" xfId="22442"/>
    <cellStyle name="Normale 4 2 4 10 5" xfId="4470"/>
    <cellStyle name="Normale 4 2 4 10 5 2" xfId="11933"/>
    <cellStyle name="Normale 4 2 4 10 5 3" xfId="19341"/>
    <cellStyle name="Normale 4 2 4 10 5 4" xfId="28356"/>
    <cellStyle name="Normale 4 2 4 10 6" xfId="5386"/>
    <cellStyle name="Normale 4 2 4 10 6 2" xfId="12849"/>
    <cellStyle name="Normale 4 2 4 10 6 3" xfId="20257"/>
    <cellStyle name="Normale 4 2 4 10 6 4" xfId="28824"/>
    <cellStyle name="Normale 4 2 4 10 7" xfId="6319"/>
    <cellStyle name="Normale 4 2 4 10 7 2" xfId="13782"/>
    <cellStyle name="Normale 4 2 4 10 7 3" xfId="21190"/>
    <cellStyle name="Normale 4 2 4 10 7 4" xfId="25534"/>
    <cellStyle name="Normale 4 2 4 10 8" xfId="7224"/>
    <cellStyle name="Normale 4 2 4 10 8 2" xfId="14687"/>
    <cellStyle name="Normale 4 2 4 10 8 3" xfId="22095"/>
    <cellStyle name="Normale 4 2 4 10 8 4" xfId="22536"/>
    <cellStyle name="Normale 4 2 4 10 9" xfId="8180"/>
    <cellStyle name="Normale 4 2 4 11" xfId="789"/>
    <cellStyle name="Normale 4 2 4 11 10" xfId="15660"/>
    <cellStyle name="Normale 4 2 4 11 11" xfId="23433"/>
    <cellStyle name="Normale 4 2 4 11 12" xfId="30461"/>
    <cellStyle name="Normale 4 2 4 11 13" xfId="31404"/>
    <cellStyle name="Normale 4 2 4 11 14" xfId="32316"/>
    <cellStyle name="Normale 4 2 4 11 15" xfId="33232"/>
    <cellStyle name="Normale 4 2 4 11 16" xfId="34187"/>
    <cellStyle name="Normale 4 2 4 11 17" xfId="35119"/>
    <cellStyle name="Normale 4 2 4 11 18" xfId="36045"/>
    <cellStyle name="Normale 4 2 4 11 19" xfId="36970"/>
    <cellStyle name="Normale 4 2 4 11 2" xfId="1754"/>
    <cellStyle name="Normale 4 2 4 11 2 2" xfId="9217"/>
    <cellStyle name="Normale 4 2 4 11 2 3" xfId="16625"/>
    <cellStyle name="Normale 4 2 4 11 2 4" xfId="23093"/>
    <cellStyle name="Normale 4 2 4 11 20" xfId="37871"/>
    <cellStyle name="Normale 4 2 4 11 3" xfId="2687"/>
    <cellStyle name="Normale 4 2 4 11 3 2" xfId="10150"/>
    <cellStyle name="Normale 4 2 4 11 3 3" xfId="17558"/>
    <cellStyle name="Normale 4 2 4 11 3 4" xfId="26026"/>
    <cellStyle name="Normale 4 2 4 11 4" xfId="3602"/>
    <cellStyle name="Normale 4 2 4 11 4 2" xfId="11065"/>
    <cellStyle name="Normale 4 2 4 11 4 3" xfId="18473"/>
    <cellStyle name="Normale 4 2 4 11 4 4" xfId="24637"/>
    <cellStyle name="Normale 4 2 4 11 5" xfId="4542"/>
    <cellStyle name="Normale 4 2 4 11 5 2" xfId="12005"/>
    <cellStyle name="Normale 4 2 4 11 5 3" xfId="19413"/>
    <cellStyle name="Normale 4 2 4 11 5 4" xfId="22415"/>
    <cellStyle name="Normale 4 2 4 11 6" xfId="5457"/>
    <cellStyle name="Normale 4 2 4 11 6 2" xfId="12920"/>
    <cellStyle name="Normale 4 2 4 11 6 3" xfId="20328"/>
    <cellStyle name="Normale 4 2 4 11 6 4" xfId="24081"/>
    <cellStyle name="Normale 4 2 4 11 7" xfId="6391"/>
    <cellStyle name="Normale 4 2 4 11 7 2" xfId="13854"/>
    <cellStyle name="Normale 4 2 4 11 7 3" xfId="21262"/>
    <cellStyle name="Normale 4 2 4 11 7 4" xfId="26554"/>
    <cellStyle name="Normale 4 2 4 11 8" xfId="7293"/>
    <cellStyle name="Normale 4 2 4 11 8 2" xfId="14756"/>
    <cellStyle name="Normale 4 2 4 11 8 3" xfId="22164"/>
    <cellStyle name="Normale 4 2 4 11 8 4" xfId="26751"/>
    <cellStyle name="Normale 4 2 4 11 9" xfId="8252"/>
    <cellStyle name="Normale 4 2 4 12" xfId="862"/>
    <cellStyle name="Normale 4 2 4 12 10" xfId="15733"/>
    <cellStyle name="Normale 4 2 4 12 11" xfId="28649"/>
    <cellStyle name="Normale 4 2 4 12 12" xfId="30531"/>
    <cellStyle name="Normale 4 2 4 12 13" xfId="31477"/>
    <cellStyle name="Normale 4 2 4 12 14" xfId="32388"/>
    <cellStyle name="Normale 4 2 4 12 15" xfId="33301"/>
    <cellStyle name="Normale 4 2 4 12 16" xfId="34260"/>
    <cellStyle name="Normale 4 2 4 12 17" xfId="35192"/>
    <cellStyle name="Normale 4 2 4 12 18" xfId="36118"/>
    <cellStyle name="Normale 4 2 4 12 19" xfId="37043"/>
    <cellStyle name="Normale 4 2 4 12 2" xfId="1827"/>
    <cellStyle name="Normale 4 2 4 12 2 2" xfId="9290"/>
    <cellStyle name="Normale 4 2 4 12 2 3" xfId="16698"/>
    <cellStyle name="Normale 4 2 4 12 2 4" xfId="25242"/>
    <cellStyle name="Normale 4 2 4 12 20" xfId="37940"/>
    <cellStyle name="Normale 4 2 4 12 3" xfId="2760"/>
    <cellStyle name="Normale 4 2 4 12 3 2" xfId="10223"/>
    <cellStyle name="Normale 4 2 4 12 3 3" xfId="17631"/>
    <cellStyle name="Normale 4 2 4 12 3 4" xfId="24300"/>
    <cellStyle name="Normale 4 2 4 12 4" xfId="3674"/>
    <cellStyle name="Normale 4 2 4 12 4 2" xfId="11137"/>
    <cellStyle name="Normale 4 2 4 12 4 3" xfId="18545"/>
    <cellStyle name="Normale 4 2 4 12 4 4" xfId="24275"/>
    <cellStyle name="Normale 4 2 4 12 5" xfId="4615"/>
    <cellStyle name="Normale 4 2 4 12 5 2" xfId="12078"/>
    <cellStyle name="Normale 4 2 4 12 5 3" xfId="19486"/>
    <cellStyle name="Normale 4 2 4 12 5 4" xfId="26291"/>
    <cellStyle name="Normale 4 2 4 12 6" xfId="5529"/>
    <cellStyle name="Normale 4 2 4 12 6 2" xfId="12992"/>
    <cellStyle name="Normale 4 2 4 12 6 3" xfId="20400"/>
    <cellStyle name="Normale 4 2 4 12 6 4" xfId="26989"/>
    <cellStyle name="Normale 4 2 4 12 7" xfId="6464"/>
    <cellStyle name="Normale 4 2 4 12 7 2" xfId="13927"/>
    <cellStyle name="Normale 4 2 4 12 7 3" xfId="21335"/>
    <cellStyle name="Normale 4 2 4 12 7 4" xfId="23482"/>
    <cellStyle name="Normale 4 2 4 12 8" xfId="7362"/>
    <cellStyle name="Normale 4 2 4 12 8 2" xfId="14825"/>
    <cellStyle name="Normale 4 2 4 12 8 3" xfId="22233"/>
    <cellStyle name="Normale 4 2 4 12 8 4" xfId="28052"/>
    <cellStyle name="Normale 4 2 4 12 9" xfId="8325"/>
    <cellStyle name="Normale 4 2 4 13" xfId="932"/>
    <cellStyle name="Normale 4 2 4 13 10" xfId="15803"/>
    <cellStyle name="Normale 4 2 4 13 11" xfId="22902"/>
    <cellStyle name="Normale 4 2 4 13 12" xfId="30598"/>
    <cellStyle name="Normale 4 2 4 13 13" xfId="31546"/>
    <cellStyle name="Normale 4 2 4 13 14" xfId="32457"/>
    <cellStyle name="Normale 4 2 4 13 15" xfId="33367"/>
    <cellStyle name="Normale 4 2 4 13 16" xfId="34330"/>
    <cellStyle name="Normale 4 2 4 13 17" xfId="35262"/>
    <cellStyle name="Normale 4 2 4 13 18" xfId="36187"/>
    <cellStyle name="Normale 4 2 4 13 19" xfId="37113"/>
    <cellStyle name="Normale 4 2 4 13 2" xfId="1897"/>
    <cellStyle name="Normale 4 2 4 13 2 2" xfId="9360"/>
    <cellStyle name="Normale 4 2 4 13 2 3" xfId="16768"/>
    <cellStyle name="Normale 4 2 4 13 2 4" xfId="28630"/>
    <cellStyle name="Normale 4 2 4 13 20" xfId="38006"/>
    <cellStyle name="Normale 4 2 4 13 3" xfId="2829"/>
    <cellStyle name="Normale 4 2 4 13 3 2" xfId="10292"/>
    <cellStyle name="Normale 4 2 4 13 3 3" xfId="17700"/>
    <cellStyle name="Normale 4 2 4 13 3 4" xfId="27057"/>
    <cellStyle name="Normale 4 2 4 13 4" xfId="3744"/>
    <cellStyle name="Normale 4 2 4 13 4 2" xfId="11207"/>
    <cellStyle name="Normale 4 2 4 13 4 3" xfId="18615"/>
    <cellStyle name="Normale 4 2 4 13 4 4" xfId="26433"/>
    <cellStyle name="Normale 4 2 4 13 5" xfId="4685"/>
    <cellStyle name="Normale 4 2 4 13 5 2" xfId="12148"/>
    <cellStyle name="Normale 4 2 4 13 5 3" xfId="19556"/>
    <cellStyle name="Normale 4 2 4 13 5 4" xfId="28121"/>
    <cellStyle name="Normale 4 2 4 13 6" xfId="5599"/>
    <cellStyle name="Normale 4 2 4 13 6 2" xfId="13062"/>
    <cellStyle name="Normale 4 2 4 13 6 3" xfId="20470"/>
    <cellStyle name="Normale 4 2 4 13 6 4" xfId="23069"/>
    <cellStyle name="Normale 4 2 4 13 7" xfId="6534"/>
    <cellStyle name="Normale 4 2 4 13 7 2" xfId="13997"/>
    <cellStyle name="Normale 4 2 4 13 7 3" xfId="21405"/>
    <cellStyle name="Normale 4 2 4 13 7 4" xfId="25315"/>
    <cellStyle name="Normale 4 2 4 13 8" xfId="7428"/>
    <cellStyle name="Normale 4 2 4 13 8 2" xfId="14891"/>
    <cellStyle name="Normale 4 2 4 13 8 3" xfId="22299"/>
    <cellStyle name="Normale 4 2 4 13 8 4" xfId="27671"/>
    <cellStyle name="Normale 4 2 4 13 9" xfId="8395"/>
    <cellStyle name="Normale 4 2 4 14" xfId="1100"/>
    <cellStyle name="Normale 4 2 4 14 2" xfId="8563"/>
    <cellStyle name="Normale 4 2 4 14 3" xfId="15971"/>
    <cellStyle name="Normale 4 2 4 14 4" xfId="22689"/>
    <cellStyle name="Normale 4 2 4 15" xfId="2027"/>
    <cellStyle name="Normale 4 2 4 15 2" xfId="9490"/>
    <cellStyle name="Normale 4 2 4 15 3" xfId="16898"/>
    <cellStyle name="Normale 4 2 4 15 4" xfId="23772"/>
    <cellStyle name="Normale 4 2 4 16" xfId="2953"/>
    <cellStyle name="Normale 4 2 4 16 2" xfId="10416"/>
    <cellStyle name="Normale 4 2 4 16 3" xfId="17824"/>
    <cellStyle name="Normale 4 2 4 16 4" xfId="22645"/>
    <cellStyle name="Normale 4 2 4 17" xfId="3882"/>
    <cellStyle name="Normale 4 2 4 17 2" xfId="11345"/>
    <cellStyle name="Normale 4 2 4 17 3" xfId="18753"/>
    <cellStyle name="Normale 4 2 4 17 4" xfId="26909"/>
    <cellStyle name="Normale 4 2 4 18" xfId="4809"/>
    <cellStyle name="Normale 4 2 4 18 2" xfId="12272"/>
    <cellStyle name="Normale 4 2 4 18 3" xfId="19680"/>
    <cellStyle name="Normale 4 2 4 18 4" xfId="25355"/>
    <cellStyle name="Normale 4 2 4 19" xfId="5736"/>
    <cellStyle name="Normale 4 2 4 19 2" xfId="13199"/>
    <cellStyle name="Normale 4 2 4 19 3" xfId="20607"/>
    <cellStyle name="Normale 4 2 4 19 4" xfId="26469"/>
    <cellStyle name="Normale 4 2 4 2" xfId="128"/>
    <cellStyle name="Normale 4 2 4 2 10" xfId="6659"/>
    <cellStyle name="Normale 4 2 4 2 10 2" xfId="14122"/>
    <cellStyle name="Normale 4 2 4 2 10 3" xfId="21530"/>
    <cellStyle name="Normale 4 2 4 2 10 4" xfId="26613"/>
    <cellStyle name="Normale 4 2 4 2 11" xfId="7593"/>
    <cellStyle name="Normale 4 2 4 2 12" xfId="15002"/>
    <cellStyle name="Normale 4 2 4 2 13" xfId="27566"/>
    <cellStyle name="Normale 4 2 4 2 14" xfId="29819"/>
    <cellStyle name="Normale 4 2 4 2 15" xfId="30749"/>
    <cellStyle name="Normale 4 2 4 2 16" xfId="31672"/>
    <cellStyle name="Normale 4 2 4 2 17" xfId="32598"/>
    <cellStyle name="Normale 4 2 4 2 18" xfId="33532"/>
    <cellStyle name="Normale 4 2 4 2 19" xfId="34460"/>
    <cellStyle name="Normale 4 2 4 2 2" xfId="129"/>
    <cellStyle name="Normale 4 2 4 2 2 10" xfId="7594"/>
    <cellStyle name="Normale 4 2 4 2 2 11" xfId="15003"/>
    <cellStyle name="Normale 4 2 4 2 2 12" xfId="26661"/>
    <cellStyle name="Normale 4 2 4 2 2 13" xfId="29820"/>
    <cellStyle name="Normale 4 2 4 2 2 14" xfId="30750"/>
    <cellStyle name="Normale 4 2 4 2 2 15" xfId="31673"/>
    <cellStyle name="Normale 4 2 4 2 2 16" xfId="32599"/>
    <cellStyle name="Normale 4 2 4 2 2 17" xfId="33533"/>
    <cellStyle name="Normale 4 2 4 2 2 18" xfId="34461"/>
    <cellStyle name="Normale 4 2 4 2 2 19" xfId="35389"/>
    <cellStyle name="Normale 4 2 4 2 2 2" xfId="327"/>
    <cellStyle name="Normale 4 2 4 2 2 2 10" xfId="15200"/>
    <cellStyle name="Normale 4 2 4 2 2 2 11" xfId="23738"/>
    <cellStyle name="Normale 4 2 4 2 2 2 12" xfId="30012"/>
    <cellStyle name="Normale 4 2 4 2 2 2 13" xfId="30944"/>
    <cellStyle name="Normale 4 2 4 2 2 2 14" xfId="31865"/>
    <cellStyle name="Normale 4 2 4 2 2 2 15" xfId="32790"/>
    <cellStyle name="Normale 4 2 4 2 2 2 16" xfId="33727"/>
    <cellStyle name="Normale 4 2 4 2 2 2 17" xfId="34657"/>
    <cellStyle name="Normale 4 2 4 2 2 2 18" xfId="35583"/>
    <cellStyle name="Normale 4 2 4 2 2 2 19" xfId="36509"/>
    <cellStyle name="Normale 4 2 4 2 2 2 2" xfId="1294"/>
    <cellStyle name="Normale 4 2 4 2 2 2 2 2" xfId="8757"/>
    <cellStyle name="Normale 4 2 4 2 2 2 2 3" xfId="16165"/>
    <cellStyle name="Normale 4 2 4 2 2 2 2 4" xfId="28014"/>
    <cellStyle name="Normale 4 2 4 2 2 2 20" xfId="37429"/>
    <cellStyle name="Normale 4 2 4 2 2 2 3" xfId="2225"/>
    <cellStyle name="Normale 4 2 4 2 2 2 3 2" xfId="9688"/>
    <cellStyle name="Normale 4 2 4 2 2 2 3 3" xfId="17096"/>
    <cellStyle name="Normale 4 2 4 2 2 2 3 4" xfId="25515"/>
    <cellStyle name="Normale 4 2 4 2 2 2 4" xfId="3147"/>
    <cellStyle name="Normale 4 2 4 2 2 2 4 2" xfId="10610"/>
    <cellStyle name="Normale 4 2 4 2 2 2 4 3" xfId="18018"/>
    <cellStyle name="Normale 4 2 4 2 2 2 4 4" xfId="26934"/>
    <cellStyle name="Normale 4 2 4 2 2 2 5" xfId="4080"/>
    <cellStyle name="Normale 4 2 4 2 2 2 5 2" xfId="11543"/>
    <cellStyle name="Normale 4 2 4 2 2 2 5 3" xfId="18951"/>
    <cellStyle name="Normale 4 2 4 2 2 2 5 4" xfId="26303"/>
    <cellStyle name="Normale 4 2 4 2 2 2 6" xfId="5003"/>
    <cellStyle name="Normale 4 2 4 2 2 2 6 2" xfId="12466"/>
    <cellStyle name="Normale 4 2 4 2 2 2 6 3" xfId="19874"/>
    <cellStyle name="Normale 4 2 4 2 2 2 6 4" xfId="23324"/>
    <cellStyle name="Normale 4 2 4 2 2 2 7" xfId="5931"/>
    <cellStyle name="Normale 4 2 4 2 2 2 7 2" xfId="13394"/>
    <cellStyle name="Normale 4 2 4 2 2 2 7 3" xfId="20802"/>
    <cellStyle name="Normale 4 2 4 2 2 2 7 4" xfId="23701"/>
    <cellStyle name="Normale 4 2 4 2 2 2 8" xfId="6851"/>
    <cellStyle name="Normale 4 2 4 2 2 2 8 2" xfId="14314"/>
    <cellStyle name="Normale 4 2 4 2 2 2 8 3" xfId="21722"/>
    <cellStyle name="Normale 4 2 4 2 2 2 8 4" xfId="25624"/>
    <cellStyle name="Normale 4 2 4 2 2 2 9" xfId="7790"/>
    <cellStyle name="Normale 4 2 4 2 2 20" xfId="36315"/>
    <cellStyle name="Normale 4 2 4 2 2 21" xfId="37238"/>
    <cellStyle name="Normale 4 2 4 2 2 3" xfId="1102"/>
    <cellStyle name="Normale 4 2 4 2 2 3 2" xfId="8565"/>
    <cellStyle name="Normale 4 2 4 2 2 3 3" xfId="15973"/>
    <cellStyle name="Normale 4 2 4 2 2 3 4" xfId="28209"/>
    <cellStyle name="Normale 4 2 4 2 2 4" xfId="2029"/>
    <cellStyle name="Normale 4 2 4 2 2 4 2" xfId="9492"/>
    <cellStyle name="Normale 4 2 4 2 2 4 3" xfId="16900"/>
    <cellStyle name="Normale 4 2 4 2 2 4 4" xfId="29230"/>
    <cellStyle name="Normale 4 2 4 2 2 5" xfId="2955"/>
    <cellStyle name="Normale 4 2 4 2 2 5 2" xfId="10418"/>
    <cellStyle name="Normale 4 2 4 2 2 5 3" xfId="17826"/>
    <cellStyle name="Normale 4 2 4 2 2 5 4" xfId="28165"/>
    <cellStyle name="Normale 4 2 4 2 2 6" xfId="3884"/>
    <cellStyle name="Normale 4 2 4 2 2 6 2" xfId="11347"/>
    <cellStyle name="Normale 4 2 4 2 2 6 3" xfId="18755"/>
    <cellStyle name="Normale 4 2 4 2 2 6 4" xfId="25066"/>
    <cellStyle name="Normale 4 2 4 2 2 7" xfId="4811"/>
    <cellStyle name="Normale 4 2 4 2 2 7 2" xfId="12274"/>
    <cellStyle name="Normale 4 2 4 2 2 7 3" xfId="19682"/>
    <cellStyle name="Normale 4 2 4 2 2 7 4" xfId="23520"/>
    <cellStyle name="Normale 4 2 4 2 2 8" xfId="5738"/>
    <cellStyle name="Normale 4 2 4 2 2 8 2" xfId="13201"/>
    <cellStyle name="Normale 4 2 4 2 2 8 3" xfId="20609"/>
    <cellStyle name="Normale 4 2 4 2 2 8 4" xfId="24624"/>
    <cellStyle name="Normale 4 2 4 2 2 9" xfId="6660"/>
    <cellStyle name="Normale 4 2 4 2 2 9 2" xfId="14123"/>
    <cellStyle name="Normale 4 2 4 2 2 9 3" xfId="21531"/>
    <cellStyle name="Normale 4 2 4 2 2 9 4" xfId="26673"/>
    <cellStyle name="Normale 4 2 4 2 20" xfId="35388"/>
    <cellStyle name="Normale 4 2 4 2 21" xfId="36314"/>
    <cellStyle name="Normale 4 2 4 2 22" xfId="37237"/>
    <cellStyle name="Normale 4 2 4 2 3" xfId="326"/>
    <cellStyle name="Normale 4 2 4 2 3 10" xfId="15199"/>
    <cellStyle name="Normale 4 2 4 2 3 11" xfId="24660"/>
    <cellStyle name="Normale 4 2 4 2 3 12" xfId="30011"/>
    <cellStyle name="Normale 4 2 4 2 3 13" xfId="30943"/>
    <cellStyle name="Normale 4 2 4 2 3 14" xfId="31864"/>
    <cellStyle name="Normale 4 2 4 2 3 15" xfId="32789"/>
    <cellStyle name="Normale 4 2 4 2 3 16" xfId="33726"/>
    <cellStyle name="Normale 4 2 4 2 3 17" xfId="34656"/>
    <cellStyle name="Normale 4 2 4 2 3 18" xfId="35582"/>
    <cellStyle name="Normale 4 2 4 2 3 19" xfId="36508"/>
    <cellStyle name="Normale 4 2 4 2 3 2" xfId="1293"/>
    <cellStyle name="Normale 4 2 4 2 3 2 2" xfId="8756"/>
    <cellStyle name="Normale 4 2 4 2 3 2 3" xfId="16164"/>
    <cellStyle name="Normale 4 2 4 2 3 2 4" xfId="28928"/>
    <cellStyle name="Normale 4 2 4 2 3 20" xfId="37428"/>
    <cellStyle name="Normale 4 2 4 2 3 3" xfId="2224"/>
    <cellStyle name="Normale 4 2 4 2 3 3 2" xfId="9687"/>
    <cellStyle name="Normale 4 2 4 2 3 3 3" xfId="17095"/>
    <cellStyle name="Normale 4 2 4 2 3 3 4" xfId="26443"/>
    <cellStyle name="Normale 4 2 4 2 3 4" xfId="3146"/>
    <cellStyle name="Normale 4 2 4 2 3 4 2" xfId="10609"/>
    <cellStyle name="Normale 4 2 4 2 3 4 3" xfId="18017"/>
    <cellStyle name="Normale 4 2 4 2 3 4 4" xfId="27836"/>
    <cellStyle name="Normale 4 2 4 2 3 5" xfId="4079"/>
    <cellStyle name="Normale 4 2 4 2 3 5 2" xfId="11542"/>
    <cellStyle name="Normale 4 2 4 2 3 5 3" xfId="18950"/>
    <cellStyle name="Normale 4 2 4 2 3 5 4" xfId="27213"/>
    <cellStyle name="Normale 4 2 4 2 3 6" xfId="5002"/>
    <cellStyle name="Normale 4 2 4 2 3 6 2" xfId="12465"/>
    <cellStyle name="Normale 4 2 4 2 3 6 3" xfId="19873"/>
    <cellStyle name="Normale 4 2 4 2 3 6 4" xfId="24240"/>
    <cellStyle name="Normale 4 2 4 2 3 7" xfId="5930"/>
    <cellStyle name="Normale 4 2 4 2 3 7 2" xfId="13393"/>
    <cellStyle name="Normale 4 2 4 2 3 7 3" xfId="20801"/>
    <cellStyle name="Normale 4 2 4 2 3 7 4" xfId="24623"/>
    <cellStyle name="Normale 4 2 4 2 3 8" xfId="6850"/>
    <cellStyle name="Normale 4 2 4 2 3 8 2" xfId="14313"/>
    <cellStyle name="Normale 4 2 4 2 3 8 3" xfId="21721"/>
    <cellStyle name="Normale 4 2 4 2 3 8 4" xfId="26918"/>
    <cellStyle name="Normale 4 2 4 2 3 9" xfId="7789"/>
    <cellStyle name="Normale 4 2 4 2 4" xfId="1101"/>
    <cellStyle name="Normale 4 2 4 2 4 2" xfId="8564"/>
    <cellStyle name="Normale 4 2 4 2 4 3" xfId="15972"/>
    <cellStyle name="Normale 4 2 4 2 4 4" xfId="29119"/>
    <cellStyle name="Normale 4 2 4 2 5" xfId="2028"/>
    <cellStyle name="Normale 4 2 4 2 5 2" xfId="9491"/>
    <cellStyle name="Normale 4 2 4 2 5 3" xfId="16899"/>
    <cellStyle name="Normale 4 2 4 2 5 4" xfId="22800"/>
    <cellStyle name="Normale 4 2 4 2 6" xfId="2954"/>
    <cellStyle name="Normale 4 2 4 2 6 2" xfId="10417"/>
    <cellStyle name="Normale 4 2 4 2 6 3" xfId="17825"/>
    <cellStyle name="Normale 4 2 4 2 6 4" xfId="29075"/>
    <cellStyle name="Normale 4 2 4 2 7" xfId="3883"/>
    <cellStyle name="Normale 4 2 4 2 7 2" xfId="11346"/>
    <cellStyle name="Normale 4 2 4 2 7 3" xfId="18754"/>
    <cellStyle name="Normale 4 2 4 2 7 4" xfId="25975"/>
    <cellStyle name="Normale 4 2 4 2 8" xfId="4810"/>
    <cellStyle name="Normale 4 2 4 2 8 2" xfId="12273"/>
    <cellStyle name="Normale 4 2 4 2 8 3" xfId="19681"/>
    <cellStyle name="Normale 4 2 4 2 8 4" xfId="24439"/>
    <cellStyle name="Normale 4 2 4 2 9" xfId="5737"/>
    <cellStyle name="Normale 4 2 4 2 9 2" xfId="13200"/>
    <cellStyle name="Normale 4 2 4 2 9 3" xfId="20608"/>
    <cellStyle name="Normale 4 2 4 2 9 4" xfId="25541"/>
    <cellStyle name="Normale 4 2 4 20" xfId="6658"/>
    <cellStyle name="Normale 4 2 4 20 2" xfId="14121"/>
    <cellStyle name="Normale 4 2 4 20 3" xfId="21529"/>
    <cellStyle name="Normale 4 2 4 20 4" xfId="28504"/>
    <cellStyle name="Normale 4 2 4 21" xfId="7592"/>
    <cellStyle name="Normale 4 2 4 22" xfId="15001"/>
    <cellStyle name="Normale 4 2 4 23" xfId="28493"/>
    <cellStyle name="Normale 4 2 4 24" xfId="29818"/>
    <cellStyle name="Normale 4 2 4 25" xfId="30748"/>
    <cellStyle name="Normale 4 2 4 26" xfId="31671"/>
    <cellStyle name="Normale 4 2 4 27" xfId="32597"/>
    <cellStyle name="Normale 4 2 4 28" xfId="33531"/>
    <cellStyle name="Normale 4 2 4 29" xfId="34459"/>
    <cellStyle name="Normale 4 2 4 3" xfId="130"/>
    <cellStyle name="Normale 4 2 4 3 10" xfId="7595"/>
    <cellStyle name="Normale 4 2 4 3 11" xfId="15004"/>
    <cellStyle name="Normale 4 2 4 3 12" xfId="25730"/>
    <cellStyle name="Normale 4 2 4 3 13" xfId="29821"/>
    <cellStyle name="Normale 4 2 4 3 14" xfId="30751"/>
    <cellStyle name="Normale 4 2 4 3 15" xfId="31674"/>
    <cellStyle name="Normale 4 2 4 3 16" xfId="32600"/>
    <cellStyle name="Normale 4 2 4 3 17" xfId="33534"/>
    <cellStyle name="Normale 4 2 4 3 18" xfId="34462"/>
    <cellStyle name="Normale 4 2 4 3 19" xfId="35390"/>
    <cellStyle name="Normale 4 2 4 3 2" xfId="328"/>
    <cellStyle name="Normale 4 2 4 3 2 10" xfId="15201"/>
    <cellStyle name="Normale 4 2 4 3 2 11" xfId="22767"/>
    <cellStyle name="Normale 4 2 4 3 2 12" xfId="30013"/>
    <cellStyle name="Normale 4 2 4 3 2 13" xfId="30945"/>
    <cellStyle name="Normale 4 2 4 3 2 14" xfId="31866"/>
    <cellStyle name="Normale 4 2 4 3 2 15" xfId="32791"/>
    <cellStyle name="Normale 4 2 4 3 2 16" xfId="33728"/>
    <cellStyle name="Normale 4 2 4 3 2 17" xfId="34658"/>
    <cellStyle name="Normale 4 2 4 3 2 18" xfId="35584"/>
    <cellStyle name="Normale 4 2 4 3 2 19" xfId="36510"/>
    <cellStyle name="Normale 4 2 4 3 2 2" xfId="1295"/>
    <cellStyle name="Normale 4 2 4 3 2 2 2" xfId="8758"/>
    <cellStyle name="Normale 4 2 4 3 2 2 3" xfId="16166"/>
    <cellStyle name="Normale 4 2 4 3 2 2 4" xfId="27095"/>
    <cellStyle name="Normale 4 2 4 3 2 20" xfId="37430"/>
    <cellStyle name="Normale 4 2 4 3 2 3" xfId="2226"/>
    <cellStyle name="Normale 4 2 4 3 2 3 2" xfId="9689"/>
    <cellStyle name="Normale 4 2 4 3 2 3 3" xfId="17097"/>
    <cellStyle name="Normale 4 2 4 3 2 3 4" xfId="24598"/>
    <cellStyle name="Normale 4 2 4 3 2 4" xfId="3148"/>
    <cellStyle name="Normale 4 2 4 3 2 4 2" xfId="10611"/>
    <cellStyle name="Normale 4 2 4 3 2 4 3" xfId="18019"/>
    <cellStyle name="Normale 4 2 4 3 2 4 4" xfId="26000"/>
    <cellStyle name="Normale 4 2 4 3 2 5" xfId="4081"/>
    <cellStyle name="Normale 4 2 4 3 2 5 2" xfId="11544"/>
    <cellStyle name="Normale 4 2 4 3 2 5 3" xfId="18952"/>
    <cellStyle name="Normale 4 2 4 3 2 5 4" xfId="25376"/>
    <cellStyle name="Normale 4 2 4 3 2 6" xfId="5004"/>
    <cellStyle name="Normale 4 2 4 3 2 6 2" xfId="12467"/>
    <cellStyle name="Normale 4 2 4 3 2 6 3" xfId="19875"/>
    <cellStyle name="Normale 4 2 4 3 2 6 4" xfId="23206"/>
    <cellStyle name="Normale 4 2 4 3 2 7" xfId="5932"/>
    <cellStyle name="Normale 4 2 4 3 2 7 2" xfId="13395"/>
    <cellStyle name="Normale 4 2 4 3 2 7 3" xfId="20803"/>
    <cellStyle name="Normale 4 2 4 3 2 7 4" xfId="22730"/>
    <cellStyle name="Normale 4 2 4 3 2 8" xfId="6852"/>
    <cellStyle name="Normale 4 2 4 3 2 8 2" xfId="14315"/>
    <cellStyle name="Normale 4 2 4 3 2 8 3" xfId="21723"/>
    <cellStyle name="Normale 4 2 4 3 2 8 4" xfId="25002"/>
    <cellStyle name="Normale 4 2 4 3 2 9" xfId="7791"/>
    <cellStyle name="Normale 4 2 4 3 20" xfId="36316"/>
    <cellStyle name="Normale 4 2 4 3 21" xfId="37239"/>
    <cellStyle name="Normale 4 2 4 3 3" xfId="1103"/>
    <cellStyle name="Normale 4 2 4 3 3 2" xfId="8566"/>
    <cellStyle name="Normale 4 2 4 3 3 3" xfId="15974"/>
    <cellStyle name="Normale 4 2 4 3 3 4" xfId="27287"/>
    <cellStyle name="Normale 4 2 4 3 4" xfId="2030"/>
    <cellStyle name="Normale 4 2 4 3 4 2" xfId="9493"/>
    <cellStyle name="Normale 4 2 4 3 4 3" xfId="16901"/>
    <cellStyle name="Normale 4 2 4 3 4 4" xfId="28324"/>
    <cellStyle name="Normale 4 2 4 3 5" xfId="2956"/>
    <cellStyle name="Normale 4 2 4 3 5 2" xfId="10419"/>
    <cellStyle name="Normale 4 2 4 3 5 3" xfId="17827"/>
    <cellStyle name="Normale 4 2 4 3 5 4" xfId="27243"/>
    <cellStyle name="Normale 4 2 4 3 6" xfId="3885"/>
    <cellStyle name="Normale 4 2 4 3 6 2" xfId="11348"/>
    <cellStyle name="Normale 4 2 4 3 6 3" xfId="18756"/>
    <cellStyle name="Normale 4 2 4 3 6 4" xfId="24140"/>
    <cellStyle name="Normale 4 2 4 3 7" xfId="4812"/>
    <cellStyle name="Normale 4 2 4 3 7 2" xfId="12275"/>
    <cellStyle name="Normale 4 2 4 3 7 3" xfId="19683"/>
    <cellStyle name="Normale 4 2 4 3 7 4" xfId="28839"/>
    <cellStyle name="Normale 4 2 4 3 8" xfId="5739"/>
    <cellStyle name="Normale 4 2 4 3 8 2" xfId="13202"/>
    <cellStyle name="Normale 4 2 4 3 8 3" xfId="20610"/>
    <cellStyle name="Normale 4 2 4 3 8 4" xfId="23702"/>
    <cellStyle name="Normale 4 2 4 3 9" xfId="6661"/>
    <cellStyle name="Normale 4 2 4 3 9 2" xfId="14124"/>
    <cellStyle name="Normale 4 2 4 3 9 3" xfId="21532"/>
    <cellStyle name="Normale 4 2 4 3 9 4" xfId="25904"/>
    <cellStyle name="Normale 4 2 4 30" xfId="35387"/>
    <cellStyle name="Normale 4 2 4 31" xfId="36313"/>
    <cellStyle name="Normale 4 2 4 32" xfId="37236"/>
    <cellStyle name="Normale 4 2 4 4" xfId="325"/>
    <cellStyle name="Normale 4 2 4 4 10" xfId="15198"/>
    <cellStyle name="Normale 4 2 4 4 11" xfId="25577"/>
    <cellStyle name="Normale 4 2 4 4 12" xfId="30010"/>
    <cellStyle name="Normale 4 2 4 4 13" xfId="30942"/>
    <cellStyle name="Normale 4 2 4 4 14" xfId="31863"/>
    <cellStyle name="Normale 4 2 4 4 15" xfId="32788"/>
    <cellStyle name="Normale 4 2 4 4 16" xfId="33725"/>
    <cellStyle name="Normale 4 2 4 4 17" xfId="34655"/>
    <cellStyle name="Normale 4 2 4 4 18" xfId="35581"/>
    <cellStyle name="Normale 4 2 4 4 19" xfId="36507"/>
    <cellStyle name="Normale 4 2 4 4 2" xfId="1292"/>
    <cellStyle name="Normale 4 2 4 4 2 2" xfId="8755"/>
    <cellStyle name="Normale 4 2 4 4 2 3" xfId="16163"/>
    <cellStyle name="Normale 4 2 4 4 2 4" xfId="22497"/>
    <cellStyle name="Normale 4 2 4 4 20" xfId="37427"/>
    <cellStyle name="Normale 4 2 4 4 3" xfId="2223"/>
    <cellStyle name="Normale 4 2 4 4 3 2" xfId="9686"/>
    <cellStyle name="Normale 4 2 4 4 3 3" xfId="17094"/>
    <cellStyle name="Normale 4 2 4 4 3 4" xfId="27351"/>
    <cellStyle name="Normale 4 2 4 4 4" xfId="3145"/>
    <cellStyle name="Normale 4 2 4 4 4 2" xfId="10608"/>
    <cellStyle name="Normale 4 2 4 4 4 3" xfId="18016"/>
    <cellStyle name="Normale 4 2 4 4 4 4" xfId="28763"/>
    <cellStyle name="Normale 4 2 4 4 5" xfId="4078"/>
    <cellStyle name="Normale 4 2 4 4 5 2" xfId="11541"/>
    <cellStyle name="Normale 4 2 4 4 5 3" xfId="18949"/>
    <cellStyle name="Normale 4 2 4 4 5 4" xfId="28135"/>
    <cellStyle name="Normale 4 2 4 4 6" xfId="5001"/>
    <cellStyle name="Normale 4 2 4 4 6 2" xfId="12464"/>
    <cellStyle name="Normale 4 2 4 4 6 3" xfId="19872"/>
    <cellStyle name="Normale 4 2 4 4 6 4" xfId="25159"/>
    <cellStyle name="Normale 4 2 4 4 7" xfId="5929"/>
    <cellStyle name="Normale 4 2 4 4 7 2" xfId="13392"/>
    <cellStyle name="Normale 4 2 4 4 7 3" xfId="20800"/>
    <cellStyle name="Normale 4 2 4 4 7 4" xfId="25540"/>
    <cellStyle name="Normale 4 2 4 4 8" xfId="6849"/>
    <cellStyle name="Normale 4 2 4 4 8 2" xfId="14312"/>
    <cellStyle name="Normale 4 2 4 4 8 3" xfId="21720"/>
    <cellStyle name="Normale 4 2 4 4 8 4" xfId="27593"/>
    <cellStyle name="Normale 4 2 4 4 9" xfId="7788"/>
    <cellStyle name="Normale 4 2 4 5" xfId="431"/>
    <cellStyle name="Normale 4 2 4 5 10" xfId="15304"/>
    <cellStyle name="Normale 4 2 4 5 11" xfId="23970"/>
    <cellStyle name="Normale 4 2 4 5 12" xfId="30116"/>
    <cellStyle name="Normale 4 2 4 5 13" xfId="31048"/>
    <cellStyle name="Normale 4 2 4 5 14" xfId="31969"/>
    <cellStyle name="Normale 4 2 4 5 15" xfId="32893"/>
    <cellStyle name="Normale 4 2 4 5 16" xfId="33831"/>
    <cellStyle name="Normale 4 2 4 5 17" xfId="34761"/>
    <cellStyle name="Normale 4 2 4 5 18" xfId="35687"/>
    <cellStyle name="Normale 4 2 4 5 19" xfId="36613"/>
    <cellStyle name="Normale 4 2 4 5 2" xfId="1398"/>
    <cellStyle name="Normale 4 2 4 5 2 2" xfId="8861"/>
    <cellStyle name="Normale 4 2 4 5 2 3" xfId="16269"/>
    <cellStyle name="Normale 4 2 4 5 2 4" xfId="28516"/>
    <cellStyle name="Normale 4 2 4 5 20" xfId="37532"/>
    <cellStyle name="Normale 4 2 4 5 3" xfId="2329"/>
    <cellStyle name="Normale 4 2 4 5 3 2" xfId="9792"/>
    <cellStyle name="Normale 4 2 4 5 3 3" xfId="17200"/>
    <cellStyle name="Normale 4 2 4 5 3 4" xfId="25716"/>
    <cellStyle name="Normale 4 2 4 5 4" xfId="3251"/>
    <cellStyle name="Normale 4 2 4 5 4 2" xfId="10714"/>
    <cellStyle name="Normale 4 2 4 5 4 3" xfId="18122"/>
    <cellStyle name="Normale 4 2 4 5 4 4" xfId="24093"/>
    <cellStyle name="Normale 4 2 4 5 5" xfId="4184"/>
    <cellStyle name="Normale 4 2 4 5 5 2" xfId="11647"/>
    <cellStyle name="Normale 4 2 4 5 5 3" xfId="19055"/>
    <cellStyle name="Normale 4 2 4 5 5 4" xfId="26298"/>
    <cellStyle name="Normale 4 2 4 5 6" xfId="5107"/>
    <cellStyle name="Normale 4 2 4 5 6 2" xfId="12570"/>
    <cellStyle name="Normale 4 2 4 5 6 3" xfId="19978"/>
    <cellStyle name="Normale 4 2 4 5 6 4" xfId="23918"/>
    <cellStyle name="Normale 4 2 4 5 7" xfId="6035"/>
    <cellStyle name="Normale 4 2 4 5 7 2" xfId="13498"/>
    <cellStyle name="Normale 4 2 4 5 7 3" xfId="20906"/>
    <cellStyle name="Normale 4 2 4 5 7 4" xfId="23933"/>
    <cellStyle name="Normale 4 2 4 5 8" xfId="6954"/>
    <cellStyle name="Normale 4 2 4 5 8 2" xfId="14417"/>
    <cellStyle name="Normale 4 2 4 5 8 3" xfId="21825"/>
    <cellStyle name="Normale 4 2 4 5 8 4" xfId="25073"/>
    <cellStyle name="Normale 4 2 4 5 9" xfId="7894"/>
    <cellStyle name="Normale 4 2 4 6" xfId="479"/>
    <cellStyle name="Normale 4 2 4 6 10" xfId="15352"/>
    <cellStyle name="Normale 4 2 4 6 11" xfId="23627"/>
    <cellStyle name="Normale 4 2 4 6 12" xfId="30164"/>
    <cellStyle name="Normale 4 2 4 6 13" xfId="31096"/>
    <cellStyle name="Normale 4 2 4 6 14" xfId="32017"/>
    <cellStyle name="Normale 4 2 4 6 15" xfId="32940"/>
    <cellStyle name="Normale 4 2 4 6 16" xfId="33879"/>
    <cellStyle name="Normale 4 2 4 6 17" xfId="34809"/>
    <cellStyle name="Normale 4 2 4 6 18" xfId="35735"/>
    <cellStyle name="Normale 4 2 4 6 19" xfId="36661"/>
    <cellStyle name="Normale 4 2 4 6 2" xfId="1446"/>
    <cellStyle name="Normale 4 2 4 6 2 2" xfId="8909"/>
    <cellStyle name="Normale 4 2 4 6 2 3" xfId="16317"/>
    <cellStyle name="Normale 4 2 4 6 2 4" xfId="26755"/>
    <cellStyle name="Normale 4 2 4 6 20" xfId="37579"/>
    <cellStyle name="Normale 4 2 4 6 3" xfId="2377"/>
    <cellStyle name="Normale 4 2 4 6 3 2" xfId="9840"/>
    <cellStyle name="Normale 4 2 4 6 3 3" xfId="17248"/>
    <cellStyle name="Normale 4 2 4 6 3 4" xfId="24310"/>
    <cellStyle name="Normale 4 2 4 6 4" xfId="3299"/>
    <cellStyle name="Normale 4 2 4 6 4 2" xfId="10762"/>
    <cellStyle name="Normale 4 2 4 6 4 3" xfId="18170"/>
    <cellStyle name="Normale 4 2 4 6 4 4" xfId="23717"/>
    <cellStyle name="Normale 4 2 4 6 5" xfId="4232"/>
    <cellStyle name="Normale 4 2 4 6 5 2" xfId="11695"/>
    <cellStyle name="Normale 4 2 4 6 5 3" xfId="19103"/>
    <cellStyle name="Normale 4 2 4 6 5 4" xfId="25373"/>
    <cellStyle name="Normale 4 2 4 6 6" xfId="5155"/>
    <cellStyle name="Normale 4 2 4 6 6 2" xfId="12618"/>
    <cellStyle name="Normale 4 2 4 6 6 3" xfId="20026"/>
    <cellStyle name="Normale 4 2 4 6 6 4" xfId="29401"/>
    <cellStyle name="Normale 4 2 4 6 7" xfId="6083"/>
    <cellStyle name="Normale 4 2 4 6 7 2" xfId="13546"/>
    <cellStyle name="Normale 4 2 4 6 7 3" xfId="20954"/>
    <cellStyle name="Normale 4 2 4 6 7 4" xfId="23488"/>
    <cellStyle name="Normale 4 2 4 6 8" xfId="7001"/>
    <cellStyle name="Normale 4 2 4 6 8 2" xfId="14464"/>
    <cellStyle name="Normale 4 2 4 6 8 3" xfId="21872"/>
    <cellStyle name="Normale 4 2 4 6 8 4" xfId="25579"/>
    <cellStyle name="Normale 4 2 4 6 9" xfId="7942"/>
    <cellStyle name="Normale 4 2 4 7" xfId="527"/>
    <cellStyle name="Normale 4 2 4 7 10" xfId="15400"/>
    <cellStyle name="Normale 4 2 4 7 11" xfId="22516"/>
    <cellStyle name="Normale 4 2 4 7 12" xfId="30211"/>
    <cellStyle name="Normale 4 2 4 7 13" xfId="31144"/>
    <cellStyle name="Normale 4 2 4 7 14" xfId="32064"/>
    <cellStyle name="Normale 4 2 4 7 15" xfId="32986"/>
    <cellStyle name="Normale 4 2 4 7 16" xfId="33927"/>
    <cellStyle name="Normale 4 2 4 7 17" xfId="34857"/>
    <cellStyle name="Normale 4 2 4 7 18" xfId="35783"/>
    <cellStyle name="Normale 4 2 4 7 19" xfId="36709"/>
    <cellStyle name="Normale 4 2 4 7 2" xfId="1494"/>
    <cellStyle name="Normale 4 2 4 7 2 2" xfId="8957"/>
    <cellStyle name="Normale 4 2 4 7 2 3" xfId="16365"/>
    <cellStyle name="Normale 4 2 4 7 2 4" xfId="26174"/>
    <cellStyle name="Normale 4 2 4 7 20" xfId="37625"/>
    <cellStyle name="Normale 4 2 4 7 3" xfId="2425"/>
    <cellStyle name="Normale 4 2 4 7 3 2" xfId="9888"/>
    <cellStyle name="Normale 4 2 4 7 3 3" xfId="17296"/>
    <cellStyle name="Normale 4 2 4 7 3 4" xfId="25226"/>
    <cellStyle name="Normale 4 2 4 7 4" xfId="3346"/>
    <cellStyle name="Normale 4 2 4 7 4 2" xfId="10809"/>
    <cellStyle name="Normale 4 2 4 7 4 3" xfId="18217"/>
    <cellStyle name="Normale 4 2 4 7 4 4" xfId="26323"/>
    <cellStyle name="Normale 4 2 4 7 5" xfId="4280"/>
    <cellStyle name="Normale 4 2 4 7 5 2" xfId="11743"/>
    <cellStyle name="Normale 4 2 4 7 5 3" xfId="19151"/>
    <cellStyle name="Normale 4 2 4 7 5 4" xfId="26097"/>
    <cellStyle name="Normale 4 2 4 7 6" xfId="5202"/>
    <cellStyle name="Normale 4 2 4 7 6 2" xfId="12665"/>
    <cellStyle name="Normale 4 2 4 7 6 3" xfId="20073"/>
    <cellStyle name="Normale 4 2 4 7 6 4" xfId="22930"/>
    <cellStyle name="Normale 4 2 4 7 7" xfId="6131"/>
    <cellStyle name="Normale 4 2 4 7 7 2" xfId="13594"/>
    <cellStyle name="Normale 4 2 4 7 7 3" xfId="21002"/>
    <cellStyle name="Normale 4 2 4 7 7 4" xfId="22375"/>
    <cellStyle name="Normale 4 2 4 7 8" xfId="7047"/>
    <cellStyle name="Normale 4 2 4 7 8 2" xfId="14510"/>
    <cellStyle name="Normale 4 2 4 7 8 3" xfId="21918"/>
    <cellStyle name="Normale 4 2 4 7 8 4" xfId="27465"/>
    <cellStyle name="Normale 4 2 4 7 9" xfId="7990"/>
    <cellStyle name="Normale 4 2 4 8" xfId="579"/>
    <cellStyle name="Normale 4 2 4 8 10" xfId="15452"/>
    <cellStyle name="Normale 4 2 4 8 11" xfId="24815"/>
    <cellStyle name="Normale 4 2 4 8 12" xfId="30262"/>
    <cellStyle name="Normale 4 2 4 8 13" xfId="31196"/>
    <cellStyle name="Normale 4 2 4 8 14" xfId="32115"/>
    <cellStyle name="Normale 4 2 4 8 15" xfId="33036"/>
    <cellStyle name="Normale 4 2 4 8 16" xfId="33979"/>
    <cellStyle name="Normale 4 2 4 8 17" xfId="34909"/>
    <cellStyle name="Normale 4 2 4 8 18" xfId="35835"/>
    <cellStyle name="Normale 4 2 4 8 19" xfId="36761"/>
    <cellStyle name="Normale 4 2 4 8 2" xfId="1546"/>
    <cellStyle name="Normale 4 2 4 8 2 2" xfId="9009"/>
    <cellStyle name="Normale 4 2 4 8 2 3" xfId="16417"/>
    <cellStyle name="Normale 4 2 4 8 2 4" xfId="28923"/>
    <cellStyle name="Normale 4 2 4 8 20" xfId="37675"/>
    <cellStyle name="Normale 4 2 4 8 3" xfId="2477"/>
    <cellStyle name="Normale 4 2 4 8 3 2" xfId="9940"/>
    <cellStyle name="Normale 4 2 4 8 3 3" xfId="17348"/>
    <cellStyle name="Normale 4 2 4 8 3 4" xfId="29273"/>
    <cellStyle name="Normale 4 2 4 8 4" xfId="3397"/>
    <cellStyle name="Normale 4 2 4 8 4 2" xfId="10860"/>
    <cellStyle name="Normale 4 2 4 8 4 3" xfId="18268"/>
    <cellStyle name="Normale 4 2 4 8 4 4" xfId="29338"/>
    <cellStyle name="Normale 4 2 4 8 5" xfId="4332"/>
    <cellStyle name="Normale 4 2 4 8 5 2" xfId="11795"/>
    <cellStyle name="Normale 4 2 4 8 5 3" xfId="19203"/>
    <cellStyle name="Normale 4 2 4 8 5 4" xfId="26101"/>
    <cellStyle name="Normale 4 2 4 8 6" xfId="5253"/>
    <cellStyle name="Normale 4 2 4 8 6 2" xfId="12716"/>
    <cellStyle name="Normale 4 2 4 8 6 3" xfId="20124"/>
    <cellStyle name="Normale 4 2 4 8 6 4" xfId="26079"/>
    <cellStyle name="Normale 4 2 4 8 7" xfId="6183"/>
    <cellStyle name="Normale 4 2 4 8 7 2" xfId="13646"/>
    <cellStyle name="Normale 4 2 4 8 7 3" xfId="21054"/>
    <cellStyle name="Normale 4 2 4 8 7 4" xfId="27472"/>
    <cellStyle name="Normale 4 2 4 8 8" xfId="7097"/>
    <cellStyle name="Normale 4 2 4 8 8 2" xfId="14560"/>
    <cellStyle name="Normale 4 2 4 8 8 3" xfId="21968"/>
    <cellStyle name="Normale 4 2 4 8 8 4" xfId="15372"/>
    <cellStyle name="Normale 4 2 4 8 9" xfId="8042"/>
    <cellStyle name="Normale 4 2 4 9" xfId="639"/>
    <cellStyle name="Normale 4 2 4 9 10" xfId="15511"/>
    <cellStyle name="Normale 4 2 4 9 11" xfId="28030"/>
    <cellStyle name="Normale 4 2 4 9 12" xfId="30318"/>
    <cellStyle name="Normale 4 2 4 9 13" xfId="31255"/>
    <cellStyle name="Normale 4 2 4 9 14" xfId="32172"/>
    <cellStyle name="Normale 4 2 4 9 15" xfId="33091"/>
    <cellStyle name="Normale 4 2 4 9 16" xfId="34038"/>
    <cellStyle name="Normale 4 2 4 9 17" xfId="34969"/>
    <cellStyle name="Normale 4 2 4 9 18" xfId="35895"/>
    <cellStyle name="Normale 4 2 4 9 19" xfId="36820"/>
    <cellStyle name="Normale 4 2 4 9 2" xfId="1605"/>
    <cellStyle name="Normale 4 2 4 9 2 2" xfId="9068"/>
    <cellStyle name="Normale 4 2 4 9 2 3" xfId="16476"/>
    <cellStyle name="Normale 4 2 4 9 2 4" xfId="27846"/>
    <cellStyle name="Normale 4 2 4 9 20" xfId="37730"/>
    <cellStyle name="Normale 4 2 4 9 3" xfId="2537"/>
    <cellStyle name="Normale 4 2 4 9 3 2" xfId="10000"/>
    <cellStyle name="Normale 4 2 4 9 3 3" xfId="17408"/>
    <cellStyle name="Normale 4 2 4 9 3 4" xfId="25415"/>
    <cellStyle name="Normale 4 2 4 9 4" xfId="3455"/>
    <cellStyle name="Normale 4 2 4 9 4 2" xfId="10918"/>
    <cellStyle name="Normale 4 2 4 9 4 3" xfId="18326"/>
    <cellStyle name="Normale 4 2 4 9 4 4" xfId="27438"/>
    <cellStyle name="Normale 4 2 4 9 5" xfId="4392"/>
    <cellStyle name="Normale 4 2 4 9 5 2" xfId="11855"/>
    <cellStyle name="Normale 4 2 4 9 5 3" xfId="19263"/>
    <cellStyle name="Normale 4 2 4 9 5 4" xfId="24157"/>
    <cellStyle name="Normale 4 2 4 9 6" xfId="5310"/>
    <cellStyle name="Normale 4 2 4 9 6 2" xfId="12773"/>
    <cellStyle name="Normale 4 2 4 9 6 3" xfId="20181"/>
    <cellStyle name="Normale 4 2 4 9 6 4" xfId="26921"/>
    <cellStyle name="Normale 4 2 4 9 7" xfId="6243"/>
    <cellStyle name="Normale 4 2 4 9 7 2" xfId="13706"/>
    <cellStyle name="Normale 4 2 4 9 7 3" xfId="21114"/>
    <cellStyle name="Normale 4 2 4 9 7 4" xfId="23293"/>
    <cellStyle name="Normale 4 2 4 9 8" xfId="7152"/>
    <cellStyle name="Normale 4 2 4 9 8 2" xfId="14615"/>
    <cellStyle name="Normale 4 2 4 9 8 3" xfId="22023"/>
    <cellStyle name="Normale 4 2 4 9 8 4" xfId="26619"/>
    <cellStyle name="Normale 4 2 4 9 9" xfId="8102"/>
    <cellStyle name="Normale 4 2 5" xfId="131"/>
    <cellStyle name="Normale 4 2 5 10" xfId="1104"/>
    <cellStyle name="Normale 4 2 5 10 2" xfId="8567"/>
    <cellStyle name="Normale 4 2 5 10 3" xfId="15975"/>
    <cellStyle name="Normale 4 2 5 10 4" xfId="26377"/>
    <cellStyle name="Normale 4 2 5 11" xfId="2031"/>
    <cellStyle name="Normale 4 2 5 11 2" xfId="9494"/>
    <cellStyle name="Normale 4 2 5 11 3" xfId="16902"/>
    <cellStyle name="Normale 4 2 5 11 4" xfId="27400"/>
    <cellStyle name="Normale 4 2 5 12" xfId="2957"/>
    <cellStyle name="Normale 4 2 5 12 2" xfId="10420"/>
    <cellStyle name="Normale 4 2 5 12 3" xfId="17828"/>
    <cellStyle name="Normale 4 2 5 12 4" xfId="26333"/>
    <cellStyle name="Normale 4 2 5 13" xfId="3886"/>
    <cellStyle name="Normale 4 2 5 13 2" xfId="11349"/>
    <cellStyle name="Normale 4 2 5 13 3" xfId="18757"/>
    <cellStyle name="Normale 4 2 5 13 4" xfId="23130"/>
    <cellStyle name="Normale 4 2 5 14" xfId="4813"/>
    <cellStyle name="Normale 4 2 5 14 2" xfId="12276"/>
    <cellStyle name="Normale 4 2 5 14 3" xfId="19684"/>
    <cellStyle name="Normale 4 2 5 14 4" xfId="27926"/>
    <cellStyle name="Normale 4 2 5 15" xfId="5740"/>
    <cellStyle name="Normale 4 2 5 15 2" xfId="13203"/>
    <cellStyle name="Normale 4 2 5 15 3" xfId="20611"/>
    <cellStyle name="Normale 4 2 5 15 4" xfId="22351"/>
    <cellStyle name="Normale 4 2 5 16" xfId="6662"/>
    <cellStyle name="Normale 4 2 5 16 2" xfId="14125"/>
    <cellStyle name="Normale 4 2 5 16 3" xfId="21533"/>
    <cellStyle name="Normale 4 2 5 16 4" xfId="24776"/>
    <cellStyle name="Normale 4 2 5 17" xfId="7596"/>
    <cellStyle name="Normale 4 2 5 18" xfId="15005"/>
    <cellStyle name="Normale 4 2 5 19" xfId="24818"/>
    <cellStyle name="Normale 4 2 5 2" xfId="132"/>
    <cellStyle name="Normale 4 2 5 2 10" xfId="7597"/>
    <cellStyle name="Normale 4 2 5 2 11" xfId="15006"/>
    <cellStyle name="Normale 4 2 5 2 12" xfId="23894"/>
    <cellStyle name="Normale 4 2 5 2 13" xfId="29823"/>
    <cellStyle name="Normale 4 2 5 2 14" xfId="30753"/>
    <cellStyle name="Normale 4 2 5 2 15" xfId="31676"/>
    <cellStyle name="Normale 4 2 5 2 16" xfId="32602"/>
    <cellStyle name="Normale 4 2 5 2 17" xfId="33536"/>
    <cellStyle name="Normale 4 2 5 2 18" xfId="34464"/>
    <cellStyle name="Normale 4 2 5 2 19" xfId="35392"/>
    <cellStyle name="Normale 4 2 5 2 2" xfId="330"/>
    <cellStyle name="Normale 4 2 5 2 2 10" xfId="15203"/>
    <cellStyle name="Normale 4 2 5 2 2 11" xfId="28289"/>
    <cellStyle name="Normale 4 2 5 2 2 12" xfId="30015"/>
    <cellStyle name="Normale 4 2 5 2 2 13" xfId="30947"/>
    <cellStyle name="Normale 4 2 5 2 2 14" xfId="31868"/>
    <cellStyle name="Normale 4 2 5 2 2 15" xfId="32793"/>
    <cellStyle name="Normale 4 2 5 2 2 16" xfId="33730"/>
    <cellStyle name="Normale 4 2 5 2 2 17" xfId="34660"/>
    <cellStyle name="Normale 4 2 5 2 2 18" xfId="35586"/>
    <cellStyle name="Normale 4 2 5 2 2 19" xfId="36512"/>
    <cellStyle name="Normale 4 2 5 2 2 2" xfId="1297"/>
    <cellStyle name="Normale 4 2 5 2 2 2 2" xfId="8760"/>
    <cellStyle name="Normale 4 2 5 2 2 2 3" xfId="16168"/>
    <cellStyle name="Normale 4 2 5 2 2 2 4" xfId="25254"/>
    <cellStyle name="Normale 4 2 5 2 2 20" xfId="37432"/>
    <cellStyle name="Normale 4 2 5 2 2 3" xfId="2228"/>
    <cellStyle name="Normale 4 2 5 2 2 3 2" xfId="9691"/>
    <cellStyle name="Normale 4 2 5 2 2 3 3" xfId="17099"/>
    <cellStyle name="Normale 4 2 5 2 2 3 4" xfId="22661"/>
    <cellStyle name="Normale 4 2 5 2 2 4" xfId="3150"/>
    <cellStyle name="Normale 4 2 5 2 2 4 2" xfId="10613"/>
    <cellStyle name="Normale 4 2 5 2 2 4 3" xfId="18021"/>
    <cellStyle name="Normale 4 2 5 2 2 4 4" xfId="24165"/>
    <cellStyle name="Normale 4 2 5 2 2 5" xfId="4083"/>
    <cellStyle name="Normale 4 2 5 2 2 5 2" xfId="11546"/>
    <cellStyle name="Normale 4 2 5 2 2 5 3" xfId="18954"/>
    <cellStyle name="Normale 4 2 5 2 2 5 4" xfId="23541"/>
    <cellStyle name="Normale 4 2 5 2 2 6" xfId="5006"/>
    <cellStyle name="Normale 4 2 5 2 2 6 2" xfId="12469"/>
    <cellStyle name="Normale 4 2 5 2 2 6 3" xfId="19877"/>
    <cellStyle name="Normale 4 2 5 2 2 6 4" xfId="28751"/>
    <cellStyle name="Normale 4 2 5 2 2 7" xfId="5934"/>
    <cellStyle name="Normale 4 2 5 2 2 7 2" xfId="13397"/>
    <cellStyle name="Normale 4 2 5 2 2 7 3" xfId="20805"/>
    <cellStyle name="Normale 4 2 5 2 2 7 4" xfId="28252"/>
    <cellStyle name="Normale 4 2 5 2 2 8" xfId="6854"/>
    <cellStyle name="Normale 4 2 5 2 2 8 2" xfId="14317"/>
    <cellStyle name="Normale 4 2 5 2 2 8 3" xfId="21725"/>
    <cellStyle name="Normale 4 2 5 2 2 8 4" xfId="23278"/>
    <cellStyle name="Normale 4 2 5 2 2 9" xfId="7793"/>
    <cellStyle name="Normale 4 2 5 2 20" xfId="36318"/>
    <cellStyle name="Normale 4 2 5 2 21" xfId="37241"/>
    <cellStyle name="Normale 4 2 5 2 3" xfId="1105"/>
    <cellStyle name="Normale 4 2 5 2 3 2" xfId="8568"/>
    <cellStyle name="Normale 4 2 5 2 3 3" xfId="15976"/>
    <cellStyle name="Normale 4 2 5 2 3 4" xfId="25450"/>
    <cellStyle name="Normale 4 2 5 2 4" xfId="2032"/>
    <cellStyle name="Normale 4 2 5 2 4 2" xfId="9495"/>
    <cellStyle name="Normale 4 2 5 2 4 3" xfId="16903"/>
    <cellStyle name="Normale 4 2 5 2 4 4" xfId="26492"/>
    <cellStyle name="Normale 4 2 5 2 5" xfId="2958"/>
    <cellStyle name="Normale 4 2 5 2 5 2" xfId="10421"/>
    <cellStyle name="Normale 4 2 5 2 5 3" xfId="17829"/>
    <cellStyle name="Normale 4 2 5 2 5 4" xfId="25406"/>
    <cellStyle name="Normale 4 2 5 2 6" xfId="3887"/>
    <cellStyle name="Normale 4 2 5 2 6 2" xfId="11350"/>
    <cellStyle name="Normale 4 2 5 2 6 3" xfId="18758"/>
    <cellStyle name="Normale 4 2 5 2 6 4" xfId="29559"/>
    <cellStyle name="Normale 4 2 5 2 7" xfId="4814"/>
    <cellStyle name="Normale 4 2 5 2 7 2" xfId="12277"/>
    <cellStyle name="Normale 4 2 5 2 7 3" xfId="19685"/>
    <cellStyle name="Normale 4 2 5 2 7 4" xfId="27008"/>
    <cellStyle name="Normale 4 2 5 2 8" xfId="5741"/>
    <cellStyle name="Normale 4 2 5 2 8 2" xfId="13204"/>
    <cellStyle name="Normale 4 2 5 2 8 3" xfId="20612"/>
    <cellStyle name="Normale 4 2 5 2 8 4" xfId="28746"/>
    <cellStyle name="Normale 4 2 5 2 9" xfId="6663"/>
    <cellStyle name="Normale 4 2 5 2 9 2" xfId="14126"/>
    <cellStyle name="Normale 4 2 5 2 9 3" xfId="21534"/>
    <cellStyle name="Normale 4 2 5 2 9 4" xfId="23787"/>
    <cellStyle name="Normale 4 2 5 20" xfId="29822"/>
    <cellStyle name="Normale 4 2 5 21" xfId="30752"/>
    <cellStyle name="Normale 4 2 5 22" xfId="31675"/>
    <cellStyle name="Normale 4 2 5 23" xfId="32601"/>
    <cellStyle name="Normale 4 2 5 24" xfId="33535"/>
    <cellStyle name="Normale 4 2 5 25" xfId="34463"/>
    <cellStyle name="Normale 4 2 5 26" xfId="35391"/>
    <cellStyle name="Normale 4 2 5 27" xfId="36317"/>
    <cellStyle name="Normale 4 2 5 28" xfId="37240"/>
    <cellStyle name="Normale 4 2 5 3" xfId="329"/>
    <cellStyle name="Normale 4 2 5 3 10" xfId="15202"/>
    <cellStyle name="Normale 4 2 5 3 11" xfId="29196"/>
    <cellStyle name="Normale 4 2 5 3 12" xfId="30014"/>
    <cellStyle name="Normale 4 2 5 3 13" xfId="30946"/>
    <cellStyle name="Normale 4 2 5 3 14" xfId="31867"/>
    <cellStyle name="Normale 4 2 5 3 15" xfId="32792"/>
    <cellStyle name="Normale 4 2 5 3 16" xfId="33729"/>
    <cellStyle name="Normale 4 2 5 3 17" xfId="34659"/>
    <cellStyle name="Normale 4 2 5 3 18" xfId="35585"/>
    <cellStyle name="Normale 4 2 5 3 19" xfId="36511"/>
    <cellStyle name="Normale 4 2 5 3 2" xfId="1296"/>
    <cellStyle name="Normale 4 2 5 3 2 2" xfId="8759"/>
    <cellStyle name="Normale 4 2 5 3 2 3" xfId="16167"/>
    <cellStyle name="Normale 4 2 5 3 2 4" xfId="26177"/>
    <cellStyle name="Normale 4 2 5 3 20" xfId="37431"/>
    <cellStyle name="Normale 4 2 5 3 3" xfId="2227"/>
    <cellStyle name="Normale 4 2 5 3 3 2" xfId="9690"/>
    <cellStyle name="Normale 4 2 5 3 3 3" xfId="17098"/>
    <cellStyle name="Normale 4 2 5 3 3 4" xfId="23677"/>
    <cellStyle name="Normale 4 2 5 3 4" xfId="3149"/>
    <cellStyle name="Normale 4 2 5 3 4 2" xfId="10612"/>
    <cellStyle name="Normale 4 2 5 3 4 3" xfId="18020"/>
    <cellStyle name="Normale 4 2 5 3 4 4" xfId="25090"/>
    <cellStyle name="Normale 4 2 5 3 5" xfId="4082"/>
    <cellStyle name="Normale 4 2 5 3 5 2" xfId="11545"/>
    <cellStyle name="Normale 4 2 5 3 5 3" xfId="18953"/>
    <cellStyle name="Normale 4 2 5 3 5 4" xfId="24460"/>
    <cellStyle name="Normale 4 2 5 3 6" xfId="5005"/>
    <cellStyle name="Normale 4 2 5 3 6 2" xfId="12468"/>
    <cellStyle name="Normale 4 2 5 3 6 3" xfId="19876"/>
    <cellStyle name="Normale 4 2 5 3 6 4" xfId="29636"/>
    <cellStyle name="Normale 4 2 5 3 7" xfId="5933"/>
    <cellStyle name="Normale 4 2 5 3 7 2" xfId="13396"/>
    <cellStyle name="Normale 4 2 5 3 7 3" xfId="20804"/>
    <cellStyle name="Normale 4 2 5 3 7 4" xfId="29160"/>
    <cellStyle name="Normale 4 2 5 3 8" xfId="6853"/>
    <cellStyle name="Normale 4 2 5 3 8 2" xfId="14316"/>
    <cellStyle name="Normale 4 2 5 3 8 3" xfId="21724"/>
    <cellStyle name="Normale 4 2 5 3 8 4" xfId="23906"/>
    <cellStyle name="Normale 4 2 5 3 9" xfId="7792"/>
    <cellStyle name="Normale 4 2 5 4" xfId="608"/>
    <cellStyle name="Normale 4 2 5 4 10" xfId="15480"/>
    <cellStyle name="Normale 4 2 5 4 11" xfId="27363"/>
    <cellStyle name="Normale 4 2 5 4 12" xfId="30289"/>
    <cellStyle name="Normale 4 2 5 4 13" xfId="31224"/>
    <cellStyle name="Normale 4 2 5 4 14" xfId="32142"/>
    <cellStyle name="Normale 4 2 5 4 15" xfId="33062"/>
    <cellStyle name="Normale 4 2 5 4 16" xfId="34007"/>
    <cellStyle name="Normale 4 2 5 4 17" xfId="34938"/>
    <cellStyle name="Normale 4 2 5 4 18" xfId="35864"/>
    <cellStyle name="Normale 4 2 5 4 19" xfId="36789"/>
    <cellStyle name="Normale 4 2 5 4 2" xfId="1574"/>
    <cellStyle name="Normale 4 2 5 4 2 2" xfId="9037"/>
    <cellStyle name="Normale 4 2 5 4 2 3" xfId="16445"/>
    <cellStyle name="Normale 4 2 5 4 2 4" xfId="26367"/>
    <cellStyle name="Normale 4 2 5 4 20" xfId="37701"/>
    <cellStyle name="Normale 4 2 5 4 3" xfId="2506"/>
    <cellStyle name="Normale 4 2 5 4 3 2" xfId="9969"/>
    <cellStyle name="Normale 4 2 5 4 3 3" xfId="17377"/>
    <cellStyle name="Normale 4 2 5 4 3 4" xfId="24498"/>
    <cellStyle name="Normale 4 2 5 4 4" xfId="3424"/>
    <cellStyle name="Normale 4 2 5 4 4 2" xfId="10887"/>
    <cellStyle name="Normale 4 2 5 4 4 3" xfId="18295"/>
    <cellStyle name="Normale 4 2 5 4 4 4" xfId="25395"/>
    <cellStyle name="Normale 4 2 5 4 5" xfId="4361"/>
    <cellStyle name="Normale 4 2 5 4 5 2" xfId="11824"/>
    <cellStyle name="Normale 4 2 5 4 5 3" xfId="19232"/>
    <cellStyle name="Normale 4 2 5 4 5 4" xfId="28850"/>
    <cellStyle name="Normale 4 2 5 4 6" xfId="5280"/>
    <cellStyle name="Normale 4 2 5 4 6 2" xfId="12743"/>
    <cellStyle name="Normale 4 2 5 4 6 3" xfId="20151"/>
    <cellStyle name="Normale 4 2 5 4 6 4" xfId="24429"/>
    <cellStyle name="Normale 4 2 5 4 7" xfId="6212"/>
    <cellStyle name="Normale 4 2 5 4 7 2" xfId="13675"/>
    <cellStyle name="Normale 4 2 5 4 7 3" xfId="21083"/>
    <cellStyle name="Normale 4 2 5 4 7 4" xfId="22558"/>
    <cellStyle name="Normale 4 2 5 4 8" xfId="7123"/>
    <cellStyle name="Normale 4 2 5 4 8 2" xfId="14586"/>
    <cellStyle name="Normale 4 2 5 4 8 3" xfId="21994"/>
    <cellStyle name="Normale 4 2 5 4 8 4" xfId="22539"/>
    <cellStyle name="Normale 4 2 5 4 9" xfId="8071"/>
    <cellStyle name="Normale 4 2 5 5" xfId="663"/>
    <cellStyle name="Normale 4 2 5 5 10" xfId="15535"/>
    <cellStyle name="Normale 4 2 5 5 11" xfId="27299"/>
    <cellStyle name="Normale 4 2 5 5 12" xfId="30342"/>
    <cellStyle name="Normale 4 2 5 5 13" xfId="31279"/>
    <cellStyle name="Normale 4 2 5 5 14" xfId="32196"/>
    <cellStyle name="Normale 4 2 5 5 15" xfId="33115"/>
    <cellStyle name="Normale 4 2 5 5 16" xfId="34062"/>
    <cellStyle name="Normale 4 2 5 5 17" xfId="34993"/>
    <cellStyle name="Normale 4 2 5 5 18" xfId="35919"/>
    <cellStyle name="Normale 4 2 5 5 19" xfId="36844"/>
    <cellStyle name="Normale 4 2 5 5 2" xfId="1629"/>
    <cellStyle name="Normale 4 2 5 5 2 2" xfId="9092"/>
    <cellStyle name="Normale 4 2 5 5 2 3" xfId="16500"/>
    <cellStyle name="Normale 4 2 5 5 2 4" xfId="27634"/>
    <cellStyle name="Normale 4 2 5 5 20" xfId="37754"/>
    <cellStyle name="Normale 4 2 5 5 3" xfId="2561"/>
    <cellStyle name="Normale 4 2 5 5 3 2" xfId="10024"/>
    <cellStyle name="Normale 4 2 5 5 3 3" xfId="17432"/>
    <cellStyle name="Normale 4 2 5 5 3 4" xfId="25222"/>
    <cellStyle name="Normale 4 2 5 5 4" xfId="3479"/>
    <cellStyle name="Normale 4 2 5 5 4 2" xfId="10942"/>
    <cellStyle name="Normale 4 2 5 5 4 3" xfId="18350"/>
    <cellStyle name="Normale 4 2 5 5 4 4" xfId="27227"/>
    <cellStyle name="Normale 4 2 5 5 5" xfId="4416"/>
    <cellStyle name="Normale 4 2 5 5 5 2" xfId="11879"/>
    <cellStyle name="Normale 4 2 5 5 5 3" xfId="19287"/>
    <cellStyle name="Normale 4 2 5 5 5 4" xfId="23943"/>
    <cellStyle name="Normale 4 2 5 5 6" xfId="5334"/>
    <cellStyle name="Normale 4 2 5 5 6 2" xfId="12797"/>
    <cellStyle name="Normale 4 2 5 5 6 3" xfId="20205"/>
    <cellStyle name="Normale 4 2 5 5 6 4" xfId="26707"/>
    <cellStyle name="Normale 4 2 5 5 7" xfId="6267"/>
    <cellStyle name="Normale 4 2 5 5 7 2" xfId="13730"/>
    <cellStyle name="Normale 4 2 5 5 7 3" xfId="21138"/>
    <cellStyle name="Normale 4 2 5 5 7 4" xfId="22371"/>
    <cellStyle name="Normale 4 2 5 5 8" xfId="7176"/>
    <cellStyle name="Normale 4 2 5 5 8 2" xfId="14639"/>
    <cellStyle name="Normale 4 2 5 5 8 3" xfId="22047"/>
    <cellStyle name="Normale 4 2 5 5 8 4" xfId="23832"/>
    <cellStyle name="Normale 4 2 5 5 9" xfId="8126"/>
    <cellStyle name="Normale 4 2 5 6" xfId="748"/>
    <cellStyle name="Normale 4 2 5 6 10" xfId="15619"/>
    <cellStyle name="Normale 4 2 5 6 11" xfId="26657"/>
    <cellStyle name="Normale 4 2 5 6 12" xfId="30422"/>
    <cellStyle name="Normale 4 2 5 6 13" xfId="31363"/>
    <cellStyle name="Normale 4 2 5 6 14" xfId="32276"/>
    <cellStyle name="Normale 4 2 5 6 15" xfId="33193"/>
    <cellStyle name="Normale 4 2 5 6 16" xfId="34146"/>
    <cellStyle name="Normale 4 2 5 6 17" xfId="35078"/>
    <cellStyle name="Normale 4 2 5 6 18" xfId="36004"/>
    <cellStyle name="Normale 4 2 5 6 19" xfId="36929"/>
    <cellStyle name="Normale 4 2 5 6 2" xfId="1713"/>
    <cellStyle name="Normale 4 2 5 6 2 2" xfId="9176"/>
    <cellStyle name="Normale 4 2 5 6 2 3" xfId="16584"/>
    <cellStyle name="Normale 4 2 5 6 2 4" xfId="23600"/>
    <cellStyle name="Normale 4 2 5 6 20" xfId="37832"/>
    <cellStyle name="Normale 4 2 5 6 3" xfId="2646"/>
    <cellStyle name="Normale 4 2 5 6 3 2" xfId="10109"/>
    <cellStyle name="Normale 4 2 5 6 3 3" xfId="17517"/>
    <cellStyle name="Normale 4 2 5 6 3 4" xfId="28670"/>
    <cellStyle name="Normale 4 2 5 6 4" xfId="3562"/>
    <cellStyle name="Normale 4 2 5 6 4 2" xfId="11025"/>
    <cellStyle name="Normale 4 2 5 6 4 3" xfId="18433"/>
    <cellStyle name="Normale 4 2 5 6 4 4" xfId="24945"/>
    <cellStyle name="Normale 4 2 5 6 5" xfId="4501"/>
    <cellStyle name="Normale 4 2 5 6 5 2" xfId="11964"/>
    <cellStyle name="Normale 4 2 5 6 5 3" xfId="19372"/>
    <cellStyle name="Normale 4 2 5 6 5 4" xfId="24198"/>
    <cellStyle name="Normale 4 2 5 6 6" xfId="5417"/>
    <cellStyle name="Normale 4 2 5 6 6 2" xfId="12880"/>
    <cellStyle name="Normale 4 2 5 6 6 3" xfId="20288"/>
    <cellStyle name="Normale 4 2 5 6 6 4" xfId="23506"/>
    <cellStyle name="Normale 4 2 5 6 7" xfId="6350"/>
    <cellStyle name="Normale 4 2 5 6 7 2" xfId="13813"/>
    <cellStyle name="Normale 4 2 5 6 7 3" xfId="21221"/>
    <cellStyle name="Normale 4 2 5 6 7 4" xfId="28740"/>
    <cellStyle name="Normale 4 2 5 6 8" xfId="7254"/>
    <cellStyle name="Normale 4 2 5 6 8 2" xfId="14717"/>
    <cellStyle name="Normale 4 2 5 6 8 3" xfId="22125"/>
    <cellStyle name="Normale 4 2 5 6 8 4" xfId="23258"/>
    <cellStyle name="Normale 4 2 5 6 9" xfId="8211"/>
    <cellStyle name="Normale 4 2 5 7" xfId="819"/>
    <cellStyle name="Normale 4 2 5 7 10" xfId="15690"/>
    <cellStyle name="Normale 4 2 5 7 11" xfId="25832"/>
    <cellStyle name="Normale 4 2 5 7 12" xfId="30491"/>
    <cellStyle name="Normale 4 2 5 7 13" xfId="31434"/>
    <cellStyle name="Normale 4 2 5 7 14" xfId="32346"/>
    <cellStyle name="Normale 4 2 5 7 15" xfId="33262"/>
    <cellStyle name="Normale 4 2 5 7 16" xfId="34217"/>
    <cellStyle name="Normale 4 2 5 7 17" xfId="35149"/>
    <cellStyle name="Normale 4 2 5 7 18" xfId="36075"/>
    <cellStyle name="Normale 4 2 5 7 19" xfId="37000"/>
    <cellStyle name="Normale 4 2 5 7 2" xfId="1784"/>
    <cellStyle name="Normale 4 2 5 7 2 2" xfId="9247"/>
    <cellStyle name="Normale 4 2 5 7 2 3" xfId="16655"/>
    <cellStyle name="Normale 4 2 5 7 2 4" xfId="29326"/>
    <cellStyle name="Normale 4 2 5 7 20" xfId="37901"/>
    <cellStyle name="Normale 4 2 5 7 3" xfId="2717"/>
    <cellStyle name="Normale 4 2 5 7 3 2" xfId="10180"/>
    <cellStyle name="Normale 4 2 5 7 3 3" xfId="17588"/>
    <cellStyle name="Normale 4 2 5 7 3 4" xfId="27574"/>
    <cellStyle name="Normale 4 2 5 7 4" xfId="3632"/>
    <cellStyle name="Normale 4 2 5 7 4 2" xfId="11095"/>
    <cellStyle name="Normale 4 2 5 7 4 3" xfId="18503"/>
    <cellStyle name="Normale 4 2 5 7 4 4" xfId="25389"/>
    <cellStyle name="Normale 4 2 5 7 5" xfId="4572"/>
    <cellStyle name="Normale 4 2 5 7 5 2" xfId="12035"/>
    <cellStyle name="Normale 4 2 5 7 5 3" xfId="19443"/>
    <cellStyle name="Normale 4 2 5 7 5 4" xfId="23043"/>
    <cellStyle name="Normale 4 2 5 7 6" xfId="5487"/>
    <cellStyle name="Normale 4 2 5 7 6 2" xfId="12950"/>
    <cellStyle name="Normale 4 2 5 7 6 3" xfId="20358"/>
    <cellStyle name="Normale 4 2 5 7 6 4" xfId="22874"/>
    <cellStyle name="Normale 4 2 5 7 7" xfId="6421"/>
    <cellStyle name="Normale 4 2 5 7 7 2" xfId="13884"/>
    <cellStyle name="Normale 4 2 5 7 7 3" xfId="21292"/>
    <cellStyle name="Normale 4 2 5 7 7 4" xfId="27658"/>
    <cellStyle name="Normale 4 2 5 7 8" xfId="7323"/>
    <cellStyle name="Normale 4 2 5 7 8 2" xfId="14786"/>
    <cellStyle name="Normale 4 2 5 7 8 3" xfId="22194"/>
    <cellStyle name="Normale 4 2 5 7 8 4" xfId="28333"/>
    <cellStyle name="Normale 4 2 5 7 9" xfId="8282"/>
    <cellStyle name="Normale 4 2 5 8" xfId="890"/>
    <cellStyle name="Normale 4 2 5 8 10" xfId="15761"/>
    <cellStyle name="Normale 4 2 5 8 11" xfId="24766"/>
    <cellStyle name="Normale 4 2 5 8 12" xfId="30559"/>
    <cellStyle name="Normale 4 2 5 8 13" xfId="31505"/>
    <cellStyle name="Normale 4 2 5 8 14" xfId="32416"/>
    <cellStyle name="Normale 4 2 5 8 15" xfId="33328"/>
    <cellStyle name="Normale 4 2 5 8 16" xfId="34288"/>
    <cellStyle name="Normale 4 2 5 8 17" xfId="35220"/>
    <cellStyle name="Normale 4 2 5 8 18" xfId="36146"/>
    <cellStyle name="Normale 4 2 5 8 19" xfId="37071"/>
    <cellStyle name="Normale 4 2 5 8 2" xfId="1855"/>
    <cellStyle name="Normale 4 2 5 8 2 2" xfId="9318"/>
    <cellStyle name="Normale 4 2 5 8 2 3" xfId="16726"/>
    <cellStyle name="Normale 4 2 5 8 2 4" xfId="28914"/>
    <cellStyle name="Normale 4 2 5 8 20" xfId="37967"/>
    <cellStyle name="Normale 4 2 5 8 3" xfId="2788"/>
    <cellStyle name="Normale 4 2 5 8 3 2" xfId="10251"/>
    <cellStyle name="Normale 4 2 5 8 3 3" xfId="17659"/>
    <cellStyle name="Normale 4 2 5 8 3 4" xfId="28320"/>
    <cellStyle name="Normale 4 2 5 8 4" xfId="3702"/>
    <cellStyle name="Normale 4 2 5 8 4 2" xfId="11165"/>
    <cellStyle name="Normale 4 2 5 8 4 3" xfId="18573"/>
    <cellStyle name="Normale 4 2 5 8 4 4" xfId="28546"/>
    <cellStyle name="Normale 4 2 5 8 5" xfId="4643"/>
    <cellStyle name="Normale 4 2 5 8 5 2" xfId="12106"/>
    <cellStyle name="Normale 4 2 5 8 5 3" xfId="19514"/>
    <cellStyle name="Normale 4 2 5 8 5 4" xfId="23808"/>
    <cellStyle name="Normale 4 2 5 8 6" xfId="5557"/>
    <cellStyle name="Normale 4 2 5 8 6 2" xfId="13020"/>
    <cellStyle name="Normale 4 2 5 8 6 3" xfId="20428"/>
    <cellStyle name="Normale 4 2 5 8 6 4" xfId="24421"/>
    <cellStyle name="Normale 4 2 5 8 7" xfId="6492"/>
    <cellStyle name="Normale 4 2 5 8 7 2" xfId="13955"/>
    <cellStyle name="Normale 4 2 5 8 7 3" xfId="21363"/>
    <cellStyle name="Normale 4 2 5 8 7 4" xfId="28344"/>
    <cellStyle name="Normale 4 2 5 8 8" xfId="7389"/>
    <cellStyle name="Normale 4 2 5 8 8 2" xfId="14852"/>
    <cellStyle name="Normale 4 2 5 8 8 3" xfId="22260"/>
    <cellStyle name="Normale 4 2 5 8 8 4" xfId="25001"/>
    <cellStyle name="Normale 4 2 5 8 9" xfId="8353"/>
    <cellStyle name="Normale 4 2 5 9" xfId="956"/>
    <cellStyle name="Normale 4 2 5 9 10" xfId="15827"/>
    <cellStyle name="Normale 4 2 5 9 11" xfId="22761"/>
    <cellStyle name="Normale 4 2 5 9 12" xfId="30622"/>
    <cellStyle name="Normale 4 2 5 9 13" xfId="31570"/>
    <cellStyle name="Normale 4 2 5 9 14" xfId="32481"/>
    <cellStyle name="Normale 4 2 5 9 15" xfId="33391"/>
    <cellStyle name="Normale 4 2 5 9 16" xfId="34354"/>
    <cellStyle name="Normale 4 2 5 9 17" xfId="35286"/>
    <cellStyle name="Normale 4 2 5 9 18" xfId="36211"/>
    <cellStyle name="Normale 4 2 5 9 19" xfId="37137"/>
    <cellStyle name="Normale 4 2 5 9 2" xfId="1921"/>
    <cellStyle name="Normale 4 2 5 9 2 2" xfId="9384"/>
    <cellStyle name="Normale 4 2 5 9 2 3" xfId="16792"/>
    <cellStyle name="Normale 4 2 5 9 2 4" xfId="24172"/>
    <cellStyle name="Normale 4 2 5 9 20" xfId="38030"/>
    <cellStyle name="Normale 4 2 5 9 3" xfId="2853"/>
    <cellStyle name="Normale 4 2 5 9 3 2" xfId="10316"/>
    <cellStyle name="Normale 4 2 5 9 3 3" xfId="17724"/>
    <cellStyle name="Normale 4 2 5 9 3 4" xfId="26336"/>
    <cellStyle name="Normale 4 2 5 9 4" xfId="3768"/>
    <cellStyle name="Normale 4 2 5 9 4 2" xfId="11231"/>
    <cellStyle name="Normale 4 2 5 9 4 3" xfId="18639"/>
    <cellStyle name="Normale 4 2 5 9 4 4" xfId="25385"/>
    <cellStyle name="Normale 4 2 5 9 5" xfId="4709"/>
    <cellStyle name="Normale 4 2 5 9 5 2" xfId="12172"/>
    <cellStyle name="Normale 4 2 5 9 5 3" xfId="19580"/>
    <cellStyle name="Normale 4 2 5 9 5 4" xfId="27929"/>
    <cellStyle name="Normale 4 2 5 9 6" xfId="5623"/>
    <cellStyle name="Normale 4 2 5 9 6 2" xfId="13086"/>
    <cellStyle name="Normale 4 2 5 9 6 3" xfId="20494"/>
    <cellStyle name="Normale 4 2 5 9 6 4" xfId="25879"/>
    <cellStyle name="Normale 4 2 5 9 7" xfId="6558"/>
    <cellStyle name="Normale 4 2 5 9 7 2" xfId="14021"/>
    <cellStyle name="Normale 4 2 5 9 7 3" xfId="21429"/>
    <cellStyle name="Normale 4 2 5 9 7 4" xfId="24075"/>
    <cellStyle name="Normale 4 2 5 9 8" xfId="7452"/>
    <cellStyle name="Normale 4 2 5 9 8 2" xfId="14915"/>
    <cellStyle name="Normale 4 2 5 9 8 3" xfId="22323"/>
    <cellStyle name="Normale 4 2 5 9 8 4" xfId="19598"/>
    <cellStyle name="Normale 4 2 5 9 9" xfId="8419"/>
    <cellStyle name="Normale 4 2 6" xfId="133"/>
    <cellStyle name="Normale 4 2 6 10" xfId="2959"/>
    <cellStyle name="Normale 4 2 6 10 2" xfId="10422"/>
    <cellStyle name="Normale 4 2 6 10 3" xfId="17830"/>
    <cellStyle name="Normale 4 2 6 10 4" xfId="24490"/>
    <cellStyle name="Normale 4 2 6 11" xfId="3888"/>
    <cellStyle name="Normale 4 2 6 11 2" xfId="11351"/>
    <cellStyle name="Normale 4 2 6 11 3" xfId="18759"/>
    <cellStyle name="Normale 4 2 6 11 4" xfId="28669"/>
    <cellStyle name="Normale 4 2 6 12" xfId="4815"/>
    <cellStyle name="Normale 4 2 6 12 2" xfId="12278"/>
    <cellStyle name="Normale 4 2 6 12 3" xfId="19686"/>
    <cellStyle name="Normale 4 2 6 12 4" xfId="26090"/>
    <cellStyle name="Normale 4 2 6 13" xfId="5742"/>
    <cellStyle name="Normale 4 2 6 13 2" xfId="13205"/>
    <cellStyle name="Normale 4 2 6 13 3" xfId="20613"/>
    <cellStyle name="Normale 4 2 6 13 4" xfId="24205"/>
    <cellStyle name="Normale 4 2 6 14" xfId="6664"/>
    <cellStyle name="Normale 4 2 6 14 2" xfId="14127"/>
    <cellStyle name="Normale 4 2 6 14 3" xfId="21535"/>
    <cellStyle name="Normale 4 2 6 14 4" xfId="23285"/>
    <cellStyle name="Normale 4 2 6 15" xfId="7598"/>
    <cellStyle name="Normale 4 2 6 16" xfId="15007"/>
    <cellStyle name="Normale 4 2 6 17" xfId="15074"/>
    <cellStyle name="Normale 4 2 6 18" xfId="29824"/>
    <cellStyle name="Normale 4 2 6 19" xfId="30754"/>
    <cellStyle name="Normale 4 2 6 2" xfId="331"/>
    <cellStyle name="Normale 4 2 6 2 10" xfId="15204"/>
    <cellStyle name="Normale 4 2 6 2 11" xfId="27365"/>
    <cellStyle name="Normale 4 2 6 2 12" xfId="30016"/>
    <cellStyle name="Normale 4 2 6 2 13" xfId="30948"/>
    <cellStyle name="Normale 4 2 6 2 14" xfId="31869"/>
    <cellStyle name="Normale 4 2 6 2 15" xfId="32794"/>
    <cellStyle name="Normale 4 2 6 2 16" xfId="33731"/>
    <cellStyle name="Normale 4 2 6 2 17" xfId="34661"/>
    <cellStyle name="Normale 4 2 6 2 18" xfId="35587"/>
    <cellStyle name="Normale 4 2 6 2 19" xfId="36513"/>
    <cellStyle name="Normale 4 2 6 2 2" xfId="1298"/>
    <cellStyle name="Normale 4 2 6 2 2 2" xfId="8761"/>
    <cellStyle name="Normale 4 2 6 2 2 3" xfId="16169"/>
    <cellStyle name="Normale 4 2 6 2 2 4" xfId="24335"/>
    <cellStyle name="Normale 4 2 6 2 20" xfId="37433"/>
    <cellStyle name="Normale 4 2 6 2 3" xfId="2229"/>
    <cellStyle name="Normale 4 2 6 2 3 2" xfId="9692"/>
    <cellStyle name="Normale 4 2 6 2 3 3" xfId="17100"/>
    <cellStyle name="Normale 4 2 6 2 3 4" xfId="29091"/>
    <cellStyle name="Normale 4 2 6 2 4" xfId="3151"/>
    <cellStyle name="Normale 4 2 6 2 4 2" xfId="10614"/>
    <cellStyle name="Normale 4 2 6 2 4 3" xfId="18022"/>
    <cellStyle name="Normale 4 2 6 2 4 4" xfId="23153"/>
    <cellStyle name="Normale 4 2 6 2 5" xfId="4084"/>
    <cellStyle name="Normale 4 2 6 2 5 2" xfId="11547"/>
    <cellStyle name="Normale 4 2 6 2 5 3" xfId="18955"/>
    <cellStyle name="Normale 4 2 6 2 5 4" xfId="28858"/>
    <cellStyle name="Normale 4 2 6 2 6" xfId="5007"/>
    <cellStyle name="Normale 4 2 6 2 6 2" xfId="12470"/>
    <cellStyle name="Normale 4 2 6 2 6 3" xfId="19878"/>
    <cellStyle name="Normale 4 2 6 2 6 4" xfId="27824"/>
    <cellStyle name="Normale 4 2 6 2 7" xfId="5935"/>
    <cellStyle name="Normale 4 2 6 2 7 2" xfId="13398"/>
    <cellStyle name="Normale 4 2 6 2 7 3" xfId="20806"/>
    <cellStyle name="Normale 4 2 6 2 7 4" xfId="27328"/>
    <cellStyle name="Normale 4 2 6 2 8" xfId="6855"/>
    <cellStyle name="Normale 4 2 6 2 8 2" xfId="14318"/>
    <cellStyle name="Normale 4 2 6 2 8 3" xfId="21726"/>
    <cellStyle name="Normale 4 2 6 2 8 4" xfId="23174"/>
    <cellStyle name="Normale 4 2 6 2 9" xfId="7794"/>
    <cellStyle name="Normale 4 2 6 20" xfId="31677"/>
    <cellStyle name="Normale 4 2 6 21" xfId="32603"/>
    <cellStyle name="Normale 4 2 6 22" xfId="33537"/>
    <cellStyle name="Normale 4 2 6 23" xfId="34465"/>
    <cellStyle name="Normale 4 2 6 24" xfId="35393"/>
    <cellStyle name="Normale 4 2 6 25" xfId="36319"/>
    <cellStyle name="Normale 4 2 6 26" xfId="37242"/>
    <cellStyle name="Normale 4 2 6 3" xfId="679"/>
    <cellStyle name="Normale 4 2 6 3 10" xfId="15550"/>
    <cellStyle name="Normale 4 2 6 3 11" xfId="28778"/>
    <cellStyle name="Normale 4 2 6 3 12" xfId="30353"/>
    <cellStyle name="Normale 4 2 6 3 13" xfId="31294"/>
    <cellStyle name="Normale 4 2 6 3 14" xfId="32208"/>
    <cellStyle name="Normale 4 2 6 3 15" xfId="33126"/>
    <cellStyle name="Normale 4 2 6 3 16" xfId="34077"/>
    <cellStyle name="Normale 4 2 6 3 17" xfId="35009"/>
    <cellStyle name="Normale 4 2 6 3 18" xfId="35935"/>
    <cellStyle name="Normale 4 2 6 3 19" xfId="36860"/>
    <cellStyle name="Normale 4 2 6 3 2" xfId="1644"/>
    <cellStyle name="Normale 4 2 6 3 2 2" xfId="9107"/>
    <cellStyle name="Normale 4 2 6 3 2 3" xfId="16515"/>
    <cellStyle name="Normale 4 2 6 3 2 4" xfId="28426"/>
    <cellStyle name="Normale 4 2 6 3 20" xfId="37765"/>
    <cellStyle name="Normale 4 2 6 3 3" xfId="2577"/>
    <cellStyle name="Normale 4 2 6 3 3 2" xfId="10040"/>
    <cellStyle name="Normale 4 2 6 3 3 3" xfId="17448"/>
    <cellStyle name="Normale 4 2 6 3 3 4" xfId="25933"/>
    <cellStyle name="Normale 4 2 6 3 4" xfId="3493"/>
    <cellStyle name="Normale 4 2 6 3 4 2" xfId="10956"/>
    <cellStyle name="Normale 4 2 6 3 4 3" xfId="18364"/>
    <cellStyle name="Normale 4 2 6 3 4 4" xfId="28152"/>
    <cellStyle name="Normale 4 2 6 3 5" xfId="4432"/>
    <cellStyle name="Normale 4 2 6 3 5 2" xfId="11895"/>
    <cellStyle name="Normale 4 2 6 3 5 3" xfId="19303"/>
    <cellStyle name="Normale 4 2 6 3 5 4" xfId="26855"/>
    <cellStyle name="Normale 4 2 6 3 6" xfId="5348"/>
    <cellStyle name="Normale 4 2 6 3 6 2" xfId="12811"/>
    <cellStyle name="Normale 4 2 6 3 6 3" xfId="20219"/>
    <cellStyle name="Normale 4 2 6 3 6 4" xfId="28403"/>
    <cellStyle name="Normale 4 2 6 3 7" xfId="6281"/>
    <cellStyle name="Normale 4 2 6 3 7 2" xfId="13744"/>
    <cellStyle name="Normale 4 2 6 3 7 3" xfId="21152"/>
    <cellStyle name="Normale 4 2 6 3 7 4" xfId="25912"/>
    <cellStyle name="Normale 4 2 6 3 8" xfId="7187"/>
    <cellStyle name="Normale 4 2 6 3 8 2" xfId="14650"/>
    <cellStyle name="Normale 4 2 6 3 8 3" xfId="22058"/>
    <cellStyle name="Normale 4 2 6 3 8 4" xfId="28332"/>
    <cellStyle name="Normale 4 2 6 3 9" xfId="8142"/>
    <cellStyle name="Normale 4 2 6 4" xfId="764"/>
    <cellStyle name="Normale 4 2 6 4 10" xfId="15635"/>
    <cellStyle name="Normale 4 2 6 4 11" xfId="26547"/>
    <cellStyle name="Normale 4 2 6 4 12" xfId="30438"/>
    <cellStyle name="Normale 4 2 6 4 13" xfId="31379"/>
    <cellStyle name="Normale 4 2 6 4 14" xfId="32292"/>
    <cellStyle name="Normale 4 2 6 4 15" xfId="33209"/>
    <cellStyle name="Normale 4 2 6 4 16" xfId="34162"/>
    <cellStyle name="Normale 4 2 6 4 17" xfId="35094"/>
    <cellStyle name="Normale 4 2 6 4 18" xfId="36020"/>
    <cellStyle name="Normale 4 2 6 4 19" xfId="36945"/>
    <cellStyle name="Normale 4 2 6 4 2" xfId="1729"/>
    <cellStyle name="Normale 4 2 6 4 2 2" xfId="9192"/>
    <cellStyle name="Normale 4 2 6 4 2 3" xfId="16600"/>
    <cellStyle name="Normale 4 2 6 4 2 4" xfId="22487"/>
    <cellStyle name="Normale 4 2 6 4 20" xfId="37848"/>
    <cellStyle name="Normale 4 2 6 4 3" xfId="2662"/>
    <cellStyle name="Normale 4 2 6 4 3 2" xfId="10125"/>
    <cellStyle name="Normale 4 2 6 4 3 3" xfId="17533"/>
    <cellStyle name="Normale 4 2 6 4 3 4" xfId="28514"/>
    <cellStyle name="Normale 4 2 6 4 4" xfId="3578"/>
    <cellStyle name="Normale 4 2 6 4 4 2" xfId="11041"/>
    <cellStyle name="Normale 4 2 6 4 4 3" xfId="18449"/>
    <cellStyle name="Normale 4 2 6 4 4 4" xfId="24796"/>
    <cellStyle name="Normale 4 2 6 4 5" xfId="4517"/>
    <cellStyle name="Normale 4 2 6 4 5 2" xfId="11980"/>
    <cellStyle name="Normale 4 2 6 4 5 3" xfId="19388"/>
    <cellStyle name="Normale 4 2 6 4 5 4" xfId="24066"/>
    <cellStyle name="Normale 4 2 6 4 6" xfId="5433"/>
    <cellStyle name="Normale 4 2 6 4 6 2" xfId="12896"/>
    <cellStyle name="Normale 4 2 6 4 6 3" xfId="20304"/>
    <cellStyle name="Normale 4 2 6 4 6 4" xfId="22392"/>
    <cellStyle name="Normale 4 2 6 4 7" xfId="6366"/>
    <cellStyle name="Normale 4 2 6 4 7 2" xfId="13829"/>
    <cellStyle name="Normale 4 2 6 4 7 3" xfId="21237"/>
    <cellStyle name="Normale 4 2 6 4 7 4" xfId="28600"/>
    <cellStyle name="Normale 4 2 6 4 8" xfId="7270"/>
    <cellStyle name="Normale 4 2 6 4 8 2" xfId="14733"/>
    <cellStyle name="Normale 4 2 6 4 8 3" xfId="22141"/>
    <cellStyle name="Normale 4 2 6 4 8 4" xfId="24835"/>
    <cellStyle name="Normale 4 2 6 4 9" xfId="8227"/>
    <cellStyle name="Normale 4 2 6 5" xfId="835"/>
    <cellStyle name="Normale 4 2 6 5 10" xfId="15706"/>
    <cellStyle name="Normale 4 2 6 5 11" xfId="25460"/>
    <cellStyle name="Normale 4 2 6 5 12" xfId="30507"/>
    <cellStyle name="Normale 4 2 6 5 13" xfId="31450"/>
    <cellStyle name="Normale 4 2 6 5 14" xfId="32362"/>
    <cellStyle name="Normale 4 2 6 5 15" xfId="33277"/>
    <cellStyle name="Normale 4 2 6 5 16" xfId="34233"/>
    <cellStyle name="Normale 4 2 6 5 17" xfId="35165"/>
    <cellStyle name="Normale 4 2 6 5 18" xfId="36091"/>
    <cellStyle name="Normale 4 2 6 5 19" xfId="37016"/>
    <cellStyle name="Normale 4 2 6 5 2" xfId="1800"/>
    <cellStyle name="Normale 4 2 6 5 2 2" xfId="9263"/>
    <cellStyle name="Normale 4 2 6 5 2 3" xfId="16671"/>
    <cellStyle name="Normale 4 2 6 5 2 4" xfId="29232"/>
    <cellStyle name="Normale 4 2 6 5 20" xfId="37916"/>
    <cellStyle name="Normale 4 2 6 5 3" xfId="2733"/>
    <cellStyle name="Normale 4 2 6 5 3 2" xfId="10196"/>
    <cellStyle name="Normale 4 2 6 5 3 3" xfId="17604"/>
    <cellStyle name="Normale 4 2 6 5 3 4" xfId="27248"/>
    <cellStyle name="Normale 4 2 6 5 4" xfId="3648"/>
    <cellStyle name="Normale 4 2 6 5 4 2" xfId="11111"/>
    <cellStyle name="Normale 4 2 6 5 4 3" xfId="18519"/>
    <cellStyle name="Normale 4 2 6 5 4 4" xfId="26314"/>
    <cellStyle name="Normale 4 2 6 5 5" xfId="4588"/>
    <cellStyle name="Normale 4 2 6 5 5 2" xfId="12051"/>
    <cellStyle name="Normale 4 2 6 5 5 3" xfId="19459"/>
    <cellStyle name="Normale 4 2 6 5 5 4" xfId="22913"/>
    <cellStyle name="Normale 4 2 6 5 6" xfId="5503"/>
    <cellStyle name="Normale 4 2 6 5 6 2" xfId="12966"/>
    <cellStyle name="Normale 4 2 6 5 6 3" xfId="20374"/>
    <cellStyle name="Normale 4 2 6 5 6 4" xfId="22779"/>
    <cellStyle name="Normale 4 2 6 5 7" xfId="6437"/>
    <cellStyle name="Normale 4 2 6 5 7 2" xfId="13900"/>
    <cellStyle name="Normale 4 2 6 5 7 3" xfId="21308"/>
    <cellStyle name="Normale 4 2 6 5 7 4" xfId="27521"/>
    <cellStyle name="Normale 4 2 6 5 8" xfId="7338"/>
    <cellStyle name="Normale 4 2 6 5 8 2" xfId="14801"/>
    <cellStyle name="Normale 4 2 6 5 8 3" xfId="22209"/>
    <cellStyle name="Normale 4 2 6 5 8 4" xfId="29150"/>
    <cellStyle name="Normale 4 2 6 5 9" xfId="8298"/>
    <cellStyle name="Normale 4 2 6 6" xfId="906"/>
    <cellStyle name="Normale 4 2 6 6 10" xfId="15777"/>
    <cellStyle name="Normale 4 2 6 6 11" xfId="23432"/>
    <cellStyle name="Normale 4 2 6 6 12" xfId="30575"/>
    <cellStyle name="Normale 4 2 6 6 13" xfId="31521"/>
    <cellStyle name="Normale 4 2 6 6 14" xfId="32432"/>
    <cellStyle name="Normale 4 2 6 6 15" xfId="33344"/>
    <cellStyle name="Normale 4 2 6 6 16" xfId="34304"/>
    <cellStyle name="Normale 4 2 6 6 17" xfId="35236"/>
    <cellStyle name="Normale 4 2 6 6 18" xfId="36162"/>
    <cellStyle name="Normale 4 2 6 6 19" xfId="37087"/>
    <cellStyle name="Normale 4 2 6 6 2" xfId="1871"/>
    <cellStyle name="Normale 4 2 6 6 2 2" xfId="9334"/>
    <cellStyle name="Normale 4 2 6 6 2 3" xfId="16742"/>
    <cellStyle name="Normale 4 2 6 6 2 4" xfId="22482"/>
    <cellStyle name="Normale 4 2 6 6 20" xfId="37983"/>
    <cellStyle name="Normale 4 2 6 6 3" xfId="2804"/>
    <cellStyle name="Normale 4 2 6 6 3 2" xfId="10267"/>
    <cellStyle name="Normale 4 2 6 6 3 3" xfId="17675"/>
    <cellStyle name="Normale 4 2 6 6 3 4" xfId="28166"/>
    <cellStyle name="Normale 4 2 6 6 4" xfId="3718"/>
    <cellStyle name="Normale 4 2 6 6 4 2" xfId="11181"/>
    <cellStyle name="Normale 4 2 6 6 4 3" xfId="18589"/>
    <cellStyle name="Normale 4 2 6 6 4 4" xfId="28412"/>
    <cellStyle name="Normale 4 2 6 6 5" xfId="4659"/>
    <cellStyle name="Normale 4 2 6 6 5 2" xfId="12122"/>
    <cellStyle name="Normale 4 2 6 6 5 3" xfId="19530"/>
    <cellStyle name="Normale 4 2 6 6 5 4" xfId="23709"/>
    <cellStyle name="Normale 4 2 6 6 6" xfId="5573"/>
    <cellStyle name="Normale 4 2 6 6 6 2" xfId="13036"/>
    <cellStyle name="Normale 4 2 6 6 6 3" xfId="20444"/>
    <cellStyle name="Normale 4 2 6 6 6 4" xfId="23503"/>
    <cellStyle name="Normale 4 2 6 6 7" xfId="6508"/>
    <cellStyle name="Normale 4 2 6 6 7 2" xfId="13971"/>
    <cellStyle name="Normale 4 2 6 6 7 3" xfId="21379"/>
    <cellStyle name="Normale 4 2 6 6 7 4" xfId="28249"/>
    <cellStyle name="Normale 4 2 6 6 8" xfId="7405"/>
    <cellStyle name="Normale 4 2 6 6 8 2" xfId="14868"/>
    <cellStyle name="Normale 4 2 6 6 8 3" xfId="22276"/>
    <cellStyle name="Normale 4 2 6 6 8 4" xfId="26043"/>
    <cellStyle name="Normale 4 2 6 6 9" xfId="8369"/>
    <cellStyle name="Normale 4 2 6 7" xfId="967"/>
    <cellStyle name="Normale 4 2 6 7 10" xfId="15838"/>
    <cellStyle name="Normale 4 2 6 7 11" xfId="27291"/>
    <cellStyle name="Normale 4 2 6 7 12" xfId="30633"/>
    <cellStyle name="Normale 4 2 6 7 13" xfId="31581"/>
    <cellStyle name="Normale 4 2 6 7 14" xfId="32492"/>
    <cellStyle name="Normale 4 2 6 7 15" xfId="33402"/>
    <cellStyle name="Normale 4 2 6 7 16" xfId="34365"/>
    <cellStyle name="Normale 4 2 6 7 17" xfId="35297"/>
    <cellStyle name="Normale 4 2 6 7 18" xfId="36222"/>
    <cellStyle name="Normale 4 2 6 7 19" xfId="37148"/>
    <cellStyle name="Normale 4 2 6 7 2" xfId="1932"/>
    <cellStyle name="Normale 4 2 6 7 2 2" xfId="9395"/>
    <cellStyle name="Normale 4 2 6 7 2 3" xfId="16803"/>
    <cellStyle name="Normale 4 2 6 7 2 4" xfId="28629"/>
    <cellStyle name="Normale 4 2 6 7 20" xfId="38041"/>
    <cellStyle name="Normale 4 2 6 7 3" xfId="2864"/>
    <cellStyle name="Normale 4 2 6 7 3 2" xfId="10327"/>
    <cellStyle name="Normale 4 2 6 7 3 3" xfId="17735"/>
    <cellStyle name="Normale 4 2 6 7 3 4" xfId="24296"/>
    <cellStyle name="Normale 4 2 6 7 4" xfId="3779"/>
    <cellStyle name="Normale 4 2 6 7 4 2" xfId="11242"/>
    <cellStyle name="Normale 4 2 6 7 4 3" xfId="18650"/>
    <cellStyle name="Normale 4 2 6 7 4 4" xfId="23356"/>
    <cellStyle name="Normale 4 2 6 7 5" xfId="4720"/>
    <cellStyle name="Normale 4 2 6 7 5 2" xfId="12183"/>
    <cellStyle name="Normale 4 2 6 7 5 3" xfId="19591"/>
    <cellStyle name="Normale 4 2 6 7 5 4" xfId="25361"/>
    <cellStyle name="Normale 4 2 6 7 6" xfId="5634"/>
    <cellStyle name="Normale 4 2 6 7 6 2" xfId="13097"/>
    <cellStyle name="Normale 4 2 6 7 6 3" xfId="20505"/>
    <cellStyle name="Normale 4 2 6 7 6 4" xfId="23068"/>
    <cellStyle name="Normale 4 2 6 7 7" xfId="6569"/>
    <cellStyle name="Normale 4 2 6 7 7 2" xfId="14032"/>
    <cellStyle name="Normale 4 2 6 7 7 3" xfId="21440"/>
    <cellStyle name="Normale 4 2 6 7 7 4" xfId="22364"/>
    <cellStyle name="Normale 4 2 6 7 8" xfId="7463"/>
    <cellStyle name="Normale 4 2 6 7 8 2" xfId="14926"/>
    <cellStyle name="Normale 4 2 6 7 8 3" xfId="22334"/>
    <cellStyle name="Normale 4 2 6 7 8 4" xfId="29691"/>
    <cellStyle name="Normale 4 2 6 7 9" xfId="8430"/>
    <cellStyle name="Normale 4 2 6 8" xfId="1106"/>
    <cellStyle name="Normale 4 2 6 8 2" xfId="8569"/>
    <cellStyle name="Normale 4 2 6 8 3" xfId="15977"/>
    <cellStyle name="Normale 4 2 6 8 4" xfId="24534"/>
    <cellStyle name="Normale 4 2 6 9" xfId="2033"/>
    <cellStyle name="Normale 4 2 6 9 2" xfId="9496"/>
    <cellStyle name="Normale 4 2 6 9 3" xfId="16904"/>
    <cellStyle name="Normale 4 2 6 9 4" xfId="25564"/>
    <cellStyle name="Normale 4 2 7" xfId="316"/>
    <cellStyle name="Normale 4 2 7 10" xfId="15189"/>
    <cellStyle name="Normale 4 2 7 11" xfId="26550"/>
    <cellStyle name="Normale 4 2 7 12" xfId="30001"/>
    <cellStyle name="Normale 4 2 7 13" xfId="30933"/>
    <cellStyle name="Normale 4 2 7 14" xfId="31854"/>
    <cellStyle name="Normale 4 2 7 15" xfId="32779"/>
    <cellStyle name="Normale 4 2 7 16" xfId="33716"/>
    <cellStyle name="Normale 4 2 7 17" xfId="34646"/>
    <cellStyle name="Normale 4 2 7 18" xfId="35572"/>
    <cellStyle name="Normale 4 2 7 19" xfId="36498"/>
    <cellStyle name="Normale 4 2 7 2" xfId="1283"/>
    <cellStyle name="Normale 4 2 7 2 2" xfId="8746"/>
    <cellStyle name="Normale 4 2 7 2 3" xfId="16154"/>
    <cellStyle name="Normale 4 2 7 2 4" xfId="22687"/>
    <cellStyle name="Normale 4 2 7 20" xfId="37418"/>
    <cellStyle name="Normale 4 2 7 3" xfId="2214"/>
    <cellStyle name="Normale 4 2 7 3 2" xfId="9677"/>
    <cellStyle name="Normale 4 2 7 3 3" xfId="17085"/>
    <cellStyle name="Normale 4 2 7 3 4" xfId="28323"/>
    <cellStyle name="Normale 4 2 7 4" xfId="3136"/>
    <cellStyle name="Normale 4 2 7 4 2" xfId="10599"/>
    <cellStyle name="Normale 4 2 7 4 3" xfId="18007"/>
    <cellStyle name="Normale 4 2 7 4 4" xfId="28881"/>
    <cellStyle name="Normale 4 2 7 5" xfId="4069"/>
    <cellStyle name="Normale 4 2 7 5 2" xfId="11532"/>
    <cellStyle name="Normale 4 2 7 5 3" xfId="18940"/>
    <cellStyle name="Normale 4 2 7 5 4" xfId="28856"/>
    <cellStyle name="Normale 4 2 7 6" xfId="4992"/>
    <cellStyle name="Normale 4 2 7 6 2" xfId="12455"/>
    <cellStyle name="Normale 4 2 7 6 3" xfId="19863"/>
    <cellStyle name="Normale 4 2 7 6 4" xfId="25353"/>
    <cellStyle name="Normale 4 2 7 7" xfId="5920"/>
    <cellStyle name="Normale 4 2 7 7 2" xfId="13383"/>
    <cellStyle name="Normale 4 2 7 7 3" xfId="20791"/>
    <cellStyle name="Normale 4 2 7 7 4" xfId="26515"/>
    <cellStyle name="Normale 4 2 7 8" xfId="6840"/>
    <cellStyle name="Normale 4 2 7 8 2" xfId="14303"/>
    <cellStyle name="Normale 4 2 7 8 3" xfId="21711"/>
    <cellStyle name="Normale 4 2 7 8 4" xfId="28065"/>
    <cellStyle name="Normale 4 2 7 9" xfId="7779"/>
    <cellStyle name="Normale 4 2 8" xfId="428"/>
    <cellStyle name="Normale 4 2 8 10" xfId="15301"/>
    <cellStyle name="Normale 4 2 8 11" xfId="26739"/>
    <cellStyle name="Normale 4 2 8 12" xfId="30113"/>
    <cellStyle name="Normale 4 2 8 13" xfId="31045"/>
    <cellStyle name="Normale 4 2 8 14" xfId="31966"/>
    <cellStyle name="Normale 4 2 8 15" xfId="32890"/>
    <cellStyle name="Normale 4 2 8 16" xfId="33828"/>
    <cellStyle name="Normale 4 2 8 17" xfId="34758"/>
    <cellStyle name="Normale 4 2 8 18" xfId="35684"/>
    <cellStyle name="Normale 4 2 8 19" xfId="36610"/>
    <cellStyle name="Normale 4 2 8 2" xfId="1395"/>
    <cellStyle name="Normale 4 2 8 2 2" xfId="8858"/>
    <cellStyle name="Normale 4 2 8 2 3" xfId="16266"/>
    <cellStyle name="Normale 4 2 8 2 4" xfId="24002"/>
    <cellStyle name="Normale 4 2 8 20" xfId="37529"/>
    <cellStyle name="Normale 4 2 8 3" xfId="2326"/>
    <cellStyle name="Normale 4 2 8 3 2" xfId="9789"/>
    <cellStyle name="Normale 4 2 8 3 3" xfId="17197"/>
    <cellStyle name="Normale 4 2 8 3 4" xfId="28479"/>
    <cellStyle name="Normale 4 2 8 4" xfId="3248"/>
    <cellStyle name="Normale 4 2 8 4 2" xfId="10711"/>
    <cellStyle name="Normale 4 2 8 4 3" xfId="18119"/>
    <cellStyle name="Normale 4 2 8 4 4" xfId="26862"/>
    <cellStyle name="Normale 4 2 8 5" xfId="4181"/>
    <cellStyle name="Normale 4 2 8 5 2" xfId="11644"/>
    <cellStyle name="Normale 4 2 8 5 3" xfId="19052"/>
    <cellStyle name="Normale 4 2 8 5 4" xfId="29040"/>
    <cellStyle name="Normale 4 2 8 6" xfId="5104"/>
    <cellStyle name="Normale 4 2 8 6 2" xfId="12567"/>
    <cellStyle name="Normale 4 2 8 6 3" xfId="19975"/>
    <cellStyle name="Normale 4 2 8 6 4" xfId="26687"/>
    <cellStyle name="Normale 4 2 8 7" xfId="6032"/>
    <cellStyle name="Normale 4 2 8 7 2" xfId="13495"/>
    <cellStyle name="Normale 4 2 8 7 3" xfId="20903"/>
    <cellStyle name="Normale 4 2 8 7 4" xfId="26702"/>
    <cellStyle name="Normale 4 2 8 8" xfId="6951"/>
    <cellStyle name="Normale 4 2 8 8 2" xfId="14414"/>
    <cellStyle name="Normale 4 2 8 8 3" xfId="21822"/>
    <cellStyle name="Normale 4 2 8 8 4" xfId="27818"/>
    <cellStyle name="Normale 4 2 8 9" xfId="7891"/>
    <cellStyle name="Normale 4 2 9" xfId="476"/>
    <cellStyle name="Normale 4 2 9 10" xfId="15349"/>
    <cellStyle name="Normale 4 2 9 11" xfId="26393"/>
    <cellStyle name="Normale 4 2 9 12" xfId="30161"/>
    <cellStyle name="Normale 4 2 9 13" xfId="31093"/>
    <cellStyle name="Normale 4 2 9 14" xfId="32014"/>
    <cellStyle name="Normale 4 2 9 15" xfId="32937"/>
    <cellStyle name="Normale 4 2 9 16" xfId="33876"/>
    <cellStyle name="Normale 4 2 9 17" xfId="34806"/>
    <cellStyle name="Normale 4 2 9 18" xfId="35732"/>
    <cellStyle name="Normale 4 2 9 19" xfId="36658"/>
    <cellStyle name="Normale 4 2 9 2" xfId="1443"/>
    <cellStyle name="Normale 4 2 9 2 2" xfId="8906"/>
    <cellStyle name="Normale 4 2 9 2 3" xfId="16314"/>
    <cellStyle name="Normale 4 2 9 2 4" xfId="29478"/>
    <cellStyle name="Normale 4 2 9 20" xfId="37576"/>
    <cellStyle name="Normale 4 2 9 3" xfId="2374"/>
    <cellStyle name="Normale 4 2 9 3 2" xfId="9837"/>
    <cellStyle name="Normale 4 2 9 3 3" xfId="17245"/>
    <cellStyle name="Normale 4 2 9 3 4" xfId="27070"/>
    <cellStyle name="Normale 4 2 9 4" xfId="3296"/>
    <cellStyle name="Normale 4 2 9 4 2" xfId="10759"/>
    <cellStyle name="Normale 4 2 9 4 3" xfId="18167"/>
    <cellStyle name="Normale 4 2 9 4 4" xfId="26484"/>
    <cellStyle name="Normale 4 2 9 5" xfId="4229"/>
    <cellStyle name="Normale 4 2 9 5 2" xfId="11692"/>
    <cellStyle name="Normale 4 2 9 5 3" xfId="19100"/>
    <cellStyle name="Normale 4 2 9 5 4" xfId="28132"/>
    <cellStyle name="Normale 4 2 9 6" xfId="5152"/>
    <cellStyle name="Normale 4 2 9 6 2" xfId="12615"/>
    <cellStyle name="Normale 4 2 9 6 3" xfId="20023"/>
    <cellStyle name="Normale 4 2 9 6 4" xfId="24912"/>
    <cellStyle name="Normale 4 2 9 7" xfId="6080"/>
    <cellStyle name="Normale 4 2 9 7 2" xfId="13543"/>
    <cellStyle name="Normale 4 2 9 7 3" xfId="20951"/>
    <cellStyle name="Normale 4 2 9 7 4" xfId="26250"/>
    <cellStyle name="Normale 4 2 9 8" xfId="6998"/>
    <cellStyle name="Normale 4 2 9 8 2" xfId="14461"/>
    <cellStyle name="Normale 4 2 9 8 3" xfId="21869"/>
    <cellStyle name="Normale 4 2 9 8 4" xfId="28340"/>
    <cellStyle name="Normale 4 2 9 9" xfId="7939"/>
    <cellStyle name="Normale 4 20" xfId="2943"/>
    <cellStyle name="Normale 4 20 2" xfId="10406"/>
    <cellStyle name="Normale 4 20 3" xfId="17814"/>
    <cellStyle name="Normale 4 20 4" xfId="25403"/>
    <cellStyle name="Normale 4 21" xfId="3872"/>
    <cellStyle name="Normale 4 21 2" xfId="11335"/>
    <cellStyle name="Normale 4 21 3" xfId="18743"/>
    <cellStyle name="Normale 4 21 4" xfId="28799"/>
    <cellStyle name="Normale 4 22" xfId="4799"/>
    <cellStyle name="Normale 4 22 2" xfId="12262"/>
    <cellStyle name="Normale 4 22 3" xfId="19670"/>
    <cellStyle name="Normale 4 22 4" xfId="27335"/>
    <cellStyle name="Normale 4 23" xfId="5726"/>
    <cellStyle name="Normale 4 23 2" xfId="13189"/>
    <cellStyle name="Normale 4 23 3" xfId="20597"/>
    <cellStyle name="Normale 4 23 4" xfId="28348"/>
    <cellStyle name="Normale 4 24" xfId="6648"/>
    <cellStyle name="Normale 4 24 2" xfId="14111"/>
    <cellStyle name="Normale 4 24 3" xfId="21519"/>
    <cellStyle name="Normale 4 24 4" xfId="24572"/>
    <cellStyle name="Normale 4 25" xfId="7582"/>
    <cellStyle name="Normale 4 26" xfId="14991"/>
    <cellStyle name="Normale 4 27" xfId="23036"/>
    <cellStyle name="Normale 4 28" xfId="29808"/>
    <cellStyle name="Normale 4 29" xfId="30738"/>
    <cellStyle name="Normale 4 3" xfId="134"/>
    <cellStyle name="Normale 4 3 10" xfId="718"/>
    <cellStyle name="Normale 4 3 10 10" xfId="15589"/>
    <cellStyle name="Normale 4 3 10 11" xfId="25104"/>
    <cellStyle name="Normale 4 3 10 12" xfId="30392"/>
    <cellStyle name="Normale 4 3 10 13" xfId="31333"/>
    <cellStyle name="Normale 4 3 10 14" xfId="32246"/>
    <cellStyle name="Normale 4 3 10 15" xfId="33164"/>
    <cellStyle name="Normale 4 3 10 16" xfId="34116"/>
    <cellStyle name="Normale 4 3 10 17" xfId="35048"/>
    <cellStyle name="Normale 4 3 10 18" xfId="35974"/>
    <cellStyle name="Normale 4 3 10 19" xfId="36899"/>
    <cellStyle name="Normale 4 3 10 2" xfId="1683"/>
    <cellStyle name="Normale 4 3 10 2 2" xfId="9146"/>
    <cellStyle name="Normale 4 3 10 2 3" xfId="16554"/>
    <cellStyle name="Normale 4 3 10 2 4" xfId="28006"/>
    <cellStyle name="Normale 4 3 10 20" xfId="37803"/>
    <cellStyle name="Normale 4 3 10 3" xfId="2616"/>
    <cellStyle name="Normale 4 3 10 3 2" xfId="10079"/>
    <cellStyle name="Normale 4 3 10 3 3" xfId="17487"/>
    <cellStyle name="Normale 4 3 10 3 4" xfId="24592"/>
    <cellStyle name="Normale 4 3 10 4" xfId="3532"/>
    <cellStyle name="Normale 4 3 10 4 2" xfId="10995"/>
    <cellStyle name="Normale 4 3 10 4 3" xfId="18403"/>
    <cellStyle name="Normale 4 3 10 4 4" xfId="22441"/>
    <cellStyle name="Normale 4 3 10 5" xfId="4471"/>
    <cellStyle name="Normale 4 3 10 5 2" xfId="11934"/>
    <cellStyle name="Normale 4 3 10 5 3" xfId="19342"/>
    <cellStyle name="Normale 4 3 10 5 4" xfId="27432"/>
    <cellStyle name="Normale 4 3 10 6" xfId="5387"/>
    <cellStyle name="Normale 4 3 10 6 2" xfId="12850"/>
    <cellStyle name="Normale 4 3 10 6 3" xfId="20258"/>
    <cellStyle name="Normale 4 3 10 6 4" xfId="27911"/>
    <cellStyle name="Normale 4 3 10 7" xfId="6320"/>
    <cellStyle name="Normale 4 3 10 7 2" xfId="13783"/>
    <cellStyle name="Normale 4 3 10 7 3" xfId="21191"/>
    <cellStyle name="Normale 4 3 10 7 4" xfId="24617"/>
    <cellStyle name="Normale 4 3 10 8" xfId="7225"/>
    <cellStyle name="Normale 4 3 10 8 2" xfId="14688"/>
    <cellStyle name="Normale 4 3 10 8 3" xfId="22096"/>
    <cellStyle name="Normale 4 3 10 8 4" xfId="28966"/>
    <cellStyle name="Normale 4 3 10 9" xfId="8181"/>
    <cellStyle name="Normale 4 3 11" xfId="790"/>
    <cellStyle name="Normale 4 3 11 10" xfId="15661"/>
    <cellStyle name="Normale 4 3 11 11" xfId="23249"/>
    <cellStyle name="Normale 4 3 11 12" xfId="30462"/>
    <cellStyle name="Normale 4 3 11 13" xfId="31405"/>
    <cellStyle name="Normale 4 3 11 14" xfId="32317"/>
    <cellStyle name="Normale 4 3 11 15" xfId="33233"/>
    <cellStyle name="Normale 4 3 11 16" xfId="34188"/>
    <cellStyle name="Normale 4 3 11 17" xfId="35120"/>
    <cellStyle name="Normale 4 3 11 18" xfId="36046"/>
    <cellStyle name="Normale 4 3 11 19" xfId="36971"/>
    <cellStyle name="Normale 4 3 11 2" xfId="1755"/>
    <cellStyle name="Normale 4 3 11 2 2" xfId="9218"/>
    <cellStyle name="Normale 4 3 11 2 3" xfId="16626"/>
    <cellStyle name="Normale 4 3 11 2 4" xfId="29522"/>
    <cellStyle name="Normale 4 3 11 20" xfId="37872"/>
    <cellStyle name="Normale 4 3 11 3" xfId="2688"/>
    <cellStyle name="Normale 4 3 11 3 2" xfId="10151"/>
    <cellStyle name="Normale 4 3 11 3 3" xfId="17559"/>
    <cellStyle name="Normale 4 3 11 3 4" xfId="25116"/>
    <cellStyle name="Normale 4 3 11 4" xfId="3603"/>
    <cellStyle name="Normale 4 3 11 4 2" xfId="11066"/>
    <cellStyle name="Normale 4 3 11 4 3" xfId="18474"/>
    <cellStyle name="Normale 4 3 11 4 4" xfId="23715"/>
    <cellStyle name="Normale 4 3 11 5" xfId="4543"/>
    <cellStyle name="Normale 4 3 11 5 2" xfId="12006"/>
    <cellStyle name="Normale 4 3 11 5 3" xfId="19414"/>
    <cellStyle name="Normale 4 3 11 5 4" xfId="28846"/>
    <cellStyle name="Normale 4 3 11 6" xfId="5458"/>
    <cellStyle name="Normale 4 3 11 6 2" xfId="12921"/>
    <cellStyle name="Normale 4 3 11 6 3" xfId="20329"/>
    <cellStyle name="Normale 4 3 11 6 4" xfId="23070"/>
    <cellStyle name="Normale 4 3 11 7" xfId="6392"/>
    <cellStyle name="Normale 4 3 11 7 2" xfId="13855"/>
    <cellStyle name="Normale 4 3 11 7 3" xfId="21263"/>
    <cellStyle name="Normale 4 3 11 7 4" xfId="26050"/>
    <cellStyle name="Normale 4 3 11 8" xfId="7294"/>
    <cellStyle name="Normale 4 3 11 8 2" xfId="14757"/>
    <cellStyle name="Normale 4 3 11 8 3" xfId="22165"/>
    <cellStyle name="Normale 4 3 11 8 4" xfId="25819"/>
    <cellStyle name="Normale 4 3 11 9" xfId="8253"/>
    <cellStyle name="Normale 4 3 12" xfId="863"/>
    <cellStyle name="Normale 4 3 12 10" xfId="15734"/>
    <cellStyle name="Normale 4 3 12 11" xfId="27722"/>
    <cellStyle name="Normale 4 3 12 12" xfId="30532"/>
    <cellStyle name="Normale 4 3 12 13" xfId="31478"/>
    <cellStyle name="Normale 4 3 12 14" xfId="32389"/>
    <cellStyle name="Normale 4 3 12 15" xfId="33302"/>
    <cellStyle name="Normale 4 3 12 16" xfId="34261"/>
    <cellStyle name="Normale 4 3 12 17" xfId="35193"/>
    <cellStyle name="Normale 4 3 12 18" xfId="36119"/>
    <cellStyle name="Normale 4 3 12 19" xfId="37044"/>
    <cellStyle name="Normale 4 3 12 2" xfId="1828"/>
    <cellStyle name="Normale 4 3 12 2 2" xfId="9291"/>
    <cellStyle name="Normale 4 3 12 2 3" xfId="16699"/>
    <cellStyle name="Normale 4 3 12 2 4" xfId="24323"/>
    <cellStyle name="Normale 4 3 12 20" xfId="37941"/>
    <cellStyle name="Normale 4 3 12 3" xfId="2761"/>
    <cellStyle name="Normale 4 3 12 3 2" xfId="10224"/>
    <cellStyle name="Normale 4 3 12 3 3" xfId="17632"/>
    <cellStyle name="Normale 4 3 12 3 4" xfId="23384"/>
    <cellStyle name="Normale 4 3 12 4" xfId="3675"/>
    <cellStyle name="Normale 4 3 12 4 2" xfId="11138"/>
    <cellStyle name="Normale 4 3 12 4 3" xfId="18546"/>
    <cellStyle name="Normale 4 3 12 4 4" xfId="23359"/>
    <cellStyle name="Normale 4 3 12 5" xfId="4616"/>
    <cellStyle name="Normale 4 3 12 5 2" xfId="12079"/>
    <cellStyle name="Normale 4 3 12 5 3" xfId="19487"/>
    <cellStyle name="Normale 4 3 12 5 4" xfId="25364"/>
    <cellStyle name="Normale 4 3 12 6" xfId="5530"/>
    <cellStyle name="Normale 4 3 12 6 2" xfId="12993"/>
    <cellStyle name="Normale 4 3 12 6 3" xfId="20401"/>
    <cellStyle name="Normale 4 3 12 6 4" xfId="26071"/>
    <cellStyle name="Normale 4 3 12 7" xfId="6465"/>
    <cellStyle name="Normale 4 3 12 7 2" xfId="13928"/>
    <cellStyle name="Normale 4 3 12 7 3" xfId="21336"/>
    <cellStyle name="Normale 4 3 12 7 4" xfId="22367"/>
    <cellStyle name="Normale 4 3 12 8" xfId="7363"/>
    <cellStyle name="Normale 4 3 12 8 2" xfId="14826"/>
    <cellStyle name="Normale 4 3 12 8 3" xfId="22234"/>
    <cellStyle name="Normale 4 3 12 8 4" xfId="27130"/>
    <cellStyle name="Normale 4 3 12 9" xfId="8326"/>
    <cellStyle name="Normale 4 3 13" xfId="933"/>
    <cellStyle name="Normale 4 3 13 10" xfId="15804"/>
    <cellStyle name="Normale 4 3 13 11" xfId="29331"/>
    <cellStyle name="Normale 4 3 13 12" xfId="30599"/>
    <cellStyle name="Normale 4 3 13 13" xfId="31547"/>
    <cellStyle name="Normale 4 3 13 14" xfId="32458"/>
    <cellStyle name="Normale 4 3 13 15" xfId="33368"/>
    <cellStyle name="Normale 4 3 13 16" xfId="34331"/>
    <cellStyle name="Normale 4 3 13 17" xfId="35263"/>
    <cellStyle name="Normale 4 3 13 18" xfId="36188"/>
    <cellStyle name="Normale 4 3 13 19" xfId="37114"/>
    <cellStyle name="Normale 4 3 13 2" xfId="1898"/>
    <cellStyle name="Normale 4 3 13 2 2" xfId="9361"/>
    <cellStyle name="Normale 4 3 13 2 3" xfId="16769"/>
    <cellStyle name="Normale 4 3 13 2 4" xfId="27703"/>
    <cellStyle name="Normale 4 3 13 20" xfId="38007"/>
    <cellStyle name="Normale 4 3 13 3" xfId="2830"/>
    <cellStyle name="Normale 4 3 13 3 2" xfId="10293"/>
    <cellStyle name="Normale 4 3 13 3 3" xfId="17701"/>
    <cellStyle name="Normale 4 3 13 3 4" xfId="26139"/>
    <cellStyle name="Normale 4 3 13 4" xfId="3745"/>
    <cellStyle name="Normale 4 3 13 4 2" xfId="11208"/>
    <cellStyle name="Normale 4 3 13 4 3" xfId="18616"/>
    <cellStyle name="Normale 4 3 13 4 4" xfId="25505"/>
    <cellStyle name="Normale 4 3 13 5" xfId="4686"/>
    <cellStyle name="Normale 4 3 13 5 2" xfId="12149"/>
    <cellStyle name="Normale 4 3 13 5 3" xfId="19557"/>
    <cellStyle name="Normale 4 3 13 5 4" xfId="27199"/>
    <cellStyle name="Normale 4 3 13 6" xfId="5600"/>
    <cellStyle name="Normale 4 3 13 6 2" xfId="13063"/>
    <cellStyle name="Normale 4 3 13 6 3" xfId="20471"/>
    <cellStyle name="Normale 4 3 13 6 4" xfId="29498"/>
    <cellStyle name="Normale 4 3 13 7" xfId="6535"/>
    <cellStyle name="Normale 4 3 13 7 2" xfId="13998"/>
    <cellStyle name="Normale 4 3 13 7 3" xfId="21406"/>
    <cellStyle name="Normale 4 3 13 7 4" xfId="24399"/>
    <cellStyle name="Normale 4 3 13 8" xfId="7429"/>
    <cellStyle name="Normale 4 3 13 8 2" xfId="14892"/>
    <cellStyle name="Normale 4 3 13 8 3" xfId="22300"/>
    <cellStyle name="Normale 4 3 13 8 4" xfId="26767"/>
    <cellStyle name="Normale 4 3 13 9" xfId="8396"/>
    <cellStyle name="Normale 4 3 14" xfId="1107"/>
    <cellStyle name="Normale 4 3 14 2" xfId="8570"/>
    <cellStyle name="Normale 4 3 14 3" xfId="15978"/>
    <cellStyle name="Normale 4 3 14 4" xfId="23614"/>
    <cellStyle name="Normale 4 3 15" xfId="2034"/>
    <cellStyle name="Normale 4 3 15 2" xfId="9497"/>
    <cellStyle name="Normale 4 3 15 3" xfId="16905"/>
    <cellStyle name="Normale 4 3 15 4" xfId="24647"/>
    <cellStyle name="Normale 4 3 16" xfId="2960"/>
    <cellStyle name="Normale 4 3 16 2" xfId="10423"/>
    <cellStyle name="Normale 4 3 16 3" xfId="17831"/>
    <cellStyle name="Normale 4 3 16 4" xfId="23570"/>
    <cellStyle name="Normale 4 3 17" xfId="3889"/>
    <cellStyle name="Normale 4 3 17 2" xfId="11352"/>
    <cellStyle name="Normale 4 3 17 3" xfId="18760"/>
    <cellStyle name="Normale 4 3 17 4" xfId="27742"/>
    <cellStyle name="Normale 4 3 18" xfId="4816"/>
    <cellStyle name="Normale 4 3 18 2" xfId="12279"/>
    <cellStyle name="Normale 4 3 18 3" xfId="19687"/>
    <cellStyle name="Normale 4 3 18 4" xfId="25166"/>
    <cellStyle name="Normale 4 3 19" xfId="5743"/>
    <cellStyle name="Normale 4 3 19 2" xfId="13206"/>
    <cellStyle name="Normale 4 3 19 3" xfId="20614"/>
    <cellStyle name="Normale 4 3 19 4" xfId="26917"/>
    <cellStyle name="Normale 4 3 2" xfId="135"/>
    <cellStyle name="Normale 4 3 2 10" xfId="6666"/>
    <cellStyle name="Normale 4 3 2 10 2" xfId="14129"/>
    <cellStyle name="Normale 4 3 2 10 3" xfId="21537"/>
    <cellStyle name="Normale 4 3 2 10 4" xfId="28980"/>
    <cellStyle name="Normale 4 3 2 11" xfId="7600"/>
    <cellStyle name="Normale 4 3 2 12" xfId="15009"/>
    <cellStyle name="Normale 4 3 2 13" xfId="22810"/>
    <cellStyle name="Normale 4 3 2 14" xfId="29826"/>
    <cellStyle name="Normale 4 3 2 15" xfId="30756"/>
    <cellStyle name="Normale 4 3 2 16" xfId="31679"/>
    <cellStyle name="Normale 4 3 2 17" xfId="32605"/>
    <cellStyle name="Normale 4 3 2 18" xfId="33539"/>
    <cellStyle name="Normale 4 3 2 19" xfId="34467"/>
    <cellStyle name="Normale 4 3 2 2" xfId="136"/>
    <cellStyle name="Normale 4 3 2 2 10" xfId="7601"/>
    <cellStyle name="Normale 4 3 2 2 11" xfId="15010"/>
    <cellStyle name="Normale 4 3 2 2 12" xfId="29240"/>
    <cellStyle name="Normale 4 3 2 2 13" xfId="29827"/>
    <cellStyle name="Normale 4 3 2 2 14" xfId="30757"/>
    <cellStyle name="Normale 4 3 2 2 15" xfId="31680"/>
    <cellStyle name="Normale 4 3 2 2 16" xfId="32606"/>
    <cellStyle name="Normale 4 3 2 2 17" xfId="33540"/>
    <cellStyle name="Normale 4 3 2 2 18" xfId="34468"/>
    <cellStyle name="Normale 4 3 2 2 19" xfId="35396"/>
    <cellStyle name="Normale 4 3 2 2 2" xfId="334"/>
    <cellStyle name="Normale 4 3 2 2 2 10" xfId="15207"/>
    <cellStyle name="Normale 4 3 2 2 2 11" xfId="24612"/>
    <cellStyle name="Normale 4 3 2 2 2 12" xfId="30019"/>
    <cellStyle name="Normale 4 3 2 2 2 13" xfId="30951"/>
    <cellStyle name="Normale 4 3 2 2 2 14" xfId="31872"/>
    <cellStyle name="Normale 4 3 2 2 2 15" xfId="32797"/>
    <cellStyle name="Normale 4 3 2 2 2 16" xfId="33734"/>
    <cellStyle name="Normale 4 3 2 2 2 17" xfId="34664"/>
    <cellStyle name="Normale 4 3 2 2 2 18" xfId="35590"/>
    <cellStyle name="Normale 4 3 2 2 2 19" xfId="36516"/>
    <cellStyle name="Normale 4 3 2 2 2 2" xfId="1301"/>
    <cellStyle name="Normale 4 3 2 2 2 2 2" xfId="8764"/>
    <cellStyle name="Normale 4 3 2 2 2 2 3" xfId="16172"/>
    <cellStyle name="Normale 4 3 2 2 2 2 4" xfId="29659"/>
    <cellStyle name="Normale 4 3 2 2 2 20" xfId="37436"/>
    <cellStyle name="Normale 4 3 2 2 2 3" xfId="2232"/>
    <cellStyle name="Normale 4 3 2 2 2 3 2" xfId="9695"/>
    <cellStyle name="Normale 4 3 2 2 2 3 3" xfId="17103"/>
    <cellStyle name="Normale 4 3 2 2 2 3 4" xfId="26349"/>
    <cellStyle name="Normale 4 3 2 2 2 4" xfId="3154"/>
    <cellStyle name="Normale 4 3 2 2 2 4 2" xfId="10617"/>
    <cellStyle name="Normale 4 3 2 2 2 4 3" xfId="18025"/>
    <cellStyle name="Normale 4 3 2 2 2 4 4" xfId="27767"/>
    <cellStyle name="Normale 4 3 2 2 2 5" xfId="4087"/>
    <cellStyle name="Normale 4 3 2 2 2 5 2" xfId="11550"/>
    <cellStyle name="Normale 4 3 2 2 2 5 3" xfId="18958"/>
    <cellStyle name="Normale 4 3 2 2 2 5 4" xfId="26108"/>
    <cellStyle name="Normale 4 3 2 2 2 6" xfId="5010"/>
    <cellStyle name="Normale 4 3 2 2 2 6 2" xfId="12473"/>
    <cellStyle name="Normale 4 3 2 2 2 6 3" xfId="19881"/>
    <cellStyle name="Normale 4 3 2 2 2 6 4" xfId="25078"/>
    <cellStyle name="Normale 4 3 2 2 2 7" xfId="5938"/>
    <cellStyle name="Normale 4 3 2 2 2 7 2" xfId="13401"/>
    <cellStyle name="Normale 4 3 2 2 2 7 3" xfId="20809"/>
    <cellStyle name="Normale 4 3 2 2 2 7 4" xfId="24575"/>
    <cellStyle name="Normale 4 3 2 2 2 8" xfId="6858"/>
    <cellStyle name="Normale 4 3 2 2 2 8 2" xfId="14321"/>
    <cellStyle name="Normale 4 3 2 2 2 8 3" xfId="21729"/>
    <cellStyle name="Normale 4 3 2 2 2 8 4" xfId="27789"/>
    <cellStyle name="Normale 4 3 2 2 2 9" xfId="7797"/>
    <cellStyle name="Normale 4 3 2 2 20" xfId="36322"/>
    <cellStyle name="Normale 4 3 2 2 21" xfId="37245"/>
    <cellStyle name="Normale 4 3 2 2 3" xfId="1109"/>
    <cellStyle name="Normale 4 3 2 2 3 2" xfId="8572"/>
    <cellStyle name="Normale 4 3 2 2 3 3" xfId="15980"/>
    <cellStyle name="Normale 4 3 2 2 3 4" xfId="28021"/>
    <cellStyle name="Normale 4 3 2 2 4" xfId="2036"/>
    <cellStyle name="Normale 4 3 2 2 4 2" xfId="9499"/>
    <cellStyle name="Normale 4 3 2 2 4 3" xfId="16907"/>
    <cellStyle name="Normale 4 3 2 2 4 4" xfId="22746"/>
    <cellStyle name="Normale 4 3 2 2 5" xfId="2962"/>
    <cellStyle name="Normale 4 3 2 2 5 2" xfId="10425"/>
    <cellStyle name="Normale 4 3 2 2 5 3" xfId="17833"/>
    <cellStyle name="Normale 4 3 2 2 5 4" xfId="22453"/>
    <cellStyle name="Normale 4 3 2 2 6" xfId="3891"/>
    <cellStyle name="Normale 4 3 2 2 6 2" xfId="11354"/>
    <cellStyle name="Normale 4 3 2 2 6 3" xfId="18762"/>
    <cellStyle name="Normale 4 3 2 2 6 4" xfId="25905"/>
    <cellStyle name="Normale 4 3 2 2 7" xfId="4818"/>
    <cellStyle name="Normale 4 3 2 2 7 2" xfId="12281"/>
    <cellStyle name="Normale 4 3 2 2 7 3" xfId="19689"/>
    <cellStyle name="Normale 4 3 2 2 7 4" xfId="23331"/>
    <cellStyle name="Normale 4 3 2 2 8" xfId="5745"/>
    <cellStyle name="Normale 4 3 2 2 8 2" xfId="13208"/>
    <cellStyle name="Normale 4 3 2 2 8 3" xfId="20616"/>
    <cellStyle name="Normale 4 3 2 2 8 4" xfId="25133"/>
    <cellStyle name="Normale 4 3 2 2 9" xfId="6667"/>
    <cellStyle name="Normale 4 3 2 2 9 2" xfId="14130"/>
    <cellStyle name="Normale 4 3 2 2 9 3" xfId="21538"/>
    <cellStyle name="Normale 4 3 2 2 9 4" xfId="28070"/>
    <cellStyle name="Normale 4 3 2 20" xfId="35395"/>
    <cellStyle name="Normale 4 3 2 21" xfId="36321"/>
    <cellStyle name="Normale 4 3 2 22" xfId="37244"/>
    <cellStyle name="Normale 4 3 2 3" xfId="333"/>
    <cellStyle name="Normale 4 3 2 3 10" xfId="15206"/>
    <cellStyle name="Normale 4 3 2 3 11" xfId="25529"/>
    <cellStyle name="Normale 4 3 2 3 12" xfId="30018"/>
    <cellStyle name="Normale 4 3 2 3 13" xfId="30950"/>
    <cellStyle name="Normale 4 3 2 3 14" xfId="31871"/>
    <cellStyle name="Normale 4 3 2 3 15" xfId="32796"/>
    <cellStyle name="Normale 4 3 2 3 16" xfId="33733"/>
    <cellStyle name="Normale 4 3 2 3 17" xfId="34663"/>
    <cellStyle name="Normale 4 3 2 3 18" xfId="35589"/>
    <cellStyle name="Normale 4 3 2 3 19" xfId="36515"/>
    <cellStyle name="Normale 4 3 2 3 2" xfId="1300"/>
    <cellStyle name="Normale 4 3 2 3 2 2" xfId="8763"/>
    <cellStyle name="Normale 4 3 2 3 2 3" xfId="16171"/>
    <cellStyle name="Normale 4 3 2 3 2 4" xfId="23229"/>
    <cellStyle name="Normale 4 3 2 3 20" xfId="37435"/>
    <cellStyle name="Normale 4 3 2 3 3" xfId="2231"/>
    <cellStyle name="Normale 4 3 2 3 3 2" xfId="9694"/>
    <cellStyle name="Normale 4 3 2 3 3 3" xfId="17102"/>
    <cellStyle name="Normale 4 3 2 3 3 4" xfId="27259"/>
    <cellStyle name="Normale 4 3 2 3 4" xfId="3153"/>
    <cellStyle name="Normale 4 3 2 3 4 2" xfId="10616"/>
    <cellStyle name="Normale 4 3 2 3 4 3" xfId="18024"/>
    <cellStyle name="Normale 4 3 2 3 4 4" xfId="28694"/>
    <cellStyle name="Normale 4 3 2 3 5" xfId="4086"/>
    <cellStyle name="Normale 4 3 2 3 5 2" xfId="11549"/>
    <cellStyle name="Normale 4 3 2 3 5 3" xfId="18957"/>
    <cellStyle name="Normale 4 3 2 3 5 4" xfId="27026"/>
    <cellStyle name="Normale 4 3 2 3 6" xfId="5009"/>
    <cellStyle name="Normale 4 3 2 3 6 2" xfId="12472"/>
    <cellStyle name="Normale 4 3 2 3 6 3" xfId="19880"/>
    <cellStyle name="Normale 4 3 2 3 6 4" xfId="25988"/>
    <cellStyle name="Normale 4 3 2 3 7" xfId="5937"/>
    <cellStyle name="Normale 4 3 2 3 7 2" xfId="13400"/>
    <cellStyle name="Normale 4 3 2 3 7 3" xfId="20808"/>
    <cellStyle name="Normale 4 3 2 3 7 4" xfId="25492"/>
    <cellStyle name="Normale 4 3 2 3 8" xfId="6857"/>
    <cellStyle name="Normale 4 3 2 3 8 2" xfId="14320"/>
    <cellStyle name="Normale 4 3 2 3 8 3" xfId="21728"/>
    <cellStyle name="Normale 4 3 2 3 8 4" xfId="28716"/>
    <cellStyle name="Normale 4 3 2 3 9" xfId="7796"/>
    <cellStyle name="Normale 4 3 2 4" xfId="1108"/>
    <cellStyle name="Normale 4 3 2 4 2" xfId="8571"/>
    <cellStyle name="Normale 4 3 2 4 3" xfId="15979"/>
    <cellStyle name="Normale 4 3 2 4 4" xfId="28934"/>
    <cellStyle name="Normale 4 3 2 5" xfId="2035"/>
    <cellStyle name="Normale 4 3 2 5 2" xfId="9498"/>
    <cellStyle name="Normale 4 3 2 5 3" xfId="16906"/>
    <cellStyle name="Normale 4 3 2 5 4" xfId="23725"/>
    <cellStyle name="Normale 4 3 2 6" xfId="2961"/>
    <cellStyle name="Normale 4 3 2 6 2" xfId="10424"/>
    <cellStyle name="Normale 4 3 2 6 3" xfId="17832"/>
    <cellStyle name="Normale 4 3 2 6 4" xfId="22456"/>
    <cellStyle name="Normale 4 3 2 7" xfId="3890"/>
    <cellStyle name="Normale 4 3 2 7 2" xfId="11353"/>
    <cellStyle name="Normale 4 3 2 7 3" xfId="18761"/>
    <cellStyle name="Normale 4 3 2 7 4" xfId="26838"/>
    <cellStyle name="Normale 4 3 2 8" xfId="4817"/>
    <cellStyle name="Normale 4 3 2 8 2" xfId="12280"/>
    <cellStyle name="Normale 4 3 2 8 3" xfId="19688"/>
    <cellStyle name="Normale 4 3 2 8 4" xfId="24247"/>
    <cellStyle name="Normale 4 3 2 9" xfId="5744"/>
    <cellStyle name="Normale 4 3 2 9 2" xfId="13207"/>
    <cellStyle name="Normale 4 3 2 9 3" xfId="20615"/>
    <cellStyle name="Normale 4 3 2 9 4" xfId="24368"/>
    <cellStyle name="Normale 4 3 20" xfId="6665"/>
    <cellStyle name="Normale 4 3 20 2" xfId="14128"/>
    <cellStyle name="Normale 4 3 20 3" xfId="21536"/>
    <cellStyle name="Normale 4 3 20 4" xfId="22550"/>
    <cellStyle name="Normale 4 3 21" xfId="7599"/>
    <cellStyle name="Normale 4 3 22" xfId="15008"/>
    <cellStyle name="Normale 4 3 23" xfId="15073"/>
    <cellStyle name="Normale 4 3 24" xfId="29825"/>
    <cellStyle name="Normale 4 3 25" xfId="30755"/>
    <cellStyle name="Normale 4 3 26" xfId="31678"/>
    <cellStyle name="Normale 4 3 27" xfId="32604"/>
    <cellStyle name="Normale 4 3 28" xfId="33538"/>
    <cellStyle name="Normale 4 3 29" xfId="34466"/>
    <cellStyle name="Normale 4 3 3" xfId="137"/>
    <cellStyle name="Normale 4 3 3 10" xfId="7602"/>
    <cellStyle name="Normale 4 3 3 11" xfId="15011"/>
    <cellStyle name="Normale 4 3 3 12" xfId="28334"/>
    <cellStyle name="Normale 4 3 3 13" xfId="29828"/>
    <cellStyle name="Normale 4 3 3 14" xfId="30758"/>
    <cellStyle name="Normale 4 3 3 15" xfId="31681"/>
    <cellStyle name="Normale 4 3 3 16" xfId="32607"/>
    <cellStyle name="Normale 4 3 3 17" xfId="33541"/>
    <cellStyle name="Normale 4 3 3 18" xfId="34469"/>
    <cellStyle name="Normale 4 3 3 19" xfId="35397"/>
    <cellStyle name="Normale 4 3 3 2" xfId="335"/>
    <cellStyle name="Normale 4 3 3 2 10" xfId="15208"/>
    <cellStyle name="Normale 4 3 3 2 11" xfId="23690"/>
    <cellStyle name="Normale 4 3 3 2 12" xfId="30020"/>
    <cellStyle name="Normale 4 3 3 2 13" xfId="30952"/>
    <cellStyle name="Normale 4 3 3 2 14" xfId="31873"/>
    <cellStyle name="Normale 4 3 3 2 15" xfId="32798"/>
    <cellStyle name="Normale 4 3 3 2 16" xfId="33735"/>
    <cellStyle name="Normale 4 3 3 2 17" xfId="34665"/>
    <cellStyle name="Normale 4 3 3 2 18" xfId="35591"/>
    <cellStyle name="Normale 4 3 3 2 19" xfId="36517"/>
    <cellStyle name="Normale 4 3 3 2 2" xfId="1302"/>
    <cellStyle name="Normale 4 3 3 2 2 2" xfId="8765"/>
    <cellStyle name="Normale 4 3 3 2 2 3" xfId="16173"/>
    <cellStyle name="Normale 4 3 3 2 2 4" xfId="28774"/>
    <cellStyle name="Normale 4 3 3 2 20" xfId="37437"/>
    <cellStyle name="Normale 4 3 3 2 3" xfId="2233"/>
    <cellStyle name="Normale 4 3 3 2 3 2" xfId="9696"/>
    <cellStyle name="Normale 4 3 3 2 3 3" xfId="17104"/>
    <cellStyle name="Normale 4 3 3 2 3 4" xfId="25422"/>
    <cellStyle name="Normale 4 3 3 2 4" xfId="3155"/>
    <cellStyle name="Normale 4 3 3 2 4 2" xfId="10618"/>
    <cellStyle name="Normale 4 3 3 2 4 3" xfId="18026"/>
    <cellStyle name="Normale 4 3 3 2 4 4" xfId="26864"/>
    <cellStyle name="Normale 4 3 3 2 5" xfId="4088"/>
    <cellStyle name="Normale 4 3 3 2 5 2" xfId="11551"/>
    <cellStyle name="Normale 4 3 3 2 5 3" xfId="18959"/>
    <cellStyle name="Normale 4 3 3 2 5 4" xfId="25185"/>
    <cellStyle name="Normale 4 3 3 2 6" xfId="5011"/>
    <cellStyle name="Normale 4 3 3 2 6 2" xfId="12474"/>
    <cellStyle name="Normale 4 3 3 2 6 3" xfId="19882"/>
    <cellStyle name="Normale 4 3 3 2 6 4" xfId="24153"/>
    <cellStyle name="Normale 4 3 3 2 7" xfId="5939"/>
    <cellStyle name="Normale 4 3 3 2 7 2" xfId="13402"/>
    <cellStyle name="Normale 4 3 3 2 7 3" xfId="20810"/>
    <cellStyle name="Normale 4 3 3 2 7 4" xfId="23654"/>
    <cellStyle name="Normale 4 3 3 2 8" xfId="6859"/>
    <cellStyle name="Normale 4 3 3 2 8 2" xfId="14322"/>
    <cellStyle name="Normale 4 3 3 2 8 3" xfId="21730"/>
    <cellStyle name="Normale 4 3 3 2 8 4" xfId="26887"/>
    <cellStyle name="Normale 4 3 3 2 9" xfId="7798"/>
    <cellStyle name="Normale 4 3 3 20" xfId="36323"/>
    <cellStyle name="Normale 4 3 3 21" xfId="37246"/>
    <cellStyle name="Normale 4 3 3 3" xfId="1110"/>
    <cellStyle name="Normale 4 3 3 3 2" xfId="8573"/>
    <cellStyle name="Normale 4 3 3 3 3" xfId="15981"/>
    <cellStyle name="Normale 4 3 3 3 4" xfId="27102"/>
    <cellStyle name="Normale 4 3 3 4" xfId="2037"/>
    <cellStyle name="Normale 4 3 3 4 2" xfId="9500"/>
    <cellStyle name="Normale 4 3 3 4 3" xfId="16908"/>
    <cellStyle name="Normale 4 3 3 4 4" xfId="29176"/>
    <cellStyle name="Normale 4 3 3 5" xfId="2963"/>
    <cellStyle name="Normale 4 3 3 5 2" xfId="10426"/>
    <cellStyle name="Normale 4 3 3 5 3" xfId="17834"/>
    <cellStyle name="Normale 4 3 3 5 4" xfId="28884"/>
    <cellStyle name="Normale 4 3 3 6" xfId="3892"/>
    <cellStyle name="Normale 4 3 3 6 2" xfId="11355"/>
    <cellStyle name="Normale 4 3 3 6 3" xfId="18763"/>
    <cellStyle name="Normale 4 3 3 6 4" xfId="24995"/>
    <cellStyle name="Normale 4 3 3 7" xfId="4819"/>
    <cellStyle name="Normale 4 3 3 7 2" xfId="12282"/>
    <cellStyle name="Normale 4 3 3 7 3" xfId="19690"/>
    <cellStyle name="Normale 4 3 3 7 4" xfId="22597"/>
    <cellStyle name="Normale 4 3 3 8" xfId="5746"/>
    <cellStyle name="Normale 4 3 3 8 2" xfId="13209"/>
    <cellStyle name="Normale 4 3 3 8 3" xfId="20617"/>
    <cellStyle name="Normale 4 3 3 8 4" xfId="24074"/>
    <cellStyle name="Normale 4 3 3 9" xfId="6668"/>
    <cellStyle name="Normale 4 3 3 9 2" xfId="14131"/>
    <cellStyle name="Normale 4 3 3 9 3" xfId="21539"/>
    <cellStyle name="Normale 4 3 3 9 4" xfId="27148"/>
    <cellStyle name="Normale 4 3 30" xfId="35394"/>
    <cellStyle name="Normale 4 3 31" xfId="36320"/>
    <cellStyle name="Normale 4 3 32" xfId="37243"/>
    <cellStyle name="Normale 4 3 4" xfId="332"/>
    <cellStyle name="Normale 4 3 4 10" xfId="15205"/>
    <cellStyle name="Normale 4 3 4 11" xfId="26457"/>
    <cellStyle name="Normale 4 3 4 12" xfId="30017"/>
    <cellStyle name="Normale 4 3 4 13" xfId="30949"/>
    <cellStyle name="Normale 4 3 4 14" xfId="31870"/>
    <cellStyle name="Normale 4 3 4 15" xfId="32795"/>
    <cellStyle name="Normale 4 3 4 16" xfId="33732"/>
    <cellStyle name="Normale 4 3 4 17" xfId="34662"/>
    <cellStyle name="Normale 4 3 4 18" xfId="35588"/>
    <cellStyle name="Normale 4 3 4 19" xfId="36514"/>
    <cellStyle name="Normale 4 3 4 2" xfId="1299"/>
    <cellStyle name="Normale 4 3 4 2 2" xfId="8762"/>
    <cellStyle name="Normale 4 3 4 2 3" xfId="16170"/>
    <cellStyle name="Normale 4 3 4 2 4" xfId="23419"/>
    <cellStyle name="Normale 4 3 4 20" xfId="37434"/>
    <cellStyle name="Normale 4 3 4 3" xfId="2230"/>
    <cellStyle name="Normale 4 3 4 3 2" xfId="9693"/>
    <cellStyle name="Normale 4 3 4 3 3" xfId="17101"/>
    <cellStyle name="Normale 4 3 4 3 4" xfId="28181"/>
    <cellStyle name="Normale 4 3 4 4" xfId="3152"/>
    <cellStyle name="Normale 4 3 4 4 2" xfId="10615"/>
    <cellStyle name="Normale 4 3 4 4 3" xfId="18023"/>
    <cellStyle name="Normale 4 3 4 4 4" xfId="29582"/>
    <cellStyle name="Normale 4 3 4 5" xfId="4085"/>
    <cellStyle name="Normale 4 3 4 5 2" xfId="11548"/>
    <cellStyle name="Normale 4 3 4 5 3" xfId="18956"/>
    <cellStyle name="Normale 4 3 4 5 4" xfId="27945"/>
    <cellStyle name="Normale 4 3 4 6" xfId="5008"/>
    <cellStyle name="Normale 4 3 4 6 2" xfId="12471"/>
    <cellStyle name="Normale 4 3 4 6 3" xfId="19879"/>
    <cellStyle name="Normale 4 3 4 6 4" xfId="26922"/>
    <cellStyle name="Normale 4 3 4 7" xfId="5936"/>
    <cellStyle name="Normale 4 3 4 7 2" xfId="13399"/>
    <cellStyle name="Normale 4 3 4 7 3" xfId="20807"/>
    <cellStyle name="Normale 4 3 4 7 4" xfId="26420"/>
    <cellStyle name="Normale 4 3 4 8" xfId="6856"/>
    <cellStyle name="Normale 4 3 4 8 2" xfId="14319"/>
    <cellStyle name="Normale 4 3 4 8 3" xfId="21727"/>
    <cellStyle name="Normale 4 3 4 8 4" xfId="29604"/>
    <cellStyle name="Normale 4 3 4 9" xfId="7795"/>
    <cellStyle name="Normale 4 3 5" xfId="432"/>
    <cellStyle name="Normale 4 3 5 10" xfId="15305"/>
    <cellStyle name="Normale 4 3 5 11" xfId="22959"/>
    <cellStyle name="Normale 4 3 5 12" xfId="30117"/>
    <cellStyle name="Normale 4 3 5 13" xfId="31049"/>
    <cellStyle name="Normale 4 3 5 14" xfId="31970"/>
    <cellStyle name="Normale 4 3 5 15" xfId="32894"/>
    <cellStyle name="Normale 4 3 5 16" xfId="33832"/>
    <cellStyle name="Normale 4 3 5 17" xfId="34762"/>
    <cellStyle name="Normale 4 3 5 18" xfId="35688"/>
    <cellStyle name="Normale 4 3 5 19" xfId="36614"/>
    <cellStyle name="Normale 4 3 5 2" xfId="1399"/>
    <cellStyle name="Normale 4 3 5 2 2" xfId="8862"/>
    <cellStyle name="Normale 4 3 5 2 3" xfId="16270"/>
    <cellStyle name="Normale 4 3 5 2 4" xfId="27590"/>
    <cellStyle name="Normale 4 3 5 20" xfId="37533"/>
    <cellStyle name="Normale 4 3 5 3" xfId="2330"/>
    <cellStyle name="Normale 4 3 5 3 2" xfId="9793"/>
    <cellStyle name="Normale 4 3 5 3 3" xfId="17201"/>
    <cellStyle name="Normale 4 3 5 3 4" xfId="24804"/>
    <cellStyle name="Normale 4 3 5 4" xfId="3252"/>
    <cellStyle name="Normale 4 3 5 4 2" xfId="10715"/>
    <cellStyle name="Normale 4 3 5 4 3" xfId="18123"/>
    <cellStyle name="Normale 4 3 5 4 4" xfId="23082"/>
    <cellStyle name="Normale 4 3 5 5" xfId="4185"/>
    <cellStyle name="Normale 4 3 5 5 2" xfId="11648"/>
    <cellStyle name="Normale 4 3 5 5 3" xfId="19056"/>
    <cellStyle name="Normale 4 3 5 5 4" xfId="25371"/>
    <cellStyle name="Normale 4 3 5 6" xfId="5108"/>
    <cellStyle name="Normale 4 3 5 6 2" xfId="12571"/>
    <cellStyle name="Normale 4 3 5 6 3" xfId="19979"/>
    <cellStyle name="Normale 4 3 5 6 4" xfId="22589"/>
    <cellStyle name="Normale 4 3 5 7" xfId="6036"/>
    <cellStyle name="Normale 4 3 5 7 2" xfId="13499"/>
    <cellStyle name="Normale 4 3 5 7 3" xfId="20907"/>
    <cellStyle name="Normale 4 3 5 7 4" xfId="22924"/>
    <cellStyle name="Normale 4 3 5 8" xfId="6955"/>
    <cellStyle name="Normale 4 3 5 8 2" xfId="14418"/>
    <cellStyle name="Normale 4 3 5 8 3" xfId="21826"/>
    <cellStyle name="Normale 4 3 5 8 4" xfId="24147"/>
    <cellStyle name="Normale 4 3 5 9" xfId="7895"/>
    <cellStyle name="Normale 4 3 6" xfId="480"/>
    <cellStyle name="Normale 4 3 6 10" xfId="15353"/>
    <cellStyle name="Normale 4 3 6 11" xfId="28947"/>
    <cellStyle name="Normale 4 3 6 12" xfId="30165"/>
    <cellStyle name="Normale 4 3 6 13" xfId="31097"/>
    <cellStyle name="Normale 4 3 6 14" xfId="32018"/>
    <cellStyle name="Normale 4 3 6 15" xfId="32941"/>
    <cellStyle name="Normale 4 3 6 16" xfId="33880"/>
    <cellStyle name="Normale 4 3 6 17" xfId="34810"/>
    <cellStyle name="Normale 4 3 6 18" xfId="35736"/>
    <cellStyle name="Normale 4 3 6 19" xfId="36662"/>
    <cellStyle name="Normale 4 3 6 2" xfId="1447"/>
    <cellStyle name="Normale 4 3 6 2 2" xfId="8910"/>
    <cellStyle name="Normale 4 3 6 2 3" xfId="16318"/>
    <cellStyle name="Normale 4 3 6 2 4" xfId="25823"/>
    <cellStyle name="Normale 4 3 6 20" xfId="37580"/>
    <cellStyle name="Normale 4 3 6 3" xfId="2378"/>
    <cellStyle name="Normale 4 3 6 3 2" xfId="9841"/>
    <cellStyle name="Normale 4 3 6 3 3" xfId="17249"/>
    <cellStyle name="Normale 4 3 6 3 4" xfId="23394"/>
    <cellStyle name="Normale 4 3 6 4" xfId="3300"/>
    <cellStyle name="Normale 4 3 6 4 2" xfId="10763"/>
    <cellStyle name="Normale 4 3 6 4 3" xfId="18171"/>
    <cellStyle name="Normale 4 3 6 4 4" xfId="24285"/>
    <cellStyle name="Normale 4 3 6 5" xfId="4233"/>
    <cellStyle name="Normale 4 3 6 5 2" xfId="11696"/>
    <cellStyle name="Normale 4 3 6 5 3" xfId="19104"/>
    <cellStyle name="Normale 4 3 6 5 4" xfId="24457"/>
    <cellStyle name="Normale 4 3 6 6" xfId="5156"/>
    <cellStyle name="Normale 4 3 6 6 2" xfId="12619"/>
    <cellStyle name="Normale 4 3 6 6 3" xfId="20027"/>
    <cellStyle name="Normale 4 3 6 6 4" xfId="28503"/>
    <cellStyle name="Normale 4 3 6 7" xfId="6084"/>
    <cellStyle name="Normale 4 3 6 7 2" xfId="13547"/>
    <cellStyle name="Normale 4 3 6 7 3" xfId="20955"/>
    <cellStyle name="Normale 4 3 6 7 4" xfId="28570"/>
    <cellStyle name="Normale 4 3 6 8" xfId="7002"/>
    <cellStyle name="Normale 4 3 6 8 2" xfId="14465"/>
    <cellStyle name="Normale 4 3 6 8 3" xfId="21873"/>
    <cellStyle name="Normale 4 3 6 8 4" xfId="24664"/>
    <cellStyle name="Normale 4 3 6 9" xfId="7943"/>
    <cellStyle name="Normale 4 3 7" xfId="528"/>
    <cellStyle name="Normale 4 3 7 10" xfId="15401"/>
    <cellStyle name="Normale 4 3 7 11" xfId="22515"/>
    <cellStyle name="Normale 4 3 7 12" xfId="30212"/>
    <cellStyle name="Normale 4 3 7 13" xfId="31145"/>
    <cellStyle name="Normale 4 3 7 14" xfId="32065"/>
    <cellStyle name="Normale 4 3 7 15" xfId="32987"/>
    <cellStyle name="Normale 4 3 7 16" xfId="33928"/>
    <cellStyle name="Normale 4 3 7 17" xfId="34858"/>
    <cellStyle name="Normale 4 3 7 18" xfId="35784"/>
    <cellStyle name="Normale 4 3 7 19" xfId="36710"/>
    <cellStyle name="Normale 4 3 7 2" xfId="1495"/>
    <cellStyle name="Normale 4 3 7 2 2" xfId="8958"/>
    <cellStyle name="Normale 4 3 7 2 3" xfId="16366"/>
    <cellStyle name="Normale 4 3 7 2 4" xfId="25251"/>
    <cellStyle name="Normale 4 3 7 20" xfId="37626"/>
    <cellStyle name="Normale 4 3 7 3" xfId="2426"/>
    <cellStyle name="Normale 4 3 7 3 2" xfId="9889"/>
    <cellStyle name="Normale 4 3 7 3 3" xfId="17297"/>
    <cellStyle name="Normale 4 3 7 3 4" xfId="24307"/>
    <cellStyle name="Normale 4 3 7 4" xfId="3347"/>
    <cellStyle name="Normale 4 3 7 4 2" xfId="10810"/>
    <cellStyle name="Normale 4 3 7 4 3" xfId="18218"/>
    <cellStyle name="Normale 4 3 7 4 4" xfId="25396"/>
    <cellStyle name="Normale 4 3 7 5" xfId="4281"/>
    <cellStyle name="Normale 4 3 7 5 2" xfId="11744"/>
    <cellStyle name="Normale 4 3 7 5 3" xfId="19152"/>
    <cellStyle name="Normale 4 3 7 5 4" xfId="22935"/>
    <cellStyle name="Normale 4 3 7 6" xfId="5203"/>
    <cellStyle name="Normale 4 3 7 6 2" xfId="12666"/>
    <cellStyle name="Normale 4 3 7 6 3" xfId="20074"/>
    <cellStyle name="Normale 4 3 7 6 4" xfId="29359"/>
    <cellStyle name="Normale 4 3 7 7" xfId="6132"/>
    <cellStyle name="Normale 4 3 7 7 2" xfId="13595"/>
    <cellStyle name="Normale 4 3 7 7 3" xfId="21003"/>
    <cellStyle name="Normale 4 3 7 7 4" xfId="22374"/>
    <cellStyle name="Normale 4 3 7 8" xfId="7048"/>
    <cellStyle name="Normale 4 3 7 8 2" xfId="14511"/>
    <cellStyle name="Normale 4 3 7 8 3" xfId="21919"/>
    <cellStyle name="Normale 4 3 7 8 4" xfId="26558"/>
    <cellStyle name="Normale 4 3 7 9" xfId="7991"/>
    <cellStyle name="Normale 4 3 8" xfId="580"/>
    <cellStyle name="Normale 4 3 8 10" xfId="15453"/>
    <cellStyle name="Normale 4 3 8 11" xfId="23891"/>
    <cellStyle name="Normale 4 3 8 12" xfId="30263"/>
    <cellStyle name="Normale 4 3 8 13" xfId="31197"/>
    <cellStyle name="Normale 4 3 8 14" xfId="32116"/>
    <cellStyle name="Normale 4 3 8 15" xfId="33037"/>
    <cellStyle name="Normale 4 3 8 16" xfId="33980"/>
    <cellStyle name="Normale 4 3 8 17" xfId="34910"/>
    <cellStyle name="Normale 4 3 8 18" xfId="35836"/>
    <cellStyle name="Normale 4 3 8 19" xfId="36762"/>
    <cellStyle name="Normale 4 3 8 2" xfId="1547"/>
    <cellStyle name="Normale 4 3 8 2 2" xfId="9010"/>
    <cellStyle name="Normale 4 3 8 2 3" xfId="16418"/>
    <cellStyle name="Normale 4 3 8 2 4" xfId="28010"/>
    <cellStyle name="Normale 4 3 8 20" xfId="37676"/>
    <cellStyle name="Normale 4 3 8 3" xfId="2478"/>
    <cellStyle name="Normale 4 3 8 3 2" xfId="9941"/>
    <cellStyle name="Normale 4 3 8 3 3" xfId="17349"/>
    <cellStyle name="Normale 4 3 8 3 4" xfId="28368"/>
    <cellStyle name="Normale 4 3 8 4" xfId="3398"/>
    <cellStyle name="Normale 4 3 8 4 2" xfId="10861"/>
    <cellStyle name="Normale 4 3 8 4 3" xfId="18269"/>
    <cellStyle name="Normale 4 3 8 4 4" xfId="28438"/>
    <cellStyle name="Normale 4 3 8 5" xfId="4333"/>
    <cellStyle name="Normale 4 3 8 5 2" xfId="11796"/>
    <cellStyle name="Normale 4 3 8 5 3" xfId="19204"/>
    <cellStyle name="Normale 4 3 8 5 4" xfId="25178"/>
    <cellStyle name="Normale 4 3 8 6" xfId="5254"/>
    <cellStyle name="Normale 4 3 8 6 2" xfId="12717"/>
    <cellStyle name="Normale 4 3 8 6 3" xfId="20125"/>
    <cellStyle name="Normale 4 3 8 6 4" xfId="25155"/>
    <cellStyle name="Normale 4 3 8 7" xfId="6184"/>
    <cellStyle name="Normale 4 3 8 7 2" xfId="13647"/>
    <cellStyle name="Normale 4 3 8 7 3" xfId="21055"/>
    <cellStyle name="Normale 4 3 8 7 4" xfId="26565"/>
    <cellStyle name="Normale 4 3 8 8" xfId="7098"/>
    <cellStyle name="Normale 4 3 8 8 2" xfId="14561"/>
    <cellStyle name="Normale 4 3 8 8 3" xfId="21969"/>
    <cellStyle name="Normale 4 3 8 8 4" xfId="12191"/>
    <cellStyle name="Normale 4 3 8 9" xfId="8043"/>
    <cellStyle name="Normale 4 3 9" xfId="640"/>
    <cellStyle name="Normale 4 3 9 10" xfId="15512"/>
    <cellStyle name="Normale 4 3 9 11" xfId="27109"/>
    <cellStyle name="Normale 4 3 9 12" xfId="30319"/>
    <cellStyle name="Normale 4 3 9 13" xfId="31256"/>
    <cellStyle name="Normale 4 3 9 14" xfId="32173"/>
    <cellStyle name="Normale 4 3 9 15" xfId="33092"/>
    <cellStyle name="Normale 4 3 9 16" xfId="34039"/>
    <cellStyle name="Normale 4 3 9 17" xfId="34970"/>
    <cellStyle name="Normale 4 3 9 18" xfId="35896"/>
    <cellStyle name="Normale 4 3 9 19" xfId="36821"/>
    <cellStyle name="Normale 4 3 9 2" xfId="1606"/>
    <cellStyle name="Normale 4 3 9 2 2" xfId="9069"/>
    <cellStyle name="Normale 4 3 9 2 3" xfId="16477"/>
    <cellStyle name="Normale 4 3 9 2 4" xfId="26943"/>
    <cellStyle name="Normale 4 3 9 20" xfId="37731"/>
    <cellStyle name="Normale 4 3 9 3" xfId="2538"/>
    <cellStyle name="Normale 4 3 9 3 2" xfId="10001"/>
    <cellStyle name="Normale 4 3 9 3 3" xfId="17409"/>
    <cellStyle name="Normale 4 3 9 3 4" xfId="24499"/>
    <cellStyle name="Normale 4 3 9 4" xfId="3456"/>
    <cellStyle name="Normale 4 3 9 4 2" xfId="10919"/>
    <cellStyle name="Normale 4 3 9 4 3" xfId="18327"/>
    <cellStyle name="Normale 4 3 9 4 4" xfId="26530"/>
    <cellStyle name="Normale 4 3 9 5" xfId="4393"/>
    <cellStyle name="Normale 4 3 9 5 2" xfId="11856"/>
    <cellStyle name="Normale 4 3 9 5 3" xfId="19264"/>
    <cellStyle name="Normale 4 3 9 5 4" xfId="23145"/>
    <cellStyle name="Normale 4 3 9 6" xfId="5311"/>
    <cellStyle name="Normale 4 3 9 6 2" xfId="12774"/>
    <cellStyle name="Normale 4 3 9 6 3" xfId="20182"/>
    <cellStyle name="Normale 4 3 9 6 4" xfId="25987"/>
    <cellStyle name="Normale 4 3 9 7" xfId="6244"/>
    <cellStyle name="Normale 4 3 9 7 2" xfId="13707"/>
    <cellStyle name="Normale 4 3 9 7 3" xfId="21115"/>
    <cellStyle name="Normale 4 3 9 7 4" xfId="22559"/>
    <cellStyle name="Normale 4 3 9 8" xfId="7153"/>
    <cellStyle name="Normale 4 3 9 8 2" xfId="14616"/>
    <cellStyle name="Normale 4 3 9 8 3" xfId="22024"/>
    <cellStyle name="Normale 4 3 9 8 4" xfId="25743"/>
    <cellStyle name="Normale 4 3 9 9" xfId="8103"/>
    <cellStyle name="Normale 4 30" xfId="31661"/>
    <cellStyle name="Normale 4 31" xfId="32587"/>
    <cellStyle name="Normale 4 32" xfId="33521"/>
    <cellStyle name="Normale 4 33" xfId="34449"/>
    <cellStyle name="Normale 4 34" xfId="35377"/>
    <cellStyle name="Normale 4 35" xfId="36303"/>
    <cellStyle name="Normale 4 36" xfId="37226"/>
    <cellStyle name="Normale 4 4" xfId="138"/>
    <cellStyle name="Normale 4 4 10" xfId="719"/>
    <cellStyle name="Normale 4 4 10 10" xfId="15590"/>
    <cellStyle name="Normale 4 4 10 11" xfId="24179"/>
    <cellStyle name="Normale 4 4 10 12" xfId="30393"/>
    <cellStyle name="Normale 4 4 10 13" xfId="31334"/>
    <cellStyle name="Normale 4 4 10 14" xfId="32247"/>
    <cellStyle name="Normale 4 4 10 15" xfId="33165"/>
    <cellStyle name="Normale 4 4 10 16" xfId="34117"/>
    <cellStyle name="Normale 4 4 10 17" xfId="35049"/>
    <cellStyle name="Normale 4 4 10 18" xfId="35975"/>
    <cellStyle name="Normale 4 4 10 19" xfId="36900"/>
    <cellStyle name="Normale 4 4 10 2" xfId="1684"/>
    <cellStyle name="Normale 4 4 10 2 2" xfId="9147"/>
    <cellStyle name="Normale 4 4 10 2 3" xfId="16555"/>
    <cellStyle name="Normale 4 4 10 2 4" xfId="27087"/>
    <cellStyle name="Normale 4 4 10 20" xfId="37804"/>
    <cellStyle name="Normale 4 4 10 3" xfId="2617"/>
    <cellStyle name="Normale 4 4 10 3 2" xfId="10080"/>
    <cellStyle name="Normale 4 4 10 3 3" xfId="17488"/>
    <cellStyle name="Normale 4 4 10 3 4" xfId="23671"/>
    <cellStyle name="Normale 4 4 10 4" xfId="3533"/>
    <cellStyle name="Normale 4 4 10 4 2" xfId="10996"/>
    <cellStyle name="Normale 4 4 10 4 3" xfId="18404"/>
    <cellStyle name="Normale 4 4 10 4 4" xfId="28872"/>
    <cellStyle name="Normale 4 4 10 5" xfId="4472"/>
    <cellStyle name="Normale 4 4 10 5 2" xfId="11935"/>
    <cellStyle name="Normale 4 4 10 5 3" xfId="19343"/>
    <cellStyle name="Normale 4 4 10 5 4" xfId="26524"/>
    <cellStyle name="Normale 4 4 10 6" xfId="5388"/>
    <cellStyle name="Normale 4 4 10 6 2" xfId="12851"/>
    <cellStyle name="Normale 4 4 10 6 3" xfId="20259"/>
    <cellStyle name="Normale 4 4 10 6 4" xfId="26993"/>
    <cellStyle name="Normale 4 4 10 7" xfId="6321"/>
    <cellStyle name="Normale 4 4 10 7 2" xfId="13784"/>
    <cellStyle name="Normale 4 4 10 7 3" xfId="21192"/>
    <cellStyle name="Normale 4 4 10 7 4" xfId="23695"/>
    <cellStyle name="Normale 4 4 10 8" xfId="7226"/>
    <cellStyle name="Normale 4 4 10 8 2" xfId="14689"/>
    <cellStyle name="Normale 4 4 10 8 3" xfId="22097"/>
    <cellStyle name="Normale 4 4 10 8 4" xfId="28056"/>
    <cellStyle name="Normale 4 4 10 9" xfId="8182"/>
    <cellStyle name="Normale 4 4 11" xfId="791"/>
    <cellStyle name="Normale 4 4 11 10" xfId="15662"/>
    <cellStyle name="Normale 4 4 11 11" xfId="29681"/>
    <cellStyle name="Normale 4 4 11 12" xfId="30463"/>
    <cellStyle name="Normale 4 4 11 13" xfId="31406"/>
    <cellStyle name="Normale 4 4 11 14" xfId="32318"/>
    <cellStyle name="Normale 4 4 11 15" xfId="33234"/>
    <cellStyle name="Normale 4 4 11 16" xfId="34189"/>
    <cellStyle name="Normale 4 4 11 17" xfId="35121"/>
    <cellStyle name="Normale 4 4 11 18" xfId="36047"/>
    <cellStyle name="Normale 4 4 11 19" xfId="36972"/>
    <cellStyle name="Normale 4 4 11 2" xfId="1756"/>
    <cellStyle name="Normale 4 4 11 2 2" xfId="9219"/>
    <cellStyle name="Normale 4 4 11 2 3" xfId="16627"/>
    <cellStyle name="Normale 4 4 11 2 4" xfId="28631"/>
    <cellStyle name="Normale 4 4 11 20" xfId="37873"/>
    <cellStyle name="Normale 4 4 11 3" xfId="2689"/>
    <cellStyle name="Normale 4 4 11 3 2" xfId="10152"/>
    <cellStyle name="Normale 4 4 11 3 3" xfId="17560"/>
    <cellStyle name="Normale 4 4 11 3 4" xfId="24190"/>
    <cellStyle name="Normale 4 4 11 4" xfId="3604"/>
    <cellStyle name="Normale 4 4 11 4 2" xfId="11067"/>
    <cellStyle name="Normale 4 4 11 4 3" xfId="18475"/>
    <cellStyle name="Normale 4 4 11 4 4" xfId="22744"/>
    <cellStyle name="Normale 4 4 11 5" xfId="4544"/>
    <cellStyle name="Normale 4 4 11 5 2" xfId="12007"/>
    <cellStyle name="Normale 4 4 11 5 3" xfId="19415"/>
    <cellStyle name="Normale 4 4 11 5 4" xfId="27933"/>
    <cellStyle name="Normale 4 4 11 6" xfId="5459"/>
    <cellStyle name="Normale 4 4 11 6 2" xfId="12922"/>
    <cellStyle name="Normale 4 4 11 6 3" xfId="20330"/>
    <cellStyle name="Normale 4 4 11 6 4" xfId="29499"/>
    <cellStyle name="Normale 4 4 11 7" xfId="6393"/>
    <cellStyle name="Normale 4 4 11 7 2" xfId="13856"/>
    <cellStyle name="Normale 4 4 11 7 3" xfId="21264"/>
    <cellStyle name="Normale 4 4 11 7 4" xfId="24661"/>
    <cellStyle name="Normale 4 4 11 8" xfId="7295"/>
    <cellStyle name="Normale 4 4 11 8 2" xfId="14758"/>
    <cellStyle name="Normale 4 4 11 8 3" xfId="22166"/>
    <cellStyle name="Normale 4 4 11 8 4" xfId="24907"/>
    <cellStyle name="Normale 4 4 11 9" xfId="8254"/>
    <cellStyle name="Normale 4 4 12" xfId="864"/>
    <cellStyle name="Normale 4 4 12 10" xfId="15735"/>
    <cellStyle name="Normale 4 4 12 11" xfId="26819"/>
    <cellStyle name="Normale 4 4 12 12" xfId="30533"/>
    <cellStyle name="Normale 4 4 12 13" xfId="31479"/>
    <cellStyle name="Normale 4 4 12 14" xfId="32390"/>
    <cellStyle name="Normale 4 4 12 15" xfId="33303"/>
    <cellStyle name="Normale 4 4 12 16" xfId="34262"/>
    <cellStyle name="Normale 4 4 12 17" xfId="35194"/>
    <cellStyle name="Normale 4 4 12 18" xfId="36120"/>
    <cellStyle name="Normale 4 4 12 19" xfId="37045"/>
    <cellStyle name="Normale 4 4 12 2" xfId="1829"/>
    <cellStyle name="Normale 4 4 12 2 2" xfId="9292"/>
    <cellStyle name="Normale 4 4 12 2 3" xfId="16700"/>
    <cellStyle name="Normale 4 4 12 2 4" xfId="23407"/>
    <cellStyle name="Normale 4 4 12 20" xfId="37942"/>
    <cellStyle name="Normale 4 4 12 3" xfId="2762"/>
    <cellStyle name="Normale 4 4 12 3 2" xfId="10225"/>
    <cellStyle name="Normale 4 4 12 3 3" xfId="17633"/>
    <cellStyle name="Normale 4 4 12 3 4" xfId="22945"/>
    <cellStyle name="Normale 4 4 12 4" xfId="3676"/>
    <cellStyle name="Normale 4 4 12 4 2" xfId="11139"/>
    <cellStyle name="Normale 4 4 12 4 3" xfId="18547"/>
    <cellStyle name="Normale 4 4 12 4 4" xfId="23214"/>
    <cellStyle name="Normale 4 4 12 5" xfId="4617"/>
    <cellStyle name="Normale 4 4 12 5 2" xfId="12080"/>
    <cellStyle name="Normale 4 4 12 5 3" xfId="19488"/>
    <cellStyle name="Normale 4 4 12 5 4" xfId="24448"/>
    <cellStyle name="Normale 4 4 12 6" xfId="5531"/>
    <cellStyle name="Normale 4 4 12 6 2" xfId="12994"/>
    <cellStyle name="Normale 4 4 12 6 3" xfId="20402"/>
    <cellStyle name="Normale 4 4 12 6 4" xfId="25147"/>
    <cellStyle name="Normale 4 4 12 7" xfId="6466"/>
    <cellStyle name="Normale 4 4 12 7 2" xfId="13929"/>
    <cellStyle name="Normale 4 4 12 7 3" xfId="21337"/>
    <cellStyle name="Normale 4 4 12 7 4" xfId="22366"/>
    <cellStyle name="Normale 4 4 12 8" xfId="7364"/>
    <cellStyle name="Normale 4 4 12 8 2" xfId="14827"/>
    <cellStyle name="Normale 4 4 12 8 3" xfId="22235"/>
    <cellStyle name="Normale 4 4 12 8 4" xfId="26220"/>
    <cellStyle name="Normale 4 4 12 9" xfId="8327"/>
    <cellStyle name="Normale 4 4 13" xfId="934"/>
    <cellStyle name="Normale 4 4 13 10" xfId="15805"/>
    <cellStyle name="Normale 4 4 13 11" xfId="28430"/>
    <cellStyle name="Normale 4 4 13 12" xfId="30600"/>
    <cellStyle name="Normale 4 4 13 13" xfId="31548"/>
    <cellStyle name="Normale 4 4 13 14" xfId="32459"/>
    <cellStyle name="Normale 4 4 13 15" xfId="33369"/>
    <cellStyle name="Normale 4 4 13 16" xfId="34332"/>
    <cellStyle name="Normale 4 4 13 17" xfId="35264"/>
    <cellStyle name="Normale 4 4 13 18" xfId="36189"/>
    <cellStyle name="Normale 4 4 13 19" xfId="37115"/>
    <cellStyle name="Normale 4 4 13 2" xfId="1899"/>
    <cellStyle name="Normale 4 4 13 2 2" xfId="9362"/>
    <cellStyle name="Normale 4 4 13 2 3" xfId="16770"/>
    <cellStyle name="Normale 4 4 13 2 4" xfId="26800"/>
    <cellStyle name="Normale 4 4 13 20" xfId="38008"/>
    <cellStyle name="Normale 4 4 13 3" xfId="2831"/>
    <cellStyle name="Normale 4 4 13 3 2" xfId="10294"/>
    <cellStyle name="Normale 4 4 13 3 3" xfId="17702"/>
    <cellStyle name="Normale 4 4 13 3 4" xfId="25216"/>
    <cellStyle name="Normale 4 4 13 4" xfId="3746"/>
    <cellStyle name="Normale 4 4 13 4 2" xfId="11209"/>
    <cellStyle name="Normale 4 4 13 4 3" xfId="18617"/>
    <cellStyle name="Normale 4 4 13 4 4" xfId="24588"/>
    <cellStyle name="Normale 4 4 13 5" xfId="4687"/>
    <cellStyle name="Normale 4 4 13 5 2" xfId="12150"/>
    <cellStyle name="Normale 4 4 13 5 3" xfId="19558"/>
    <cellStyle name="Normale 4 4 13 5 4" xfId="26289"/>
    <cellStyle name="Normale 4 4 13 6" xfId="5601"/>
    <cellStyle name="Normale 4 4 13 6 2" xfId="13064"/>
    <cellStyle name="Normale 4 4 13 6 3" xfId="20472"/>
    <cellStyle name="Normale 4 4 13 6 4" xfId="28607"/>
    <cellStyle name="Normale 4 4 13 7" xfId="6536"/>
    <cellStyle name="Normale 4 4 13 7 2" xfId="13999"/>
    <cellStyle name="Normale 4 4 13 7 3" xfId="21407"/>
    <cellStyle name="Normale 4 4 13 7 4" xfId="23480"/>
    <cellStyle name="Normale 4 4 13 8" xfId="7430"/>
    <cellStyle name="Normale 4 4 13 8 2" xfId="14893"/>
    <cellStyle name="Normale 4 4 13 8 3" xfId="22301"/>
    <cellStyle name="Normale 4 4 13 8 4" xfId="25835"/>
    <cellStyle name="Normale 4 4 13 9" xfId="8397"/>
    <cellStyle name="Normale 4 4 14" xfId="1111"/>
    <cellStyle name="Normale 4 4 14 2" xfId="8574"/>
    <cellStyle name="Normale 4 4 14 3" xfId="15982"/>
    <cellStyle name="Normale 4 4 14 4" xfId="26184"/>
    <cellStyle name="Normale 4 4 15" xfId="2038"/>
    <cellStyle name="Normale 4 4 15 2" xfId="9501"/>
    <cellStyle name="Normale 4 4 15 3" xfId="16909"/>
    <cellStyle name="Normale 4 4 15 4" xfId="28268"/>
    <cellStyle name="Normale 4 4 16" xfId="2964"/>
    <cellStyle name="Normale 4 4 16 2" xfId="10427"/>
    <cellStyle name="Normale 4 4 16 3" xfId="17835"/>
    <cellStyle name="Normale 4 4 16 4" xfId="27972"/>
    <cellStyle name="Normale 4 4 17" xfId="3893"/>
    <cellStyle name="Normale 4 4 17 2" xfId="11356"/>
    <cellStyle name="Normale 4 4 17 3" xfId="18764"/>
    <cellStyle name="Normale 4 4 17 4" xfId="24069"/>
    <cellStyle name="Normale 4 4 18" xfId="4820"/>
    <cellStyle name="Normale 4 4 18 2" xfId="12283"/>
    <cellStyle name="Normale 4 4 18 3" xfId="19691"/>
    <cellStyle name="Normale 4 4 18 4" xfId="29027"/>
    <cellStyle name="Normale 4 4 19" xfId="5747"/>
    <cellStyle name="Normale 4 4 19 2" xfId="13210"/>
    <cellStyle name="Normale 4 4 19 3" xfId="20618"/>
    <cellStyle name="Normale 4 4 19 4" xfId="23275"/>
    <cellStyle name="Normale 4 4 2" xfId="139"/>
    <cellStyle name="Normale 4 4 2 10" xfId="6670"/>
    <cellStyle name="Normale 4 4 2 10 2" xfId="14133"/>
    <cellStyle name="Normale 4 4 2 10 3" xfId="21541"/>
    <cellStyle name="Normale 4 4 2 10 4" xfId="25311"/>
    <cellStyle name="Normale 4 4 2 11" xfId="7604"/>
    <cellStyle name="Normale 4 4 2 12" xfId="15013"/>
    <cellStyle name="Normale 4 4 2 13" xfId="26502"/>
    <cellStyle name="Normale 4 4 2 14" xfId="29830"/>
    <cellStyle name="Normale 4 4 2 15" xfId="30760"/>
    <cellStyle name="Normale 4 4 2 16" xfId="31683"/>
    <cellStyle name="Normale 4 4 2 17" xfId="32609"/>
    <cellStyle name="Normale 4 4 2 18" xfId="33543"/>
    <cellStyle name="Normale 4 4 2 19" xfId="34471"/>
    <cellStyle name="Normale 4 4 2 2" xfId="140"/>
    <cellStyle name="Normale 4 4 2 2 10" xfId="7605"/>
    <cellStyle name="Normale 4 4 2 2 11" xfId="15014"/>
    <cellStyle name="Normale 4 4 2 2 12" xfId="25574"/>
    <cellStyle name="Normale 4 4 2 2 13" xfId="29831"/>
    <cellStyle name="Normale 4 4 2 2 14" xfId="30761"/>
    <cellStyle name="Normale 4 4 2 2 15" xfId="31684"/>
    <cellStyle name="Normale 4 4 2 2 16" xfId="32610"/>
    <cellStyle name="Normale 4 4 2 2 17" xfId="33544"/>
    <cellStyle name="Normale 4 4 2 2 18" xfId="34472"/>
    <cellStyle name="Normale 4 4 2 2 19" xfId="35400"/>
    <cellStyle name="Normale 4 4 2 2 2" xfId="338"/>
    <cellStyle name="Normale 4 4 2 2 2 10" xfId="15211"/>
    <cellStyle name="Normale 4 4 2 2 2 11" xfId="28229"/>
    <cellStyle name="Normale 4 4 2 2 2 12" xfId="30023"/>
    <cellStyle name="Normale 4 4 2 2 2 13" xfId="30955"/>
    <cellStyle name="Normale 4 4 2 2 2 14" xfId="31876"/>
    <cellStyle name="Normale 4 4 2 2 2 15" xfId="32801"/>
    <cellStyle name="Normale 4 4 2 2 2 16" xfId="33738"/>
    <cellStyle name="Normale 4 4 2 2 2 17" xfId="34668"/>
    <cellStyle name="Normale 4 4 2 2 2 18" xfId="35594"/>
    <cellStyle name="Normale 4 4 2 2 2 19" xfId="36520"/>
    <cellStyle name="Normale 4 4 2 2 2 2" xfId="1305"/>
    <cellStyle name="Normale 4 4 2 2 2 2 2" xfId="8768"/>
    <cellStyle name="Normale 4 4 2 2 2 2 3" xfId="16176"/>
    <cellStyle name="Normale 4 4 2 2 2 2 4" xfId="26011"/>
    <cellStyle name="Normale 4 4 2 2 2 20" xfId="37440"/>
    <cellStyle name="Normale 4 4 2 2 2 3" xfId="2236"/>
    <cellStyle name="Normale 4 4 2 2 2 3 2" xfId="9699"/>
    <cellStyle name="Normale 4 4 2 2 2 3 3" xfId="17107"/>
    <cellStyle name="Normale 4 4 2 2 2 3 4" xfId="28906"/>
    <cellStyle name="Normale 4 4 2 2 2 4" xfId="3158"/>
    <cellStyle name="Normale 4 4 2 2 2 4 2" xfId="10621"/>
    <cellStyle name="Normale 4 4 2 2 2 4 3" xfId="18029"/>
    <cellStyle name="Normale 4 4 2 2 2 4 4" xfId="24095"/>
    <cellStyle name="Normale 4 4 2 2 2 5" xfId="4091"/>
    <cellStyle name="Normale 4 4 2 2 2 5 2" xfId="11554"/>
    <cellStyle name="Normale 4 4 2 2 2 5 3" xfId="18962"/>
    <cellStyle name="Normale 4 4 2 2 2 5 4" xfId="22616"/>
    <cellStyle name="Normale 4 4 2 2 2 6" xfId="5014"/>
    <cellStyle name="Normale 4 4 2 2 2 6 2" xfId="12477"/>
    <cellStyle name="Normale 4 4 2 2 2 6 3" xfId="19885"/>
    <cellStyle name="Normale 4 4 2 2 2 6 4" xfId="28683"/>
    <cellStyle name="Normale 4 4 2 2 2 7" xfId="5942"/>
    <cellStyle name="Normale 4 4 2 2 2 7 2" xfId="13405"/>
    <cellStyle name="Normale 4 4 2 2 2 7 3" xfId="20813"/>
    <cellStyle name="Normale 4 4 2 2 2 7 4" xfId="28086"/>
    <cellStyle name="Normale 4 4 2 2 2 8" xfId="6862"/>
    <cellStyle name="Normale 4 4 2 2 2 8 2" xfId="14325"/>
    <cellStyle name="Normale 4 4 2 2 2 8 3" xfId="21733"/>
    <cellStyle name="Normale 4 4 2 2 2 8 4" xfId="24118"/>
    <cellStyle name="Normale 4 4 2 2 2 9" xfId="7801"/>
    <cellStyle name="Normale 4 4 2 2 20" xfId="36326"/>
    <cellStyle name="Normale 4 4 2 2 21" xfId="37249"/>
    <cellStyle name="Normale 4 4 2 2 3" xfId="1113"/>
    <cellStyle name="Normale 4 4 2 2 3 2" xfId="8576"/>
    <cellStyle name="Normale 4 4 2 2 3 3" xfId="15984"/>
    <cellStyle name="Normale 4 4 2 2 3 4" xfId="24342"/>
    <cellStyle name="Normale 4 4 2 2 4" xfId="2040"/>
    <cellStyle name="Normale 4 4 2 2 4 2" xfId="9503"/>
    <cellStyle name="Normale 4 4 2 2 4 3" xfId="16911"/>
    <cellStyle name="Normale 4 4 2 2 4 4" xfId="26436"/>
    <cellStyle name="Normale 4 4 2 2 5" xfId="2966"/>
    <cellStyle name="Normale 4 4 2 2 5 2" xfId="10429"/>
    <cellStyle name="Normale 4 4 2 2 5 3" xfId="17837"/>
    <cellStyle name="Normale 4 4 2 2 5 4" xfId="26135"/>
    <cellStyle name="Normale 4 4 2 2 6" xfId="3895"/>
    <cellStyle name="Normale 4 4 2 2 6 2" xfId="11358"/>
    <cellStyle name="Normale 4 4 2 2 6 3" xfId="18766"/>
    <cellStyle name="Normale 4 4 2 2 6 4" xfId="29491"/>
    <cellStyle name="Normale 4 4 2 2 7" xfId="4822"/>
    <cellStyle name="Normale 4 4 2 2 7 2" xfId="12285"/>
    <cellStyle name="Normale 4 4 2 2 7 3" xfId="19693"/>
    <cellStyle name="Normale 4 4 2 2 7 4" xfId="27195"/>
    <cellStyle name="Normale 4 4 2 2 8" xfId="5749"/>
    <cellStyle name="Normale 4 4 2 2 8 2" xfId="13212"/>
    <cellStyle name="Normale 4 4 2 2 8 3" xfId="20620"/>
    <cellStyle name="Normale 4 4 2 2 8 4" xfId="29153"/>
    <cellStyle name="Normale 4 4 2 2 9" xfId="6671"/>
    <cellStyle name="Normale 4 4 2 2 9 2" xfId="14134"/>
    <cellStyle name="Normale 4 4 2 2 9 3" xfId="21542"/>
    <cellStyle name="Normale 4 4 2 2 9 4" xfId="24395"/>
    <cellStyle name="Normale 4 4 2 20" xfId="35399"/>
    <cellStyle name="Normale 4 4 2 21" xfId="36325"/>
    <cellStyle name="Normale 4 4 2 22" xfId="37248"/>
    <cellStyle name="Normale 4 4 2 3" xfId="337"/>
    <cellStyle name="Normale 4 4 2 3 10" xfId="15210"/>
    <cellStyle name="Normale 4 4 2 3 11" xfId="29139"/>
    <cellStyle name="Normale 4 4 2 3 12" xfId="30022"/>
    <cellStyle name="Normale 4 4 2 3 13" xfId="30954"/>
    <cellStyle name="Normale 4 4 2 3 14" xfId="31875"/>
    <cellStyle name="Normale 4 4 2 3 15" xfId="32800"/>
    <cellStyle name="Normale 4 4 2 3 16" xfId="33737"/>
    <cellStyle name="Normale 4 4 2 3 17" xfId="34667"/>
    <cellStyle name="Normale 4 4 2 3 18" xfId="35593"/>
    <cellStyle name="Normale 4 4 2 3 19" xfId="36519"/>
    <cellStyle name="Normale 4 4 2 3 2" xfId="1304"/>
    <cellStyle name="Normale 4 4 2 3 2 2" xfId="8767"/>
    <cellStyle name="Normale 4 4 2 3 2 3" xfId="16175"/>
    <cellStyle name="Normale 4 4 2 3 2 4" xfId="26944"/>
    <cellStyle name="Normale 4 4 2 3 20" xfId="37439"/>
    <cellStyle name="Normale 4 4 2 3 3" xfId="2235"/>
    <cellStyle name="Normale 4 4 2 3 3 2" xfId="9698"/>
    <cellStyle name="Normale 4 4 2 3 3 3" xfId="17106"/>
    <cellStyle name="Normale 4 4 2 3 3 4" xfId="23586"/>
    <cellStyle name="Normale 4 4 2 3 4" xfId="3157"/>
    <cellStyle name="Normale 4 4 2 3 4 2" xfId="10620"/>
    <cellStyle name="Normale 4 4 2 3 4 3" xfId="18028"/>
    <cellStyle name="Normale 4 4 2 3 4 4" xfId="25021"/>
    <cellStyle name="Normale 4 4 2 3 5" xfId="4090"/>
    <cellStyle name="Normale 4 4 2 3 5 2" xfId="11553"/>
    <cellStyle name="Normale 4 4 2 3 5 3" xfId="18961"/>
    <cellStyle name="Normale 4 4 2 3 5 4" xfId="23350"/>
    <cellStyle name="Normale 4 4 2 3 6" xfId="5013"/>
    <cellStyle name="Normale 4 4 2 3 6 2" xfId="12476"/>
    <cellStyle name="Normale 4 4 2 3 6 3" xfId="19884"/>
    <cellStyle name="Normale 4 4 2 3 6 4" xfId="29570"/>
    <cellStyle name="Normale 4 4 2 3 7" xfId="5941"/>
    <cellStyle name="Normale 4 4 2 3 7 2" xfId="13404"/>
    <cellStyle name="Normale 4 4 2 3 7 3" xfId="20812"/>
    <cellStyle name="Normale 4 4 2 3 7 4" xfId="28996"/>
    <cellStyle name="Normale 4 4 2 3 8" xfId="6861"/>
    <cellStyle name="Normale 4 4 2 3 8 2" xfId="14324"/>
    <cellStyle name="Normale 4 4 2 3 8 3" xfId="21732"/>
    <cellStyle name="Normale 4 4 2 3 8 4" xfId="25044"/>
    <cellStyle name="Normale 4 4 2 3 9" xfId="7800"/>
    <cellStyle name="Normale 4 4 2 4" xfId="1112"/>
    <cellStyle name="Normale 4 4 2 4 2" xfId="8575"/>
    <cellStyle name="Normale 4 4 2 4 3" xfId="15983"/>
    <cellStyle name="Normale 4 4 2 4 4" xfId="25261"/>
    <cellStyle name="Normale 4 4 2 5" xfId="2039"/>
    <cellStyle name="Normale 4 4 2 5 2" xfId="9502"/>
    <cellStyle name="Normale 4 4 2 5 3" xfId="16910"/>
    <cellStyle name="Normale 4 4 2 5 4" xfId="27344"/>
    <cellStyle name="Normale 4 4 2 6" xfId="2965"/>
    <cellStyle name="Normale 4 4 2 6 2" xfId="10428"/>
    <cellStyle name="Normale 4 4 2 6 3" xfId="17836"/>
    <cellStyle name="Normale 4 4 2 6 4" xfId="27053"/>
    <cellStyle name="Normale 4 4 2 7" xfId="3894"/>
    <cellStyle name="Normale 4 4 2 7 2" xfId="11357"/>
    <cellStyle name="Normale 4 4 2 7 3" xfId="18765"/>
    <cellStyle name="Normale 4 4 2 7 4" xfId="23062"/>
    <cellStyle name="Normale 4 4 2 8" xfId="4821"/>
    <cellStyle name="Normale 4 4 2 8 2" xfId="12284"/>
    <cellStyle name="Normale 4 4 2 8 3" xfId="19692"/>
    <cellStyle name="Normale 4 4 2 8 4" xfId="28117"/>
    <cellStyle name="Normale 4 4 2 9" xfId="5748"/>
    <cellStyle name="Normale 4 4 2 9 2" xfId="13211"/>
    <cellStyle name="Normale 4 4 2 9 3" xfId="20619"/>
    <cellStyle name="Normale 4 4 2 9 4" xfId="22723"/>
    <cellStyle name="Normale 4 4 20" xfId="6669"/>
    <cellStyle name="Normale 4 4 20 2" xfId="14132"/>
    <cellStyle name="Normale 4 4 20 3" xfId="21540"/>
    <cellStyle name="Normale 4 4 20 4" xfId="26238"/>
    <cellStyle name="Normale 4 4 21" xfId="7603"/>
    <cellStyle name="Normale 4 4 22" xfId="15012"/>
    <cellStyle name="Normale 4 4 23" xfId="27410"/>
    <cellStyle name="Normale 4 4 24" xfId="29829"/>
    <cellStyle name="Normale 4 4 25" xfId="30759"/>
    <cellStyle name="Normale 4 4 26" xfId="31682"/>
    <cellStyle name="Normale 4 4 27" xfId="32608"/>
    <cellStyle name="Normale 4 4 28" xfId="33542"/>
    <cellStyle name="Normale 4 4 29" xfId="34470"/>
    <cellStyle name="Normale 4 4 3" xfId="141"/>
    <cellStyle name="Normale 4 4 3 10" xfId="7606"/>
    <cellStyle name="Normale 4 4 3 11" xfId="15015"/>
    <cellStyle name="Normale 4 4 3 12" xfId="24657"/>
    <cellStyle name="Normale 4 4 3 13" xfId="29832"/>
    <cellStyle name="Normale 4 4 3 14" xfId="30762"/>
    <cellStyle name="Normale 4 4 3 15" xfId="31685"/>
    <cellStyle name="Normale 4 4 3 16" xfId="32611"/>
    <cellStyle name="Normale 4 4 3 17" xfId="33545"/>
    <cellStyle name="Normale 4 4 3 18" xfId="34473"/>
    <cellStyle name="Normale 4 4 3 19" xfId="35401"/>
    <cellStyle name="Normale 4 4 3 2" xfId="339"/>
    <cellStyle name="Normale 4 4 3 2 10" xfId="15212"/>
    <cellStyle name="Normale 4 4 3 2 11" xfId="27305"/>
    <cellStyle name="Normale 4 4 3 2 12" xfId="30024"/>
    <cellStyle name="Normale 4 4 3 2 13" xfId="30956"/>
    <cellStyle name="Normale 4 4 3 2 14" xfId="31877"/>
    <cellStyle name="Normale 4 4 3 2 15" xfId="32802"/>
    <cellStyle name="Normale 4 4 3 2 16" xfId="33739"/>
    <cellStyle name="Normale 4 4 3 2 17" xfId="34669"/>
    <cellStyle name="Normale 4 4 3 2 18" xfId="35595"/>
    <cellStyle name="Normale 4 4 3 2 19" xfId="36521"/>
    <cellStyle name="Normale 4 4 3 2 2" xfId="1306"/>
    <cellStyle name="Normale 4 4 3 2 2 2" xfId="8769"/>
    <cellStyle name="Normale 4 4 3 2 2 3" xfId="16177"/>
    <cellStyle name="Normale 4 4 3 2 2 4" xfId="25101"/>
    <cellStyle name="Normale 4 4 3 2 20" xfId="37441"/>
    <cellStyle name="Normale 4 4 3 2 3" xfId="2237"/>
    <cellStyle name="Normale 4 4 3 2 3 2" xfId="9700"/>
    <cellStyle name="Normale 4 4 3 2 3 3" xfId="17108"/>
    <cellStyle name="Normale 4 4 3 2 3 4" xfId="27993"/>
    <cellStyle name="Normale 4 4 3 2 4" xfId="3159"/>
    <cellStyle name="Normale 4 4 3 2 4 2" xfId="10622"/>
    <cellStyle name="Normale 4 4 3 2 4 3" xfId="18030"/>
    <cellStyle name="Normale 4 4 3 2 4 4" xfId="23084"/>
    <cellStyle name="Normale 4 4 3 2 5" xfId="4092"/>
    <cellStyle name="Normale 4 4 3 2 5 2" xfId="11555"/>
    <cellStyle name="Normale 4 4 3 2 5 3" xfId="18963"/>
    <cellStyle name="Normale 4 4 3 2 5 4" xfId="29046"/>
    <cellStyle name="Normale 4 4 3 2 6" xfId="5015"/>
    <cellStyle name="Normale 4 4 3 2 6 2" xfId="12478"/>
    <cellStyle name="Normale 4 4 3 2 6 3" xfId="19886"/>
    <cellStyle name="Normale 4 4 3 2 6 4" xfId="27755"/>
    <cellStyle name="Normale 4 4 3 2 7" xfId="5943"/>
    <cellStyle name="Normale 4 4 3 2 7 2" xfId="13406"/>
    <cellStyle name="Normale 4 4 3 2 7 3" xfId="20814"/>
    <cellStyle name="Normale 4 4 3 2 7 4" xfId="27164"/>
    <cellStyle name="Normale 4 4 3 2 8" xfId="6863"/>
    <cellStyle name="Normale 4 4 3 2 8 2" xfId="14326"/>
    <cellStyle name="Normale 4 4 3 2 8 3" xfId="21734"/>
    <cellStyle name="Normale 4 4 3 2 8 4" xfId="23107"/>
    <cellStyle name="Normale 4 4 3 2 9" xfId="7802"/>
    <cellStyle name="Normale 4 4 3 20" xfId="36327"/>
    <cellStyle name="Normale 4 4 3 21" xfId="37250"/>
    <cellStyle name="Normale 4 4 3 3" xfId="1114"/>
    <cellStyle name="Normale 4 4 3 3 2" xfId="8577"/>
    <cellStyle name="Normale 4 4 3 3 3" xfId="15985"/>
    <cellStyle name="Normale 4 4 3 3 4" xfId="23426"/>
    <cellStyle name="Normale 4 4 3 4" xfId="2041"/>
    <cellStyle name="Normale 4 4 3 4 2" xfId="9504"/>
    <cellStyle name="Normale 4 4 3 4 3" xfId="16912"/>
    <cellStyle name="Normale 4 4 3 4 4" xfId="25508"/>
    <cellStyle name="Normale 4 4 3 5" xfId="2967"/>
    <cellStyle name="Normale 4 4 3 5 2" xfId="10430"/>
    <cellStyle name="Normale 4 4 3 5 3" xfId="17838"/>
    <cellStyle name="Normale 4 4 3 5 4" xfId="25212"/>
    <cellStyle name="Normale 4 4 3 6" xfId="3896"/>
    <cellStyle name="Normale 4 4 3 6 2" xfId="11359"/>
    <cellStyle name="Normale 4 4 3 6 3" xfId="18767"/>
    <cellStyle name="Normale 4 4 3 6 4" xfId="28598"/>
    <cellStyle name="Normale 4 4 3 7" xfId="4823"/>
    <cellStyle name="Normale 4 4 3 7 2" xfId="12286"/>
    <cellStyle name="Normale 4 4 3 7 3" xfId="19694"/>
    <cellStyle name="Normale 4 4 3 7 4" xfId="26285"/>
    <cellStyle name="Normale 4 4 3 8" xfId="5750"/>
    <cellStyle name="Normale 4 4 3 8 2" xfId="13213"/>
    <cellStyle name="Normale 4 4 3 8 3" xfId="20621"/>
    <cellStyle name="Normale 4 4 3 8 4" xfId="28245"/>
    <cellStyle name="Normale 4 4 3 9" xfId="6672"/>
    <cellStyle name="Normale 4 4 3 9 2" xfId="14135"/>
    <cellStyle name="Normale 4 4 3 9 3" xfId="21543"/>
    <cellStyle name="Normale 4 4 3 9 4" xfId="23476"/>
    <cellStyle name="Normale 4 4 30" xfId="35398"/>
    <cellStyle name="Normale 4 4 31" xfId="36324"/>
    <cellStyle name="Normale 4 4 32" xfId="37247"/>
    <cellStyle name="Normale 4 4 4" xfId="336"/>
    <cellStyle name="Normale 4 4 4 10" xfId="15209"/>
    <cellStyle name="Normale 4 4 4 11" xfId="22708"/>
    <cellStyle name="Normale 4 4 4 12" xfId="30021"/>
    <cellStyle name="Normale 4 4 4 13" xfId="30953"/>
    <cellStyle name="Normale 4 4 4 14" xfId="31874"/>
    <cellStyle name="Normale 4 4 4 15" xfId="32799"/>
    <cellStyle name="Normale 4 4 4 16" xfId="33736"/>
    <cellStyle name="Normale 4 4 4 17" xfId="34666"/>
    <cellStyle name="Normale 4 4 4 18" xfId="35592"/>
    <cellStyle name="Normale 4 4 4 19" xfId="36518"/>
    <cellStyle name="Normale 4 4 4 2" xfId="1303"/>
    <cellStyle name="Normale 4 4 4 2 2" xfId="8766"/>
    <cellStyle name="Normale 4 4 4 2 3" xfId="16174"/>
    <cellStyle name="Normale 4 4 4 2 4" xfId="27847"/>
    <cellStyle name="Normale 4 4 4 20" xfId="37438"/>
    <cellStyle name="Normale 4 4 4 3" xfId="2234"/>
    <cellStyle name="Normale 4 4 4 3 2" xfId="9697"/>
    <cellStyle name="Normale 4 4 4 3 3" xfId="17105"/>
    <cellStyle name="Normale 4 4 4 3 4" xfId="24506"/>
    <cellStyle name="Normale 4 4 4 4" xfId="3156"/>
    <cellStyle name="Normale 4 4 4 4 2" xfId="10619"/>
    <cellStyle name="Normale 4 4 4 4 3" xfId="18027"/>
    <cellStyle name="Normale 4 4 4 4 4" xfId="25930"/>
    <cellStyle name="Normale 4 4 4 5" xfId="4089"/>
    <cellStyle name="Normale 4 4 4 5 2" xfId="11552"/>
    <cellStyle name="Normale 4 4 4 5 3" xfId="18960"/>
    <cellStyle name="Normale 4 4 4 5 4" xfId="24266"/>
    <cellStyle name="Normale 4 4 4 6" xfId="5012"/>
    <cellStyle name="Normale 4 4 4 6 2" xfId="12475"/>
    <cellStyle name="Normale 4 4 4 6 3" xfId="19883"/>
    <cellStyle name="Normale 4 4 4 6 4" xfId="23141"/>
    <cellStyle name="Normale 4 4 4 7" xfId="5940"/>
    <cellStyle name="Normale 4 4 4 7 2" xfId="13403"/>
    <cellStyle name="Normale 4 4 4 7 3" xfId="20811"/>
    <cellStyle name="Normale 4 4 4 7 4" xfId="22566"/>
    <cellStyle name="Normale 4 4 4 8" xfId="6860"/>
    <cellStyle name="Normale 4 4 4 8 2" xfId="14323"/>
    <cellStyle name="Normale 4 4 4 8 3" xfId="21731"/>
    <cellStyle name="Normale 4 4 4 8 4" xfId="25953"/>
    <cellStyle name="Normale 4 4 4 9" xfId="7799"/>
    <cellStyle name="Normale 4 4 5" xfId="433"/>
    <cellStyle name="Normale 4 4 5 10" xfId="15306"/>
    <cellStyle name="Normale 4 4 5 11" xfId="29388"/>
    <cellStyle name="Normale 4 4 5 12" xfId="30118"/>
    <cellStyle name="Normale 4 4 5 13" xfId="31050"/>
    <cellStyle name="Normale 4 4 5 14" xfId="31971"/>
    <cellStyle name="Normale 4 4 5 15" xfId="32895"/>
    <cellStyle name="Normale 4 4 5 16" xfId="33833"/>
    <cellStyle name="Normale 4 4 5 17" xfId="34763"/>
    <cellStyle name="Normale 4 4 5 18" xfId="35689"/>
    <cellStyle name="Normale 4 4 5 19" xfId="36615"/>
    <cellStyle name="Normale 4 4 5 2" xfId="1400"/>
    <cellStyle name="Normale 4 4 5 2 2" xfId="8863"/>
    <cellStyle name="Normale 4 4 5 2 3" xfId="16271"/>
    <cellStyle name="Normale 4 4 5 2 4" xfId="26686"/>
    <cellStyle name="Normale 4 4 5 20" xfId="37534"/>
    <cellStyle name="Normale 4 4 5 3" xfId="2331"/>
    <cellStyle name="Normale 4 4 5 3 2" xfId="9794"/>
    <cellStyle name="Normale 4 4 5 3 3" xfId="17202"/>
    <cellStyle name="Normale 4 4 5 3 4" xfId="23880"/>
    <cellStyle name="Normale 4 4 5 4" xfId="3253"/>
    <cellStyle name="Normale 4 4 5 4 2" xfId="10716"/>
    <cellStyle name="Normale 4 4 5 4 3" xfId="18124"/>
    <cellStyle name="Normale 4 4 5 4 4" xfId="29511"/>
    <cellStyle name="Normale 4 4 5 5" xfId="4186"/>
    <cellStyle name="Normale 4 4 5 5 2" xfId="11649"/>
    <cellStyle name="Normale 4 4 5 5 3" xfId="19057"/>
    <cellStyle name="Normale 4 4 5 5 4" xfId="24455"/>
    <cellStyle name="Normale 4 4 5 6" xfId="5109"/>
    <cellStyle name="Normale 4 4 5 6 2" xfId="12572"/>
    <cellStyle name="Normale 4 4 5 6 3" xfId="19980"/>
    <cellStyle name="Normale 4 4 5 6 4" xfId="29019"/>
    <cellStyle name="Normale 4 4 5 7" xfId="6037"/>
    <cellStyle name="Normale 4 4 5 7 2" xfId="13500"/>
    <cellStyle name="Normale 4 4 5 7 3" xfId="20908"/>
    <cellStyle name="Normale 4 4 5 7 4" xfId="29353"/>
    <cellStyle name="Normale 4 4 5 8" xfId="6956"/>
    <cellStyle name="Normale 4 4 5 8 2" xfId="14419"/>
    <cellStyle name="Normale 4 4 5 8 3" xfId="21827"/>
    <cellStyle name="Normale 4 4 5 8 4" xfId="23109"/>
    <cellStyle name="Normale 4 4 5 9" xfId="7896"/>
    <cellStyle name="Normale 4 4 6" xfId="481"/>
    <cellStyle name="Normale 4 4 6 10" xfId="15354"/>
    <cellStyle name="Normale 4 4 6 11" xfId="28036"/>
    <cellStyle name="Normale 4 4 6 12" xfId="30166"/>
    <cellStyle name="Normale 4 4 6 13" xfId="31098"/>
    <cellStyle name="Normale 4 4 6 14" xfId="32019"/>
    <cellStyle name="Normale 4 4 6 15" xfId="32942"/>
    <cellStyle name="Normale 4 4 6 16" xfId="33881"/>
    <cellStyle name="Normale 4 4 6 17" xfId="34811"/>
    <cellStyle name="Normale 4 4 6 18" xfId="35737"/>
    <cellStyle name="Normale 4 4 6 19" xfId="36663"/>
    <cellStyle name="Normale 4 4 6 2" xfId="1448"/>
    <cellStyle name="Normale 4 4 6 2 2" xfId="8911"/>
    <cellStyle name="Normale 4 4 6 2 3" xfId="16319"/>
    <cellStyle name="Normale 4 4 6 2 4" xfId="24911"/>
    <cellStyle name="Normale 4 4 6 20" xfId="37581"/>
    <cellStyle name="Normale 4 4 6 3" xfId="2379"/>
    <cellStyle name="Normale 4 4 6 3 2" xfId="9842"/>
    <cellStyle name="Normale 4 4 6 3 3" xfId="17250"/>
    <cellStyle name="Normale 4 4 6 3 4" xfId="22660"/>
    <cellStyle name="Normale 4 4 6 4" xfId="3301"/>
    <cellStyle name="Normale 4 4 6 4 2" xfId="10764"/>
    <cellStyle name="Normale 4 4 6 4 3" xfId="18172"/>
    <cellStyle name="Normale 4 4 6 4 4" xfId="23369"/>
    <cellStyle name="Normale 4 4 6 5" xfId="4234"/>
    <cellStyle name="Normale 4 4 6 5 2" xfId="11697"/>
    <cellStyle name="Normale 4 4 6 5 3" xfId="19105"/>
    <cellStyle name="Normale 4 4 6 5 4" xfId="23538"/>
    <cellStyle name="Normale 4 4 6 6" xfId="5157"/>
    <cellStyle name="Normale 4 4 6 6 2" xfId="12620"/>
    <cellStyle name="Normale 4 4 6 6 3" xfId="20028"/>
    <cellStyle name="Normale 4 4 6 6 4" xfId="27577"/>
    <cellStyle name="Normale 4 4 6 7" xfId="6085"/>
    <cellStyle name="Normale 4 4 6 7 2" xfId="13548"/>
    <cellStyle name="Normale 4 4 6 7 3" xfId="20956"/>
    <cellStyle name="Normale 4 4 6 7 4" xfId="27894"/>
    <cellStyle name="Normale 4 4 6 8" xfId="7003"/>
    <cellStyle name="Normale 4 4 6 8 2" xfId="14466"/>
    <cellStyle name="Normale 4 4 6 8 3" xfId="21874"/>
    <cellStyle name="Normale 4 4 6 8 4" xfId="23741"/>
    <cellStyle name="Normale 4 4 6 9" xfId="7944"/>
    <cellStyle name="Normale 4 4 7" xfId="529"/>
    <cellStyle name="Normale 4 4 7 10" xfId="15402"/>
    <cellStyle name="Normale 4 4 7 11" xfId="28945"/>
    <cellStyle name="Normale 4 4 7 12" xfId="30213"/>
    <cellStyle name="Normale 4 4 7 13" xfId="31146"/>
    <cellStyle name="Normale 4 4 7 14" xfId="32066"/>
    <cellStyle name="Normale 4 4 7 15" xfId="32988"/>
    <cellStyle name="Normale 4 4 7 16" xfId="33929"/>
    <cellStyle name="Normale 4 4 7 17" xfId="34859"/>
    <cellStyle name="Normale 4 4 7 18" xfId="35785"/>
    <cellStyle name="Normale 4 4 7 19" xfId="36711"/>
    <cellStyle name="Normale 4 4 7 2" xfId="1496"/>
    <cellStyle name="Normale 4 4 7 2 2" xfId="8959"/>
    <cellStyle name="Normale 4 4 7 2 3" xfId="16367"/>
    <cellStyle name="Normale 4 4 7 2 4" xfId="24332"/>
    <cellStyle name="Normale 4 4 7 20" xfId="37627"/>
    <cellStyle name="Normale 4 4 7 3" xfId="2427"/>
    <cellStyle name="Normale 4 4 7 3 2" xfId="9890"/>
    <cellStyle name="Normale 4 4 7 3 3" xfId="17298"/>
    <cellStyle name="Normale 4 4 7 3 4" xfId="23391"/>
    <cellStyle name="Normale 4 4 7 4" xfId="3348"/>
    <cellStyle name="Normale 4 4 7 4 2" xfId="10811"/>
    <cellStyle name="Normale 4 4 7 4 3" xfId="18219"/>
    <cellStyle name="Normale 4 4 7 4 4" xfId="24480"/>
    <cellStyle name="Normale 4 4 7 5" xfId="4282"/>
    <cellStyle name="Normale 4 4 7 5 2" xfId="11745"/>
    <cellStyle name="Normale 4 4 7 5 3" xfId="19153"/>
    <cellStyle name="Normale 4 4 7 5 4" xfId="29364"/>
    <cellStyle name="Normale 4 4 7 6" xfId="5204"/>
    <cellStyle name="Normale 4 4 7 6 2" xfId="12667"/>
    <cellStyle name="Normale 4 4 7 6 3" xfId="20075"/>
    <cellStyle name="Normale 4 4 7 6 4" xfId="28462"/>
    <cellStyle name="Normale 4 4 7 7" xfId="6133"/>
    <cellStyle name="Normale 4 4 7 7 2" xfId="13596"/>
    <cellStyle name="Normale 4 4 7 7 3" xfId="21004"/>
    <cellStyle name="Normale 4 4 7 7 4" xfId="28711"/>
    <cellStyle name="Normale 4 4 7 8" xfId="7049"/>
    <cellStyle name="Normale 4 4 7 8 2" xfId="14512"/>
    <cellStyle name="Normale 4 4 7 8 3" xfId="21920"/>
    <cellStyle name="Normale 4 4 7 8 4" xfId="25628"/>
    <cellStyle name="Normale 4 4 7 9" xfId="7992"/>
    <cellStyle name="Normale 4 4 8" xfId="581"/>
    <cellStyle name="Normale 4 4 8 10" xfId="15454"/>
    <cellStyle name="Normale 4 4 8 11" xfId="22906"/>
    <cellStyle name="Normale 4 4 8 12" xfId="30264"/>
    <cellStyle name="Normale 4 4 8 13" xfId="31198"/>
    <cellStyle name="Normale 4 4 8 14" xfId="32117"/>
    <cellStyle name="Normale 4 4 8 15" xfId="33038"/>
    <cellStyle name="Normale 4 4 8 16" xfId="33981"/>
    <cellStyle name="Normale 4 4 8 17" xfId="34911"/>
    <cellStyle name="Normale 4 4 8 18" xfId="35837"/>
    <cellStyle name="Normale 4 4 8 19" xfId="36763"/>
    <cellStyle name="Normale 4 4 8 2" xfId="1548"/>
    <cellStyle name="Normale 4 4 8 2 2" xfId="9011"/>
    <cellStyle name="Normale 4 4 8 2 3" xfId="16419"/>
    <cellStyle name="Normale 4 4 8 2 4" xfId="27091"/>
    <cellStyle name="Normale 4 4 8 20" xfId="37677"/>
    <cellStyle name="Normale 4 4 8 3" xfId="2479"/>
    <cellStyle name="Normale 4 4 8 3 2" xfId="9942"/>
    <cellStyle name="Normale 4 4 8 3 3" xfId="17350"/>
    <cellStyle name="Normale 4 4 8 3 4" xfId="27444"/>
    <cellStyle name="Normale 4 4 8 4" xfId="3399"/>
    <cellStyle name="Normale 4 4 8 4 2" xfId="10862"/>
    <cellStyle name="Normale 4 4 8 4 3" xfId="18270"/>
    <cellStyle name="Normale 4 4 8 4 4" xfId="27513"/>
    <cellStyle name="Normale 4 4 8 5" xfId="4334"/>
    <cellStyle name="Normale 4 4 8 5 2" xfId="11797"/>
    <cellStyle name="Normale 4 4 8 5 3" xfId="19205"/>
    <cellStyle name="Normale 4 4 8 5 4" xfId="24259"/>
    <cellStyle name="Normale 4 4 8 6" xfId="5255"/>
    <cellStyle name="Normale 4 4 8 6 2" xfId="12718"/>
    <cellStyle name="Normale 4 4 8 6 3" xfId="20126"/>
    <cellStyle name="Normale 4 4 8 6 4" xfId="24236"/>
    <cellStyle name="Normale 4 4 8 7" xfId="6185"/>
    <cellStyle name="Normale 4 4 8 7 2" xfId="13648"/>
    <cellStyle name="Normale 4 4 8 7 3" xfId="21056"/>
    <cellStyle name="Normale 4 4 8 7 4" xfId="25635"/>
    <cellStyle name="Normale 4 4 8 8" xfId="7099"/>
    <cellStyle name="Normale 4 4 8 8 2" xfId="14562"/>
    <cellStyle name="Normale 4 4 8 8 3" xfId="21970"/>
    <cellStyle name="Normale 4 4 8 8 4" xfId="15541"/>
    <cellStyle name="Normale 4 4 8 9" xfId="8044"/>
    <cellStyle name="Normale 4 4 9" xfId="641"/>
    <cellStyle name="Normale 4 4 9 10" xfId="15513"/>
    <cellStyle name="Normale 4 4 9 11" xfId="26196"/>
    <cellStyle name="Normale 4 4 9 12" xfId="30320"/>
    <cellStyle name="Normale 4 4 9 13" xfId="31257"/>
    <cellStyle name="Normale 4 4 9 14" xfId="32174"/>
    <cellStyle name="Normale 4 4 9 15" xfId="33093"/>
    <cellStyle name="Normale 4 4 9 16" xfId="34040"/>
    <cellStyle name="Normale 4 4 9 17" xfId="34971"/>
    <cellStyle name="Normale 4 4 9 18" xfId="35897"/>
    <cellStyle name="Normale 4 4 9 19" xfId="36822"/>
    <cellStyle name="Normale 4 4 9 2" xfId="1607"/>
    <cellStyle name="Normale 4 4 9 2 2" xfId="9070"/>
    <cellStyle name="Normale 4 4 9 2 3" xfId="16478"/>
    <cellStyle name="Normale 4 4 9 2 4" xfId="26010"/>
    <cellStyle name="Normale 4 4 9 20" xfId="37732"/>
    <cellStyle name="Normale 4 4 9 3" xfId="2539"/>
    <cellStyle name="Normale 4 4 9 3 2" xfId="10002"/>
    <cellStyle name="Normale 4 4 9 3 3" xfId="17410"/>
    <cellStyle name="Normale 4 4 9 3 4" xfId="23579"/>
    <cellStyle name="Normale 4 4 9 4" xfId="3457"/>
    <cellStyle name="Normale 4 4 9 4 2" xfId="10920"/>
    <cellStyle name="Normale 4 4 9 4 3" xfId="18328"/>
    <cellStyle name="Normale 4 4 9 4 4" xfId="25601"/>
    <cellStyle name="Normale 4 4 9 5" xfId="4394"/>
    <cellStyle name="Normale 4 4 9 5 2" xfId="11857"/>
    <cellStyle name="Normale 4 4 9 5 3" xfId="19265"/>
    <cellStyle name="Normale 4 4 9 5 4" xfId="29574"/>
    <cellStyle name="Normale 4 4 9 6" xfId="5312"/>
    <cellStyle name="Normale 4 4 9 6 2" xfId="12775"/>
    <cellStyle name="Normale 4 4 9 6 3" xfId="20183"/>
    <cellStyle name="Normale 4 4 9 6 4" xfId="25077"/>
    <cellStyle name="Normale 4 4 9 7" xfId="6245"/>
    <cellStyle name="Normale 4 4 9 7 2" xfId="13708"/>
    <cellStyle name="Normale 4 4 9 7 3" xfId="21116"/>
    <cellStyle name="Normale 4 4 9 7 4" xfId="28989"/>
    <cellStyle name="Normale 4 4 9 8" xfId="7154"/>
    <cellStyle name="Normale 4 4 9 8 2" xfId="14617"/>
    <cellStyle name="Normale 4 4 9 8 3" xfId="22025"/>
    <cellStyle name="Normale 4 4 9 8 4" xfId="24775"/>
    <cellStyle name="Normale 4 4 9 9" xfId="8104"/>
    <cellStyle name="Normale 4 5" xfId="142"/>
    <cellStyle name="Normale 4 5 10" xfId="720"/>
    <cellStyle name="Normale 4 5 10 10" xfId="15591"/>
    <cellStyle name="Normale 4 5 10 11" xfId="23167"/>
    <cellStyle name="Normale 4 5 10 12" xfId="30394"/>
    <cellStyle name="Normale 4 5 10 13" xfId="31335"/>
    <cellStyle name="Normale 4 5 10 14" xfId="32248"/>
    <cellStyle name="Normale 4 5 10 15" xfId="33166"/>
    <cellStyle name="Normale 4 5 10 16" xfId="34118"/>
    <cellStyle name="Normale 4 5 10 17" xfId="35050"/>
    <cellStyle name="Normale 4 5 10 18" xfId="35976"/>
    <cellStyle name="Normale 4 5 10 19" xfId="36901"/>
    <cellStyle name="Normale 4 5 10 2" xfId="1685"/>
    <cellStyle name="Normale 4 5 10 2 2" xfId="9148"/>
    <cellStyle name="Normale 4 5 10 2 3" xfId="16556"/>
    <cellStyle name="Normale 4 5 10 2 4" xfId="26169"/>
    <cellStyle name="Normale 4 5 10 20" xfId="37805"/>
    <cellStyle name="Normale 4 5 10 3" xfId="2618"/>
    <cellStyle name="Normale 4 5 10 3 2" xfId="10081"/>
    <cellStyle name="Normale 4 5 10 3 3" xfId="17489"/>
    <cellStyle name="Normale 4 5 10 3 4" xfId="22637"/>
    <cellStyle name="Normale 4 5 10 4" xfId="3534"/>
    <cellStyle name="Normale 4 5 10 4 2" xfId="10997"/>
    <cellStyle name="Normale 4 5 10 4 3" xfId="18405"/>
    <cellStyle name="Normale 4 5 10 4 4" xfId="27958"/>
    <cellStyle name="Normale 4 5 10 5" xfId="4473"/>
    <cellStyle name="Normale 4 5 10 5 2" xfId="11936"/>
    <cellStyle name="Normale 4 5 10 5 3" xfId="19344"/>
    <cellStyle name="Normale 4 5 10 5 4" xfId="25595"/>
    <cellStyle name="Normale 4 5 10 6" xfId="5389"/>
    <cellStyle name="Normale 4 5 10 6 2" xfId="12852"/>
    <cellStyle name="Normale 4 5 10 6 3" xfId="20260"/>
    <cellStyle name="Normale 4 5 10 6 4" xfId="26075"/>
    <cellStyle name="Normale 4 5 10 7" xfId="6322"/>
    <cellStyle name="Normale 4 5 10 7 2" xfId="13785"/>
    <cellStyle name="Normale 4 5 10 7 3" xfId="21193"/>
    <cellStyle name="Normale 4 5 10 7 4" xfId="22724"/>
    <cellStyle name="Normale 4 5 10 8" xfId="7227"/>
    <cellStyle name="Normale 4 5 10 8 2" xfId="14690"/>
    <cellStyle name="Normale 4 5 10 8 3" xfId="22098"/>
    <cellStyle name="Normale 4 5 10 8 4" xfId="27134"/>
    <cellStyle name="Normale 4 5 10 9" xfId="8183"/>
    <cellStyle name="Normale 4 5 11" xfId="792"/>
    <cellStyle name="Normale 4 5 11 10" xfId="15663"/>
    <cellStyle name="Normale 4 5 11 11" xfId="28796"/>
    <cellStyle name="Normale 4 5 11 12" xfId="30464"/>
    <cellStyle name="Normale 4 5 11 13" xfId="31407"/>
    <cellStyle name="Normale 4 5 11 14" xfId="32319"/>
    <cellStyle name="Normale 4 5 11 15" xfId="33235"/>
    <cellStyle name="Normale 4 5 11 16" xfId="34190"/>
    <cellStyle name="Normale 4 5 11 17" xfId="35122"/>
    <cellStyle name="Normale 4 5 11 18" xfId="36048"/>
    <cellStyle name="Normale 4 5 11 19" xfId="36973"/>
    <cellStyle name="Normale 4 5 11 2" xfId="1757"/>
    <cellStyle name="Normale 4 5 11 2 2" xfId="9220"/>
    <cellStyle name="Normale 4 5 11 2 3" xfId="16628"/>
    <cellStyle name="Normale 4 5 11 2 4" xfId="27704"/>
    <cellStyle name="Normale 4 5 11 20" xfId="37874"/>
    <cellStyle name="Normale 4 5 11 3" xfId="2690"/>
    <cellStyle name="Normale 4 5 11 3 2" xfId="10153"/>
    <cellStyle name="Normale 4 5 11 3 3" xfId="17561"/>
    <cellStyle name="Normale 4 5 11 3 4" xfId="23181"/>
    <cellStyle name="Normale 4 5 11 4" xfId="3605"/>
    <cellStyle name="Normale 4 5 11 4 2" xfId="11068"/>
    <cellStyle name="Normale 4 5 11 4 3" xfId="18476"/>
    <cellStyle name="Normale 4 5 11 4 4" xfId="29174"/>
    <cellStyle name="Normale 4 5 11 5" xfId="4545"/>
    <cellStyle name="Normale 4 5 11 5 2" xfId="12008"/>
    <cellStyle name="Normale 4 5 11 5 3" xfId="19416"/>
    <cellStyle name="Normale 4 5 11 5 4" xfId="27014"/>
    <cellStyle name="Normale 4 5 11 6" xfId="5460"/>
    <cellStyle name="Normale 4 5 11 6 2" xfId="12923"/>
    <cellStyle name="Normale 4 5 11 6 3" xfId="20331"/>
    <cellStyle name="Normale 4 5 11 6 4" xfId="28608"/>
    <cellStyle name="Normale 4 5 11 7" xfId="6394"/>
    <cellStyle name="Normale 4 5 11 7 2" xfId="13857"/>
    <cellStyle name="Normale 4 5 11 7 3" xfId="21265"/>
    <cellStyle name="Normale 4 5 11 7 4" xfId="23243"/>
    <cellStyle name="Normale 4 5 11 8" xfId="7296"/>
    <cellStyle name="Normale 4 5 11 8 2" xfId="14759"/>
    <cellStyle name="Normale 4 5 11 8 3" xfId="22167"/>
    <cellStyle name="Normale 4 5 11 8 4" xfId="23982"/>
    <cellStyle name="Normale 4 5 11 9" xfId="8255"/>
    <cellStyle name="Normale 4 5 12" xfId="865"/>
    <cellStyle name="Normale 4 5 12 10" xfId="15736"/>
    <cellStyle name="Normale 4 5 12 11" xfId="25886"/>
    <cellStyle name="Normale 4 5 12 12" xfId="30534"/>
    <cellStyle name="Normale 4 5 12 13" xfId="31480"/>
    <cellStyle name="Normale 4 5 12 14" xfId="32391"/>
    <cellStyle name="Normale 4 5 12 15" xfId="33304"/>
    <cellStyle name="Normale 4 5 12 16" xfId="34263"/>
    <cellStyle name="Normale 4 5 12 17" xfId="35195"/>
    <cellStyle name="Normale 4 5 12 18" xfId="36121"/>
    <cellStyle name="Normale 4 5 12 19" xfId="37046"/>
    <cellStyle name="Normale 4 5 12 2" xfId="1830"/>
    <cellStyle name="Normale 4 5 12 2 2" xfId="9293"/>
    <cellStyle name="Normale 4 5 12 2 3" xfId="16701"/>
    <cellStyle name="Normale 4 5 12 2 4" xfId="22673"/>
    <cellStyle name="Normale 4 5 12 20" xfId="37943"/>
    <cellStyle name="Normale 4 5 12 3" xfId="2763"/>
    <cellStyle name="Normale 4 5 12 3 2" xfId="10226"/>
    <cellStyle name="Normale 4 5 12 3 3" xfId="17634"/>
    <cellStyle name="Normale 4 5 12 3 4" xfId="29374"/>
    <cellStyle name="Normale 4 5 12 4" xfId="3677"/>
    <cellStyle name="Normale 4 5 12 4 2" xfId="11140"/>
    <cellStyle name="Normale 4 5 12 4 3" xfId="18548"/>
    <cellStyle name="Normale 4 5 12 4 4" xfId="29644"/>
    <cellStyle name="Normale 4 5 12 5" xfId="4618"/>
    <cellStyle name="Normale 4 5 12 5 2" xfId="12081"/>
    <cellStyle name="Normale 4 5 12 5 3" xfId="19489"/>
    <cellStyle name="Normale 4 5 12 5 4" xfId="23529"/>
    <cellStyle name="Normale 4 5 12 6" xfId="5532"/>
    <cellStyle name="Normale 4 5 12 6 2" xfId="12995"/>
    <cellStyle name="Normale 4 5 12 6 3" xfId="20403"/>
    <cellStyle name="Normale 4 5 12 6 4" xfId="24228"/>
    <cellStyle name="Normale 4 5 12 7" xfId="6467"/>
    <cellStyle name="Normale 4 5 12 7 2" xfId="13930"/>
    <cellStyle name="Normale 4 5 12 7 3" xfId="21338"/>
    <cellStyle name="Normale 4 5 12 7 4" xfId="28519"/>
    <cellStyle name="Normale 4 5 12 8" xfId="7365"/>
    <cellStyle name="Normale 4 5 12 8 2" xfId="14828"/>
    <cellStyle name="Normale 4 5 12 8 3" xfId="22236"/>
    <cellStyle name="Normale 4 5 12 8 4" xfId="25293"/>
    <cellStyle name="Normale 4 5 12 9" xfId="8328"/>
    <cellStyle name="Normale 4 5 13" xfId="935"/>
    <cellStyle name="Normale 4 5 13 10" xfId="15806"/>
    <cellStyle name="Normale 4 5 13 11" xfId="27505"/>
    <cellStyle name="Normale 4 5 13 12" xfId="30601"/>
    <cellStyle name="Normale 4 5 13 13" xfId="31549"/>
    <cellStyle name="Normale 4 5 13 14" xfId="32460"/>
    <cellStyle name="Normale 4 5 13 15" xfId="33370"/>
    <cellStyle name="Normale 4 5 13 16" xfId="34333"/>
    <cellStyle name="Normale 4 5 13 17" xfId="35265"/>
    <cellStyle name="Normale 4 5 13 18" xfId="36190"/>
    <cellStyle name="Normale 4 5 13 19" xfId="37116"/>
    <cellStyle name="Normale 4 5 13 2" xfId="1900"/>
    <cellStyle name="Normale 4 5 13 2 2" xfId="9363"/>
    <cellStyle name="Normale 4 5 13 2 3" xfId="16771"/>
    <cellStyle name="Normale 4 5 13 2 4" xfId="25867"/>
    <cellStyle name="Normale 4 5 13 20" xfId="38009"/>
    <cellStyle name="Normale 4 5 13 3" xfId="2832"/>
    <cellStyle name="Normale 4 5 13 3 2" xfId="10295"/>
    <cellStyle name="Normale 4 5 13 3 3" xfId="17703"/>
    <cellStyle name="Normale 4 5 13 3 4" xfId="24297"/>
    <cellStyle name="Normale 4 5 13 4" xfId="3747"/>
    <cellStyle name="Normale 4 5 13 4 2" xfId="11210"/>
    <cellStyle name="Normale 4 5 13 4 3" xfId="18618"/>
    <cellStyle name="Normale 4 5 13 4 4" xfId="23667"/>
    <cellStyle name="Normale 4 5 13 5" xfId="4688"/>
    <cellStyle name="Normale 4 5 13 5 2" xfId="12151"/>
    <cellStyle name="Normale 4 5 13 5 3" xfId="19559"/>
    <cellStyle name="Normale 4 5 13 5 4" xfId="25362"/>
    <cellStyle name="Normale 4 5 13 6" xfId="5602"/>
    <cellStyle name="Normale 4 5 13 6 2" xfId="13065"/>
    <cellStyle name="Normale 4 5 13 6 3" xfId="20473"/>
    <cellStyle name="Normale 4 5 13 6 4" xfId="27680"/>
    <cellStyle name="Normale 4 5 13 7" xfId="6537"/>
    <cellStyle name="Normale 4 5 13 7 2" xfId="14000"/>
    <cellStyle name="Normale 4 5 13 7 3" xfId="21408"/>
    <cellStyle name="Normale 4 5 13 7 4" xfId="22365"/>
    <cellStyle name="Normale 4 5 13 8" xfId="7431"/>
    <cellStyle name="Normale 4 5 13 8 2" xfId="14894"/>
    <cellStyle name="Normale 4 5 13 8 3" xfId="22302"/>
    <cellStyle name="Normale 4 5 13 8 4" xfId="24923"/>
    <cellStyle name="Normale 4 5 13 9" xfId="8398"/>
    <cellStyle name="Normale 4 5 14" xfId="1115"/>
    <cellStyle name="Normale 4 5 14 2" xfId="8578"/>
    <cellStyle name="Normale 4 5 14 3" xfId="15986"/>
    <cellStyle name="Normale 4 5 14 4" xfId="22692"/>
    <cellStyle name="Normale 4 5 15" xfId="2042"/>
    <cellStyle name="Normale 4 5 15 2" xfId="9505"/>
    <cellStyle name="Normale 4 5 15 3" xfId="16913"/>
    <cellStyle name="Normale 4 5 15 4" xfId="24591"/>
    <cellStyle name="Normale 4 5 16" xfId="2968"/>
    <cellStyle name="Normale 4 5 16 2" xfId="10431"/>
    <cellStyle name="Normale 4 5 16 3" xfId="17839"/>
    <cellStyle name="Normale 4 5 16 4" xfId="24293"/>
    <cellStyle name="Normale 4 5 17" xfId="3897"/>
    <cellStyle name="Normale 4 5 17 2" xfId="11360"/>
    <cellStyle name="Normale 4 5 17 3" xfId="18768"/>
    <cellStyle name="Normale 4 5 17 4" xfId="27672"/>
    <cellStyle name="Normale 4 5 18" xfId="4824"/>
    <cellStyle name="Normale 4 5 18 2" xfId="12287"/>
    <cellStyle name="Normale 4 5 18 3" xfId="19695"/>
    <cellStyle name="Normale 4 5 18 4" xfId="25358"/>
    <cellStyle name="Normale 4 5 19" xfId="5751"/>
    <cellStyle name="Normale 4 5 19 2" xfId="13214"/>
    <cellStyle name="Normale 4 5 19 3" xfId="20622"/>
    <cellStyle name="Normale 4 5 19 4" xfId="27321"/>
    <cellStyle name="Normale 4 5 2" xfId="143"/>
    <cellStyle name="Normale 4 5 2 10" xfId="6674"/>
    <cellStyle name="Normale 4 5 2 10 2" xfId="14137"/>
    <cellStyle name="Normale 4 5 2 10 3" xfId="21545"/>
    <cellStyle name="Normale 4 5 2 10 4" xfId="22358"/>
    <cellStyle name="Normale 4 5 2 11" xfId="7608"/>
    <cellStyle name="Normale 4 5 2 12" xfId="15017"/>
    <cellStyle name="Normale 4 5 2 13" xfId="22764"/>
    <cellStyle name="Normale 4 5 2 14" xfId="29834"/>
    <cellStyle name="Normale 4 5 2 15" xfId="30764"/>
    <cellStyle name="Normale 4 5 2 16" xfId="31687"/>
    <cellStyle name="Normale 4 5 2 17" xfId="32613"/>
    <cellStyle name="Normale 4 5 2 18" xfId="33547"/>
    <cellStyle name="Normale 4 5 2 19" xfId="34475"/>
    <cellStyle name="Normale 4 5 2 2" xfId="144"/>
    <cellStyle name="Normale 4 5 2 2 10" xfId="7609"/>
    <cellStyle name="Normale 4 5 2 2 11" xfId="15018"/>
    <cellStyle name="Normale 4 5 2 2 12" xfId="29194"/>
    <cellStyle name="Normale 4 5 2 2 13" xfId="29835"/>
    <cellStyle name="Normale 4 5 2 2 14" xfId="30765"/>
    <cellStyle name="Normale 4 5 2 2 15" xfId="31688"/>
    <cellStyle name="Normale 4 5 2 2 16" xfId="32614"/>
    <cellStyle name="Normale 4 5 2 2 17" xfId="33548"/>
    <cellStyle name="Normale 4 5 2 2 18" xfId="34476"/>
    <cellStyle name="Normale 4 5 2 2 19" xfId="35404"/>
    <cellStyle name="Normale 4 5 2 2 2" xfId="342"/>
    <cellStyle name="Normale 4 5 2 2 2 10" xfId="15215"/>
    <cellStyle name="Normale 4 5 2 2 2 11" xfId="24553"/>
    <cellStyle name="Normale 4 5 2 2 2 12" xfId="30027"/>
    <cellStyle name="Normale 4 5 2 2 2 13" xfId="30959"/>
    <cellStyle name="Normale 4 5 2 2 2 14" xfId="31880"/>
    <cellStyle name="Normale 4 5 2 2 2 15" xfId="32805"/>
    <cellStyle name="Normale 4 5 2 2 2 16" xfId="33742"/>
    <cellStyle name="Normale 4 5 2 2 2 17" xfId="34672"/>
    <cellStyle name="Normale 4 5 2 2 2 18" xfId="35598"/>
    <cellStyle name="Normale 4 5 2 2 2 19" xfId="36524"/>
    <cellStyle name="Normale 4 5 2 2 2 2" xfId="1309"/>
    <cellStyle name="Normale 4 5 2 2 2 2 2" xfId="8772"/>
    <cellStyle name="Normale 4 5 2 2 2 2 3" xfId="16180"/>
    <cellStyle name="Normale 4 5 2 2 2 2 4" xfId="29593"/>
    <cellStyle name="Normale 4 5 2 2 2 20" xfId="37444"/>
    <cellStyle name="Normale 4 5 2 2 2 3" xfId="2240"/>
    <cellStyle name="Normale 4 5 2 2 2 3 2" xfId="9703"/>
    <cellStyle name="Normale 4 5 2 2 2 3 3" xfId="17111"/>
    <cellStyle name="Normale 4 5 2 2 2 3 4" xfId="25233"/>
    <cellStyle name="Normale 4 5 2 2 2 4" xfId="3162"/>
    <cellStyle name="Normale 4 5 2 2 2 4 2" xfId="10625"/>
    <cellStyle name="Normale 4 5 2 2 2 4 3" xfId="18033"/>
    <cellStyle name="Normale 4 5 2 2 2 4 4" xfId="27695"/>
    <cellStyle name="Normale 4 5 2 2 2 5" xfId="4095"/>
    <cellStyle name="Normale 4 5 2 2 2 5 2" xfId="11558"/>
    <cellStyle name="Normale 4 5 2 2 2 5 3" xfId="18966"/>
    <cellStyle name="Normale 4 5 2 2 2 5 4" xfId="26304"/>
    <cellStyle name="Normale 4 5 2 2 2 6" xfId="5018"/>
    <cellStyle name="Normale 4 5 2 2 2 6 2" xfId="12481"/>
    <cellStyle name="Normale 4 5 2 2 2 6 3" xfId="19889"/>
    <cellStyle name="Normale 4 5 2 2 2 6 4" xfId="25009"/>
    <cellStyle name="Normale 4 5 2 2 2 7" xfId="5946"/>
    <cellStyle name="Normale 4 5 2 2 2 7 2" xfId="13409"/>
    <cellStyle name="Normale 4 5 2 2 2 7 3" xfId="20817"/>
    <cellStyle name="Normale 4 5 2 2 2 7 4" xfId="24411"/>
    <cellStyle name="Normale 4 5 2 2 2 8" xfId="6866"/>
    <cellStyle name="Normale 4 5 2 2 2 8 2" xfId="14329"/>
    <cellStyle name="Normale 4 5 2 2 2 8 3" xfId="21737"/>
    <cellStyle name="Normale 4 5 2 2 2 8 4" xfId="27718"/>
    <cellStyle name="Normale 4 5 2 2 2 9" xfId="7805"/>
    <cellStyle name="Normale 4 5 2 2 20" xfId="36330"/>
    <cellStyle name="Normale 4 5 2 2 21" xfId="37253"/>
    <cellStyle name="Normale 4 5 2 2 3" xfId="1117"/>
    <cellStyle name="Normale 4 5 2 2 3 2" xfId="8580"/>
    <cellStyle name="Normale 4 5 2 2 3 3" xfId="15988"/>
    <cellStyle name="Normale 4 5 2 2 3 4" xfId="28212"/>
    <cellStyle name="Normale 4 5 2 2 4" xfId="2044"/>
    <cellStyle name="Normale 4 5 2 2 4 2" xfId="9507"/>
    <cellStyle name="Normale 4 5 2 2 4 3" xfId="16915"/>
    <cellStyle name="Normale 4 5 2 2 4 4" xfId="22636"/>
    <cellStyle name="Normale 4 5 2 2 5" xfId="2970"/>
    <cellStyle name="Normale 4 5 2 2 5 2" xfId="10433"/>
    <cellStyle name="Normale 4 5 2 2 5 3" xfId="17841"/>
    <cellStyle name="Normale 4 5 2 2 5 4" xfId="22643"/>
    <cellStyle name="Normale 4 5 2 2 6" xfId="3899"/>
    <cellStyle name="Normale 4 5 2 2 6 2" xfId="11362"/>
    <cellStyle name="Normale 4 5 2 2 6 3" xfId="18770"/>
    <cellStyle name="Normale 4 5 2 2 6 4" xfId="25836"/>
    <cellStyle name="Normale 4 5 2 2 7" xfId="4826"/>
    <cellStyle name="Normale 4 5 2 2 7 2" xfId="12289"/>
    <cellStyle name="Normale 4 5 2 2 7 3" xfId="19697"/>
    <cellStyle name="Normale 4 5 2 2 7 4" xfId="23523"/>
    <cellStyle name="Normale 4 5 2 2 8" xfId="5753"/>
    <cellStyle name="Normale 4 5 2 2 8 2" xfId="13216"/>
    <cellStyle name="Normale 4 5 2 2 8 3" xfId="20624"/>
    <cellStyle name="Normale 4 5 2 2 8 4" xfId="25485"/>
    <cellStyle name="Normale 4 5 2 2 9" xfId="6675"/>
    <cellStyle name="Normale 4 5 2 2 9 2" xfId="14138"/>
    <cellStyle name="Normale 4 5 2 2 9 3" xfId="21546"/>
    <cellStyle name="Normale 4 5 2 2 9 4" xfId="28674"/>
    <cellStyle name="Normale 4 5 2 20" xfId="35403"/>
    <cellStyle name="Normale 4 5 2 21" xfId="36329"/>
    <cellStyle name="Normale 4 5 2 22" xfId="37252"/>
    <cellStyle name="Normale 4 5 2 3" xfId="341"/>
    <cellStyle name="Normale 4 5 2 3 10" xfId="15214"/>
    <cellStyle name="Normale 4 5 2 3 11" xfId="25470"/>
    <cellStyle name="Normale 4 5 2 3 12" xfId="30026"/>
    <cellStyle name="Normale 4 5 2 3 13" xfId="30958"/>
    <cellStyle name="Normale 4 5 2 3 14" xfId="31879"/>
    <cellStyle name="Normale 4 5 2 3 15" xfId="32804"/>
    <cellStyle name="Normale 4 5 2 3 16" xfId="33741"/>
    <cellStyle name="Normale 4 5 2 3 17" xfId="34671"/>
    <cellStyle name="Normale 4 5 2 3 18" xfId="35597"/>
    <cellStyle name="Normale 4 5 2 3 19" xfId="36523"/>
    <cellStyle name="Normale 4 5 2 3 2" xfId="1308"/>
    <cellStyle name="Normale 4 5 2 3 2 2" xfId="8771"/>
    <cellStyle name="Normale 4 5 2 3 2 3" xfId="16179"/>
    <cellStyle name="Normale 4 5 2 3 2 4" xfId="23164"/>
    <cellStyle name="Normale 4 5 2 3 20" xfId="37443"/>
    <cellStyle name="Normale 4 5 2 3 3" xfId="2239"/>
    <cellStyle name="Normale 4 5 2 3 3 2" xfId="9702"/>
    <cellStyle name="Normale 4 5 2 3 3 3" xfId="17110"/>
    <cellStyle name="Normale 4 5 2 3 3 4" xfId="26156"/>
    <cellStyle name="Normale 4 5 2 3 4" xfId="3161"/>
    <cellStyle name="Normale 4 5 2 3 4 2" xfId="10624"/>
    <cellStyle name="Normale 4 5 2 3 4 3" xfId="18032"/>
    <cellStyle name="Normale 4 5 2 3 4 4" xfId="28622"/>
    <cellStyle name="Normale 4 5 2 3 5" xfId="4094"/>
    <cellStyle name="Normale 4 5 2 3 5 2" xfId="11557"/>
    <cellStyle name="Normale 4 5 2 3 5 3" xfId="18965"/>
    <cellStyle name="Normale 4 5 2 3 5 4" xfId="27214"/>
    <cellStyle name="Normale 4 5 2 3 6" xfId="5017"/>
    <cellStyle name="Normale 4 5 2 3 6 2" xfId="12480"/>
    <cellStyle name="Normale 4 5 2 3 6 3" xfId="19888"/>
    <cellStyle name="Normale 4 5 2 3 6 4" xfId="25918"/>
    <cellStyle name="Normale 4 5 2 3 7" xfId="5945"/>
    <cellStyle name="Normale 4 5 2 3 7 2" xfId="13408"/>
    <cellStyle name="Normale 4 5 2 3 7 3" xfId="20816"/>
    <cellStyle name="Normale 4 5 2 3 7 4" xfId="25327"/>
    <cellStyle name="Normale 4 5 2 3 8" xfId="6865"/>
    <cellStyle name="Normale 4 5 2 3 8 2" xfId="14328"/>
    <cellStyle name="Normale 4 5 2 3 8 3" xfId="21736"/>
    <cellStyle name="Normale 4 5 2 3 8 4" xfId="28645"/>
    <cellStyle name="Normale 4 5 2 3 9" xfId="7804"/>
    <cellStyle name="Normale 4 5 2 4" xfId="1116"/>
    <cellStyle name="Normale 4 5 2 4 2" xfId="8579"/>
    <cellStyle name="Normale 4 5 2 4 3" xfId="15987"/>
    <cellStyle name="Normale 4 5 2 4 4" xfId="29122"/>
    <cellStyle name="Normale 4 5 2 5" xfId="2043"/>
    <cellStyle name="Normale 4 5 2 5 2" xfId="9506"/>
    <cellStyle name="Normale 4 5 2 5 3" xfId="16914"/>
    <cellStyle name="Normale 4 5 2 5 4" xfId="23670"/>
    <cellStyle name="Normale 4 5 2 6" xfId="2969"/>
    <cellStyle name="Normale 4 5 2 6 2" xfId="10432"/>
    <cellStyle name="Normale 4 5 2 6 3" xfId="17840"/>
    <cellStyle name="Normale 4 5 2 6 4" xfId="23377"/>
    <cellStyle name="Normale 4 5 2 7" xfId="3898"/>
    <cellStyle name="Normale 4 5 2 7 2" xfId="11361"/>
    <cellStyle name="Normale 4 5 2 7 3" xfId="18769"/>
    <cellStyle name="Normale 4 5 2 7 4" xfId="26768"/>
    <cellStyle name="Normale 4 5 2 8" xfId="4825"/>
    <cellStyle name="Normale 4 5 2 8 2" xfId="12288"/>
    <cellStyle name="Normale 4 5 2 8 3" xfId="19696"/>
    <cellStyle name="Normale 4 5 2 8 4" xfId="24442"/>
    <cellStyle name="Normale 4 5 2 9" xfId="5752"/>
    <cellStyle name="Normale 4 5 2 9 2" xfId="13215"/>
    <cellStyle name="Normale 4 5 2 9 3" xfId="20623"/>
    <cellStyle name="Normale 4 5 2 9 4" xfId="26413"/>
    <cellStyle name="Normale 4 5 20" xfId="6673"/>
    <cellStyle name="Normale 4 5 20 2" xfId="14136"/>
    <cellStyle name="Normale 4 5 20 3" xfId="21544"/>
    <cellStyle name="Normale 4 5 20 4" xfId="22361"/>
    <cellStyle name="Normale 4 5 21" xfId="7607"/>
    <cellStyle name="Normale 4 5 22" xfId="15016"/>
    <cellStyle name="Normale 4 5 23" xfId="23735"/>
    <cellStyle name="Normale 4 5 24" xfId="29833"/>
    <cellStyle name="Normale 4 5 25" xfId="30763"/>
    <cellStyle name="Normale 4 5 26" xfId="31686"/>
    <cellStyle name="Normale 4 5 27" xfId="32612"/>
    <cellStyle name="Normale 4 5 28" xfId="33546"/>
    <cellStyle name="Normale 4 5 29" xfId="34474"/>
    <cellStyle name="Normale 4 5 3" xfId="145"/>
    <cellStyle name="Normale 4 5 3 10" xfId="7610"/>
    <cellStyle name="Normale 4 5 3 11" xfId="15019"/>
    <cellStyle name="Normale 4 5 3 12" xfId="28286"/>
    <cellStyle name="Normale 4 5 3 13" xfId="29836"/>
    <cellStyle name="Normale 4 5 3 14" xfId="30766"/>
    <cellStyle name="Normale 4 5 3 15" xfId="31689"/>
    <cellStyle name="Normale 4 5 3 16" xfId="32615"/>
    <cellStyle name="Normale 4 5 3 17" xfId="33549"/>
    <cellStyle name="Normale 4 5 3 18" xfId="34477"/>
    <cellStyle name="Normale 4 5 3 19" xfId="35405"/>
    <cellStyle name="Normale 4 5 3 2" xfId="343"/>
    <cellStyle name="Normale 4 5 3 2 10" xfId="15216"/>
    <cellStyle name="Normale 4 5 3 2 11" xfId="23631"/>
    <cellStyle name="Normale 4 5 3 2 12" xfId="30028"/>
    <cellStyle name="Normale 4 5 3 2 13" xfId="30960"/>
    <cellStyle name="Normale 4 5 3 2 14" xfId="31881"/>
    <cellStyle name="Normale 4 5 3 2 15" xfId="32806"/>
    <cellStyle name="Normale 4 5 3 2 16" xfId="33743"/>
    <cellStyle name="Normale 4 5 3 2 17" xfId="34673"/>
    <cellStyle name="Normale 4 5 3 2 18" xfId="35599"/>
    <cellStyle name="Normale 4 5 3 2 19" xfId="36525"/>
    <cellStyle name="Normale 4 5 3 2 2" xfId="1310"/>
    <cellStyle name="Normale 4 5 3 2 2 2" xfId="8773"/>
    <cellStyle name="Normale 4 5 3 2 2 3" xfId="16181"/>
    <cellStyle name="Normale 4 5 3 2 2 4" xfId="28705"/>
    <cellStyle name="Normale 4 5 3 2 20" xfId="37445"/>
    <cellStyle name="Normale 4 5 3 2 3" xfId="2241"/>
    <cellStyle name="Normale 4 5 3 2 3 2" xfId="9704"/>
    <cellStyle name="Normale 4 5 3 2 3 3" xfId="17112"/>
    <cellStyle name="Normale 4 5 3 2 3 4" xfId="24314"/>
    <cellStyle name="Normale 4 5 3 2 4" xfId="3163"/>
    <cellStyle name="Normale 4 5 3 2 4 2" xfId="10626"/>
    <cellStyle name="Normale 4 5 3 2 4 3" xfId="18034"/>
    <cellStyle name="Normale 4 5 3 2 4 4" xfId="26792"/>
    <cellStyle name="Normale 4 5 3 2 5" xfId="4096"/>
    <cellStyle name="Normale 4 5 3 2 5 2" xfId="11559"/>
    <cellStyle name="Normale 4 5 3 2 5 3" xfId="18967"/>
    <cellStyle name="Normale 4 5 3 2 5 4" xfId="25377"/>
    <cellStyle name="Normale 4 5 3 2 6" xfId="5019"/>
    <cellStyle name="Normale 4 5 3 2 6 2" xfId="12482"/>
    <cellStyle name="Normale 4 5 3 2 6 3" xfId="19890"/>
    <cellStyle name="Normale 4 5 3 2 6 4" xfId="24083"/>
    <cellStyle name="Normale 4 5 3 2 7" xfId="5947"/>
    <cellStyle name="Normale 4 5 3 2 7 2" xfId="13410"/>
    <cellStyle name="Normale 4 5 3 2 7 3" xfId="20818"/>
    <cellStyle name="Normale 4 5 3 2 7 4" xfId="23492"/>
    <cellStyle name="Normale 4 5 3 2 8" xfId="6867"/>
    <cellStyle name="Normale 4 5 3 2 8 2" xfId="14330"/>
    <cellStyle name="Normale 4 5 3 2 8 3" xfId="21738"/>
    <cellStyle name="Normale 4 5 3 2 8 4" xfId="26815"/>
    <cellStyle name="Normale 4 5 3 2 9" xfId="7806"/>
    <cellStyle name="Normale 4 5 3 20" xfId="36331"/>
    <cellStyle name="Normale 4 5 3 21" xfId="37254"/>
    <cellStyle name="Normale 4 5 3 3" xfId="1118"/>
    <cellStyle name="Normale 4 5 3 3 2" xfId="8581"/>
    <cellStyle name="Normale 4 5 3 3 3" xfId="15989"/>
    <cellStyle name="Normale 4 5 3 3 4" xfId="27290"/>
    <cellStyle name="Normale 4 5 3 4" xfId="2045"/>
    <cellStyle name="Normale 4 5 3 4 2" xfId="9508"/>
    <cellStyle name="Normale 4 5 3 4 3" xfId="16916"/>
    <cellStyle name="Normale 4 5 3 4 4" xfId="29066"/>
    <cellStyle name="Normale 4 5 3 5" xfId="2971"/>
    <cellStyle name="Normale 4 5 3 5 2" xfId="10434"/>
    <cellStyle name="Normale 4 5 3 5 3" xfId="17842"/>
    <cellStyle name="Normale 4 5 3 5 4" xfId="29073"/>
    <cellStyle name="Normale 4 5 3 6" xfId="3900"/>
    <cellStyle name="Normale 4 5 3 6 2" xfId="11363"/>
    <cellStyle name="Normale 4 5 3 6 3" xfId="18771"/>
    <cellStyle name="Normale 4 5 3 6 4" xfId="24924"/>
    <cellStyle name="Normale 4 5 3 7" xfId="4827"/>
    <cellStyle name="Normale 4 5 3 7 2" xfId="12290"/>
    <cellStyle name="Normale 4 5 3 7 3" xfId="19698"/>
    <cellStyle name="Normale 4 5 3 7 4" xfId="22408"/>
    <cellStyle name="Normale 4 5 3 8" xfId="5754"/>
    <cellStyle name="Normale 4 5 3 8 2" xfId="13217"/>
    <cellStyle name="Normale 4 5 3 8 3" xfId="20625"/>
    <cellStyle name="Normale 4 5 3 8 4" xfId="24569"/>
    <cellStyle name="Normale 4 5 3 9" xfId="6676"/>
    <cellStyle name="Normale 4 5 3 9 2" xfId="14139"/>
    <cellStyle name="Normale 4 5 3 9 3" xfId="21547"/>
    <cellStyle name="Normale 4 5 3 9 4" xfId="27317"/>
    <cellStyle name="Normale 4 5 30" xfId="35402"/>
    <cellStyle name="Normale 4 5 31" xfId="36328"/>
    <cellStyle name="Normale 4 5 32" xfId="37251"/>
    <cellStyle name="Normale 4 5 4" xfId="340"/>
    <cellStyle name="Normale 4 5 4 10" xfId="15213"/>
    <cellStyle name="Normale 4 5 4 11" xfId="26397"/>
    <cellStyle name="Normale 4 5 4 12" xfId="30025"/>
    <cellStyle name="Normale 4 5 4 13" xfId="30957"/>
    <cellStyle name="Normale 4 5 4 14" xfId="31878"/>
    <cellStyle name="Normale 4 5 4 15" xfId="32803"/>
    <cellStyle name="Normale 4 5 4 16" xfId="33740"/>
    <cellStyle name="Normale 4 5 4 17" xfId="34670"/>
    <cellStyle name="Normale 4 5 4 18" xfId="35596"/>
    <cellStyle name="Normale 4 5 4 19" xfId="36522"/>
    <cellStyle name="Normale 4 5 4 2" xfId="1307"/>
    <cellStyle name="Normale 4 5 4 2 2" xfId="8770"/>
    <cellStyle name="Normale 4 5 4 2 3" xfId="16178"/>
    <cellStyle name="Normale 4 5 4 2 4" xfId="24176"/>
    <cellStyle name="Normale 4 5 4 20" xfId="37442"/>
    <cellStyle name="Normale 4 5 4 3" xfId="2238"/>
    <cellStyle name="Normale 4 5 4 3 2" xfId="9701"/>
    <cellStyle name="Normale 4 5 4 3 3" xfId="17109"/>
    <cellStyle name="Normale 4 5 4 3 4" xfId="27074"/>
    <cellStyle name="Normale 4 5 4 4" xfId="3160"/>
    <cellStyle name="Normale 4 5 4 4 2" xfId="10623"/>
    <cellStyle name="Normale 4 5 4 4 3" xfId="18031"/>
    <cellStyle name="Normale 4 5 4 4 4" xfId="29513"/>
    <cellStyle name="Normale 4 5 4 5" xfId="4093"/>
    <cellStyle name="Normale 4 5 4 5 2" xfId="11556"/>
    <cellStyle name="Normale 4 5 4 5 3" xfId="18964"/>
    <cellStyle name="Normale 4 5 4 5 4" xfId="28136"/>
    <cellStyle name="Normale 4 5 4 6" xfId="5016"/>
    <cellStyle name="Normale 4 5 4 6 2" xfId="12479"/>
    <cellStyle name="Normale 4 5 4 6 3" xfId="19887"/>
    <cellStyle name="Normale 4 5 4 6 4" xfId="26852"/>
    <cellStyle name="Normale 4 5 4 7" xfId="5944"/>
    <cellStyle name="Normale 4 5 4 7 2" xfId="13407"/>
    <cellStyle name="Normale 4 5 4 7 3" xfId="20815"/>
    <cellStyle name="Normale 4 5 4 7 4" xfId="26254"/>
    <cellStyle name="Normale 4 5 4 8" xfId="6864"/>
    <cellStyle name="Normale 4 5 4 8 2" xfId="14327"/>
    <cellStyle name="Normale 4 5 4 8 3" xfId="21735"/>
    <cellStyle name="Normale 4 5 4 8 4" xfId="29536"/>
    <cellStyle name="Normale 4 5 4 9" xfId="7803"/>
    <cellStyle name="Normale 4 5 5" xfId="434"/>
    <cellStyle name="Normale 4 5 5 10" xfId="15307"/>
    <cellStyle name="Normale 4 5 5 11" xfId="28491"/>
    <cellStyle name="Normale 4 5 5 12" xfId="30119"/>
    <cellStyle name="Normale 4 5 5 13" xfId="31051"/>
    <cellStyle name="Normale 4 5 5 14" xfId="31972"/>
    <cellStyle name="Normale 4 5 5 15" xfId="32896"/>
    <cellStyle name="Normale 4 5 5 16" xfId="33834"/>
    <cellStyle name="Normale 4 5 5 17" xfId="34764"/>
    <cellStyle name="Normale 4 5 5 18" xfId="35690"/>
    <cellStyle name="Normale 4 5 5 19" xfId="36616"/>
    <cellStyle name="Normale 4 5 5 2" xfId="1401"/>
    <cellStyle name="Normale 4 5 5 2 2" xfId="8864"/>
    <cellStyle name="Normale 4 5 5 2 3" xfId="16272"/>
    <cellStyle name="Normale 4 5 5 2 4" xfId="25754"/>
    <cellStyle name="Normale 4 5 5 20" xfId="37535"/>
    <cellStyle name="Normale 4 5 5 3" xfId="2332"/>
    <cellStyle name="Normale 4 5 5 3 2" xfId="9795"/>
    <cellStyle name="Normale 4 5 5 3 3" xfId="17203"/>
    <cellStyle name="Normale 4 5 5 3 4" xfId="22893"/>
    <cellStyle name="Normale 4 5 5 4" xfId="3254"/>
    <cellStyle name="Normale 4 5 5 4 2" xfId="10717"/>
    <cellStyle name="Normale 4 5 5 4 3" xfId="18125"/>
    <cellStyle name="Normale 4 5 5 4 4" xfId="28620"/>
    <cellStyle name="Normale 4 5 5 5" xfId="4187"/>
    <cellStyle name="Normale 4 5 5 5 2" xfId="11650"/>
    <cellStyle name="Normale 4 5 5 5 3" xfId="19058"/>
    <cellStyle name="Normale 4 5 5 5 4" xfId="23536"/>
    <cellStyle name="Normale 4 5 5 6" xfId="5110"/>
    <cellStyle name="Normale 4 5 5 6 2" xfId="12573"/>
    <cellStyle name="Normale 4 5 5 6 3" xfId="19981"/>
    <cellStyle name="Normale 4 5 5 6 4" xfId="28109"/>
    <cellStyle name="Normale 4 5 5 7" xfId="6038"/>
    <cellStyle name="Normale 4 5 5 7 2" xfId="13501"/>
    <cellStyle name="Normale 4 5 5 7 3" xfId="20909"/>
    <cellStyle name="Normale 4 5 5 7 4" xfId="28456"/>
    <cellStyle name="Normale 4 5 5 8" xfId="6957"/>
    <cellStyle name="Normale 4 5 5 8 2" xfId="14420"/>
    <cellStyle name="Normale 4 5 5 8 3" xfId="21828"/>
    <cellStyle name="Normale 4 5 5 8 4" xfId="29538"/>
    <cellStyle name="Normale 4 5 5 9" xfId="7897"/>
    <cellStyle name="Normale 4 5 6" xfId="482"/>
    <cellStyle name="Normale 4 5 6 10" xfId="15355"/>
    <cellStyle name="Normale 4 5 6 11" xfId="27114"/>
    <cellStyle name="Normale 4 5 6 12" xfId="30167"/>
    <cellStyle name="Normale 4 5 6 13" xfId="31099"/>
    <cellStyle name="Normale 4 5 6 14" xfId="32020"/>
    <cellStyle name="Normale 4 5 6 15" xfId="32943"/>
    <cellStyle name="Normale 4 5 6 16" xfId="33882"/>
    <cellStyle name="Normale 4 5 6 17" xfId="34812"/>
    <cellStyle name="Normale 4 5 6 18" xfId="35738"/>
    <cellStyle name="Normale 4 5 6 19" xfId="36664"/>
    <cellStyle name="Normale 4 5 6 2" xfId="1449"/>
    <cellStyle name="Normale 4 5 6 2 2" xfId="8912"/>
    <cellStyle name="Normale 4 5 6 2 3" xfId="16320"/>
    <cellStyle name="Normale 4 5 6 2 4" xfId="23986"/>
    <cellStyle name="Normale 4 5 6 20" xfId="37582"/>
    <cellStyle name="Normale 4 5 6 3" xfId="2380"/>
    <cellStyle name="Normale 4 5 6 3 2" xfId="9843"/>
    <cellStyle name="Normale 4 5 6 3 3" xfId="17251"/>
    <cellStyle name="Normale 4 5 6 3 4" xfId="29090"/>
    <cellStyle name="Normale 4 5 6 4" xfId="3302"/>
    <cellStyle name="Normale 4 5 6 4 2" xfId="10765"/>
    <cellStyle name="Normale 4 5 6 4 3" xfId="18173"/>
    <cellStyle name="Normale 4 5 6 4 4" xfId="23246"/>
    <cellStyle name="Normale 4 5 6 5" xfId="4235"/>
    <cellStyle name="Normale 4 5 6 5 2" xfId="11698"/>
    <cellStyle name="Normale 4 5 6 5 3" xfId="19106"/>
    <cellStyle name="Normale 4 5 6 5 4" xfId="22423"/>
    <cellStyle name="Normale 4 5 6 6" xfId="5158"/>
    <cellStyle name="Normale 4 5 6 6 2" xfId="12621"/>
    <cellStyle name="Normale 4 5 6 6 3" xfId="20029"/>
    <cellStyle name="Normale 4 5 6 6 4" xfId="26672"/>
    <cellStyle name="Normale 4 5 6 7" xfId="6086"/>
    <cellStyle name="Normale 4 5 6 7 2" xfId="13549"/>
    <cellStyle name="Normale 4 5 6 7 3" xfId="20957"/>
    <cellStyle name="Normale 4 5 6 7 4" xfId="26740"/>
    <cellStyle name="Normale 4 5 6 8" xfId="7004"/>
    <cellStyle name="Normale 4 5 6 8 2" xfId="14467"/>
    <cellStyle name="Normale 4 5 6 8 3" xfId="21875"/>
    <cellStyle name="Normale 4 5 6 8 4" xfId="22769"/>
    <cellStyle name="Normale 4 5 6 9" xfId="7945"/>
    <cellStyle name="Normale 4 5 7" xfId="530"/>
    <cellStyle name="Normale 4 5 7 10" xfId="15403"/>
    <cellStyle name="Normale 4 5 7 11" xfId="28033"/>
    <cellStyle name="Normale 4 5 7 12" xfId="30214"/>
    <cellStyle name="Normale 4 5 7 13" xfId="31147"/>
    <cellStyle name="Normale 4 5 7 14" xfId="32067"/>
    <cellStyle name="Normale 4 5 7 15" xfId="32989"/>
    <cellStyle name="Normale 4 5 7 16" xfId="33930"/>
    <cellStyle name="Normale 4 5 7 17" xfId="34860"/>
    <cellStyle name="Normale 4 5 7 18" xfId="35786"/>
    <cellStyle name="Normale 4 5 7 19" xfId="36712"/>
    <cellStyle name="Normale 4 5 7 2" xfId="1497"/>
    <cellStyle name="Normale 4 5 7 2 2" xfId="8960"/>
    <cellStyle name="Normale 4 5 7 2 3" xfId="16368"/>
    <cellStyle name="Normale 4 5 7 2 4" xfId="23416"/>
    <cellStyle name="Normale 4 5 7 20" xfId="37628"/>
    <cellStyle name="Normale 4 5 7 3" xfId="2428"/>
    <cellStyle name="Normale 4 5 7 3 2" xfId="9891"/>
    <cellStyle name="Normale 4 5 7 3 3" xfId="17299"/>
    <cellStyle name="Normale 4 5 7 3 4" xfId="23222"/>
    <cellStyle name="Normale 4 5 7 4" xfId="3349"/>
    <cellStyle name="Normale 4 5 7 4 2" xfId="10812"/>
    <cellStyle name="Normale 4 5 7 4 3" xfId="18220"/>
    <cellStyle name="Normale 4 5 7 4 4" xfId="23560"/>
    <cellStyle name="Normale 4 5 7 5" xfId="4283"/>
    <cellStyle name="Normale 4 5 7 5 2" xfId="11746"/>
    <cellStyle name="Normale 4 5 7 5 3" xfId="19154"/>
    <cellStyle name="Normale 4 5 7 5 4" xfId="28467"/>
    <cellStyle name="Normale 4 5 7 6" xfId="5205"/>
    <cellStyle name="Normale 4 5 7 6 2" xfId="12668"/>
    <cellStyle name="Normale 4 5 7 6 3" xfId="20076"/>
    <cellStyle name="Normale 4 5 7 6 4" xfId="27535"/>
    <cellStyle name="Normale 4 5 7 7" xfId="6134"/>
    <cellStyle name="Normale 4 5 7 7 2" xfId="13597"/>
    <cellStyle name="Normale 4 5 7 7 3" xfId="21005"/>
    <cellStyle name="Normale 4 5 7 7 4" xfId="27891"/>
    <cellStyle name="Normale 4 5 7 8" xfId="7050"/>
    <cellStyle name="Normale 4 5 7 8 2" xfId="14513"/>
    <cellStyle name="Normale 4 5 7 8 3" xfId="21921"/>
    <cellStyle name="Normale 4 5 7 8 4" xfId="24714"/>
    <cellStyle name="Normale 4 5 7 9" xfId="7993"/>
    <cellStyle name="Normale 4 5 8" xfId="582"/>
    <cellStyle name="Normale 4 5 8 10" xfId="15455"/>
    <cellStyle name="Normale 4 5 8 11" xfId="29335"/>
    <cellStyle name="Normale 4 5 8 12" xfId="30265"/>
    <cellStyle name="Normale 4 5 8 13" xfId="31199"/>
    <cellStyle name="Normale 4 5 8 14" xfId="32118"/>
    <cellStyle name="Normale 4 5 8 15" xfId="33039"/>
    <cellStyle name="Normale 4 5 8 16" xfId="33982"/>
    <cellStyle name="Normale 4 5 8 17" xfId="34912"/>
    <cellStyle name="Normale 4 5 8 18" xfId="35838"/>
    <cellStyle name="Normale 4 5 8 19" xfId="36764"/>
    <cellStyle name="Normale 4 5 8 2" xfId="1549"/>
    <cellStyle name="Normale 4 5 8 2 2" xfId="9012"/>
    <cellStyle name="Normale 4 5 8 2 3" xfId="16420"/>
    <cellStyle name="Normale 4 5 8 2 4" xfId="26173"/>
    <cellStyle name="Normale 4 5 8 20" xfId="37678"/>
    <cellStyle name="Normale 4 5 8 3" xfId="2480"/>
    <cellStyle name="Normale 4 5 8 3 2" xfId="9943"/>
    <cellStyle name="Normale 4 5 8 3 3" xfId="17351"/>
    <cellStyle name="Normale 4 5 8 3 4" xfId="26536"/>
    <cellStyle name="Normale 4 5 8 4" xfId="3400"/>
    <cellStyle name="Normale 4 5 8 4 2" xfId="10863"/>
    <cellStyle name="Normale 4 5 8 4 3" xfId="18271"/>
    <cellStyle name="Normale 4 5 8 4 4" xfId="26606"/>
    <cellStyle name="Normale 4 5 8 5" xfId="4335"/>
    <cellStyle name="Normale 4 5 8 5 2" xfId="11798"/>
    <cellStyle name="Normale 4 5 8 5 3" xfId="19206"/>
    <cellStyle name="Normale 4 5 8 5 4" xfId="23343"/>
    <cellStyle name="Normale 4 5 8 6" xfId="5256"/>
    <cellStyle name="Normale 4 5 8 6 2" xfId="12719"/>
    <cellStyle name="Normale 4 5 8 6 3" xfId="20127"/>
    <cellStyle name="Normale 4 5 8 6 4" xfId="23320"/>
    <cellStyle name="Normale 4 5 8 7" xfId="6186"/>
    <cellStyle name="Normale 4 5 8 7 2" xfId="13649"/>
    <cellStyle name="Normale 4 5 8 7 3" xfId="21057"/>
    <cellStyle name="Normale 4 5 8 7 4" xfId="24721"/>
    <cellStyle name="Normale 4 5 8 8" xfId="7100"/>
    <cellStyle name="Normale 4 5 8 8 2" xfId="14563"/>
    <cellStyle name="Normale 4 5 8 8 3" xfId="21971"/>
    <cellStyle name="Normale 4 5 8 8 4" xfId="15484"/>
    <cellStyle name="Normale 4 5 8 9" xfId="8045"/>
    <cellStyle name="Normale 4 5 9" xfId="642"/>
    <cellStyle name="Normale 4 5 9 10" xfId="15514"/>
    <cellStyle name="Normale 4 5 9 11" xfId="25271"/>
    <cellStyle name="Normale 4 5 9 12" xfId="30321"/>
    <cellStyle name="Normale 4 5 9 13" xfId="31258"/>
    <cellStyle name="Normale 4 5 9 14" xfId="32175"/>
    <cellStyle name="Normale 4 5 9 15" xfId="33094"/>
    <cellStyle name="Normale 4 5 9 16" xfId="34041"/>
    <cellStyle name="Normale 4 5 9 17" xfId="34972"/>
    <cellStyle name="Normale 4 5 9 18" xfId="35898"/>
    <cellStyle name="Normale 4 5 9 19" xfId="36823"/>
    <cellStyle name="Normale 4 5 9 2" xfId="1608"/>
    <cellStyle name="Normale 4 5 9 2 2" xfId="9071"/>
    <cellStyle name="Normale 4 5 9 2 3" xfId="16479"/>
    <cellStyle name="Normale 4 5 9 2 4" xfId="25100"/>
    <cellStyle name="Normale 4 5 9 20" xfId="37733"/>
    <cellStyle name="Normale 4 5 9 3" xfId="2540"/>
    <cellStyle name="Normale 4 5 9 3 2" xfId="10003"/>
    <cellStyle name="Normale 4 5 9 3 3" xfId="17411"/>
    <cellStyle name="Normale 4 5 9 3 4" xfId="28897"/>
    <cellStyle name="Normale 4 5 9 4" xfId="3458"/>
    <cellStyle name="Normale 4 5 9 4 2" xfId="10921"/>
    <cellStyle name="Normale 4 5 9 4 3" xfId="18329"/>
    <cellStyle name="Normale 4 5 9 4 4" xfId="24686"/>
    <cellStyle name="Normale 4 5 9 5" xfId="4395"/>
    <cellStyle name="Normale 4 5 9 5 2" xfId="11858"/>
    <cellStyle name="Normale 4 5 9 5 3" xfId="19266"/>
    <cellStyle name="Normale 4 5 9 5 4" xfId="28686"/>
    <cellStyle name="Normale 4 5 9 6" xfId="5313"/>
    <cellStyle name="Normale 4 5 9 6 2" xfId="12776"/>
    <cellStyle name="Normale 4 5 9 6 3" xfId="20184"/>
    <cellStyle name="Normale 4 5 9 6 4" xfId="24152"/>
    <cellStyle name="Normale 4 5 9 7" xfId="6246"/>
    <cellStyle name="Normale 4 5 9 7 2" xfId="13709"/>
    <cellStyle name="Normale 4 5 9 7 3" xfId="21117"/>
    <cellStyle name="Normale 4 5 9 7 4" xfId="28079"/>
    <cellStyle name="Normale 4 5 9 8" xfId="7155"/>
    <cellStyle name="Normale 4 5 9 8 2" xfId="14618"/>
    <cellStyle name="Normale 4 5 9 8 3" xfId="22026"/>
    <cellStyle name="Normale 4 5 9 8 4" xfId="24206"/>
    <cellStyle name="Normale 4 5 9 9" xfId="8105"/>
    <cellStyle name="Normale 4 6" xfId="146"/>
    <cellStyle name="Normale 4 6 10" xfId="1119"/>
    <cellStyle name="Normale 4 6 10 2" xfId="8582"/>
    <cellStyle name="Normale 4 6 10 3" xfId="15990"/>
    <cellStyle name="Normale 4 6 10 4" xfId="26380"/>
    <cellStyle name="Normale 4 6 11" xfId="2046"/>
    <cellStyle name="Normale 4 6 11 2" xfId="9509"/>
    <cellStyle name="Normale 4 6 11 3" xfId="16917"/>
    <cellStyle name="Normale 4 6 11 4" xfId="28156"/>
    <cellStyle name="Normale 4 6 12" xfId="2972"/>
    <cellStyle name="Normale 4 6 12 2" xfId="10435"/>
    <cellStyle name="Normale 4 6 12 3" xfId="17843"/>
    <cellStyle name="Normale 4 6 12 4" xfId="28163"/>
    <cellStyle name="Normale 4 6 13" xfId="3901"/>
    <cellStyle name="Normale 4 6 13 2" xfId="11364"/>
    <cellStyle name="Normale 4 6 13 3" xfId="18772"/>
    <cellStyle name="Normale 4 6 13 4" xfId="23999"/>
    <cellStyle name="Normale 4 6 14" xfId="4828"/>
    <cellStyle name="Normale 4 6 14 2" xfId="12291"/>
    <cellStyle name="Normale 4 6 14 3" xfId="19699"/>
    <cellStyle name="Normale 4 6 14 4" xfId="22405"/>
    <cellStyle name="Normale 4 6 15" xfId="5755"/>
    <cellStyle name="Normale 4 6 15 2" xfId="13218"/>
    <cellStyle name="Normale 4 6 15 3" xfId="20626"/>
    <cellStyle name="Normale 4 6 15 4" xfId="23647"/>
    <cellStyle name="Normale 4 6 16" xfId="6677"/>
    <cellStyle name="Normale 4 6 16 2" xfId="14140"/>
    <cellStyle name="Normale 4 6 16 3" xfId="21548"/>
    <cellStyle name="Normale 4 6 16 4" xfId="26773"/>
    <cellStyle name="Normale 4 6 17" xfId="7611"/>
    <cellStyle name="Normale 4 6 18" xfId="15020"/>
    <cellStyle name="Normale 4 6 19" xfId="27362"/>
    <cellStyle name="Normale 4 6 2" xfId="147"/>
    <cellStyle name="Normale 4 6 2 10" xfId="7612"/>
    <cellStyle name="Normale 4 6 2 11" xfId="15021"/>
    <cellStyle name="Normale 4 6 2 12" xfId="26454"/>
    <cellStyle name="Normale 4 6 2 13" xfId="29838"/>
    <cellStyle name="Normale 4 6 2 14" xfId="30768"/>
    <cellStyle name="Normale 4 6 2 15" xfId="31691"/>
    <cellStyle name="Normale 4 6 2 16" xfId="32617"/>
    <cellStyle name="Normale 4 6 2 17" xfId="33551"/>
    <cellStyle name="Normale 4 6 2 18" xfId="34479"/>
    <cellStyle name="Normale 4 6 2 19" xfId="35407"/>
    <cellStyle name="Normale 4 6 2 2" xfId="345"/>
    <cellStyle name="Normale 4 6 2 2 10" xfId="15218"/>
    <cellStyle name="Normale 4 6 2 2 11" xfId="28040"/>
    <cellStyle name="Normale 4 6 2 2 12" xfId="30030"/>
    <cellStyle name="Normale 4 6 2 2 13" xfId="30962"/>
    <cellStyle name="Normale 4 6 2 2 14" xfId="31883"/>
    <cellStyle name="Normale 4 6 2 2 15" xfId="32808"/>
    <cellStyle name="Normale 4 6 2 2 16" xfId="33745"/>
    <cellStyle name="Normale 4 6 2 2 17" xfId="34675"/>
    <cellStyle name="Normale 4 6 2 2 18" xfId="35601"/>
    <cellStyle name="Normale 4 6 2 2 19" xfId="36527"/>
    <cellStyle name="Normale 4 6 2 2 2" xfId="1312"/>
    <cellStyle name="Normale 4 6 2 2 2 2" xfId="8775"/>
    <cellStyle name="Normale 4 6 2 2 2 3" xfId="16183"/>
    <cellStyle name="Normale 4 6 2 2 2 4" xfId="26875"/>
    <cellStyle name="Normale 4 6 2 2 20" xfId="37447"/>
    <cellStyle name="Normale 4 6 2 2 3" xfId="2243"/>
    <cellStyle name="Normale 4 6 2 2 3 2" xfId="9706"/>
    <cellStyle name="Normale 4 6 2 2 3 3" xfId="17114"/>
    <cellStyle name="Normale 4 6 2 2 3 4" xfId="22664"/>
    <cellStyle name="Normale 4 6 2 2 4" xfId="3165"/>
    <cellStyle name="Normale 4 6 2 2 4 2" xfId="10628"/>
    <cellStyle name="Normale 4 6 2 2 4 3" xfId="18036"/>
    <cellStyle name="Normale 4 6 2 2 4 4" xfId="24948"/>
    <cellStyle name="Normale 4 6 2 2 5" xfId="4098"/>
    <cellStyle name="Normale 4 6 2 2 5 2" xfId="11561"/>
    <cellStyle name="Normale 4 6 2 2 5 3" xfId="18969"/>
    <cellStyle name="Normale 4 6 2 2 5 4" xfId="23542"/>
    <cellStyle name="Normale 4 6 2 2 6" xfId="5021"/>
    <cellStyle name="Normale 4 6 2 2 6 2" xfId="12484"/>
    <cellStyle name="Normale 4 6 2 2 6 3" xfId="19892"/>
    <cellStyle name="Normale 4 6 2 2 6 4" xfId="29501"/>
    <cellStyle name="Normale 4 6 2 2 7" xfId="5949"/>
    <cellStyle name="Normale 4 6 2 2 7 2" xfId="13412"/>
    <cellStyle name="Normale 4 6 2 2 7 3" xfId="20820"/>
    <cellStyle name="Normale 4 6 2 2 7 4" xfId="27898"/>
    <cellStyle name="Normale 4 6 2 2 8" xfId="6869"/>
    <cellStyle name="Normale 4 6 2 2 8 2" xfId="14332"/>
    <cellStyle name="Normale 4 6 2 2 8 3" xfId="21740"/>
    <cellStyle name="Normale 4 6 2 2 8 4" xfId="24971"/>
    <cellStyle name="Normale 4 6 2 2 9" xfId="7808"/>
    <cellStyle name="Normale 4 6 2 20" xfId="36333"/>
    <cellStyle name="Normale 4 6 2 21" xfId="37256"/>
    <cellStyle name="Normale 4 6 2 3" xfId="1120"/>
    <cellStyle name="Normale 4 6 2 3 2" xfId="8583"/>
    <cellStyle name="Normale 4 6 2 3 3" xfId="15991"/>
    <cellStyle name="Normale 4 6 2 3 4" xfId="25453"/>
    <cellStyle name="Normale 4 6 2 4" xfId="2047"/>
    <cellStyle name="Normale 4 6 2 4 2" xfId="9510"/>
    <cellStyle name="Normale 4 6 2 4 3" xfId="16918"/>
    <cellStyle name="Normale 4 6 2 4 4" xfId="27234"/>
    <cellStyle name="Normale 4 6 2 5" xfId="2973"/>
    <cellStyle name="Normale 4 6 2 5 2" xfId="10436"/>
    <cellStyle name="Normale 4 6 2 5 3" xfId="17844"/>
    <cellStyle name="Normale 4 6 2 5 4" xfId="27241"/>
    <cellStyle name="Normale 4 6 2 6" xfId="3902"/>
    <cellStyle name="Normale 4 6 2 6 2" xfId="11365"/>
    <cellStyle name="Normale 4 6 2 6 3" xfId="18773"/>
    <cellStyle name="Normale 4 6 2 6 4" xfId="22979"/>
    <cellStyle name="Normale 4 6 2 7" xfId="4829"/>
    <cellStyle name="Normale 4 6 2 7 2" xfId="12292"/>
    <cellStyle name="Normale 4 6 2 7 3" xfId="19700"/>
    <cellStyle name="Normale 4 6 2 7 4" xfId="28836"/>
    <cellStyle name="Normale 4 6 2 8" xfId="5756"/>
    <cellStyle name="Normale 4 6 2 8 2" xfId="13219"/>
    <cellStyle name="Normale 4 6 2 8 3" xfId="20627"/>
    <cellStyle name="Normale 4 6 2 8 4" xfId="22541"/>
    <cellStyle name="Normale 4 6 2 9" xfId="6678"/>
    <cellStyle name="Normale 4 6 2 9 2" xfId="14141"/>
    <cellStyle name="Normale 4 6 2 9 3" xfId="21549"/>
    <cellStyle name="Normale 4 6 2 9 4" xfId="24769"/>
    <cellStyle name="Normale 4 6 20" xfId="29837"/>
    <cellStyle name="Normale 4 6 21" xfId="30767"/>
    <cellStyle name="Normale 4 6 22" xfId="31690"/>
    <cellStyle name="Normale 4 6 23" xfId="32616"/>
    <cellStyle name="Normale 4 6 24" xfId="33550"/>
    <cellStyle name="Normale 4 6 25" xfId="34478"/>
    <cellStyle name="Normale 4 6 26" xfId="35406"/>
    <cellStyle name="Normale 4 6 27" xfId="36332"/>
    <cellStyle name="Normale 4 6 28" xfId="37255"/>
    <cellStyle name="Normale 4 6 3" xfId="344"/>
    <cellStyle name="Normale 4 6 3 10" xfId="15217"/>
    <cellStyle name="Normale 4 6 3 11" xfId="28951"/>
    <cellStyle name="Normale 4 6 3 12" xfId="30029"/>
    <cellStyle name="Normale 4 6 3 13" xfId="30961"/>
    <cellStyle name="Normale 4 6 3 14" xfId="31882"/>
    <cellStyle name="Normale 4 6 3 15" xfId="32807"/>
    <cellStyle name="Normale 4 6 3 16" xfId="33744"/>
    <cellStyle name="Normale 4 6 3 17" xfId="34674"/>
    <cellStyle name="Normale 4 6 3 18" xfId="35600"/>
    <cellStyle name="Normale 4 6 3 19" xfId="36526"/>
    <cellStyle name="Normale 4 6 3 2" xfId="1311"/>
    <cellStyle name="Normale 4 6 3 2 2" xfId="8774"/>
    <cellStyle name="Normale 4 6 3 2 3" xfId="16182"/>
    <cellStyle name="Normale 4 6 3 2 4" xfId="27777"/>
    <cellStyle name="Normale 4 6 3 20" xfId="37446"/>
    <cellStyle name="Normale 4 6 3 3" xfId="2242"/>
    <cellStyle name="Normale 4 6 3 3 2" xfId="9705"/>
    <cellStyle name="Normale 4 6 3 3 3" xfId="17113"/>
    <cellStyle name="Normale 4 6 3 3 4" xfId="23398"/>
    <cellStyle name="Normale 4 6 3 4" xfId="3164"/>
    <cellStyle name="Normale 4 6 3 4 2" xfId="10627"/>
    <cellStyle name="Normale 4 6 3 4 3" xfId="18035"/>
    <cellStyle name="Normale 4 6 3 4 4" xfId="25859"/>
    <cellStyle name="Normale 4 6 3 5" xfId="4097"/>
    <cellStyle name="Normale 4 6 3 5 2" xfId="11560"/>
    <cellStyle name="Normale 4 6 3 5 3" xfId="18968"/>
    <cellStyle name="Normale 4 6 3 5 4" xfId="24461"/>
    <cellStyle name="Normale 4 6 3 6" xfId="5020"/>
    <cellStyle name="Normale 4 6 3 6 2" xfId="12483"/>
    <cellStyle name="Normale 4 6 3 6 3" xfId="19891"/>
    <cellStyle name="Normale 4 6 3 6 4" xfId="23072"/>
    <cellStyle name="Normale 4 6 3 7" xfId="5948"/>
    <cellStyle name="Normale 4 6 3 7 2" xfId="13411"/>
    <cellStyle name="Normale 4 6 3 7 3" xfId="20819"/>
    <cellStyle name="Normale 4 6 3 7 4" xfId="28811"/>
    <cellStyle name="Normale 4 6 3 8" xfId="6868"/>
    <cellStyle name="Normale 4 6 3 8 2" xfId="14331"/>
    <cellStyle name="Normale 4 6 3 8 3" xfId="21739"/>
    <cellStyle name="Normale 4 6 3 8 4" xfId="25882"/>
    <cellStyle name="Normale 4 6 3 9" xfId="7807"/>
    <cellStyle name="Normale 4 6 4" xfId="600"/>
    <cellStyle name="Normale 4 6 4 10" xfId="15473"/>
    <cellStyle name="Normale 4 6 4 11" xfId="27411"/>
    <cellStyle name="Normale 4 6 4 12" xfId="30283"/>
    <cellStyle name="Normale 4 6 4 13" xfId="31217"/>
    <cellStyle name="Normale 4 6 4 14" xfId="32136"/>
    <cellStyle name="Normale 4 6 4 15" xfId="33056"/>
    <cellStyle name="Normale 4 6 4 16" xfId="34000"/>
    <cellStyle name="Normale 4 6 4 17" xfId="34930"/>
    <cellStyle name="Normale 4 6 4 18" xfId="35856"/>
    <cellStyle name="Normale 4 6 4 19" xfId="36782"/>
    <cellStyle name="Normale 4 6 4 2" xfId="1567"/>
    <cellStyle name="Normale 4 6 4 2 2" xfId="9030"/>
    <cellStyle name="Normale 4 6 4 2 3" xfId="16438"/>
    <cellStyle name="Normale 4 6 4 2 4" xfId="25248"/>
    <cellStyle name="Normale 4 6 4 20" xfId="37695"/>
    <cellStyle name="Normale 4 6 4 3" xfId="2498"/>
    <cellStyle name="Normale 4 6 4 3 2" xfId="9961"/>
    <cellStyle name="Normale 4 6 4 3 3" xfId="17369"/>
    <cellStyle name="Normale 4 6 4 3 4" xfId="24596"/>
    <cellStyle name="Normale 4 6 4 4" xfId="3418"/>
    <cellStyle name="Normale 4 6 4 4 2" xfId="10881"/>
    <cellStyle name="Normale 4 6 4 4 3" xfId="18289"/>
    <cellStyle name="Normale 4 6 4 4 4" xfId="23368"/>
    <cellStyle name="Normale 4 6 4 5" xfId="4353"/>
    <cellStyle name="Normale 4 6 4 5 2" xfId="11816"/>
    <cellStyle name="Normale 4 6 4 5 3" xfId="19224"/>
    <cellStyle name="Normale 4 6 4 5 4" xfId="22607"/>
    <cellStyle name="Normale 4 6 4 6" xfId="5274"/>
    <cellStyle name="Normale 4 6 4 6 2" xfId="12737"/>
    <cellStyle name="Normale 4 6 4 6 3" xfId="20145"/>
    <cellStyle name="Normale 4 6 4 6 4" xfId="22584"/>
    <cellStyle name="Normale 4 6 4 7" xfId="6204"/>
    <cellStyle name="Normale 4 6 4 7 2" xfId="13667"/>
    <cellStyle name="Normale 4 6 4 7 3" xfId="21075"/>
    <cellStyle name="Normale 4 6 4 7 4" xfId="22728"/>
    <cellStyle name="Normale 4 6 4 8" xfId="7117"/>
    <cellStyle name="Normale 4 6 4 8 2" xfId="14580"/>
    <cellStyle name="Normale 4 6 4 8 3" xfId="21988"/>
    <cellStyle name="Normale 4 6 4 8 4" xfId="25687"/>
    <cellStyle name="Normale 4 6 4 9" xfId="8063"/>
    <cellStyle name="Normale 4 6 5" xfId="657"/>
    <cellStyle name="Normale 4 6 5 10" xfId="15529"/>
    <cellStyle name="Normale 4 6 5 11" xfId="25272"/>
    <cellStyle name="Normale 4 6 5 12" xfId="30336"/>
    <cellStyle name="Normale 4 6 5 13" xfId="31273"/>
    <cellStyle name="Normale 4 6 5 14" xfId="32190"/>
    <cellStyle name="Normale 4 6 5 15" xfId="33109"/>
    <cellStyle name="Normale 4 6 5 16" xfId="34056"/>
    <cellStyle name="Normale 4 6 5 17" xfId="34987"/>
    <cellStyle name="Normale 4 6 5 18" xfId="35913"/>
    <cellStyle name="Normale 4 6 5 19" xfId="36838"/>
    <cellStyle name="Normale 4 6 5 2" xfId="1623"/>
    <cellStyle name="Normale 4 6 5 2 2" xfId="9086"/>
    <cellStyle name="Normale 4 6 5 2 3" xfId="16494"/>
    <cellStyle name="Normale 4 6 5 2 4" xfId="25869"/>
    <cellStyle name="Normale 4 6 5 20" xfId="37748"/>
    <cellStyle name="Normale 4 6 5 3" xfId="2555"/>
    <cellStyle name="Normale 4 6 5 3 2" xfId="10018"/>
    <cellStyle name="Normale 4 6 5 3 3" xfId="17426"/>
    <cellStyle name="Normale 4 6 5 3 4" xfId="22466"/>
    <cellStyle name="Normale 4 6 5 4" xfId="3473"/>
    <cellStyle name="Normale 4 6 5 4 2" xfId="10936"/>
    <cellStyle name="Normale 4 6 5 4 3" xfId="18344"/>
    <cellStyle name="Normale 4 6 5 4 4" xfId="25507"/>
    <cellStyle name="Normale 4 6 5 5" xfId="4410"/>
    <cellStyle name="Normale 4 6 5 5 2" xfId="11873"/>
    <cellStyle name="Normale 4 6 5 5 3" xfId="19281"/>
    <cellStyle name="Normale 4 6 5 5 4" xfId="29436"/>
    <cellStyle name="Normale 4 6 5 6" xfId="5328"/>
    <cellStyle name="Normale 4 6 5 6 2" xfId="12791"/>
    <cellStyle name="Normale 4 6 5 6 3" xfId="20199"/>
    <cellStyle name="Normale 4 6 5 6 4" xfId="24935"/>
    <cellStyle name="Normale 4 6 5 7" xfId="6261"/>
    <cellStyle name="Normale 4 6 5 7 2" xfId="13724"/>
    <cellStyle name="Normale 4 6 5 7 3" xfId="21132"/>
    <cellStyle name="Normale 4 6 5 7 4" xfId="28080"/>
    <cellStyle name="Normale 4 6 5 8" xfId="7170"/>
    <cellStyle name="Normale 4 6 5 8 2" xfId="14633"/>
    <cellStyle name="Normale 4 6 5 8 3" xfId="22041"/>
    <cellStyle name="Normale 4 6 5 8 4" xfId="29332"/>
    <cellStyle name="Normale 4 6 5 9" xfId="8120"/>
    <cellStyle name="Normale 4 6 6" xfId="740"/>
    <cellStyle name="Normale 4 6 6 10" xfId="15611"/>
    <cellStyle name="Normale 4 6 6 11" xfId="26736"/>
    <cellStyle name="Normale 4 6 6 12" xfId="30414"/>
    <cellStyle name="Normale 4 6 6 13" xfId="31355"/>
    <cellStyle name="Normale 4 6 6 14" xfId="32268"/>
    <cellStyle name="Normale 4 6 6 15" xfId="33185"/>
    <cellStyle name="Normale 4 6 6 16" xfId="34138"/>
    <cellStyle name="Normale 4 6 6 17" xfId="35070"/>
    <cellStyle name="Normale 4 6 6 18" xfId="35996"/>
    <cellStyle name="Normale 4 6 6 19" xfId="36921"/>
    <cellStyle name="Normale 4 6 6 2" xfId="1705"/>
    <cellStyle name="Normale 4 6 6 2 2" xfId="9168"/>
    <cellStyle name="Normale 4 6 6 2 3" xfId="16576"/>
    <cellStyle name="Normale 4 6 6 2 4" xfId="23409"/>
    <cellStyle name="Normale 4 6 6 20" xfId="37824"/>
    <cellStyle name="Normale 4 6 6 3" xfId="2638"/>
    <cellStyle name="Normale 4 6 6 3 2" xfId="10101"/>
    <cellStyle name="Normale 4 6 6 3 3" xfId="17509"/>
    <cellStyle name="Normale 4 6 6 3 4" xfId="28739"/>
    <cellStyle name="Normale 4 6 6 4" xfId="3554"/>
    <cellStyle name="Normale 4 6 6 4 2" xfId="11017"/>
    <cellStyle name="Normale 4 6 6 4 3" xfId="18425"/>
    <cellStyle name="Normale 4 6 6 4 4" xfId="25018"/>
    <cellStyle name="Normale 4 6 6 5" xfId="4493"/>
    <cellStyle name="Normale 4 6 6 5 2" xfId="11956"/>
    <cellStyle name="Normale 4 6 6 5 3" xfId="19364"/>
    <cellStyle name="Normale 4 6 6 5 4" xfId="23338"/>
    <cellStyle name="Normale 4 6 6 6" xfId="5409"/>
    <cellStyle name="Normale 4 6 6 6 2" xfId="12872"/>
    <cellStyle name="Normale 4 6 6 6 3" xfId="20280"/>
    <cellStyle name="Normale 4 6 6 6 4" xfId="23314"/>
    <cellStyle name="Normale 4 6 6 7" xfId="6342"/>
    <cellStyle name="Normale 4 6 6 7 2" xfId="13805"/>
    <cellStyle name="Normale 4 6 6 7 3" xfId="21213"/>
    <cellStyle name="Normale 4 6 6 7 4" xfId="28801"/>
    <cellStyle name="Normale 4 6 6 8" xfId="7246"/>
    <cellStyle name="Normale 4 6 6 8 2" xfId="14709"/>
    <cellStyle name="Normale 4 6 6 8 3" xfId="22117"/>
    <cellStyle name="Normale 4 6 6 8 4" xfId="25295"/>
    <cellStyle name="Normale 4 6 6 9" xfId="8203"/>
    <cellStyle name="Normale 4 6 7" xfId="811"/>
    <cellStyle name="Normale 4 6 7 10" xfId="15682"/>
    <cellStyle name="Normale 4 6 7 11" xfId="25902"/>
    <cellStyle name="Normale 4 6 7 12" xfId="30483"/>
    <cellStyle name="Normale 4 6 7 13" xfId="31426"/>
    <cellStyle name="Normale 4 6 7 14" xfId="32338"/>
    <cellStyle name="Normale 4 6 7 15" xfId="33254"/>
    <cellStyle name="Normale 4 6 7 16" xfId="34209"/>
    <cellStyle name="Normale 4 6 7 17" xfId="35141"/>
    <cellStyle name="Normale 4 6 7 18" xfId="36067"/>
    <cellStyle name="Normale 4 6 7 19" xfId="36992"/>
    <cellStyle name="Normale 4 6 7 2" xfId="1776"/>
    <cellStyle name="Normale 4 6 7 2 2" xfId="9239"/>
    <cellStyle name="Normale 4 6 7 2 3" xfId="16647"/>
    <cellStyle name="Normale 4 6 7 2 4" xfId="29380"/>
    <cellStyle name="Normale 4 6 7 20" xfId="37893"/>
    <cellStyle name="Normale 4 6 7 3" xfId="2709"/>
    <cellStyle name="Normale 4 6 7 3 2" xfId="10172"/>
    <cellStyle name="Normale 4 6 7 3 3" xfId="17580"/>
    <cellStyle name="Normale 4 6 7 3 4" xfId="27657"/>
    <cellStyle name="Normale 4 6 7 4" xfId="3624"/>
    <cellStyle name="Normale 4 6 7 4 2" xfId="11087"/>
    <cellStyle name="Normale 4 6 7 4 3" xfId="18495"/>
    <cellStyle name="Normale 4 6 7 4 4" xfId="25197"/>
    <cellStyle name="Normale 4 6 7 5" xfId="4564"/>
    <cellStyle name="Normale 4 6 7 5 2" xfId="12027"/>
    <cellStyle name="Normale 4 6 7 5 3" xfId="19435"/>
    <cellStyle name="Normale 4 6 7 5 4" xfId="23112"/>
    <cellStyle name="Normale 4 6 7 6" xfId="5479"/>
    <cellStyle name="Normale 4 6 7 6 2" xfId="12942"/>
    <cellStyle name="Normale 4 6 7 6 3" xfId="20350"/>
    <cellStyle name="Normale 4 6 7 6 4" xfId="22928"/>
    <cellStyle name="Normale 4 6 7 7" xfId="6413"/>
    <cellStyle name="Normale 4 6 7 7 2" xfId="13876"/>
    <cellStyle name="Normale 4 6 7 7 3" xfId="21284"/>
    <cellStyle name="Normale 4 6 7 7 4" xfId="27728"/>
    <cellStyle name="Normale 4 6 7 8" xfId="7315"/>
    <cellStyle name="Normale 4 6 7 8 2" xfId="14778"/>
    <cellStyle name="Normale 4 6 7 8 3" xfId="22186"/>
    <cellStyle name="Normale 4 6 7 8 4" xfId="28387"/>
    <cellStyle name="Normale 4 6 7 9" xfId="8274"/>
    <cellStyle name="Normale 4 6 8" xfId="882"/>
    <cellStyle name="Normale 4 6 8 10" xfId="15753"/>
    <cellStyle name="Normale 4 6 8 11" xfId="24822"/>
    <cellStyle name="Normale 4 6 8 12" xfId="30551"/>
    <cellStyle name="Normale 4 6 8 13" xfId="31497"/>
    <cellStyle name="Normale 4 6 8 14" xfId="32408"/>
    <cellStyle name="Normale 4 6 8 15" xfId="33320"/>
    <cellStyle name="Normale 4 6 8 16" xfId="34280"/>
    <cellStyle name="Normale 4 6 8 17" xfId="35212"/>
    <cellStyle name="Normale 4 6 8 18" xfId="36138"/>
    <cellStyle name="Normale 4 6 8 19" xfId="37063"/>
    <cellStyle name="Normale 4 6 8 2" xfId="1847"/>
    <cellStyle name="Normale 4 6 8 2 2" xfId="9310"/>
    <cellStyle name="Normale 4 6 8 2 3" xfId="16718"/>
    <cellStyle name="Normale 4 6 8 2 4" xfId="22671"/>
    <cellStyle name="Normale 4 6 8 20" xfId="37959"/>
    <cellStyle name="Normale 4 6 8 3" xfId="2780"/>
    <cellStyle name="Normale 4 6 8 3 2" xfId="10243"/>
    <cellStyle name="Normale 4 6 8 3 3" xfId="17651"/>
    <cellStyle name="Normale 4 6 8 3 4" xfId="28367"/>
    <cellStyle name="Normale 4 6 8 4" xfId="3694"/>
    <cellStyle name="Normale 4 6 8 4 2" xfId="11157"/>
    <cellStyle name="Normale 4 6 8 4 3" xfId="18565"/>
    <cellStyle name="Normale 4 6 8 4 4" xfId="28618"/>
    <cellStyle name="Normale 4 6 8 5" xfId="4635"/>
    <cellStyle name="Normale 4 6 8 5 2" xfId="12098"/>
    <cellStyle name="Normale 4 6 8 5 3" xfId="19506"/>
    <cellStyle name="Normale 4 6 8 5 4" xfId="23866"/>
    <cellStyle name="Normale 4 6 8 6" xfId="5549"/>
    <cellStyle name="Normale 4 6 8 6 2" xfId="13012"/>
    <cellStyle name="Normale 4 6 8 6 3" xfId="20420"/>
    <cellStyle name="Normale 4 6 8 6 4" xfId="24226"/>
    <cellStyle name="Normale 4 6 8 7" xfId="6484"/>
    <cellStyle name="Normale 4 6 8 7 2" xfId="13947"/>
    <cellStyle name="Normale 4 6 8 7 3" xfId="21355"/>
    <cellStyle name="Normale 4 6 8 7 4" xfId="28396"/>
    <cellStyle name="Normale 4 6 8 8" xfId="7381"/>
    <cellStyle name="Normale 4 6 8 8 2" xfId="14844"/>
    <cellStyle name="Normale 4 6 8 8 3" xfId="22252"/>
    <cellStyle name="Normale 4 6 8 8 4" xfId="26218"/>
    <cellStyle name="Normale 4 6 8 9" xfId="8345"/>
    <cellStyle name="Normale 4 6 9" xfId="950"/>
    <cellStyle name="Normale 4 6 9 10" xfId="15821"/>
    <cellStyle name="Normale 4 6 9 11" xfId="28331"/>
    <cellStyle name="Normale 4 6 9 12" xfId="30616"/>
    <cellStyle name="Normale 4 6 9 13" xfId="31564"/>
    <cellStyle name="Normale 4 6 9 14" xfId="32475"/>
    <cellStyle name="Normale 4 6 9 15" xfId="33385"/>
    <cellStyle name="Normale 4 6 9 16" xfId="34348"/>
    <cellStyle name="Normale 4 6 9 17" xfId="35280"/>
    <cellStyle name="Normale 4 6 9 18" xfId="36205"/>
    <cellStyle name="Normale 4 6 9 19" xfId="37131"/>
    <cellStyle name="Normale 4 6 9 2" xfId="1915"/>
    <cellStyle name="Normale 4 6 9 2 2" xfId="9378"/>
    <cellStyle name="Normale 4 6 9 2 3" xfId="16786"/>
    <cellStyle name="Normale 4 6 9 2 4" xfId="29655"/>
    <cellStyle name="Normale 4 6 9 20" xfId="38024"/>
    <cellStyle name="Normale 4 6 9 3" xfId="2847"/>
    <cellStyle name="Normale 4 6 9 3 2" xfId="10310"/>
    <cellStyle name="Normale 4 6 9 3 3" xfId="17718"/>
    <cellStyle name="Normale 4 6 9 3 4" xfId="24298"/>
    <cellStyle name="Normale 4 6 9 4" xfId="3762"/>
    <cellStyle name="Normale 4 6 9 4 2" xfId="11225"/>
    <cellStyle name="Normale 4 6 9 4 3" xfId="18633"/>
    <cellStyle name="Normale 4 6 9 4 4" xfId="23358"/>
    <cellStyle name="Normale 4 6 9 5" xfId="4703"/>
    <cellStyle name="Normale 4 6 9 5 2" xfId="12166"/>
    <cellStyle name="Normale 4 6 9 5 3" xfId="19574"/>
    <cellStyle name="Normale 4 6 9 5 4" xfId="27197"/>
    <cellStyle name="Normale 4 6 9 6" xfId="5617"/>
    <cellStyle name="Normale 4 6 9 6 2" xfId="13080"/>
    <cellStyle name="Normale 4 6 9 6 3" xfId="20488"/>
    <cellStyle name="Normale 4 6 9 6 4" xfId="23308"/>
    <cellStyle name="Normale 4 6 9 7" xfId="6552"/>
    <cellStyle name="Normale 4 6 9 7 2" xfId="14015"/>
    <cellStyle name="Normale 4 6 9 7 3" xfId="21423"/>
    <cellStyle name="Normale 4 6 9 7 4" xfId="24397"/>
    <cellStyle name="Normale 4 6 9 8" xfId="7446"/>
    <cellStyle name="Normale 4 6 9 8 2" xfId="14909"/>
    <cellStyle name="Normale 4 6 9 8 3" xfId="22317"/>
    <cellStyle name="Normale 4 6 9 8 4" xfId="15322"/>
    <cellStyle name="Normale 4 6 9 9" xfId="8413"/>
    <cellStyle name="Normale 4 7" xfId="148"/>
    <cellStyle name="Normale 4 7 10" xfId="2974"/>
    <cellStyle name="Normale 4 7 10 2" xfId="10437"/>
    <cellStyle name="Normale 4 7 10 3" xfId="17845"/>
    <cellStyle name="Normale 4 7 10 4" xfId="26331"/>
    <cellStyle name="Normale 4 7 11" xfId="3903"/>
    <cellStyle name="Normale 4 7 11 2" xfId="11366"/>
    <cellStyle name="Normale 4 7 11 3" xfId="18774"/>
    <cellStyle name="Normale 4 7 11 4" xfId="29408"/>
    <cellStyle name="Normale 4 7 12" xfId="4830"/>
    <cellStyle name="Normale 4 7 12 2" xfId="12293"/>
    <cellStyle name="Normale 4 7 12 3" xfId="19701"/>
    <cellStyle name="Normale 4 7 12 4" xfId="27924"/>
    <cellStyle name="Normale 4 7 13" xfId="5757"/>
    <cellStyle name="Normale 4 7 13 2" xfId="13220"/>
    <cellStyle name="Normale 4 7 13 3" xfId="20628"/>
    <cellStyle name="Normale 4 7 13 4" xfId="28971"/>
    <cellStyle name="Normale 4 7 14" xfId="6679"/>
    <cellStyle name="Normale 4 7 14 2" xfId="14142"/>
    <cellStyle name="Normale 4 7 14 3" xfId="21550"/>
    <cellStyle name="Normale 4 7 14 4" xfId="24831"/>
    <cellStyle name="Normale 4 7 15" xfId="7613"/>
    <cellStyle name="Normale 4 7 16" xfId="15022"/>
    <cellStyle name="Normale 4 7 17" xfId="25526"/>
    <cellStyle name="Normale 4 7 18" xfId="29839"/>
    <cellStyle name="Normale 4 7 19" xfId="30769"/>
    <cellStyle name="Normale 4 7 2" xfId="346"/>
    <cellStyle name="Normale 4 7 2 10" xfId="15219"/>
    <cellStyle name="Normale 4 7 2 11" xfId="27118"/>
    <cellStyle name="Normale 4 7 2 12" xfId="30031"/>
    <cellStyle name="Normale 4 7 2 13" xfId="30963"/>
    <cellStyle name="Normale 4 7 2 14" xfId="31884"/>
    <cellStyle name="Normale 4 7 2 15" xfId="32809"/>
    <cellStyle name="Normale 4 7 2 16" xfId="33746"/>
    <cellStyle name="Normale 4 7 2 17" xfId="34676"/>
    <cellStyle name="Normale 4 7 2 18" xfId="35602"/>
    <cellStyle name="Normale 4 7 2 19" xfId="36528"/>
    <cellStyle name="Normale 4 7 2 2" xfId="1313"/>
    <cellStyle name="Normale 4 7 2 2 2" xfId="8776"/>
    <cellStyle name="Normale 4 7 2 2 3" xfId="16184"/>
    <cellStyle name="Normale 4 7 2 2 4" xfId="25941"/>
    <cellStyle name="Normale 4 7 2 20" xfId="37448"/>
    <cellStyle name="Normale 4 7 2 3" xfId="2244"/>
    <cellStyle name="Normale 4 7 2 3 2" xfId="9707"/>
    <cellStyle name="Normale 4 7 2 3 3" xfId="17115"/>
    <cellStyle name="Normale 4 7 2 3 4" xfId="29094"/>
    <cellStyle name="Normale 4 7 2 4" xfId="3166"/>
    <cellStyle name="Normale 4 7 2 4 2" xfId="10629"/>
    <cellStyle name="Normale 4 7 2 4 3" xfId="18037"/>
    <cellStyle name="Normale 4 7 2 4 4" xfId="24023"/>
    <cellStyle name="Normale 4 7 2 5" xfId="4099"/>
    <cellStyle name="Normale 4 7 2 5 2" xfId="11562"/>
    <cellStyle name="Normale 4 7 2 5 3" xfId="18970"/>
    <cellStyle name="Normale 4 7 2 5 4" xfId="22427"/>
    <cellStyle name="Normale 4 7 2 6" xfId="5022"/>
    <cellStyle name="Normale 4 7 2 6 2" xfId="12485"/>
    <cellStyle name="Normale 4 7 2 6 3" xfId="19893"/>
    <cellStyle name="Normale 4 7 2 6 4" xfId="28610"/>
    <cellStyle name="Normale 4 7 2 7" xfId="5950"/>
    <cellStyle name="Normale 4 7 2 7 2" xfId="13413"/>
    <cellStyle name="Normale 4 7 2 7 3" xfId="20821"/>
    <cellStyle name="Normale 4 7 2 7 4" xfId="26980"/>
    <cellStyle name="Normale 4 7 2 8" xfId="6870"/>
    <cellStyle name="Normale 4 7 2 8 2" xfId="14333"/>
    <cellStyle name="Normale 4 7 2 8 3" xfId="21741"/>
    <cellStyle name="Normale 4 7 2 8 4" xfId="24045"/>
    <cellStyle name="Normale 4 7 2 9" xfId="7809"/>
    <cellStyle name="Normale 4 7 20" xfId="31692"/>
    <cellStyle name="Normale 4 7 21" xfId="32618"/>
    <cellStyle name="Normale 4 7 22" xfId="33552"/>
    <cellStyle name="Normale 4 7 23" xfId="34480"/>
    <cellStyle name="Normale 4 7 24" xfId="35408"/>
    <cellStyle name="Normale 4 7 25" xfId="36334"/>
    <cellStyle name="Normale 4 7 26" xfId="37257"/>
    <cellStyle name="Normale 4 7 3" xfId="671"/>
    <cellStyle name="Normale 4 7 3 10" xfId="15543"/>
    <cellStyle name="Normale 4 7 3 11" xfId="28029"/>
    <cellStyle name="Normale 4 7 3 12" xfId="30347"/>
    <cellStyle name="Normale 4 7 3 13" xfId="31287"/>
    <cellStyle name="Normale 4 7 3 14" xfId="32202"/>
    <cellStyle name="Normale 4 7 3 15" xfId="33120"/>
    <cellStyle name="Normale 4 7 3 16" xfId="34070"/>
    <cellStyle name="Normale 4 7 3 17" xfId="35001"/>
    <cellStyle name="Normale 4 7 3 18" xfId="35927"/>
    <cellStyle name="Normale 4 7 3 19" xfId="36852"/>
    <cellStyle name="Normale 4 7 3 2" xfId="1637"/>
    <cellStyle name="Normale 4 7 3 2 2" xfId="9100"/>
    <cellStyle name="Normale 4 7 3 2 3" xfId="16508"/>
    <cellStyle name="Normale 4 7 3 2 4" xfId="27557"/>
    <cellStyle name="Normale 4 7 3 20" xfId="37759"/>
    <cellStyle name="Normale 4 7 3 3" xfId="2569"/>
    <cellStyle name="Normale 4 7 3 3 2" xfId="10032"/>
    <cellStyle name="Normale 4 7 3 3 3" xfId="17440"/>
    <cellStyle name="Normale 4 7 3 3 4" xfId="26003"/>
    <cellStyle name="Normale 4 7 3 4" xfId="3487"/>
    <cellStyle name="Normale 4 7 3 4 2" xfId="10950"/>
    <cellStyle name="Normale 4 7 3 4 3" xfId="18358"/>
    <cellStyle name="Normale 4 7 3 4 4" xfId="26124"/>
    <cellStyle name="Normale 4 7 3 5" xfId="4424"/>
    <cellStyle name="Normale 4 7 3 5 2" xfId="11887"/>
    <cellStyle name="Normale 4 7 3 5 3" xfId="19295"/>
    <cellStyle name="Normale 4 7 3 5 4" xfId="26925"/>
    <cellStyle name="Normale 4 7 3 6" xfId="5342"/>
    <cellStyle name="Normale 4 7 3 6 2" xfId="12805"/>
    <cellStyle name="Normale 4 7 3 6 3" xfId="20213"/>
    <cellStyle name="Normale 4 7 3 6 4" xfId="26630"/>
    <cellStyle name="Normale 4 7 3 7" xfId="6274"/>
    <cellStyle name="Normale 4 7 3 7 2" xfId="13737"/>
    <cellStyle name="Normale 4 7 3 7 3" xfId="21145"/>
    <cellStyle name="Normale 4 7 3 7 4" xfId="23971"/>
    <cellStyle name="Normale 4 7 3 8" xfId="7181"/>
    <cellStyle name="Normale 4 7 3 8 2" xfId="14644"/>
    <cellStyle name="Normale 4 7 3 8 3" xfId="22052"/>
    <cellStyle name="Normale 4 7 3 8 4" xfId="26556"/>
    <cellStyle name="Normale 4 7 3 9" xfId="8134"/>
    <cellStyle name="Normale 4 7 4" xfId="756"/>
    <cellStyle name="Normale 4 7 4 10" xfId="15627"/>
    <cellStyle name="Normale 4 7 4 11" xfId="26601"/>
    <cellStyle name="Normale 4 7 4 12" xfId="30430"/>
    <cellStyle name="Normale 4 7 4 13" xfId="31371"/>
    <cellStyle name="Normale 4 7 4 14" xfId="32284"/>
    <cellStyle name="Normale 4 7 4 15" xfId="33201"/>
    <cellStyle name="Normale 4 7 4 16" xfId="34154"/>
    <cellStyle name="Normale 4 7 4 17" xfId="35086"/>
    <cellStyle name="Normale 4 7 4 18" xfId="36012"/>
    <cellStyle name="Normale 4 7 4 19" xfId="36937"/>
    <cellStyle name="Normale 4 7 4 2" xfId="1721"/>
    <cellStyle name="Normale 4 7 4 2 2" xfId="9184"/>
    <cellStyle name="Normale 4 7 4 2 3" xfId="16592"/>
    <cellStyle name="Normale 4 7 4 2 4" xfId="22676"/>
    <cellStyle name="Normale 4 7 4 20" xfId="37840"/>
    <cellStyle name="Normale 4 7 4 3" xfId="2654"/>
    <cellStyle name="Normale 4 7 4 3 2" xfId="10117"/>
    <cellStyle name="Normale 4 7 4 3 3" xfId="17525"/>
    <cellStyle name="Normale 4 7 4 3 4" xfId="28599"/>
    <cellStyle name="Normale 4 7 4 4" xfId="3570"/>
    <cellStyle name="Normale 4 7 4 4 2" xfId="11033"/>
    <cellStyle name="Normale 4 7 4 4 3" xfId="18441"/>
    <cellStyle name="Normale 4 7 4 4 4" xfId="24873"/>
    <cellStyle name="Normale 4 7 4 5" xfId="4509"/>
    <cellStyle name="Normale 4 7 4 5 2" xfId="11972"/>
    <cellStyle name="Normale 4 7 4 5 3" xfId="19380"/>
    <cellStyle name="Normale 4 7 4 5 4" xfId="24137"/>
    <cellStyle name="Normale 4 7 4 6" xfId="5425"/>
    <cellStyle name="Normale 4 7 4 6 2" xfId="12888"/>
    <cellStyle name="Normale 4 7 4 6 3" xfId="20296"/>
    <cellStyle name="Normale 4 7 4 6 4" xfId="22581"/>
    <cellStyle name="Normale 4 7 4 7" xfId="6358"/>
    <cellStyle name="Normale 4 7 4 7 2" xfId="13821"/>
    <cellStyle name="Normale 4 7 4 7 3" xfId="21229"/>
    <cellStyle name="Normale 4 7 4 7 4" xfId="28671"/>
    <cellStyle name="Normale 4 7 4 8" xfId="7262"/>
    <cellStyle name="Normale 4 7 4 8 2" xfId="14725"/>
    <cellStyle name="Normale 4 7 4 8 3" xfId="22133"/>
    <cellStyle name="Normale 4 7 4 8 4" xfId="24380"/>
    <cellStyle name="Normale 4 7 4 9" xfId="8219"/>
    <cellStyle name="Normale 4 7 5" xfId="827"/>
    <cellStyle name="Normale 4 7 5 10" xfId="15698"/>
    <cellStyle name="Normale 4 7 5 11" xfId="25748"/>
    <cellStyle name="Normale 4 7 5 12" xfId="30499"/>
    <cellStyle name="Normale 4 7 5 13" xfId="31442"/>
    <cellStyle name="Normale 4 7 5 14" xfId="32354"/>
    <cellStyle name="Normale 4 7 5 15" xfId="33270"/>
    <cellStyle name="Normale 4 7 5 16" xfId="34225"/>
    <cellStyle name="Normale 4 7 5 17" xfId="35157"/>
    <cellStyle name="Normale 4 7 5 18" xfId="36083"/>
    <cellStyle name="Normale 4 7 5 19" xfId="37008"/>
    <cellStyle name="Normale 4 7 5 2" xfId="1792"/>
    <cellStyle name="Normale 4 7 5 2 2" xfId="9255"/>
    <cellStyle name="Normale 4 7 5 2 3" xfId="16663"/>
    <cellStyle name="Normale 4 7 5 2 4" xfId="29278"/>
    <cellStyle name="Normale 4 7 5 20" xfId="37909"/>
    <cellStyle name="Normale 4 7 5 3" xfId="2725"/>
    <cellStyle name="Normale 4 7 5 3 2" xfId="10188"/>
    <cellStyle name="Normale 4 7 5 3 3" xfId="17596"/>
    <cellStyle name="Normale 4 7 5 3 4" xfId="27520"/>
    <cellStyle name="Normale 4 7 5 4" xfId="3640"/>
    <cellStyle name="Normale 4 7 5 4 2" xfId="11103"/>
    <cellStyle name="Normale 4 7 5 4 3" xfId="18511"/>
    <cellStyle name="Normale 4 7 5 4 4" xfId="26118"/>
    <cellStyle name="Normale 4 7 5 5" xfId="4580"/>
    <cellStyle name="Normale 4 7 5 5 2" xfId="12043"/>
    <cellStyle name="Normale 4 7 5 5 3" xfId="19451"/>
    <cellStyle name="Normale 4 7 5 5 4" xfId="22966"/>
    <cellStyle name="Normale 4 7 5 6" xfId="5495"/>
    <cellStyle name="Normale 4 7 5 6 2" xfId="12958"/>
    <cellStyle name="Normale 4 7 5 6 3" xfId="20366"/>
    <cellStyle name="Normale 4 7 5 6 4" xfId="22824"/>
    <cellStyle name="Normale 4 7 5 7" xfId="6429"/>
    <cellStyle name="Normale 4 7 5 7 2" xfId="13892"/>
    <cellStyle name="Normale 4 7 5 7 3" xfId="21300"/>
    <cellStyle name="Normale 4 7 5 7 4" xfId="27575"/>
    <cellStyle name="Normale 4 7 5 8" xfId="7331"/>
    <cellStyle name="Normale 4 7 5 8 2" xfId="14794"/>
    <cellStyle name="Normale 4 7 5 8 3" xfId="22202"/>
    <cellStyle name="Normale 4 7 5 8 4" xfId="28285"/>
    <cellStyle name="Normale 4 7 5 9" xfId="8290"/>
    <cellStyle name="Normale 4 7 6" xfId="898"/>
    <cellStyle name="Normale 4 7 6 10" xfId="15769"/>
    <cellStyle name="Normale 4 7 6 11" xfId="24542"/>
    <cellStyle name="Normale 4 7 6 12" xfId="30567"/>
    <cellStyle name="Normale 4 7 6 13" xfId="31513"/>
    <cellStyle name="Normale 4 7 6 14" xfId="32424"/>
    <cellStyle name="Normale 4 7 6 15" xfId="33336"/>
    <cellStyle name="Normale 4 7 6 16" xfId="34296"/>
    <cellStyle name="Normale 4 7 6 17" xfId="35228"/>
    <cellStyle name="Normale 4 7 6 18" xfId="36154"/>
    <cellStyle name="Normale 4 7 6 19" xfId="37079"/>
    <cellStyle name="Normale 4 7 6 2" xfId="1863"/>
    <cellStyle name="Normale 4 7 6 2 2" xfId="9326"/>
    <cellStyle name="Normale 4 7 6 2 3" xfId="16734"/>
    <cellStyle name="Normale 4 7 6 2 4" xfId="29102"/>
    <cellStyle name="Normale 4 7 6 20" xfId="37975"/>
    <cellStyle name="Normale 4 7 6 3" xfId="2796"/>
    <cellStyle name="Normale 4 7 6 3 2" xfId="10259"/>
    <cellStyle name="Normale 4 7 6 3 3" xfId="17667"/>
    <cellStyle name="Normale 4 7 6 3 4" xfId="28272"/>
    <cellStyle name="Normale 4 7 6 4" xfId="3710"/>
    <cellStyle name="Normale 4 7 6 4 2" xfId="11173"/>
    <cellStyle name="Normale 4 7 6 4 3" xfId="18581"/>
    <cellStyle name="Normale 4 7 6 4 4" xfId="28470"/>
    <cellStyle name="Normale 4 7 6 5" xfId="4651"/>
    <cellStyle name="Normale 4 7 6 5 2" xfId="12114"/>
    <cellStyle name="Normale 4 7 6 5 3" xfId="19522"/>
    <cellStyle name="Normale 4 7 6 5 4" xfId="23756"/>
    <cellStyle name="Normale 4 7 6 6" xfId="5565"/>
    <cellStyle name="Normale 4 7 6 6 2" xfId="13028"/>
    <cellStyle name="Normale 4 7 6 6 3" xfId="20436"/>
    <cellStyle name="Normale 4 7 6 6 4" xfId="23311"/>
    <cellStyle name="Normale 4 7 6 7" xfId="6500"/>
    <cellStyle name="Normale 4 7 6 7 2" xfId="13963"/>
    <cellStyle name="Normale 4 7 6 7 3" xfId="21371"/>
    <cellStyle name="Normale 4 7 6 7 4" xfId="28297"/>
    <cellStyle name="Normale 4 7 6 8" xfId="7397"/>
    <cellStyle name="Normale 4 7 6 8 2" xfId="14860"/>
    <cellStyle name="Normale 4 7 6 8 3" xfId="22268"/>
    <cellStyle name="Normale 4 7 6 8 4" xfId="25292"/>
    <cellStyle name="Normale 4 7 6 9" xfId="8361"/>
    <cellStyle name="Normale 4 7 7" xfId="961"/>
    <cellStyle name="Normale 4 7 7 10" xfId="15832"/>
    <cellStyle name="Normale 4 7 7 11" xfId="25523"/>
    <cellStyle name="Normale 4 7 7 12" xfId="30627"/>
    <cellStyle name="Normale 4 7 7 13" xfId="31575"/>
    <cellStyle name="Normale 4 7 7 14" xfId="32486"/>
    <cellStyle name="Normale 4 7 7 15" xfId="33396"/>
    <cellStyle name="Normale 4 7 7 16" xfId="34359"/>
    <cellStyle name="Normale 4 7 7 17" xfId="35291"/>
    <cellStyle name="Normale 4 7 7 18" xfId="36216"/>
    <cellStyle name="Normale 4 7 7 19" xfId="37142"/>
    <cellStyle name="Normale 4 7 7 2" xfId="1926"/>
    <cellStyle name="Normale 4 7 7 2 2" xfId="9389"/>
    <cellStyle name="Normale 4 7 7 2 3" xfId="16797"/>
    <cellStyle name="Normale 4 7 7 2 4" xfId="26871"/>
    <cellStyle name="Normale 4 7 7 20" xfId="38035"/>
    <cellStyle name="Normale 4 7 7 3" xfId="2858"/>
    <cellStyle name="Normale 4 7 7 3 2" xfId="10321"/>
    <cellStyle name="Normale 4 7 7 3 3" xfId="17729"/>
    <cellStyle name="Normale 4 7 7 3 4" xfId="22458"/>
    <cellStyle name="Normale 4 7 7 4" xfId="3773"/>
    <cellStyle name="Normale 4 7 7 4 2" xfId="11236"/>
    <cellStyle name="Normale 4 7 7 4 3" xfId="18644"/>
    <cellStyle name="Normale 4 7 7 4 4" xfId="28863"/>
    <cellStyle name="Normale 4 7 7 5" xfId="4714"/>
    <cellStyle name="Normale 4 7 7 5 2" xfId="12177"/>
    <cellStyle name="Normale 4 7 7 5 3" xfId="19585"/>
    <cellStyle name="Normale 4 7 7 5 4" xfId="23334"/>
    <cellStyle name="Normale 4 7 7 6" xfId="5628"/>
    <cellStyle name="Normale 4 7 7 6 2" xfId="13091"/>
    <cellStyle name="Normale 4 7 7 6 3" xfId="20499"/>
    <cellStyle name="Normale 4 7 7 6 4" xfId="28679"/>
    <cellStyle name="Normale 4 7 7 7" xfId="6563"/>
    <cellStyle name="Normale 4 7 7 7 2" xfId="14026"/>
    <cellStyle name="Normale 4 7 7 7 3" xfId="21434"/>
    <cellStyle name="Normale 4 7 7 7 4" xfId="28073"/>
    <cellStyle name="Normale 4 7 7 8" xfId="7457"/>
    <cellStyle name="Normale 4 7 7 8 2" xfId="14920"/>
    <cellStyle name="Normale 4 7 7 8 3" xfId="22328"/>
    <cellStyle name="Normale 4 7 7 8 4" xfId="15848"/>
    <cellStyle name="Normale 4 7 7 9" xfId="8424"/>
    <cellStyle name="Normale 4 7 8" xfId="1121"/>
    <cellStyle name="Normale 4 7 8 2" xfId="8584"/>
    <cellStyle name="Normale 4 7 8 3" xfId="15992"/>
    <cellStyle name="Normale 4 7 8 4" xfId="24537"/>
    <cellStyle name="Normale 4 7 9" xfId="2048"/>
    <cellStyle name="Normale 4 7 9 2" xfId="9511"/>
    <cellStyle name="Normale 4 7 9 3" xfId="16919"/>
    <cellStyle name="Normale 4 7 9 4" xfId="26324"/>
    <cellStyle name="Normale 4 8" xfId="315"/>
    <cellStyle name="Normale 4 8 10" xfId="15188"/>
    <cellStyle name="Normale 4 8 11" xfId="27458"/>
    <cellStyle name="Normale 4 8 12" xfId="30000"/>
    <cellStyle name="Normale 4 8 13" xfId="30932"/>
    <cellStyle name="Normale 4 8 14" xfId="31853"/>
    <cellStyle name="Normale 4 8 15" xfId="32778"/>
    <cellStyle name="Normale 4 8 16" xfId="33715"/>
    <cellStyle name="Normale 4 8 17" xfId="34645"/>
    <cellStyle name="Normale 4 8 18" xfId="35571"/>
    <cellStyle name="Normale 4 8 19" xfId="36497"/>
    <cellStyle name="Normale 4 8 2" xfId="1282"/>
    <cellStyle name="Normale 4 8 2 2" xfId="8745"/>
    <cellStyle name="Normale 4 8 2 3" xfId="16153"/>
    <cellStyle name="Normale 4 8 2 4" xfId="23421"/>
    <cellStyle name="Normale 4 8 20" xfId="37417"/>
    <cellStyle name="Normale 4 8 3" xfId="2213"/>
    <cellStyle name="Normale 4 8 3 2" xfId="9676"/>
    <cellStyle name="Normale 4 8 3 3" xfId="17084"/>
    <cellStyle name="Normale 4 8 3 4" xfId="29229"/>
    <cellStyle name="Normale 4 8 4" xfId="3135"/>
    <cellStyle name="Normale 4 8 4 2" xfId="10598"/>
    <cellStyle name="Normale 4 8 4 3" xfId="18006"/>
    <cellStyle name="Normale 4 8 4 4" xfId="22450"/>
    <cellStyle name="Normale 4 8 5" xfId="4068"/>
    <cellStyle name="Normale 4 8 5 2" xfId="11531"/>
    <cellStyle name="Normale 4 8 5 3" xfId="18939"/>
    <cellStyle name="Normale 4 8 5 4" xfId="22425"/>
    <cellStyle name="Normale 4 8 6" xfId="4991"/>
    <cellStyle name="Normale 4 8 6 2" xfId="12454"/>
    <cellStyle name="Normale 4 8 6 3" xfId="19862"/>
    <cellStyle name="Normale 4 8 6 4" xfId="26280"/>
    <cellStyle name="Normale 4 8 7" xfId="5919"/>
    <cellStyle name="Normale 4 8 7 2" xfId="13382"/>
    <cellStyle name="Normale 4 8 7 3" xfId="20790"/>
    <cellStyle name="Normale 4 8 7 4" xfId="27423"/>
    <cellStyle name="Normale 4 8 8" xfId="6839"/>
    <cellStyle name="Normale 4 8 8 2" xfId="14302"/>
    <cellStyle name="Normale 4 8 8 3" xfId="21710"/>
    <cellStyle name="Normale 4 8 8 4" xfId="28975"/>
    <cellStyle name="Normale 4 8 9" xfId="7778"/>
    <cellStyle name="Normale 4 9" xfId="427"/>
    <cellStyle name="Normale 4 9 10" xfId="15300"/>
    <cellStyle name="Normale 4 9 11" xfId="27643"/>
    <cellStyle name="Normale 4 9 12" xfId="30112"/>
    <cellStyle name="Normale 4 9 13" xfId="31044"/>
    <cellStyle name="Normale 4 9 14" xfId="31965"/>
    <cellStyle name="Normale 4 9 15" xfId="32889"/>
    <cellStyle name="Normale 4 9 16" xfId="33827"/>
    <cellStyle name="Normale 4 9 17" xfId="34757"/>
    <cellStyle name="Normale 4 9 18" xfId="35683"/>
    <cellStyle name="Normale 4 9 19" xfId="36609"/>
    <cellStyle name="Normale 4 9 2" xfId="1394"/>
    <cellStyle name="Normale 4 9 2 2" xfId="8857"/>
    <cellStyle name="Normale 4 9 2 3" xfId="16265"/>
    <cellStyle name="Normale 4 9 2 4" xfId="24927"/>
    <cellStyle name="Normale 4 9 20" xfId="37528"/>
    <cellStyle name="Normale 4 9 3" xfId="2325"/>
    <cellStyle name="Normale 4 9 3 2" xfId="9788"/>
    <cellStyle name="Normale 4 9 3 3" xfId="17196"/>
    <cellStyle name="Normale 4 9 3 4" xfId="29376"/>
    <cellStyle name="Normale 4 9 4" xfId="3247"/>
    <cellStyle name="Normale 4 9 4 2" xfId="10710"/>
    <cellStyle name="Normale 4 9 4 3" xfId="18118"/>
    <cellStyle name="Normale 4 9 4 4" xfId="27765"/>
    <cellStyle name="Normale 4 9 5" xfId="4180"/>
    <cellStyle name="Normale 4 9 5 2" xfId="11643"/>
    <cellStyle name="Normale 4 9 5 3" xfId="19051"/>
    <cellStyle name="Normale 4 9 5 4" xfId="22610"/>
    <cellStyle name="Normale 4 9 6" xfId="5103"/>
    <cellStyle name="Normale 4 9 6 2" xfId="12566"/>
    <cellStyle name="Normale 4 9 6 3" xfId="19974"/>
    <cellStyle name="Normale 4 9 6 4" xfId="27591"/>
    <cellStyle name="Normale 4 9 7" xfId="6031"/>
    <cellStyle name="Normale 4 9 7 2" xfId="13494"/>
    <cellStyle name="Normale 4 9 7 3" xfId="20902"/>
    <cellStyle name="Normale 4 9 7 4" xfId="27606"/>
    <cellStyle name="Normale 4 9 8" xfId="6950"/>
    <cellStyle name="Normale 4 9 8 2" xfId="14413"/>
    <cellStyle name="Normale 4 9 8 3" xfId="21821"/>
    <cellStyle name="Normale 4 9 8 4" xfId="28745"/>
    <cellStyle name="Normale 4 9 9" xfId="7890"/>
    <cellStyle name="Normale 5" xfId="149"/>
    <cellStyle name="Normale 5 10" xfId="483"/>
    <cellStyle name="Normale 5 10 10" xfId="15356"/>
    <cellStyle name="Normale 5 10 11" xfId="26202"/>
    <cellStyle name="Normale 5 10 12" xfId="30168"/>
    <cellStyle name="Normale 5 10 13" xfId="31100"/>
    <cellStyle name="Normale 5 10 14" xfId="32021"/>
    <cellStyle name="Normale 5 10 15" xfId="32944"/>
    <cellStyle name="Normale 5 10 16" xfId="33883"/>
    <cellStyle name="Normale 5 10 17" xfId="34813"/>
    <cellStyle name="Normale 5 10 18" xfId="35739"/>
    <cellStyle name="Normale 5 10 19" xfId="36665"/>
    <cellStyle name="Normale 5 10 2" xfId="1450"/>
    <cellStyle name="Normale 5 10 2 2" xfId="8913"/>
    <cellStyle name="Normale 5 10 2 3" xfId="16321"/>
    <cellStyle name="Normale 5 10 2 4" xfId="22971"/>
    <cellStyle name="Normale 5 10 20" xfId="37583"/>
    <cellStyle name="Normale 5 10 3" xfId="2381"/>
    <cellStyle name="Normale 5 10 3 2" xfId="9844"/>
    <cellStyle name="Normale 5 10 3 3" xfId="17252"/>
    <cellStyle name="Normale 5 10 3 4" xfId="28180"/>
    <cellStyle name="Normale 5 10 4" xfId="3303"/>
    <cellStyle name="Normale 5 10 4 2" xfId="10766"/>
    <cellStyle name="Normale 5 10 4 3" xfId="18174"/>
    <cellStyle name="Normale 5 10 4 4" xfId="29678"/>
    <cellStyle name="Normale 5 10 5" xfId="4236"/>
    <cellStyle name="Normale 5 10 5 2" xfId="11699"/>
    <cellStyle name="Normale 5 10 5 3" xfId="19107"/>
    <cellStyle name="Normale 5 10 5 4" xfId="22422"/>
    <cellStyle name="Normale 5 10 6" xfId="5159"/>
    <cellStyle name="Normale 5 10 6 2" xfId="12622"/>
    <cellStyle name="Normale 5 10 6 3" xfId="20030"/>
    <cellStyle name="Normale 5 10 6 4" xfId="25741"/>
    <cellStyle name="Normale 5 10 7" xfId="6087"/>
    <cellStyle name="Normale 5 10 7 2" xfId="13550"/>
    <cellStyle name="Normale 5 10 7 3" xfId="20958"/>
    <cellStyle name="Normale 5 10 7 4" xfId="26058"/>
    <cellStyle name="Normale 5 10 8" xfId="7005"/>
    <cellStyle name="Normale 5 10 8 2" xfId="14468"/>
    <cellStyle name="Normale 5 10 8 3" xfId="21876"/>
    <cellStyle name="Normale 5 10 8 4" xfId="29199"/>
    <cellStyle name="Normale 5 10 9" xfId="7946"/>
    <cellStyle name="Normale 5 11" xfId="531"/>
    <cellStyle name="Normale 5 11 10" xfId="15404"/>
    <cellStyle name="Normale 5 11 11" xfId="27112"/>
    <cellStyle name="Normale 5 11 12" xfId="30215"/>
    <cellStyle name="Normale 5 11 13" xfId="31148"/>
    <cellStyle name="Normale 5 11 14" xfId="32068"/>
    <cellStyle name="Normale 5 11 15" xfId="32990"/>
    <cellStyle name="Normale 5 11 16" xfId="33931"/>
    <cellStyle name="Normale 5 11 17" xfId="34861"/>
    <cellStyle name="Normale 5 11 18" xfId="35787"/>
    <cellStyle name="Normale 5 11 19" xfId="36713"/>
    <cellStyle name="Normale 5 11 2" xfId="1498"/>
    <cellStyle name="Normale 5 11 2 2" xfId="8961"/>
    <cellStyle name="Normale 5 11 2 3" xfId="16369"/>
    <cellStyle name="Normale 5 11 2 4" xfId="22953"/>
    <cellStyle name="Normale 5 11 20" xfId="37629"/>
    <cellStyle name="Normale 5 11 3" xfId="2429"/>
    <cellStyle name="Normale 5 11 3 2" xfId="9892"/>
    <cellStyle name="Normale 5 11 3 3" xfId="17300"/>
    <cellStyle name="Normale 5 11 3 4" xfId="29652"/>
    <cellStyle name="Normale 5 11 4" xfId="3350"/>
    <cellStyle name="Normale 5 11 4 2" xfId="10813"/>
    <cellStyle name="Normale 5 11 4 3" xfId="18221"/>
    <cellStyle name="Normale 5 11 4 4" xfId="22446"/>
    <cellStyle name="Normale 5 11 5" xfId="4284"/>
    <cellStyle name="Normale 5 11 5 2" xfId="11747"/>
    <cellStyle name="Normale 5 11 5 3" xfId="19155"/>
    <cellStyle name="Normale 5 11 5 4" xfId="27540"/>
    <cellStyle name="Normale 5 11 6" xfId="5206"/>
    <cellStyle name="Normale 5 11 6 2" xfId="12669"/>
    <cellStyle name="Normale 5 11 6 3" xfId="20077"/>
    <cellStyle name="Normale 5 11 6 4" xfId="26631"/>
    <cellStyle name="Normale 5 11 7" xfId="6135"/>
    <cellStyle name="Normale 5 11 7 2" xfId="13598"/>
    <cellStyle name="Normale 5 11 7 3" xfId="21006"/>
    <cellStyle name="Normale 5 11 7 4" xfId="24367"/>
    <cellStyle name="Normale 5 11 8" xfId="7051"/>
    <cellStyle name="Normale 5 11 8 2" xfId="14514"/>
    <cellStyle name="Normale 5 11 8 3" xfId="21922"/>
    <cellStyle name="Normale 5 11 8 4" xfId="23791"/>
    <cellStyle name="Normale 5 11 9" xfId="7994"/>
    <cellStyle name="Normale 5 12" xfId="583"/>
    <cellStyle name="Normale 5 12 10" xfId="15456"/>
    <cellStyle name="Normale 5 12 11" xfId="28434"/>
    <cellStyle name="Normale 5 12 12" xfId="30266"/>
    <cellStyle name="Normale 5 12 13" xfId="31200"/>
    <cellStyle name="Normale 5 12 14" xfId="32119"/>
    <cellStyle name="Normale 5 12 15" xfId="33040"/>
    <cellStyle name="Normale 5 12 16" xfId="33983"/>
    <cellStyle name="Normale 5 12 17" xfId="34913"/>
    <cellStyle name="Normale 5 12 18" xfId="35839"/>
    <cellStyle name="Normale 5 12 19" xfId="36765"/>
    <cellStyle name="Normale 5 12 2" xfId="1550"/>
    <cellStyle name="Normale 5 12 2 2" xfId="9013"/>
    <cellStyle name="Normale 5 12 2 3" xfId="16421"/>
    <cellStyle name="Normale 5 12 2 4" xfId="25250"/>
    <cellStyle name="Normale 5 12 20" xfId="37679"/>
    <cellStyle name="Normale 5 12 3" xfId="2481"/>
    <cellStyle name="Normale 5 12 3 2" xfId="9944"/>
    <cellStyle name="Normale 5 12 3 3" xfId="17352"/>
    <cellStyle name="Normale 5 12 3 4" xfId="25607"/>
    <cellStyle name="Normale 5 12 4" xfId="3401"/>
    <cellStyle name="Normale 5 12 4 2" xfId="10864"/>
    <cellStyle name="Normale 5 12 4 3" xfId="18272"/>
    <cellStyle name="Normale 5 12 4 4" xfId="25676"/>
    <cellStyle name="Normale 5 12 5" xfId="4336"/>
    <cellStyle name="Normale 5 12 5 2" xfId="11799"/>
    <cellStyle name="Normale 5 12 5 3" xfId="19207"/>
    <cellStyle name="Normale 5 12 5 4" xfId="22609"/>
    <cellStyle name="Normale 5 12 6" xfId="5257"/>
    <cellStyle name="Normale 5 12 6 2" xfId="12720"/>
    <cellStyle name="Normale 5 12 6 3" xfId="20128"/>
    <cellStyle name="Normale 5 12 6 4" xfId="22586"/>
    <cellStyle name="Normale 5 12 7" xfId="6187"/>
    <cellStyle name="Normale 5 12 7 2" xfId="13650"/>
    <cellStyle name="Normale 5 12 7 3" xfId="21058"/>
    <cellStyle name="Normale 5 12 7 4" xfId="23798"/>
    <cellStyle name="Normale 5 12 8" xfId="7101"/>
    <cellStyle name="Normale 5 12 8 2" xfId="14564"/>
    <cellStyle name="Normale 5 12 8 3" xfId="21972"/>
    <cellStyle name="Normale 5 12 8 4" xfId="14040"/>
    <cellStyle name="Normale 5 12 9" xfId="8046"/>
    <cellStyle name="Normale 5 13" xfId="643"/>
    <cellStyle name="Normale 5 13 10" xfId="15515"/>
    <cellStyle name="Normale 5 13 11" xfId="24353"/>
    <cellStyle name="Normale 5 13 12" xfId="30322"/>
    <cellStyle name="Normale 5 13 13" xfId="31259"/>
    <cellStyle name="Normale 5 13 14" xfId="32176"/>
    <cellStyle name="Normale 5 13 15" xfId="33095"/>
    <cellStyle name="Normale 5 13 16" xfId="34042"/>
    <cellStyle name="Normale 5 13 17" xfId="34973"/>
    <cellStyle name="Normale 5 13 18" xfId="35899"/>
    <cellStyle name="Normale 5 13 19" xfId="36824"/>
    <cellStyle name="Normale 5 13 2" xfId="1609"/>
    <cellStyle name="Normale 5 13 2 2" xfId="9072"/>
    <cellStyle name="Normale 5 13 2 3" xfId="16480"/>
    <cellStyle name="Normale 5 13 2 4" xfId="24175"/>
    <cellStyle name="Normale 5 13 20" xfId="37734"/>
    <cellStyle name="Normale 5 13 3" xfId="2541"/>
    <cellStyle name="Normale 5 13 3 2" xfId="10004"/>
    <cellStyle name="Normale 5 13 3 3" xfId="17412"/>
    <cellStyle name="Normale 5 13 3 4" xfId="27984"/>
    <cellStyle name="Normale 5 13 4" xfId="3459"/>
    <cellStyle name="Normale 5 13 4 2" xfId="10922"/>
    <cellStyle name="Normale 5 13 4 3" xfId="18330"/>
    <cellStyle name="Normale 5 13 4 4" xfId="23763"/>
    <cellStyle name="Normale 5 13 5" xfId="4396"/>
    <cellStyle name="Normale 5 13 5 2" xfId="11859"/>
    <cellStyle name="Normale 5 13 5 3" xfId="19267"/>
    <cellStyle name="Normale 5 13 5 4" xfId="27759"/>
    <cellStyle name="Normale 5 13 6" xfId="5314"/>
    <cellStyle name="Normale 5 13 6 2" xfId="12777"/>
    <cellStyle name="Normale 5 13 6 3" xfId="20185"/>
    <cellStyle name="Normale 5 13 6 4" xfId="23140"/>
    <cellStyle name="Normale 5 13 7" xfId="6247"/>
    <cellStyle name="Normale 5 13 7 2" xfId="13710"/>
    <cellStyle name="Normale 5 13 7 3" xfId="21118"/>
    <cellStyle name="Normale 5 13 7 4" xfId="27157"/>
    <cellStyle name="Normale 5 13 8" xfId="7156"/>
    <cellStyle name="Normale 5 13 8 2" xfId="14619"/>
    <cellStyle name="Normale 5 13 8 3" xfId="22027"/>
    <cellStyle name="Normale 5 13 8 4" xfId="23270"/>
    <cellStyle name="Normale 5 13 9" xfId="8106"/>
    <cellStyle name="Normale 5 14" xfId="721"/>
    <cellStyle name="Normale 5 14 10" xfId="15592"/>
    <cellStyle name="Normale 5 14 11" xfId="29596"/>
    <cellStyle name="Normale 5 14 12" xfId="30395"/>
    <cellStyle name="Normale 5 14 13" xfId="31336"/>
    <cellStyle name="Normale 5 14 14" xfId="32249"/>
    <cellStyle name="Normale 5 14 15" xfId="33167"/>
    <cellStyle name="Normale 5 14 16" xfId="34119"/>
    <cellStyle name="Normale 5 14 17" xfId="35051"/>
    <cellStyle name="Normale 5 14 18" xfId="35977"/>
    <cellStyle name="Normale 5 14 19" xfId="36902"/>
    <cellStyle name="Normale 5 14 2" xfId="1686"/>
    <cellStyle name="Normale 5 14 2 2" xfId="9149"/>
    <cellStyle name="Normale 5 14 2 3" xfId="16557"/>
    <cellStyle name="Normale 5 14 2 4" xfId="25246"/>
    <cellStyle name="Normale 5 14 20" xfId="37806"/>
    <cellStyle name="Normale 5 14 3" xfId="2619"/>
    <cellStyle name="Normale 5 14 3 2" xfId="10082"/>
    <cellStyle name="Normale 5 14 3 3" xfId="17490"/>
    <cellStyle name="Normale 5 14 3 4" xfId="29067"/>
    <cellStyle name="Normale 5 14 4" xfId="3535"/>
    <cellStyle name="Normale 5 14 4 2" xfId="10998"/>
    <cellStyle name="Normale 5 14 4 3" xfId="18406"/>
    <cellStyle name="Normale 5 14 4 4" xfId="27039"/>
    <cellStyle name="Normale 5 14 5" xfId="4474"/>
    <cellStyle name="Normale 5 14 5 2" xfId="11937"/>
    <cellStyle name="Normale 5 14 5 3" xfId="19345"/>
    <cellStyle name="Normale 5 14 5 4" xfId="24680"/>
    <cellStyle name="Normale 5 14 6" xfId="5390"/>
    <cellStyle name="Normale 5 14 6 2" xfId="12853"/>
    <cellStyle name="Normale 5 14 6 3" xfId="20261"/>
    <cellStyle name="Normale 5 14 6 4" xfId="25151"/>
    <cellStyle name="Normale 5 14 7" xfId="6323"/>
    <cellStyle name="Normale 5 14 7 2" xfId="13786"/>
    <cellStyle name="Normale 5 14 7 3" xfId="21194"/>
    <cellStyle name="Normale 5 14 7 4" xfId="29154"/>
    <cellStyle name="Normale 5 14 8" xfId="7228"/>
    <cellStyle name="Normale 5 14 8 2" xfId="14691"/>
    <cellStyle name="Normale 5 14 8 3" xfId="22099"/>
    <cellStyle name="Normale 5 14 8 4" xfId="26224"/>
    <cellStyle name="Normale 5 14 9" xfId="8184"/>
    <cellStyle name="Normale 5 15" xfId="793"/>
    <cellStyle name="Normale 5 15 10" xfId="15664"/>
    <cellStyle name="Normale 5 15 11" xfId="27869"/>
    <cellStyle name="Normale 5 15 12" xfId="30465"/>
    <cellStyle name="Normale 5 15 13" xfId="31408"/>
    <cellStyle name="Normale 5 15 14" xfId="32320"/>
    <cellStyle name="Normale 5 15 15" xfId="33236"/>
    <cellStyle name="Normale 5 15 16" xfId="34191"/>
    <cellStyle name="Normale 5 15 17" xfId="35123"/>
    <cellStyle name="Normale 5 15 18" xfId="36049"/>
    <cellStyle name="Normale 5 15 19" xfId="36974"/>
    <cellStyle name="Normale 5 15 2" xfId="1758"/>
    <cellStyle name="Normale 5 15 2 2" xfId="9221"/>
    <cellStyle name="Normale 5 15 2 3" xfId="16629"/>
    <cellStyle name="Normale 5 15 2 4" xfId="26801"/>
    <cellStyle name="Normale 5 15 20" xfId="37875"/>
    <cellStyle name="Normale 5 15 3" xfId="2691"/>
    <cellStyle name="Normale 5 15 3 2" xfId="10154"/>
    <cellStyle name="Normale 5 15 3 3" xfId="17562"/>
    <cellStyle name="Normale 5 15 3 4" xfId="29611"/>
    <cellStyle name="Normale 5 15 4" xfId="3606"/>
    <cellStyle name="Normale 5 15 4 2" xfId="11069"/>
    <cellStyle name="Normale 5 15 4 3" xfId="18477"/>
    <cellStyle name="Normale 5 15 4 4" xfId="28266"/>
    <cellStyle name="Normale 5 15 5" xfId="4546"/>
    <cellStyle name="Normale 5 15 5 2" xfId="12009"/>
    <cellStyle name="Normale 5 15 5 3" xfId="19417"/>
    <cellStyle name="Normale 5 15 5 4" xfId="26096"/>
    <cellStyle name="Normale 5 15 6" xfId="5461"/>
    <cellStyle name="Normale 5 15 6 2" xfId="12924"/>
    <cellStyle name="Normale 5 15 6 3" xfId="20332"/>
    <cellStyle name="Normale 5 15 6 4" xfId="27681"/>
    <cellStyle name="Normale 5 15 7" xfId="6395"/>
    <cellStyle name="Normale 5 15 7 2" xfId="13858"/>
    <cellStyle name="Normale 5 15 7 3" xfId="21266"/>
    <cellStyle name="Normale 5 15 7 4" xfId="29675"/>
    <cellStyle name="Normale 5 15 8" xfId="7297"/>
    <cellStyle name="Normale 5 15 8 2" xfId="14760"/>
    <cellStyle name="Normale 5 15 8 3" xfId="22168"/>
    <cellStyle name="Normale 5 15 8 4" xfId="22986"/>
    <cellStyle name="Normale 5 15 9" xfId="8256"/>
    <cellStyle name="Normale 5 16" xfId="866"/>
    <cellStyle name="Normale 5 16 10" xfId="15737"/>
    <cellStyle name="Normale 5 16 11" xfId="24975"/>
    <cellStyle name="Normale 5 16 12" xfId="30535"/>
    <cellStyle name="Normale 5 16 13" xfId="31481"/>
    <cellStyle name="Normale 5 16 14" xfId="32392"/>
    <cellStyle name="Normale 5 16 15" xfId="33305"/>
    <cellStyle name="Normale 5 16 16" xfId="34264"/>
    <cellStyle name="Normale 5 16 17" xfId="35196"/>
    <cellStyle name="Normale 5 16 18" xfId="36122"/>
    <cellStyle name="Normale 5 16 19" xfId="37047"/>
    <cellStyle name="Normale 5 16 2" xfId="1831"/>
    <cellStyle name="Normale 5 16 2 2" xfId="9294"/>
    <cellStyle name="Normale 5 16 2 3" xfId="16702"/>
    <cellStyle name="Normale 5 16 2 4" xfId="29103"/>
    <cellStyle name="Normale 5 16 20" xfId="37944"/>
    <cellStyle name="Normale 5 16 3" xfId="2764"/>
    <cellStyle name="Normale 5 16 3 2" xfId="10227"/>
    <cellStyle name="Normale 5 16 3 3" xfId="17635"/>
    <cellStyle name="Normale 5 16 3 4" xfId="28477"/>
    <cellStyle name="Normale 5 16 4" xfId="3678"/>
    <cellStyle name="Normale 5 16 4 2" xfId="11141"/>
    <cellStyle name="Normale 5 16 4 3" xfId="18549"/>
    <cellStyle name="Normale 5 16 4 4" xfId="28759"/>
    <cellStyle name="Normale 5 16 5" xfId="4619"/>
    <cellStyle name="Normale 5 16 5 2" xfId="12082"/>
    <cellStyle name="Normale 5 16 5 3" xfId="19490"/>
    <cellStyle name="Normale 5 16 5 4" xfId="22414"/>
    <cellStyle name="Normale 5 16 6" xfId="5533"/>
    <cellStyle name="Normale 5 16 6 2" xfId="12996"/>
    <cellStyle name="Normale 5 16 6 3" xfId="20404"/>
    <cellStyle name="Normale 5 16 6 4" xfId="23312"/>
    <cellStyle name="Normale 5 16 7" xfId="6468"/>
    <cellStyle name="Normale 5 16 7 2" xfId="13931"/>
    <cellStyle name="Normale 5 16 7 3" xfId="21339"/>
    <cellStyle name="Normale 5 16 7 4" xfId="27884"/>
    <cellStyle name="Normale 5 16 8" xfId="7366"/>
    <cellStyle name="Normale 5 16 8 2" xfId="14829"/>
    <cellStyle name="Normale 5 16 8 3" xfId="22237"/>
    <cellStyle name="Normale 5 16 8 4" xfId="24377"/>
    <cellStyle name="Normale 5 16 9" xfId="8329"/>
    <cellStyle name="Normale 5 17" xfId="936"/>
    <cellStyle name="Normale 5 17 10" xfId="15807"/>
    <cellStyle name="Normale 5 17 11" xfId="26598"/>
    <cellStyle name="Normale 5 17 12" xfId="30602"/>
    <cellStyle name="Normale 5 17 13" xfId="31550"/>
    <cellStyle name="Normale 5 17 14" xfId="32461"/>
    <cellStyle name="Normale 5 17 15" xfId="33371"/>
    <cellStyle name="Normale 5 17 16" xfId="34334"/>
    <cellStyle name="Normale 5 17 17" xfId="35266"/>
    <cellStyle name="Normale 5 17 18" xfId="36191"/>
    <cellStyle name="Normale 5 17 19" xfId="37117"/>
    <cellStyle name="Normale 5 17 2" xfId="1901"/>
    <cellStyle name="Normale 5 17 2 2" xfId="9364"/>
    <cellStyle name="Normale 5 17 2 3" xfId="16772"/>
    <cellStyle name="Normale 5 17 2 4" xfId="24956"/>
    <cellStyle name="Normale 5 17 20" xfId="38010"/>
    <cellStyle name="Normale 5 17 3" xfId="2833"/>
    <cellStyle name="Normale 5 17 3 2" xfId="10296"/>
    <cellStyle name="Normale 5 17 3 3" xfId="17704"/>
    <cellStyle name="Normale 5 17 3 4" xfId="23381"/>
    <cellStyle name="Normale 5 17 4" xfId="3748"/>
    <cellStyle name="Normale 5 17 4 2" xfId="11211"/>
    <cellStyle name="Normale 5 17 4 3" xfId="18619"/>
    <cellStyle name="Normale 5 17 4 4" xfId="22621"/>
    <cellStyle name="Normale 5 17 5" xfId="4689"/>
    <cellStyle name="Normale 5 17 5 2" xfId="12152"/>
    <cellStyle name="Normale 5 17 5 3" xfId="19560"/>
    <cellStyle name="Normale 5 17 5 4" xfId="24446"/>
    <cellStyle name="Normale 5 17 6" xfId="5603"/>
    <cellStyle name="Normale 5 17 6 2" xfId="13066"/>
    <cellStyle name="Normale 5 17 6 3" xfId="20474"/>
    <cellStyle name="Normale 5 17 6 4" xfId="26777"/>
    <cellStyle name="Normale 5 17 7" xfId="6538"/>
    <cellStyle name="Normale 5 17 7 2" xfId="14001"/>
    <cellStyle name="Normale 5 17 7 3" xfId="21409"/>
    <cellStyle name="Normale 5 17 7 4" xfId="22362"/>
    <cellStyle name="Normale 5 17 8" xfId="7432"/>
    <cellStyle name="Normale 5 17 8 2" xfId="14895"/>
    <cellStyle name="Normale 5 17 8 3" xfId="22303"/>
    <cellStyle name="Normale 5 17 8 4" xfId="23998"/>
    <cellStyle name="Normale 5 17 9" xfId="8399"/>
    <cellStyle name="Normale 5 18" xfId="1122"/>
    <cellStyle name="Normale 5 18 2" xfId="8585"/>
    <cellStyle name="Normale 5 18 3" xfId="15993"/>
    <cellStyle name="Normale 5 18 4" xfId="23617"/>
    <cellStyle name="Normale 5 19" xfId="2049"/>
    <cellStyle name="Normale 5 19 2" xfId="9512"/>
    <cellStyle name="Normale 5 19 3" xfId="16920"/>
    <cellStyle name="Normale 5 19 4" xfId="25397"/>
    <cellStyle name="Normale 5 2" xfId="150"/>
    <cellStyle name="Normale 5 2 10" xfId="532"/>
    <cellStyle name="Normale 5 2 10 10" xfId="15405"/>
    <cellStyle name="Normale 5 2 10 11" xfId="26199"/>
    <cellStyle name="Normale 5 2 10 12" xfId="30216"/>
    <cellStyle name="Normale 5 2 10 13" xfId="31149"/>
    <cellStyle name="Normale 5 2 10 14" xfId="32069"/>
    <cellStyle name="Normale 5 2 10 15" xfId="32991"/>
    <cellStyle name="Normale 5 2 10 16" xfId="33932"/>
    <cellStyle name="Normale 5 2 10 17" xfId="34862"/>
    <cellStyle name="Normale 5 2 10 18" xfId="35788"/>
    <cellStyle name="Normale 5 2 10 19" xfId="36714"/>
    <cellStyle name="Normale 5 2 10 2" xfId="1499"/>
    <cellStyle name="Normale 5 2 10 2 2" xfId="8962"/>
    <cellStyle name="Normale 5 2 10 2 3" xfId="16370"/>
    <cellStyle name="Normale 5 2 10 2 4" xfId="29382"/>
    <cellStyle name="Normale 5 2 10 20" xfId="37630"/>
    <cellStyle name="Normale 5 2 10 3" xfId="2430"/>
    <cellStyle name="Normale 5 2 10 3 2" xfId="9893"/>
    <cellStyle name="Normale 5 2 10 3 3" xfId="17301"/>
    <cellStyle name="Normale 5 2 10 3 4" xfId="28767"/>
    <cellStyle name="Normale 5 2 10 4" xfId="3351"/>
    <cellStyle name="Normale 5 2 10 4 2" xfId="10814"/>
    <cellStyle name="Normale 5 2 10 4 3" xfId="18222"/>
    <cellStyle name="Normale 5 2 10 4 4" xfId="28877"/>
    <cellStyle name="Normale 5 2 10 5" xfId="4285"/>
    <cellStyle name="Normale 5 2 10 5 2" xfId="11748"/>
    <cellStyle name="Normale 5 2 10 5 3" xfId="19156"/>
    <cellStyle name="Normale 5 2 10 5 4" xfId="26636"/>
    <cellStyle name="Normale 5 2 10 6" xfId="5207"/>
    <cellStyle name="Normale 5 2 10 6 2" xfId="12670"/>
    <cellStyle name="Normale 5 2 10 6 3" xfId="20078"/>
    <cellStyle name="Normale 5 2 10 6 4" xfId="25699"/>
    <cellStyle name="Normale 5 2 10 7" xfId="6136"/>
    <cellStyle name="Normale 5 2 10 7 2" xfId="13599"/>
    <cellStyle name="Normale 5 2 10 7 3" xfId="21007"/>
    <cellStyle name="Normale 5 2 10 7 4" xfId="26055"/>
    <cellStyle name="Normale 5 2 10 8" xfId="7052"/>
    <cellStyle name="Normale 5 2 10 8 2" xfId="14515"/>
    <cellStyle name="Normale 5 2 10 8 3" xfId="21923"/>
    <cellStyle name="Normale 5 2 10 8 4" xfId="22863"/>
    <cellStyle name="Normale 5 2 10 9" xfId="7995"/>
    <cellStyle name="Normale 5 2 11" xfId="584"/>
    <cellStyle name="Normale 5 2 11 10" xfId="15457"/>
    <cellStyle name="Normale 5 2 11 11" xfId="27509"/>
    <cellStyle name="Normale 5 2 11 12" xfId="30267"/>
    <cellStyle name="Normale 5 2 11 13" xfId="31201"/>
    <cellStyle name="Normale 5 2 11 14" xfId="32120"/>
    <cellStyle name="Normale 5 2 11 15" xfId="33041"/>
    <cellStyle name="Normale 5 2 11 16" xfId="33984"/>
    <cellStyle name="Normale 5 2 11 17" xfId="34914"/>
    <cellStyle name="Normale 5 2 11 18" xfId="35840"/>
    <cellStyle name="Normale 5 2 11 19" xfId="36766"/>
    <cellStyle name="Normale 5 2 11 2" xfId="1551"/>
    <cellStyle name="Normale 5 2 11 2 2" xfId="9014"/>
    <cellStyle name="Normale 5 2 11 2 3" xfId="16422"/>
    <cellStyle name="Normale 5 2 11 2 4" xfId="24331"/>
    <cellStyle name="Normale 5 2 11 20" xfId="37680"/>
    <cellStyle name="Normale 5 2 11 3" xfId="2482"/>
    <cellStyle name="Normale 5 2 11 3 2" xfId="9945"/>
    <cellStyle name="Normale 5 2 11 3 3" xfId="17353"/>
    <cellStyle name="Normale 5 2 11 3 4" xfId="24692"/>
    <cellStyle name="Normale 5 2 11 4" xfId="3402"/>
    <cellStyle name="Normale 5 2 11 4 2" xfId="10865"/>
    <cellStyle name="Normale 5 2 11 4 3" xfId="18273"/>
    <cellStyle name="Normale 5 2 11 4 4" xfId="24762"/>
    <cellStyle name="Normale 5 2 11 5" xfId="4337"/>
    <cellStyle name="Normale 5 2 11 5 2" xfId="11800"/>
    <cellStyle name="Normale 5 2 11 5 3" xfId="19208"/>
    <cellStyle name="Normale 5 2 11 5 4" xfId="29039"/>
    <cellStyle name="Normale 5 2 11 6" xfId="5258"/>
    <cellStyle name="Normale 5 2 11 6 2" xfId="12721"/>
    <cellStyle name="Normale 5 2 11 6 3" xfId="20129"/>
    <cellStyle name="Normale 5 2 11 6 4" xfId="29016"/>
    <cellStyle name="Normale 5 2 11 7" xfId="6188"/>
    <cellStyle name="Normale 5 2 11 7 2" xfId="13651"/>
    <cellStyle name="Normale 5 2 11 7 3" xfId="21059"/>
    <cellStyle name="Normale 5 2 11 7 4" xfId="22819"/>
    <cellStyle name="Normale 5 2 11 8" xfId="7102"/>
    <cellStyle name="Normale 5 2 11 8 2" xfId="14565"/>
    <cellStyle name="Normale 5 2 11 8 3" xfId="21973"/>
    <cellStyle name="Normale 5 2 11 8 4" xfId="7664"/>
    <cellStyle name="Normale 5 2 11 9" xfId="8047"/>
    <cellStyle name="Normale 5 2 12" xfId="644"/>
    <cellStyle name="Normale 5 2 12 10" xfId="15516"/>
    <cellStyle name="Normale 5 2 12 11" xfId="23436"/>
    <cellStyle name="Normale 5 2 12 12" xfId="30323"/>
    <cellStyle name="Normale 5 2 12 13" xfId="31260"/>
    <cellStyle name="Normale 5 2 12 14" xfId="32177"/>
    <cellStyle name="Normale 5 2 12 15" xfId="33096"/>
    <cellStyle name="Normale 5 2 12 16" xfId="34043"/>
    <cellStyle name="Normale 5 2 12 17" xfId="34974"/>
    <cellStyle name="Normale 5 2 12 18" xfId="35900"/>
    <cellStyle name="Normale 5 2 12 19" xfId="36825"/>
    <cellStyle name="Normale 5 2 12 2" xfId="1610"/>
    <cellStyle name="Normale 5 2 12 2 2" xfId="9073"/>
    <cellStyle name="Normale 5 2 12 2 3" xfId="16481"/>
    <cellStyle name="Normale 5 2 12 2 4" xfId="23163"/>
    <cellStyle name="Normale 5 2 12 20" xfId="37735"/>
    <cellStyle name="Normale 5 2 12 3" xfId="2542"/>
    <cellStyle name="Normale 5 2 12 3 2" xfId="10005"/>
    <cellStyle name="Normale 5 2 12 3 3" xfId="17413"/>
    <cellStyle name="Normale 5 2 12 3 4" xfId="27065"/>
    <cellStyle name="Normale 5 2 12 4" xfId="3460"/>
    <cellStyle name="Normale 5 2 12 4 2" xfId="10923"/>
    <cellStyle name="Normale 5 2 12 4 3" xfId="18331"/>
    <cellStyle name="Normale 5 2 12 4 4" xfId="22791"/>
    <cellStyle name="Normale 5 2 12 5" xfId="4397"/>
    <cellStyle name="Normale 5 2 12 5 2" xfId="11860"/>
    <cellStyle name="Normale 5 2 12 5 3" xfId="19268"/>
    <cellStyle name="Normale 5 2 12 5 4" xfId="26856"/>
    <cellStyle name="Normale 5 2 12 6" xfId="5315"/>
    <cellStyle name="Normale 5 2 12 6 2" xfId="12778"/>
    <cellStyle name="Normale 5 2 12 6 3" xfId="20186"/>
    <cellStyle name="Normale 5 2 12 6 4" xfId="29569"/>
    <cellStyle name="Normale 5 2 12 7" xfId="6248"/>
    <cellStyle name="Normale 5 2 12 7 2" xfId="13711"/>
    <cellStyle name="Normale 5 2 12 7 3" xfId="21119"/>
    <cellStyle name="Normale 5 2 12 7 4" xfId="26247"/>
    <cellStyle name="Normale 5 2 12 8" xfId="7157"/>
    <cellStyle name="Normale 5 2 12 8 2" xfId="14620"/>
    <cellStyle name="Normale 5 2 12 8 3" xfId="22028"/>
    <cellStyle name="Normale 5 2 12 8 4" xfId="22538"/>
    <cellStyle name="Normale 5 2 12 9" xfId="8107"/>
    <cellStyle name="Normale 5 2 13" xfId="722"/>
    <cellStyle name="Normale 5 2 13 10" xfId="15593"/>
    <cellStyle name="Normale 5 2 13 11" xfId="28708"/>
    <cellStyle name="Normale 5 2 13 12" xfId="30396"/>
    <cellStyle name="Normale 5 2 13 13" xfId="31337"/>
    <cellStyle name="Normale 5 2 13 14" xfId="32250"/>
    <cellStyle name="Normale 5 2 13 15" xfId="33168"/>
    <cellStyle name="Normale 5 2 13 16" xfId="34120"/>
    <cellStyle name="Normale 5 2 13 17" xfId="35052"/>
    <cellStyle name="Normale 5 2 13 18" xfId="35978"/>
    <cellStyle name="Normale 5 2 13 19" xfId="36903"/>
    <cellStyle name="Normale 5 2 13 2" xfId="1687"/>
    <cellStyle name="Normale 5 2 13 2 2" xfId="9150"/>
    <cellStyle name="Normale 5 2 13 2 3" xfId="16558"/>
    <cellStyle name="Normale 5 2 13 2 4" xfId="24327"/>
    <cellStyle name="Normale 5 2 13 20" xfId="37807"/>
    <cellStyle name="Normale 5 2 13 3" xfId="2620"/>
    <cellStyle name="Normale 5 2 13 3 2" xfId="10083"/>
    <cellStyle name="Normale 5 2 13 3 3" xfId="17491"/>
    <cellStyle name="Normale 5 2 13 3 4" xfId="28157"/>
    <cellStyle name="Normale 5 2 13 4" xfId="3536"/>
    <cellStyle name="Normale 5 2 13 4 2" xfId="10999"/>
    <cellStyle name="Normale 5 2 13 4 3" xfId="18407"/>
    <cellStyle name="Normale 5 2 13 4 4" xfId="26121"/>
    <cellStyle name="Normale 5 2 13 5" xfId="4475"/>
    <cellStyle name="Normale 5 2 13 5 2" xfId="11938"/>
    <cellStyle name="Normale 5 2 13 5 3" xfId="19346"/>
    <cellStyle name="Normale 5 2 13 5 4" xfId="23757"/>
    <cellStyle name="Normale 5 2 13 6" xfId="5391"/>
    <cellStyle name="Normale 5 2 13 6 2" xfId="12854"/>
    <cellStyle name="Normale 5 2 13 6 3" xfId="20262"/>
    <cellStyle name="Normale 5 2 13 6 4" xfId="24232"/>
    <cellStyle name="Normale 5 2 13 7" xfId="6324"/>
    <cellStyle name="Normale 5 2 13 7 2" xfId="13787"/>
    <cellStyle name="Normale 5 2 13 7 3" xfId="21195"/>
    <cellStyle name="Normale 5 2 13 7 4" xfId="28246"/>
    <cellStyle name="Normale 5 2 13 8" xfId="7229"/>
    <cellStyle name="Normale 5 2 13 8 2" xfId="14692"/>
    <cellStyle name="Normale 5 2 13 8 3" xfId="22100"/>
    <cellStyle name="Normale 5 2 13 8 4" xfId="25297"/>
    <cellStyle name="Normale 5 2 13 9" xfId="8185"/>
    <cellStyle name="Normale 5 2 14" xfId="794"/>
    <cellStyle name="Normale 5 2 14 10" xfId="15665"/>
    <cellStyle name="Normale 5 2 14 11" xfId="26966"/>
    <cellStyle name="Normale 5 2 14 12" xfId="30466"/>
    <cellStyle name="Normale 5 2 14 13" xfId="31409"/>
    <cellStyle name="Normale 5 2 14 14" xfId="32321"/>
    <cellStyle name="Normale 5 2 14 15" xfId="33237"/>
    <cellStyle name="Normale 5 2 14 16" xfId="34192"/>
    <cellStyle name="Normale 5 2 14 17" xfId="35124"/>
    <cellStyle name="Normale 5 2 14 18" xfId="36050"/>
    <cellStyle name="Normale 5 2 14 19" xfId="36975"/>
    <cellStyle name="Normale 5 2 14 2" xfId="1759"/>
    <cellStyle name="Normale 5 2 14 2 2" xfId="9222"/>
    <cellStyle name="Normale 5 2 14 2 3" xfId="16630"/>
    <cellStyle name="Normale 5 2 14 2 4" xfId="25868"/>
    <cellStyle name="Normale 5 2 14 20" xfId="37876"/>
    <cellStyle name="Normale 5 2 14 3" xfId="2692"/>
    <cellStyle name="Normale 5 2 14 3 2" xfId="10155"/>
    <cellStyle name="Normale 5 2 14 3 3" xfId="17563"/>
    <cellStyle name="Normale 5 2 14 3 4" xfId="28723"/>
    <cellStyle name="Normale 5 2 14 4" xfId="3607"/>
    <cellStyle name="Normale 5 2 14 4 2" xfId="11070"/>
    <cellStyle name="Normale 5 2 14 4 3" xfId="18478"/>
    <cellStyle name="Normale 5 2 14 4 4" xfId="27342"/>
    <cellStyle name="Normale 5 2 14 5" xfId="4547"/>
    <cellStyle name="Normale 5 2 14 5 2" xfId="12010"/>
    <cellStyle name="Normale 5 2 14 5 3" xfId="19418"/>
    <cellStyle name="Normale 5 2 14 5 4" xfId="25173"/>
    <cellStyle name="Normale 5 2 14 6" xfId="5462"/>
    <cellStyle name="Normale 5 2 14 6 2" xfId="12925"/>
    <cellStyle name="Normale 5 2 14 6 3" xfId="20333"/>
    <cellStyle name="Normale 5 2 14 6 4" xfId="26778"/>
    <cellStyle name="Normale 5 2 14 7" xfId="6396"/>
    <cellStyle name="Normale 5 2 14 7 2" xfId="13859"/>
    <cellStyle name="Normale 5 2 14 7 3" xfId="21267"/>
    <cellStyle name="Normale 5 2 14 7 4" xfId="28790"/>
    <cellStyle name="Normale 5 2 14 8" xfId="7298"/>
    <cellStyle name="Normale 5 2 14 8 2" xfId="14761"/>
    <cellStyle name="Normale 5 2 14 8 3" xfId="22169"/>
    <cellStyle name="Normale 5 2 14 8 4" xfId="29415"/>
    <cellStyle name="Normale 5 2 14 9" xfId="8257"/>
    <cellStyle name="Normale 5 2 15" xfId="867"/>
    <cellStyle name="Normale 5 2 15 10" xfId="15738"/>
    <cellStyle name="Normale 5 2 15 11" xfId="24049"/>
    <cellStyle name="Normale 5 2 15 12" xfId="30536"/>
    <cellStyle name="Normale 5 2 15 13" xfId="31482"/>
    <cellStyle name="Normale 5 2 15 14" xfId="32393"/>
    <cellStyle name="Normale 5 2 15 15" xfId="33306"/>
    <cellStyle name="Normale 5 2 15 16" xfId="34265"/>
    <cellStyle name="Normale 5 2 15 17" xfId="35197"/>
    <cellStyle name="Normale 5 2 15 18" xfId="36123"/>
    <cellStyle name="Normale 5 2 15 19" xfId="37048"/>
    <cellStyle name="Normale 5 2 15 2" xfId="1832"/>
    <cellStyle name="Normale 5 2 15 2 2" xfId="9295"/>
    <cellStyle name="Normale 5 2 15 2 3" xfId="16703"/>
    <cellStyle name="Normale 5 2 15 2 4" xfId="28193"/>
    <cellStyle name="Normale 5 2 15 20" xfId="37945"/>
    <cellStyle name="Normale 5 2 15 3" xfId="2765"/>
    <cellStyle name="Normale 5 2 15 3 2" xfId="10228"/>
    <cellStyle name="Normale 5 2 15 3 3" xfId="17636"/>
    <cellStyle name="Normale 5 2 15 3 4" xfId="27550"/>
    <cellStyle name="Normale 5 2 15 4" xfId="3679"/>
    <cellStyle name="Normale 5 2 15 4 2" xfId="11142"/>
    <cellStyle name="Normale 5 2 15 4 3" xfId="18550"/>
    <cellStyle name="Normale 5 2 15 4 4" xfId="27832"/>
    <cellStyle name="Normale 5 2 15 5" xfId="4620"/>
    <cellStyle name="Normale 5 2 15 5 2" xfId="12083"/>
    <cellStyle name="Normale 5 2 15 5 3" xfId="19491"/>
    <cellStyle name="Normale 5 2 15 5 4" xfId="22413"/>
    <cellStyle name="Normale 5 2 15 6" xfId="5534"/>
    <cellStyle name="Normale 5 2 15 6 2" xfId="12997"/>
    <cellStyle name="Normale 5 2 15 6 3" xfId="20405"/>
    <cellStyle name="Normale 5 2 15 6 4" xfId="22578"/>
    <cellStyle name="Normale 5 2 15 7" xfId="6469"/>
    <cellStyle name="Normale 5 2 15 7 2" xfId="13932"/>
    <cellStyle name="Normale 5 2 15 7 3" xfId="21340"/>
    <cellStyle name="Normale 5 2 15 7 4" xfId="26689"/>
    <cellStyle name="Normale 5 2 15 8" xfId="7367"/>
    <cellStyle name="Normale 5 2 15 8 2" xfId="14830"/>
    <cellStyle name="Normale 5 2 15 8 3" xfId="22238"/>
    <cellStyle name="Normale 5 2 15 8 4" xfId="23458"/>
    <cellStyle name="Normale 5 2 15 9" xfId="8330"/>
    <cellStyle name="Normale 5 2 16" xfId="937"/>
    <cellStyle name="Normale 5 2 16 10" xfId="15808"/>
    <cellStyle name="Normale 5 2 16 11" xfId="25668"/>
    <cellStyle name="Normale 5 2 16 12" xfId="30603"/>
    <cellStyle name="Normale 5 2 16 13" xfId="31551"/>
    <cellStyle name="Normale 5 2 16 14" xfId="32462"/>
    <cellStyle name="Normale 5 2 16 15" xfId="33372"/>
    <cellStyle name="Normale 5 2 16 16" xfId="34335"/>
    <cellStyle name="Normale 5 2 16 17" xfId="35267"/>
    <cellStyle name="Normale 5 2 16 18" xfId="36192"/>
    <cellStyle name="Normale 5 2 16 19" xfId="37118"/>
    <cellStyle name="Normale 5 2 16 2" xfId="1902"/>
    <cellStyle name="Normale 5 2 16 2 2" xfId="9365"/>
    <cellStyle name="Normale 5 2 16 2 3" xfId="16773"/>
    <cellStyle name="Normale 5 2 16 2 4" xfId="24031"/>
    <cellStyle name="Normale 5 2 16 20" xfId="38011"/>
    <cellStyle name="Normale 5 2 16 3" xfId="2834"/>
    <cellStyle name="Normale 5 2 16 3 2" xfId="10297"/>
    <cellStyle name="Normale 5 2 16 3 3" xfId="17705"/>
    <cellStyle name="Normale 5 2 16 3 4" xfId="22647"/>
    <cellStyle name="Normale 5 2 16 4" xfId="3749"/>
    <cellStyle name="Normale 5 2 16 4 2" xfId="11212"/>
    <cellStyle name="Normale 5 2 16 4 3" xfId="18620"/>
    <cellStyle name="Normale 5 2 16 4 4" xfId="29051"/>
    <cellStyle name="Normale 5 2 16 5" xfId="4690"/>
    <cellStyle name="Normale 5 2 16 5 2" xfId="12153"/>
    <cellStyle name="Normale 5 2 16 5 3" xfId="19561"/>
    <cellStyle name="Normale 5 2 16 5 4" xfId="23527"/>
    <cellStyle name="Normale 5 2 16 6" xfId="5604"/>
    <cellStyle name="Normale 5 2 16 6 2" xfId="13067"/>
    <cellStyle name="Normale 5 2 16 6 3" xfId="20475"/>
    <cellStyle name="Normale 5 2 16 6 4" xfId="25844"/>
    <cellStyle name="Normale 5 2 16 7" xfId="6539"/>
    <cellStyle name="Normale 5 2 16 7 2" xfId="14002"/>
    <cellStyle name="Normale 5 2 16 7 3" xfId="21410"/>
    <cellStyle name="Normale 5 2 16 7 4" xfId="28451"/>
    <cellStyle name="Normale 5 2 16 8" xfId="7433"/>
    <cellStyle name="Normale 5 2 16 8 2" xfId="14896"/>
    <cellStyle name="Normale 5 2 16 8 3" xfId="22304"/>
    <cellStyle name="Normale 5 2 16 8 4" xfId="22985"/>
    <cellStyle name="Normale 5 2 16 9" xfId="8400"/>
    <cellStyle name="Normale 5 2 17" xfId="1123"/>
    <cellStyle name="Normale 5 2 17 2" xfId="8586"/>
    <cellStyle name="Normale 5 2 17 3" xfId="15994"/>
    <cellStyle name="Normale 5 2 17 4" xfId="22503"/>
    <cellStyle name="Normale 5 2 18" xfId="2050"/>
    <cellStyle name="Normale 5 2 18 2" xfId="9513"/>
    <cellStyle name="Normale 5 2 18 3" xfId="16921"/>
    <cellStyle name="Normale 5 2 18 4" xfId="24481"/>
    <cellStyle name="Normale 5 2 19" xfId="2976"/>
    <cellStyle name="Normale 5 2 19 2" xfId="10439"/>
    <cellStyle name="Normale 5 2 19 3" xfId="17847"/>
    <cellStyle name="Normale 5 2 19 4" xfId="24488"/>
    <cellStyle name="Normale 5 2 2" xfId="151"/>
    <cellStyle name="Normale 5 2 2 10" xfId="723"/>
    <cellStyle name="Normale 5 2 2 10 10" xfId="15594"/>
    <cellStyle name="Normale 5 2 2 10 11" xfId="27780"/>
    <cellStyle name="Normale 5 2 2 10 12" xfId="30397"/>
    <cellStyle name="Normale 5 2 2 10 13" xfId="31338"/>
    <cellStyle name="Normale 5 2 2 10 14" xfId="32251"/>
    <cellStyle name="Normale 5 2 2 10 15" xfId="33169"/>
    <cellStyle name="Normale 5 2 2 10 16" xfId="34121"/>
    <cellStyle name="Normale 5 2 2 10 17" xfId="35053"/>
    <cellStyle name="Normale 5 2 2 10 18" xfId="35979"/>
    <cellStyle name="Normale 5 2 2 10 19" xfId="36904"/>
    <cellStyle name="Normale 5 2 2 10 2" xfId="1688"/>
    <cellStyle name="Normale 5 2 2 10 2 2" xfId="9151"/>
    <cellStyle name="Normale 5 2 2 10 2 3" xfId="16559"/>
    <cellStyle name="Normale 5 2 2 10 2 4" xfId="23411"/>
    <cellStyle name="Normale 5 2 2 10 20" xfId="37808"/>
    <cellStyle name="Normale 5 2 2 10 3" xfId="2621"/>
    <cellStyle name="Normale 5 2 2 10 3 2" xfId="10084"/>
    <cellStyle name="Normale 5 2 2 10 3 3" xfId="17492"/>
    <cellStyle name="Normale 5 2 2 10 3 4" xfId="27235"/>
    <cellStyle name="Normale 5 2 2 10 4" xfId="3537"/>
    <cellStyle name="Normale 5 2 2 10 4 2" xfId="11000"/>
    <cellStyle name="Normale 5 2 2 10 4 3" xfId="18408"/>
    <cellStyle name="Normale 5 2 2 10 4 4" xfId="25198"/>
    <cellStyle name="Normale 5 2 2 10 5" xfId="4476"/>
    <cellStyle name="Normale 5 2 2 10 5 2" xfId="11939"/>
    <cellStyle name="Normale 5 2 2 10 5 3" xfId="19347"/>
    <cellStyle name="Normale 5 2 2 10 5 4" xfId="22731"/>
    <cellStyle name="Normale 5 2 2 10 6" xfId="5392"/>
    <cellStyle name="Normale 5 2 2 10 6 2" xfId="12855"/>
    <cellStyle name="Normale 5 2 2 10 6 3" xfId="20263"/>
    <cellStyle name="Normale 5 2 2 10 6 4" xfId="23316"/>
    <cellStyle name="Normale 5 2 2 10 7" xfId="6325"/>
    <cellStyle name="Normale 5 2 2 10 7 2" xfId="13788"/>
    <cellStyle name="Normale 5 2 2 10 7 3" xfId="21196"/>
    <cellStyle name="Normale 5 2 2 10 7 4" xfId="27322"/>
    <cellStyle name="Normale 5 2 2 10 8" xfId="7230"/>
    <cellStyle name="Normale 5 2 2 10 8 2" xfId="14693"/>
    <cellStyle name="Normale 5 2 2 10 8 3" xfId="22101"/>
    <cellStyle name="Normale 5 2 2 10 8 4" xfId="24381"/>
    <cellStyle name="Normale 5 2 2 10 9" xfId="8186"/>
    <cellStyle name="Normale 5 2 2 11" xfId="795"/>
    <cellStyle name="Normale 5 2 2 11 10" xfId="15666"/>
    <cellStyle name="Normale 5 2 2 11 11" xfId="26033"/>
    <cellStyle name="Normale 5 2 2 11 12" xfId="30467"/>
    <cellStyle name="Normale 5 2 2 11 13" xfId="31410"/>
    <cellStyle name="Normale 5 2 2 11 14" xfId="32322"/>
    <cellStyle name="Normale 5 2 2 11 15" xfId="33238"/>
    <cellStyle name="Normale 5 2 2 11 16" xfId="34193"/>
    <cellStyle name="Normale 5 2 2 11 17" xfId="35125"/>
    <cellStyle name="Normale 5 2 2 11 18" xfId="36051"/>
    <cellStyle name="Normale 5 2 2 11 19" xfId="36976"/>
    <cellStyle name="Normale 5 2 2 11 2" xfId="1760"/>
    <cellStyle name="Normale 5 2 2 11 2 2" xfId="9223"/>
    <cellStyle name="Normale 5 2 2 11 2 3" xfId="16631"/>
    <cellStyle name="Normale 5 2 2 11 2 4" xfId="24957"/>
    <cellStyle name="Normale 5 2 2 11 20" xfId="37877"/>
    <cellStyle name="Normale 5 2 2 11 3" xfId="2693"/>
    <cellStyle name="Normale 5 2 2 11 3 2" xfId="10156"/>
    <cellStyle name="Normale 5 2 2 11 3 3" xfId="17564"/>
    <cellStyle name="Normale 5 2 2 11 3 4" xfId="27796"/>
    <cellStyle name="Normale 5 2 2 11 4" xfId="3608"/>
    <cellStyle name="Normale 5 2 2 11 4 2" xfId="11071"/>
    <cellStyle name="Normale 5 2 2 11 4 3" xfId="18479"/>
    <cellStyle name="Normale 5 2 2 11 4 4" xfId="26434"/>
    <cellStyle name="Normale 5 2 2 11 5" xfId="4548"/>
    <cellStyle name="Normale 5 2 2 11 5 2" xfId="12011"/>
    <cellStyle name="Normale 5 2 2 11 5 3" xfId="19419"/>
    <cellStyle name="Normale 5 2 2 11 5 4" xfId="23239"/>
    <cellStyle name="Normale 5 2 2 11 6" xfId="5463"/>
    <cellStyle name="Normale 5 2 2 11 6 2" xfId="12926"/>
    <cellStyle name="Normale 5 2 2 11 6 3" xfId="20334"/>
    <cellStyle name="Normale 5 2 2 11 6 4" xfId="25845"/>
    <cellStyle name="Normale 5 2 2 11 7" xfId="6397"/>
    <cellStyle name="Normale 5 2 2 11 7 2" xfId="13860"/>
    <cellStyle name="Normale 5 2 2 11 7 3" xfId="21268"/>
    <cellStyle name="Normale 5 2 2 11 7 4" xfId="27863"/>
    <cellStyle name="Normale 5 2 2 11 8" xfId="7299"/>
    <cellStyle name="Normale 5 2 2 11 8 2" xfId="14762"/>
    <cellStyle name="Normale 5 2 2 11 8 3" xfId="22170"/>
    <cellStyle name="Normale 5 2 2 11 8 4" xfId="28521"/>
    <cellStyle name="Normale 5 2 2 11 9" xfId="8258"/>
    <cellStyle name="Normale 5 2 2 12" xfId="868"/>
    <cellStyle name="Normale 5 2 2 12 10" xfId="15739"/>
    <cellStyle name="Normale 5 2 2 12 11" xfId="23042"/>
    <cellStyle name="Normale 5 2 2 12 12" xfId="30537"/>
    <cellStyle name="Normale 5 2 2 12 13" xfId="31483"/>
    <cellStyle name="Normale 5 2 2 12 14" xfId="32394"/>
    <cellStyle name="Normale 5 2 2 12 15" xfId="33307"/>
    <cellStyle name="Normale 5 2 2 12 16" xfId="34266"/>
    <cellStyle name="Normale 5 2 2 12 17" xfId="35198"/>
    <cellStyle name="Normale 5 2 2 12 18" xfId="36124"/>
    <cellStyle name="Normale 5 2 2 12 19" xfId="37049"/>
    <cellStyle name="Normale 5 2 2 12 2" xfId="1833"/>
    <cellStyle name="Normale 5 2 2 12 2 2" xfId="9296"/>
    <cellStyle name="Normale 5 2 2 12 2 3" xfId="16704"/>
    <cellStyle name="Normale 5 2 2 12 2 4" xfId="27271"/>
    <cellStyle name="Normale 5 2 2 12 20" xfId="37946"/>
    <cellStyle name="Normale 5 2 2 12 3" xfId="2766"/>
    <cellStyle name="Normale 5 2 2 12 3 2" xfId="10229"/>
    <cellStyle name="Normale 5 2 2 12 3 3" xfId="17637"/>
    <cellStyle name="Normale 5 2 2 12 3 4" xfId="26646"/>
    <cellStyle name="Normale 5 2 2 12 4" xfId="3680"/>
    <cellStyle name="Normale 5 2 2 12 4 2" xfId="11143"/>
    <cellStyle name="Normale 5 2 2 12 4 3" xfId="18551"/>
    <cellStyle name="Normale 5 2 2 12 4 4" xfId="26930"/>
    <cellStyle name="Normale 5 2 2 12 5" xfId="4621"/>
    <cellStyle name="Normale 5 2 2 12 5 2" xfId="12084"/>
    <cellStyle name="Normale 5 2 2 12 5 3" xfId="19492"/>
    <cellStyle name="Normale 5 2 2 12 5 4" xfId="28844"/>
    <cellStyle name="Normale 5 2 2 12 6" xfId="5535"/>
    <cellStyle name="Normale 5 2 2 12 6 2" xfId="12998"/>
    <cellStyle name="Normale 5 2 2 12 6 3" xfId="20406"/>
    <cellStyle name="Normale 5 2 2 12 6 4" xfId="29008"/>
    <cellStyle name="Normale 5 2 2 12 7" xfId="6470"/>
    <cellStyle name="Normale 5 2 2 12 7 2" xfId="13933"/>
    <cellStyle name="Normale 5 2 2 12 7 3" xfId="21341"/>
    <cellStyle name="Normale 5 2 2 12 7 4" xfId="26048"/>
    <cellStyle name="Normale 5 2 2 12 8" xfId="7368"/>
    <cellStyle name="Normale 5 2 2 12 8 2" xfId="14831"/>
    <cellStyle name="Normale 5 2 2 12 8 3" xfId="22239"/>
    <cellStyle name="Normale 5 2 2 12 8 4" xfId="22343"/>
    <cellStyle name="Normale 5 2 2 12 9" xfId="8331"/>
    <cellStyle name="Normale 5 2 2 13" xfId="938"/>
    <cellStyle name="Normale 5 2 2 13 10" xfId="15809"/>
    <cellStyle name="Normale 5 2 2 13 11" xfId="24754"/>
    <cellStyle name="Normale 5 2 2 13 12" xfId="30604"/>
    <cellStyle name="Normale 5 2 2 13 13" xfId="31552"/>
    <cellStyle name="Normale 5 2 2 13 14" xfId="32463"/>
    <cellStyle name="Normale 5 2 2 13 15" xfId="33373"/>
    <cellStyle name="Normale 5 2 2 13 16" xfId="34336"/>
    <cellStyle name="Normale 5 2 2 13 17" xfId="35268"/>
    <cellStyle name="Normale 5 2 2 13 18" xfId="36193"/>
    <cellStyle name="Normale 5 2 2 13 19" xfId="37119"/>
    <cellStyle name="Normale 5 2 2 13 2" xfId="1903"/>
    <cellStyle name="Normale 5 2 2 13 2 2" xfId="9366"/>
    <cellStyle name="Normale 5 2 2 13 2 3" xfId="16774"/>
    <cellStyle name="Normale 5 2 2 13 2 4" xfId="23023"/>
    <cellStyle name="Normale 5 2 2 13 20" xfId="38012"/>
    <cellStyle name="Normale 5 2 2 13 3" xfId="2835"/>
    <cellStyle name="Normale 5 2 2 13 3 2" xfId="10298"/>
    <cellStyle name="Normale 5 2 2 13 3 3" xfId="17706"/>
    <cellStyle name="Normale 5 2 2 13 3 4" xfId="29077"/>
    <cellStyle name="Normale 5 2 2 13 4" xfId="3750"/>
    <cellStyle name="Normale 5 2 2 13 4 2" xfId="11213"/>
    <cellStyle name="Normale 5 2 2 13 4 3" xfId="18621"/>
    <cellStyle name="Normale 5 2 2 13 4 4" xfId="28141"/>
    <cellStyle name="Normale 5 2 2 13 5" xfId="4691"/>
    <cellStyle name="Normale 5 2 2 13 5 2" xfId="12154"/>
    <cellStyle name="Normale 5 2 2 13 5 3" xfId="19562"/>
    <cellStyle name="Normale 5 2 2 13 5 4" xfId="22412"/>
    <cellStyle name="Normale 5 2 2 13 6" xfId="5605"/>
    <cellStyle name="Normale 5 2 2 13 6 2" xfId="13068"/>
    <cellStyle name="Normale 5 2 2 13 6 3" xfId="20476"/>
    <cellStyle name="Normale 5 2 2 13 6 4" xfId="24933"/>
    <cellStyle name="Normale 5 2 2 13 7" xfId="6540"/>
    <cellStyle name="Normale 5 2 2 13 7 2" xfId="14003"/>
    <cellStyle name="Normale 5 2 2 13 7 3" xfId="21411"/>
    <cellStyle name="Normale 5 2 2 13 7 4" xfId="27741"/>
    <cellStyle name="Normale 5 2 2 13 8" xfId="7434"/>
    <cellStyle name="Normale 5 2 2 13 8 2" xfId="14897"/>
    <cellStyle name="Normale 5 2 2 13 8 3" xfId="22305"/>
    <cellStyle name="Normale 5 2 2 13 8 4" xfId="29414"/>
    <cellStyle name="Normale 5 2 2 13 9" xfId="8401"/>
    <cellStyle name="Normale 5 2 2 14" xfId="1124"/>
    <cellStyle name="Normale 5 2 2 14 2" xfId="8587"/>
    <cellStyle name="Normale 5 2 2 14 3" xfId="15995"/>
    <cellStyle name="Normale 5 2 2 14 4" xfId="22500"/>
    <cellStyle name="Normale 5 2 2 15" xfId="2051"/>
    <cellStyle name="Normale 5 2 2 15 2" xfId="9514"/>
    <cellStyle name="Normale 5 2 2 15 3" xfId="16922"/>
    <cellStyle name="Normale 5 2 2 15 4" xfId="23561"/>
    <cellStyle name="Normale 5 2 2 16" xfId="2977"/>
    <cellStyle name="Normale 5 2 2 16 2" xfId="10440"/>
    <cellStyle name="Normale 5 2 2 16 3" xfId="17848"/>
    <cellStyle name="Normale 5 2 2 16 4" xfId="23568"/>
    <cellStyle name="Normale 5 2 2 17" xfId="3906"/>
    <cellStyle name="Normale 5 2 2 17 2" xfId="11369"/>
    <cellStyle name="Normale 5 2 2 17 3" xfId="18777"/>
    <cellStyle name="Normale 5 2 2 17 4" xfId="26683"/>
    <cellStyle name="Normale 5 2 2 18" xfId="4833"/>
    <cellStyle name="Normale 5 2 2 18 2" xfId="12296"/>
    <cellStyle name="Normale 5 2 2 18 3" xfId="19704"/>
    <cellStyle name="Normale 5 2 2 18 4" xfId="25164"/>
    <cellStyle name="Normale 5 2 2 19" xfId="5760"/>
    <cellStyle name="Normale 5 2 2 19 2" xfId="13223"/>
    <cellStyle name="Normale 5 2 2 19 3" xfId="20631"/>
    <cellStyle name="Normale 5 2 2 19 4" xfId="26229"/>
    <cellStyle name="Normale 5 2 2 2" xfId="152"/>
    <cellStyle name="Normale 5 2 2 2 10" xfId="6683"/>
    <cellStyle name="Normale 5 2 2 2 10 2" xfId="14146"/>
    <cellStyle name="Normale 5 2 2 2 10 3" xfId="21554"/>
    <cellStyle name="Normale 5 2 2 2 10 4" xfId="28978"/>
    <cellStyle name="Normale 5 2 2 2 11" xfId="7617"/>
    <cellStyle name="Normale 5 2 2 2 12" xfId="15026"/>
    <cellStyle name="Normale 5 2 2 2 13" xfId="29130"/>
    <cellStyle name="Normale 5 2 2 2 14" xfId="29843"/>
    <cellStyle name="Normale 5 2 2 2 15" xfId="30773"/>
    <cellStyle name="Normale 5 2 2 2 16" xfId="31696"/>
    <cellStyle name="Normale 5 2 2 2 17" xfId="32622"/>
    <cellStyle name="Normale 5 2 2 2 18" xfId="33556"/>
    <cellStyle name="Normale 5 2 2 2 19" xfId="34484"/>
    <cellStyle name="Normale 5 2 2 2 2" xfId="153"/>
    <cellStyle name="Normale 5 2 2 2 2 10" xfId="7618"/>
    <cellStyle name="Normale 5 2 2 2 2 11" xfId="15027"/>
    <cellStyle name="Normale 5 2 2 2 2 12" xfId="28220"/>
    <cellStyle name="Normale 5 2 2 2 2 13" xfId="29844"/>
    <cellStyle name="Normale 5 2 2 2 2 14" xfId="30774"/>
    <cellStyle name="Normale 5 2 2 2 2 15" xfId="31697"/>
    <cellStyle name="Normale 5 2 2 2 2 16" xfId="32623"/>
    <cellStyle name="Normale 5 2 2 2 2 17" xfId="33557"/>
    <cellStyle name="Normale 5 2 2 2 2 18" xfId="34485"/>
    <cellStyle name="Normale 5 2 2 2 2 19" xfId="35413"/>
    <cellStyle name="Normale 5 2 2 2 2 2" xfId="351"/>
    <cellStyle name="Normale 5 2 2 2 2 2 10" xfId="15224"/>
    <cellStyle name="Normale 5 2 2 2 2 2 11" xfId="22711"/>
    <cellStyle name="Normale 5 2 2 2 2 2 12" xfId="30036"/>
    <cellStyle name="Normale 5 2 2 2 2 2 13" xfId="30968"/>
    <cellStyle name="Normale 5 2 2 2 2 2 14" xfId="31889"/>
    <cellStyle name="Normale 5 2 2 2 2 2 15" xfId="32814"/>
    <cellStyle name="Normale 5 2 2 2 2 2 16" xfId="33751"/>
    <cellStyle name="Normale 5 2 2 2 2 2 17" xfId="34681"/>
    <cellStyle name="Normale 5 2 2 2 2 2 18" xfId="35607"/>
    <cellStyle name="Normale 5 2 2 2 2 2 19" xfId="36533"/>
    <cellStyle name="Normale 5 2 2 2 2 2 2" xfId="1318"/>
    <cellStyle name="Normale 5 2 2 2 2 2 2 2" xfId="8781"/>
    <cellStyle name="Normale 5 2 2 2 2 2 2 3" xfId="16189"/>
    <cellStyle name="Normale 5 2 2 2 2 2 2 4" xfId="28633"/>
    <cellStyle name="Normale 5 2 2 2 2 2 20" xfId="37453"/>
    <cellStyle name="Normale 5 2 2 2 2 2 3" xfId="2249"/>
    <cellStyle name="Normale 5 2 2 2 2 2 3 2" xfId="9712"/>
    <cellStyle name="Normale 5 2 2 2 2 2 3 3" xfId="17120"/>
    <cellStyle name="Normale 5 2 2 2 2 2 3 4" xfId="24509"/>
    <cellStyle name="Normale 5 2 2 2 2 2 4" xfId="3171"/>
    <cellStyle name="Normale 5 2 2 2 2 2 4 2" xfId="10634"/>
    <cellStyle name="Normale 5 2 2 2 2 2 4 3" xfId="18042"/>
    <cellStyle name="Normale 5 2 2 2 2 2 4 4" xfId="26720"/>
    <cellStyle name="Normale 5 2 2 2 2 2 5" xfId="4104"/>
    <cellStyle name="Normale 5 2 2 2 2 2 5 2" xfId="11567"/>
    <cellStyle name="Normale 5 2 2 2 2 2 5 3" xfId="18975"/>
    <cellStyle name="Normale 5 2 2 2 2 2 5 4" xfId="26106"/>
    <cellStyle name="Normale 5 2 2 2 2 2 6" xfId="5027"/>
    <cellStyle name="Normale 5 2 2 2 2 2 6 2" xfId="12490"/>
    <cellStyle name="Normale 5 2 2 2 2 2 6 3" xfId="19898"/>
    <cellStyle name="Normale 5 2 2 2 2 2 6 4" xfId="24011"/>
    <cellStyle name="Normale 5 2 2 2 2 2 7" xfId="5955"/>
    <cellStyle name="Normale 5 2 2 2 2 2 7 2" xfId="13418"/>
    <cellStyle name="Normale 5 2 2 2 2 2 7 3" xfId="20826"/>
    <cellStyle name="Normale 5 2 2 2 2 2 7 4" xfId="22569"/>
    <cellStyle name="Normale 5 2 2 2 2 2 8" xfId="6875"/>
    <cellStyle name="Normale 5 2 2 2 2 2 8 2" xfId="14338"/>
    <cellStyle name="Normale 5 2 2 2 2 2 8 3" xfId="21746"/>
    <cellStyle name="Normale 5 2 2 2 2 2 8 4" xfId="26744"/>
    <cellStyle name="Normale 5 2 2 2 2 2 9" xfId="7814"/>
    <cellStyle name="Normale 5 2 2 2 2 20" xfId="36339"/>
    <cellStyle name="Normale 5 2 2 2 2 21" xfId="37262"/>
    <cellStyle name="Normale 5 2 2 2 2 3" xfId="1126"/>
    <cellStyle name="Normale 5 2 2 2 2 3 2" xfId="8589"/>
    <cellStyle name="Normale 5 2 2 2 2 3 3" xfId="15997"/>
    <cellStyle name="Normale 5 2 2 2 2 3 4" xfId="28019"/>
    <cellStyle name="Normale 5 2 2 2 2 4" xfId="2053"/>
    <cellStyle name="Normale 5 2 2 2 2 4 2" xfId="9516"/>
    <cellStyle name="Normale 5 2 2 2 2 4 3" xfId="16924"/>
    <cellStyle name="Normale 5 2 2 2 2 4 4" xfId="23401"/>
    <cellStyle name="Normale 5 2 2 2 2 5" xfId="2979"/>
    <cellStyle name="Normale 5 2 2 2 2 5 2" xfId="10442"/>
    <cellStyle name="Normale 5 2 2 2 2 5 3" xfId="17850"/>
    <cellStyle name="Normale 5 2 2 2 2 5 4" xfId="27973"/>
    <cellStyle name="Normale 5 2 2 2 2 6" xfId="3908"/>
    <cellStyle name="Normale 5 2 2 2 2 6 2" xfId="11371"/>
    <cellStyle name="Normale 5 2 2 2 2 6 3" xfId="18779"/>
    <cellStyle name="Normale 5 2 2 2 2 6 4" xfId="24839"/>
    <cellStyle name="Normale 5 2 2 2 2 7" xfId="4835"/>
    <cellStyle name="Normale 5 2 2 2 2 7 2" xfId="12298"/>
    <cellStyle name="Normale 5 2 2 2 2 7 3" xfId="19706"/>
    <cellStyle name="Normale 5 2 2 2 2 7 4" xfId="23329"/>
    <cellStyle name="Normale 5 2 2 2 2 8" xfId="5762"/>
    <cellStyle name="Normale 5 2 2 2 2 8 2" xfId="13225"/>
    <cellStyle name="Normale 5 2 2 2 2 8 3" xfId="20633"/>
    <cellStyle name="Normale 5 2 2 2 2 8 4" xfId="24386"/>
    <cellStyle name="Normale 5 2 2 2 2 9" xfId="6684"/>
    <cellStyle name="Normale 5 2 2 2 2 9 2" xfId="14147"/>
    <cellStyle name="Normale 5 2 2 2 2 9 3" xfId="21555"/>
    <cellStyle name="Normale 5 2 2 2 2 9 4" xfId="28068"/>
    <cellStyle name="Normale 5 2 2 2 20" xfId="35412"/>
    <cellStyle name="Normale 5 2 2 2 21" xfId="36338"/>
    <cellStyle name="Normale 5 2 2 2 22" xfId="37261"/>
    <cellStyle name="Normale 5 2 2 2 3" xfId="350"/>
    <cellStyle name="Normale 5 2 2 2 3 10" xfId="15223"/>
    <cellStyle name="Normale 5 2 2 2 3 11" xfId="23446"/>
    <cellStyle name="Normale 5 2 2 2 3 12" xfId="30035"/>
    <cellStyle name="Normale 5 2 2 2 3 13" xfId="30967"/>
    <cellStyle name="Normale 5 2 2 2 3 14" xfId="31888"/>
    <cellStyle name="Normale 5 2 2 2 3 15" xfId="32813"/>
    <cellStyle name="Normale 5 2 2 2 3 16" xfId="33750"/>
    <cellStyle name="Normale 5 2 2 2 3 17" xfId="34680"/>
    <cellStyle name="Normale 5 2 2 2 3 18" xfId="35606"/>
    <cellStyle name="Normale 5 2 2 2 3 19" xfId="36532"/>
    <cellStyle name="Normale 5 2 2 2 3 2" xfId="1317"/>
    <cellStyle name="Normale 5 2 2 2 3 2 2" xfId="8780"/>
    <cellStyle name="Normale 5 2 2 2 3 2 3" xfId="16188"/>
    <cellStyle name="Normale 5 2 2 2 3 2 4" xfId="29524"/>
    <cellStyle name="Normale 5 2 2 2 3 20" xfId="37452"/>
    <cellStyle name="Normale 5 2 2 2 3 3" xfId="2248"/>
    <cellStyle name="Normale 5 2 2 2 3 3 2" xfId="9711"/>
    <cellStyle name="Normale 5 2 2 2 3 3 3" xfId="17119"/>
    <cellStyle name="Normale 5 2 2 2 3 3 4" xfId="25425"/>
    <cellStyle name="Normale 5 2 2 2 3 4" xfId="3170"/>
    <cellStyle name="Normale 5 2 2 2 3 4 2" xfId="10633"/>
    <cellStyle name="Normale 5 2 2 2 3 4 3" xfId="18041"/>
    <cellStyle name="Normale 5 2 2 2 3 4 4" xfId="27624"/>
    <cellStyle name="Normale 5 2 2 2 3 5" xfId="4103"/>
    <cellStyle name="Normale 5 2 2 2 3 5 2" xfId="11566"/>
    <cellStyle name="Normale 5 2 2 2 3 5 3" xfId="18974"/>
    <cellStyle name="Normale 5 2 2 2 3 5 4" xfId="27024"/>
    <cellStyle name="Normale 5 2 2 2 3 6" xfId="5026"/>
    <cellStyle name="Normale 5 2 2 2 3 6 2" xfId="12489"/>
    <cellStyle name="Normale 5 2 2 2 3 6 3" xfId="19897"/>
    <cellStyle name="Normale 5 2 2 2 3 6 4" xfId="24936"/>
    <cellStyle name="Normale 5 2 2 2 3 7" xfId="5954"/>
    <cellStyle name="Normale 5 2 2 2 3 7 2" xfId="13417"/>
    <cellStyle name="Normale 5 2 2 2 3 7 3" xfId="20825"/>
    <cellStyle name="Normale 5 2 2 2 3 7 4" xfId="23303"/>
    <cellStyle name="Normale 5 2 2 2 3 8" xfId="6874"/>
    <cellStyle name="Normale 5 2 2 2 3 8 2" xfId="14337"/>
    <cellStyle name="Normale 5 2 2 2 3 8 3" xfId="21745"/>
    <cellStyle name="Normale 5 2 2 2 3 8 4" xfId="27648"/>
    <cellStyle name="Normale 5 2 2 2 3 9" xfId="7813"/>
    <cellStyle name="Normale 5 2 2 2 4" xfId="1125"/>
    <cellStyle name="Normale 5 2 2 2 4 2" xfId="8588"/>
    <cellStyle name="Normale 5 2 2 2 4 3" xfId="15996"/>
    <cellStyle name="Normale 5 2 2 2 4 4" xfId="28931"/>
    <cellStyle name="Normale 5 2 2 2 5" xfId="2052"/>
    <cellStyle name="Normale 5 2 2 2 5 2" xfId="9515"/>
    <cellStyle name="Normale 5 2 2 2 5 3" xfId="16923"/>
    <cellStyle name="Normale 5 2 2 2 5 4" xfId="24317"/>
    <cellStyle name="Normale 5 2 2 2 6" xfId="2978"/>
    <cellStyle name="Normale 5 2 2 2 6 2" xfId="10441"/>
    <cellStyle name="Normale 5 2 2 2 6 3" xfId="17849"/>
    <cellStyle name="Normale 5 2 2 2 6 4" xfId="28886"/>
    <cellStyle name="Normale 5 2 2 2 7" xfId="3907"/>
    <cellStyle name="Normale 5 2 2 2 7 2" xfId="11370"/>
    <cellStyle name="Normale 5 2 2 2 7 3" xfId="18778"/>
    <cellStyle name="Normale 5 2 2 2 7 4" xfId="25751"/>
    <cellStyle name="Normale 5 2 2 2 8" xfId="4834"/>
    <cellStyle name="Normale 5 2 2 2 8 2" xfId="12297"/>
    <cellStyle name="Normale 5 2 2 2 8 3" xfId="19705"/>
    <cellStyle name="Normale 5 2 2 2 8 4" xfId="24245"/>
    <cellStyle name="Normale 5 2 2 2 9" xfId="5761"/>
    <cellStyle name="Normale 5 2 2 2 9 2" xfId="13224"/>
    <cellStyle name="Normale 5 2 2 2 9 3" xfId="20632"/>
    <cellStyle name="Normale 5 2 2 2 9 4" xfId="25302"/>
    <cellStyle name="Normale 5 2 2 20" xfId="6682"/>
    <cellStyle name="Normale 5 2 2 20 2" xfId="14145"/>
    <cellStyle name="Normale 5 2 2 20 3" xfId="21553"/>
    <cellStyle name="Normale 5 2 2 20 4" xfId="22548"/>
    <cellStyle name="Normale 5 2 2 21" xfId="7616"/>
    <cellStyle name="Normale 5 2 2 22" xfId="15025"/>
    <cellStyle name="Normale 5 2 2 23" xfId="22700"/>
    <cellStyle name="Normale 5 2 2 24" xfId="29842"/>
    <cellStyle name="Normale 5 2 2 25" xfId="30772"/>
    <cellStyle name="Normale 5 2 2 26" xfId="31695"/>
    <cellStyle name="Normale 5 2 2 27" xfId="32621"/>
    <cellStyle name="Normale 5 2 2 28" xfId="33555"/>
    <cellStyle name="Normale 5 2 2 29" xfId="34483"/>
    <cellStyle name="Normale 5 2 2 3" xfId="154"/>
    <cellStyle name="Normale 5 2 2 3 10" xfId="7619"/>
    <cellStyle name="Normale 5 2 2 3 11" xfId="15028"/>
    <cellStyle name="Normale 5 2 2 3 12" xfId="27296"/>
    <cellStyle name="Normale 5 2 2 3 13" xfId="29845"/>
    <cellStyle name="Normale 5 2 2 3 14" xfId="30775"/>
    <cellStyle name="Normale 5 2 2 3 15" xfId="31698"/>
    <cellStyle name="Normale 5 2 2 3 16" xfId="32624"/>
    <cellStyle name="Normale 5 2 2 3 17" xfId="33558"/>
    <cellStyle name="Normale 5 2 2 3 18" xfId="34486"/>
    <cellStyle name="Normale 5 2 2 3 19" xfId="35414"/>
    <cellStyle name="Normale 5 2 2 3 2" xfId="352"/>
    <cellStyle name="Normale 5 2 2 3 2 10" xfId="15225"/>
    <cellStyle name="Normale 5 2 2 3 2 11" xfId="29142"/>
    <cellStyle name="Normale 5 2 2 3 2 12" xfId="30037"/>
    <cellStyle name="Normale 5 2 2 3 2 13" xfId="30969"/>
    <cellStyle name="Normale 5 2 2 3 2 14" xfId="31890"/>
    <cellStyle name="Normale 5 2 2 3 2 15" xfId="32815"/>
    <cellStyle name="Normale 5 2 2 3 2 16" xfId="33752"/>
    <cellStyle name="Normale 5 2 2 3 2 17" xfId="34682"/>
    <cellStyle name="Normale 5 2 2 3 2 18" xfId="35608"/>
    <cellStyle name="Normale 5 2 2 3 2 19" xfId="36534"/>
    <cellStyle name="Normale 5 2 2 3 2 2" xfId="1319"/>
    <cellStyle name="Normale 5 2 2 3 2 2 2" xfId="8782"/>
    <cellStyle name="Normale 5 2 2 3 2 2 3" xfId="16190"/>
    <cellStyle name="Normale 5 2 2 3 2 2 4" xfId="27706"/>
    <cellStyle name="Normale 5 2 2 3 2 20" xfId="37454"/>
    <cellStyle name="Normale 5 2 2 3 2 3" xfId="2250"/>
    <cellStyle name="Normale 5 2 2 3 2 3 2" xfId="9713"/>
    <cellStyle name="Normale 5 2 2 3 2 3 3" xfId="17121"/>
    <cellStyle name="Normale 5 2 2 3 2 3 4" xfId="23589"/>
    <cellStyle name="Normale 5 2 2 3 2 4" xfId="3172"/>
    <cellStyle name="Normale 5 2 2 3 2 4 2" xfId="10635"/>
    <cellStyle name="Normale 5 2 2 3 2 4 3" xfId="18043"/>
    <cellStyle name="Normale 5 2 2 3 2 4 4" xfId="25788"/>
    <cellStyle name="Normale 5 2 2 3 2 5" xfId="4105"/>
    <cellStyle name="Normale 5 2 2 3 2 5 2" xfId="11568"/>
    <cellStyle name="Normale 5 2 2 3 2 5 3" xfId="18976"/>
    <cellStyle name="Normale 5 2 2 3 2 5 4" xfId="25183"/>
    <cellStyle name="Normale 5 2 2 3 2 6" xfId="5028"/>
    <cellStyle name="Normale 5 2 2 3 2 6 2" xfId="12491"/>
    <cellStyle name="Normale 5 2 2 3 2 6 3" xfId="19899"/>
    <cellStyle name="Normale 5 2 2 3 2 6 4" xfId="23003"/>
    <cellStyle name="Normale 5 2 2 3 2 7" xfId="5956"/>
    <cellStyle name="Normale 5 2 2 3 2 7 2" xfId="13419"/>
    <cellStyle name="Normale 5 2 2 3 2 7 3" xfId="20827"/>
    <cellStyle name="Normale 5 2 2 3 2 7 4" xfId="28999"/>
    <cellStyle name="Normale 5 2 2 3 2 8" xfId="6876"/>
    <cellStyle name="Normale 5 2 2 3 2 8 2" xfId="14339"/>
    <cellStyle name="Normale 5 2 2 3 2 8 3" xfId="21747"/>
    <cellStyle name="Normale 5 2 2 3 2 8 4" xfId="25812"/>
    <cellStyle name="Normale 5 2 2 3 2 9" xfId="7815"/>
    <cellStyle name="Normale 5 2 2 3 20" xfId="36340"/>
    <cellStyle name="Normale 5 2 2 3 21" xfId="37263"/>
    <cellStyle name="Normale 5 2 2 3 3" xfId="1127"/>
    <cellStyle name="Normale 5 2 2 3 3 2" xfId="8590"/>
    <cellStyle name="Normale 5 2 2 3 3 3" xfId="15998"/>
    <cellStyle name="Normale 5 2 2 3 3 4" xfId="27100"/>
    <cellStyle name="Normale 5 2 2 3 4" xfId="2054"/>
    <cellStyle name="Normale 5 2 2 3 4 2" xfId="9517"/>
    <cellStyle name="Normale 5 2 2 3 4 3" xfId="16925"/>
    <cellStyle name="Normale 5 2 2 3 4 4" xfId="23247"/>
    <cellStyle name="Normale 5 2 2 3 5" xfId="2980"/>
    <cellStyle name="Normale 5 2 2 3 5 2" xfId="10443"/>
    <cellStyle name="Normale 5 2 2 3 5 3" xfId="17851"/>
    <cellStyle name="Normale 5 2 2 3 5 4" xfId="27054"/>
    <cellStyle name="Normale 5 2 2 3 6" xfId="3909"/>
    <cellStyle name="Normale 5 2 2 3 6 2" xfId="11372"/>
    <cellStyle name="Normale 5 2 2 3 6 3" xfId="18780"/>
    <cellStyle name="Normale 5 2 2 3 6 4" xfId="23914"/>
    <cellStyle name="Normale 5 2 2 3 7" xfId="4836"/>
    <cellStyle name="Normale 5 2 2 3 7 2" xfId="12299"/>
    <cellStyle name="Normale 5 2 2 3 7 3" xfId="19707"/>
    <cellStyle name="Normale 5 2 2 3 7 4" xfId="22595"/>
    <cellStyle name="Normale 5 2 2 3 8" xfId="5763"/>
    <cellStyle name="Normale 5 2 2 3 8 2" xfId="13226"/>
    <cellStyle name="Normale 5 2 2 3 8 3" xfId="20634"/>
    <cellStyle name="Normale 5 2 2 3 8 4" xfId="23467"/>
    <cellStyle name="Normale 5 2 2 3 9" xfId="6685"/>
    <cellStyle name="Normale 5 2 2 3 9 2" xfId="14148"/>
    <cellStyle name="Normale 5 2 2 3 9 3" xfId="21556"/>
    <cellStyle name="Normale 5 2 2 3 9 4" xfId="27146"/>
    <cellStyle name="Normale 5 2 2 30" xfId="35411"/>
    <cellStyle name="Normale 5 2 2 31" xfId="36337"/>
    <cellStyle name="Normale 5 2 2 32" xfId="37260"/>
    <cellStyle name="Normale 5 2 2 4" xfId="349"/>
    <cellStyle name="Normale 5 2 2 4 10" xfId="15222"/>
    <cellStyle name="Normale 5 2 2 4 11" xfId="24363"/>
    <cellStyle name="Normale 5 2 2 4 12" xfId="30034"/>
    <cellStyle name="Normale 5 2 2 4 13" xfId="30966"/>
    <cellStyle name="Normale 5 2 2 4 14" xfId="31887"/>
    <cellStyle name="Normale 5 2 2 4 15" xfId="32812"/>
    <cellStyle name="Normale 5 2 2 4 16" xfId="33749"/>
    <cellStyle name="Normale 5 2 2 4 17" xfId="34679"/>
    <cellStyle name="Normale 5 2 2 4 18" xfId="35605"/>
    <cellStyle name="Normale 5 2 2 4 19" xfId="36531"/>
    <cellStyle name="Normale 5 2 2 4 2" xfId="1316"/>
    <cellStyle name="Normale 5 2 2 4 2 2" xfId="8779"/>
    <cellStyle name="Normale 5 2 2 4 2 3" xfId="16187"/>
    <cellStyle name="Normale 5 2 2 4 2 4" xfId="23095"/>
    <cellStyle name="Normale 5 2 2 4 20" xfId="37451"/>
    <cellStyle name="Normale 5 2 2 4 3" xfId="2247"/>
    <cellStyle name="Normale 5 2 2 4 3 2" xfId="9710"/>
    <cellStyle name="Normale 5 2 2 4 3 3" xfId="17118"/>
    <cellStyle name="Normale 5 2 2 4 3 4" xfId="26352"/>
    <cellStyle name="Normale 5 2 2 4 4" xfId="3169"/>
    <cellStyle name="Normale 5 2 2 4 4 2" xfId="10632"/>
    <cellStyle name="Normale 5 2 2 4 4 3" xfId="18040"/>
    <cellStyle name="Normale 5 2 2 4 4 4" xfId="28550"/>
    <cellStyle name="Normale 5 2 2 4 5" xfId="4102"/>
    <cellStyle name="Normale 5 2 2 4 5 2" xfId="11565"/>
    <cellStyle name="Normale 5 2 2 4 5 3" xfId="18973"/>
    <cellStyle name="Normale 5 2 2 4 5 4" xfId="27943"/>
    <cellStyle name="Normale 5 2 2 4 6" xfId="5025"/>
    <cellStyle name="Normale 5 2 2 4 6 2" xfId="12488"/>
    <cellStyle name="Normale 5 2 2 4 6 3" xfId="19896"/>
    <cellStyle name="Normale 5 2 2 4 6 4" xfId="25847"/>
    <cellStyle name="Normale 5 2 2 4 7" xfId="5953"/>
    <cellStyle name="Normale 5 2 2 4 7 2" xfId="13416"/>
    <cellStyle name="Normale 5 2 2 4 7 3" xfId="20824"/>
    <cellStyle name="Normale 5 2 2 4 7 4" xfId="24219"/>
    <cellStyle name="Normale 5 2 2 4 8" xfId="6873"/>
    <cellStyle name="Normale 5 2 2 4 8 2" xfId="14336"/>
    <cellStyle name="Normale 5 2 2 4 8 3" xfId="21744"/>
    <cellStyle name="Normale 5 2 2 4 8 4" xfId="28574"/>
    <cellStyle name="Normale 5 2 2 4 9" xfId="7812"/>
    <cellStyle name="Normale 5 2 2 5" xfId="437"/>
    <cellStyle name="Normale 5 2 2 5 10" xfId="15310"/>
    <cellStyle name="Normale 5 2 2 5 11" xfId="25728"/>
    <cellStyle name="Normale 5 2 2 5 12" xfId="30122"/>
    <cellStyle name="Normale 5 2 2 5 13" xfId="31054"/>
    <cellStyle name="Normale 5 2 2 5 14" xfId="31975"/>
    <cellStyle name="Normale 5 2 2 5 15" xfId="32899"/>
    <cellStyle name="Normale 5 2 2 5 16" xfId="33837"/>
    <cellStyle name="Normale 5 2 2 5 17" xfId="34767"/>
    <cellStyle name="Normale 5 2 2 5 18" xfId="35693"/>
    <cellStyle name="Normale 5 2 2 5 19" xfId="36619"/>
    <cellStyle name="Normale 5 2 2 5 2" xfId="1404"/>
    <cellStyle name="Normale 5 2 2 5 2 2" xfId="8867"/>
    <cellStyle name="Normale 5 2 2 5 2 3" xfId="16275"/>
    <cellStyle name="Normale 5 2 2 5 2 4" xfId="22684"/>
    <cellStyle name="Normale 5 2 2 5 20" xfId="37538"/>
    <cellStyle name="Normale 5 2 2 5 3" xfId="2335"/>
    <cellStyle name="Normale 5 2 2 5 3 2" xfId="9798"/>
    <cellStyle name="Normale 5 2 2 5 3 3" xfId="17206"/>
    <cellStyle name="Normale 5 2 2 5 3 4" xfId="27496"/>
    <cellStyle name="Normale 5 2 2 5 4" xfId="3257"/>
    <cellStyle name="Normale 5 2 2 5 4 2" xfId="10720"/>
    <cellStyle name="Normale 5 2 2 5 4 3" xfId="18128"/>
    <cellStyle name="Normale 5 2 2 5 4 4" xfId="25857"/>
    <cellStyle name="Normale 5 2 2 5 5" xfId="4190"/>
    <cellStyle name="Normale 5 2 2 5 5 2" xfId="11653"/>
    <cellStyle name="Normale 5 2 2 5 5 3" xfId="19061"/>
    <cellStyle name="Normale 5 2 2 5 5 4" xfId="27023"/>
    <cellStyle name="Normale 5 2 2 5 6" xfId="5113"/>
    <cellStyle name="Normale 5 2 2 5 6 2" xfId="12576"/>
    <cellStyle name="Normale 5 2 2 5 6 3" xfId="19984"/>
    <cellStyle name="Normale 5 2 2 5 6 4" xfId="25350"/>
    <cellStyle name="Normale 5 2 2 5 7" xfId="6041"/>
    <cellStyle name="Normale 5 2 2 5 7 2" xfId="13504"/>
    <cellStyle name="Normale 5 2 2 5 7 3" xfId="20912"/>
    <cellStyle name="Normale 5 2 2 5 7 4" xfId="25693"/>
    <cellStyle name="Normale 5 2 2 5 8" xfId="6960"/>
    <cellStyle name="Normale 5 2 2 5 8 2" xfId="14423"/>
    <cellStyle name="Normale 5 2 2 5 8 3" xfId="21831"/>
    <cellStyle name="Normale 5 2 2 5 8 4" xfId="26817"/>
    <cellStyle name="Normale 5 2 2 5 9" xfId="7900"/>
    <cellStyle name="Normale 5 2 2 6" xfId="485"/>
    <cellStyle name="Normale 5 2 2 6 10" xfId="15358"/>
    <cellStyle name="Normale 5 2 2 6 11" xfId="24359"/>
    <cellStyle name="Normale 5 2 2 6 12" xfId="30170"/>
    <cellStyle name="Normale 5 2 2 6 13" xfId="31102"/>
    <cellStyle name="Normale 5 2 2 6 14" xfId="32023"/>
    <cellStyle name="Normale 5 2 2 6 15" xfId="32946"/>
    <cellStyle name="Normale 5 2 2 6 16" xfId="33885"/>
    <cellStyle name="Normale 5 2 2 6 17" xfId="34815"/>
    <cellStyle name="Normale 5 2 2 6 18" xfId="35741"/>
    <cellStyle name="Normale 5 2 2 6 19" xfId="36667"/>
    <cellStyle name="Normale 5 2 2 6 2" xfId="1452"/>
    <cellStyle name="Normale 5 2 2 6 2 2" xfId="8915"/>
    <cellStyle name="Normale 5 2 2 6 2 3" xfId="16323"/>
    <cellStyle name="Normale 5 2 2 6 2 4" xfId="28502"/>
    <cellStyle name="Normale 5 2 2 6 20" xfId="37585"/>
    <cellStyle name="Normale 5 2 2 6 3" xfId="2383"/>
    <cellStyle name="Normale 5 2 2 6 3 2" xfId="9846"/>
    <cellStyle name="Normale 5 2 2 6 3 3" xfId="17254"/>
    <cellStyle name="Normale 5 2 2 6 3 4" xfId="26348"/>
    <cellStyle name="Normale 5 2 2 6 4" xfId="3305"/>
    <cellStyle name="Normale 5 2 2 6 4 2" xfId="10768"/>
    <cellStyle name="Normale 5 2 2 6 4 3" xfId="18176"/>
    <cellStyle name="Normale 5 2 2 6 4 4" xfId="27866"/>
    <cellStyle name="Normale 5 2 2 6 5" xfId="4238"/>
    <cellStyle name="Normale 5 2 2 6 5 2" xfId="11701"/>
    <cellStyle name="Normale 5 2 2 6 5 3" xfId="19109"/>
    <cellStyle name="Normale 5 2 2 6 5 4" xfId="27939"/>
    <cellStyle name="Normale 5 2 2 6 6" xfId="5161"/>
    <cellStyle name="Normale 5 2 2 6 6 2" xfId="12624"/>
    <cellStyle name="Normale 5 2 2 6 6 3" xfId="20032"/>
    <cellStyle name="Normale 5 2 2 6 6 4" xfId="23905"/>
    <cellStyle name="Normale 5 2 2 6 7" xfId="6089"/>
    <cellStyle name="Normale 5 2 2 6 7 2" xfId="13552"/>
    <cellStyle name="Normale 5 2 2 6 7 3" xfId="20960"/>
    <cellStyle name="Normale 5 2 2 6 7 4" xfId="24215"/>
    <cellStyle name="Normale 5 2 2 6 8" xfId="7007"/>
    <cellStyle name="Normale 5 2 2 6 8 2" xfId="14470"/>
    <cellStyle name="Normale 5 2 2 6 8 3" xfId="21878"/>
    <cellStyle name="Normale 5 2 2 6 8 4" xfId="27369"/>
    <cellStyle name="Normale 5 2 2 6 9" xfId="7948"/>
    <cellStyle name="Normale 5 2 2 7" xfId="533"/>
    <cellStyle name="Normale 5 2 2 7 10" xfId="15406"/>
    <cellStyle name="Normale 5 2 2 7 11" xfId="25274"/>
    <cellStyle name="Normale 5 2 2 7 12" xfId="30217"/>
    <cellStyle name="Normale 5 2 2 7 13" xfId="31150"/>
    <cellStyle name="Normale 5 2 2 7 14" xfId="32070"/>
    <cellStyle name="Normale 5 2 2 7 15" xfId="32992"/>
    <cellStyle name="Normale 5 2 2 7 16" xfId="33933"/>
    <cellStyle name="Normale 5 2 2 7 17" xfId="34863"/>
    <cellStyle name="Normale 5 2 2 7 18" xfId="35789"/>
    <cellStyle name="Normale 5 2 2 7 19" xfId="36715"/>
    <cellStyle name="Normale 5 2 2 7 2" xfId="1500"/>
    <cellStyle name="Normale 5 2 2 7 2 2" xfId="8963"/>
    <cellStyle name="Normale 5 2 2 7 2 3" xfId="16371"/>
    <cellStyle name="Normale 5 2 2 7 2 4" xfId="28485"/>
    <cellStyle name="Normale 5 2 2 7 20" xfId="37631"/>
    <cellStyle name="Normale 5 2 2 7 3" xfId="2431"/>
    <cellStyle name="Normale 5 2 2 7 3 2" xfId="9894"/>
    <cellStyle name="Normale 5 2 2 7 3 3" xfId="17302"/>
    <cellStyle name="Normale 5 2 2 7 3 4" xfId="27840"/>
    <cellStyle name="Normale 5 2 2 7 4" xfId="3352"/>
    <cellStyle name="Normale 5 2 2 7 4 2" xfId="10815"/>
    <cellStyle name="Normale 5 2 2 7 4 3" xfId="18223"/>
    <cellStyle name="Normale 5 2 2 7 4 4" xfId="27964"/>
    <cellStyle name="Normale 5 2 2 7 5" xfId="4286"/>
    <cellStyle name="Normale 5 2 2 7 5 2" xfId="11749"/>
    <cellStyle name="Normale 5 2 2 7 5 3" xfId="19157"/>
    <cellStyle name="Normale 5 2 2 7 5 4" xfId="25704"/>
    <cellStyle name="Normale 5 2 2 7 6" xfId="5208"/>
    <cellStyle name="Normale 5 2 2 7 6 2" xfId="12671"/>
    <cellStyle name="Normale 5 2 2 7 6 3" xfId="20079"/>
    <cellStyle name="Normale 5 2 2 7 6 4" xfId="24787"/>
    <cellStyle name="Normale 5 2 2 7 7" xfId="6137"/>
    <cellStyle name="Normale 5 2 2 7 7 2" xfId="13600"/>
    <cellStyle name="Normale 5 2 2 7 7 3" xfId="21008"/>
    <cellStyle name="Normale 5 2 2 7 7 4" xfId="25039"/>
    <cellStyle name="Normale 5 2 2 7 8" xfId="7053"/>
    <cellStyle name="Normale 5 2 2 7 8 2" xfId="14516"/>
    <cellStyle name="Normale 5 2 2 7 8 3" xfId="21924"/>
    <cellStyle name="Normale 5 2 2 7 8 4" xfId="29292"/>
    <cellStyle name="Normale 5 2 2 7 9" xfId="7996"/>
    <cellStyle name="Normale 5 2 2 8" xfId="585"/>
    <cellStyle name="Normale 5 2 2 8 10" xfId="15458"/>
    <cellStyle name="Normale 5 2 2 8 11" xfId="26602"/>
    <cellStyle name="Normale 5 2 2 8 12" xfId="30268"/>
    <cellStyle name="Normale 5 2 2 8 13" xfId="31202"/>
    <cellStyle name="Normale 5 2 2 8 14" xfId="32121"/>
    <cellStyle name="Normale 5 2 2 8 15" xfId="33042"/>
    <cellStyle name="Normale 5 2 2 8 16" xfId="33985"/>
    <cellStyle name="Normale 5 2 2 8 17" xfId="34915"/>
    <cellStyle name="Normale 5 2 2 8 18" xfId="35841"/>
    <cellStyle name="Normale 5 2 2 8 19" xfId="36767"/>
    <cellStyle name="Normale 5 2 2 8 2" xfId="1552"/>
    <cellStyle name="Normale 5 2 2 8 2 2" xfId="9015"/>
    <cellStyle name="Normale 5 2 2 8 2 3" xfId="16423"/>
    <cellStyle name="Normale 5 2 2 8 2 4" xfId="23415"/>
    <cellStyle name="Normale 5 2 2 8 20" xfId="37681"/>
    <cellStyle name="Normale 5 2 2 8 3" xfId="2483"/>
    <cellStyle name="Normale 5 2 2 8 3 2" xfId="9946"/>
    <cellStyle name="Normale 5 2 2 8 3 3" xfId="17354"/>
    <cellStyle name="Normale 5 2 2 8 3 4" xfId="23769"/>
    <cellStyle name="Normale 5 2 2 8 4" xfId="3403"/>
    <cellStyle name="Normale 5 2 2 8 4 2" xfId="10866"/>
    <cellStyle name="Normale 5 2 2 8 4 3" xfId="18274"/>
    <cellStyle name="Normale 5 2 2 8 4 4" xfId="23839"/>
    <cellStyle name="Normale 5 2 2 8 5" xfId="4338"/>
    <cellStyle name="Normale 5 2 2 8 5 2" xfId="11801"/>
    <cellStyle name="Normale 5 2 2 8 5 3" xfId="19209"/>
    <cellStyle name="Normale 5 2 2 8 5 4" xfId="28129"/>
    <cellStyle name="Normale 5 2 2 8 6" xfId="5259"/>
    <cellStyle name="Normale 5 2 2 8 6 2" xfId="12722"/>
    <cellStyle name="Normale 5 2 2 8 6 3" xfId="20130"/>
    <cellStyle name="Normale 5 2 2 8 6 4" xfId="28106"/>
    <cellStyle name="Normale 5 2 2 8 7" xfId="6189"/>
    <cellStyle name="Normale 5 2 2 8 7 2" xfId="13652"/>
    <cellStyle name="Normale 5 2 2 8 7 3" xfId="21060"/>
    <cellStyle name="Normale 5 2 2 8 7 4" xfId="29250"/>
    <cellStyle name="Normale 5 2 2 8 8" xfId="7103"/>
    <cellStyle name="Normale 5 2 2 8 8 2" xfId="14566"/>
    <cellStyle name="Normale 5 2 2 8 8 3" xfId="21974"/>
    <cellStyle name="Normale 5 2 2 8 8 4" xfId="21448"/>
    <cellStyle name="Normale 5 2 2 8 9" xfId="8048"/>
    <cellStyle name="Normale 5 2 2 9" xfId="645"/>
    <cellStyle name="Normale 5 2 2 9 10" xfId="15517"/>
    <cellStyle name="Normale 5 2 2 9 11" xfId="22701"/>
    <cellStyle name="Normale 5 2 2 9 12" xfId="30324"/>
    <cellStyle name="Normale 5 2 2 9 13" xfId="31261"/>
    <cellStyle name="Normale 5 2 2 9 14" xfId="32178"/>
    <cellStyle name="Normale 5 2 2 9 15" xfId="33097"/>
    <cellStyle name="Normale 5 2 2 9 16" xfId="34044"/>
    <cellStyle name="Normale 5 2 2 9 17" xfId="34975"/>
    <cellStyle name="Normale 5 2 2 9 18" xfId="35901"/>
    <cellStyle name="Normale 5 2 2 9 19" xfId="36826"/>
    <cellStyle name="Normale 5 2 2 9 2" xfId="1611"/>
    <cellStyle name="Normale 5 2 2 9 2 2" xfId="9074"/>
    <cellStyle name="Normale 5 2 2 9 2 3" xfId="16482"/>
    <cellStyle name="Normale 5 2 2 9 2 4" xfId="29592"/>
    <cellStyle name="Normale 5 2 2 9 20" xfId="37736"/>
    <cellStyle name="Normale 5 2 2 9 3" xfId="2543"/>
    <cellStyle name="Normale 5 2 2 9 3 2" xfId="10006"/>
    <cellStyle name="Normale 5 2 2 9 3 3" xfId="17414"/>
    <cellStyle name="Normale 5 2 2 9 3 4" xfId="26147"/>
    <cellStyle name="Normale 5 2 2 9 4" xfId="3461"/>
    <cellStyle name="Normale 5 2 2 9 4 2" xfId="10924"/>
    <cellStyle name="Normale 5 2 2 9 4 3" xfId="18332"/>
    <cellStyle name="Normale 5 2 2 9 4 4" xfId="29221"/>
    <cellStyle name="Normale 5 2 2 9 5" xfId="4398"/>
    <cellStyle name="Normale 5 2 2 9 5 2" xfId="11861"/>
    <cellStyle name="Normale 5 2 2 9 5 3" xfId="19269"/>
    <cellStyle name="Normale 5 2 2 9 5 4" xfId="25922"/>
    <cellStyle name="Normale 5 2 2 9 6" xfId="5316"/>
    <cellStyle name="Normale 5 2 2 9 6 2" xfId="12779"/>
    <cellStyle name="Normale 5 2 2 9 6 3" xfId="20187"/>
    <cellStyle name="Normale 5 2 2 9 6 4" xfId="28682"/>
    <cellStyle name="Normale 5 2 2 9 7" xfId="6249"/>
    <cellStyle name="Normale 5 2 2 9 7 2" xfId="13712"/>
    <cellStyle name="Normale 5 2 2 9 7 3" xfId="21120"/>
    <cellStyle name="Normale 5 2 2 9 7 4" xfId="25320"/>
    <cellStyle name="Normale 5 2 2 9 8" xfId="7158"/>
    <cellStyle name="Normale 5 2 2 9 8 2" xfId="14621"/>
    <cellStyle name="Normale 5 2 2 9 8 3" xfId="22029"/>
    <cellStyle name="Normale 5 2 2 9 8 4" xfId="28968"/>
    <cellStyle name="Normale 5 2 2 9 9" xfId="8108"/>
    <cellStyle name="Normale 5 2 20" xfId="3905"/>
    <cellStyle name="Normale 5 2 20 2" xfId="11368"/>
    <cellStyle name="Normale 5 2 20 3" xfId="18776"/>
    <cellStyle name="Normale 5 2 20 4" xfId="27587"/>
    <cellStyle name="Normale 5 2 21" xfId="4832"/>
    <cellStyle name="Normale 5 2 21 2" xfId="12295"/>
    <cellStyle name="Normale 5 2 21 3" xfId="19703"/>
    <cellStyle name="Normale 5 2 21 4" xfId="26088"/>
    <cellStyle name="Normale 5 2 22" xfId="5759"/>
    <cellStyle name="Normale 5 2 22 2" xfId="13222"/>
    <cellStyle name="Normale 5 2 22 3" xfId="20630"/>
    <cellStyle name="Normale 5 2 22 4" xfId="27139"/>
    <cellStyle name="Normale 5 2 23" xfId="6681"/>
    <cellStyle name="Normale 5 2 23 2" xfId="14144"/>
    <cellStyle name="Normale 5 2 23 3" xfId="21552"/>
    <cellStyle name="Normale 5 2 23 4" xfId="23283"/>
    <cellStyle name="Normale 5 2 24" xfId="7615"/>
    <cellStyle name="Normale 5 2 25" xfId="15024"/>
    <cellStyle name="Normale 5 2 26" xfId="23688"/>
    <cellStyle name="Normale 5 2 27" xfId="29841"/>
    <cellStyle name="Normale 5 2 28" xfId="30771"/>
    <cellStyle name="Normale 5 2 29" xfId="31694"/>
    <cellStyle name="Normale 5 2 3" xfId="155"/>
    <cellStyle name="Normale 5 2 3 10" xfId="724"/>
    <cellStyle name="Normale 5 2 3 10 10" xfId="15595"/>
    <cellStyle name="Normale 5 2 3 10 11" xfId="26878"/>
    <cellStyle name="Normale 5 2 3 10 12" xfId="30398"/>
    <cellStyle name="Normale 5 2 3 10 13" xfId="31339"/>
    <cellStyle name="Normale 5 2 3 10 14" xfId="32252"/>
    <cellStyle name="Normale 5 2 3 10 15" xfId="33170"/>
    <cellStyle name="Normale 5 2 3 10 16" xfId="34122"/>
    <cellStyle name="Normale 5 2 3 10 17" xfId="35054"/>
    <cellStyle name="Normale 5 2 3 10 18" xfId="35980"/>
    <cellStyle name="Normale 5 2 3 10 19" xfId="36905"/>
    <cellStyle name="Normale 5 2 3 10 2" xfId="1689"/>
    <cellStyle name="Normale 5 2 3 10 2 2" xfId="9152"/>
    <cellStyle name="Normale 5 2 3 10 2 3" xfId="16560"/>
    <cellStyle name="Normale 5 2 3 10 2 4" xfId="22677"/>
    <cellStyle name="Normale 5 2 3 10 20" xfId="37809"/>
    <cellStyle name="Normale 5 2 3 10 3" xfId="2622"/>
    <cellStyle name="Normale 5 2 3 10 3 2" xfId="10085"/>
    <cellStyle name="Normale 5 2 3 10 3 3" xfId="17493"/>
    <cellStyle name="Normale 5 2 3 10 3 4" xfId="26325"/>
    <cellStyle name="Normale 5 2 3 10 4" xfId="3538"/>
    <cellStyle name="Normale 5 2 3 10 4 2" xfId="11001"/>
    <cellStyle name="Normale 5 2 3 10 4 3" xfId="18409"/>
    <cellStyle name="Normale 5 2 3 10 4 4" xfId="24279"/>
    <cellStyle name="Normale 5 2 3 10 5" xfId="4477"/>
    <cellStyle name="Normale 5 2 3 10 5 2" xfId="11940"/>
    <cellStyle name="Normale 5 2 3 10 5 3" xfId="19348"/>
    <cellStyle name="Normale 5 2 3 10 5 4" xfId="29161"/>
    <cellStyle name="Normale 5 2 3 10 6" xfId="5393"/>
    <cellStyle name="Normale 5 2 3 10 6 2" xfId="12856"/>
    <cellStyle name="Normale 5 2 3 10 6 3" xfId="20264"/>
    <cellStyle name="Normale 5 2 3 10 6 4" xfId="22582"/>
    <cellStyle name="Normale 5 2 3 10 7" xfId="6326"/>
    <cellStyle name="Normale 5 2 3 10 7 2" xfId="13789"/>
    <cellStyle name="Normale 5 2 3 10 7 3" xfId="21197"/>
    <cellStyle name="Normale 5 2 3 10 7 4" xfId="26414"/>
    <cellStyle name="Normale 5 2 3 10 8" xfId="7231"/>
    <cellStyle name="Normale 5 2 3 10 8 2" xfId="14694"/>
    <cellStyle name="Normale 5 2 3 10 8 3" xfId="22102"/>
    <cellStyle name="Normale 5 2 3 10 8 4" xfId="23462"/>
    <cellStyle name="Normale 5 2 3 10 9" xfId="8187"/>
    <cellStyle name="Normale 5 2 3 11" xfId="796"/>
    <cellStyle name="Normale 5 2 3 11 10" xfId="15667"/>
    <cellStyle name="Normale 5 2 3 11 11" xfId="25123"/>
    <cellStyle name="Normale 5 2 3 11 12" xfId="30468"/>
    <cellStyle name="Normale 5 2 3 11 13" xfId="31411"/>
    <cellStyle name="Normale 5 2 3 11 14" xfId="32323"/>
    <cellStyle name="Normale 5 2 3 11 15" xfId="33239"/>
    <cellStyle name="Normale 5 2 3 11 16" xfId="34194"/>
    <cellStyle name="Normale 5 2 3 11 17" xfId="35126"/>
    <cellStyle name="Normale 5 2 3 11 18" xfId="36052"/>
    <cellStyle name="Normale 5 2 3 11 19" xfId="36977"/>
    <cellStyle name="Normale 5 2 3 11 2" xfId="1761"/>
    <cellStyle name="Normale 5 2 3 11 2 2" xfId="9224"/>
    <cellStyle name="Normale 5 2 3 11 2 3" xfId="16632"/>
    <cellStyle name="Normale 5 2 3 11 2 4" xfId="24032"/>
    <cellStyle name="Normale 5 2 3 11 20" xfId="37878"/>
    <cellStyle name="Normale 5 2 3 11 3" xfId="2694"/>
    <cellStyle name="Normale 5 2 3 11 3 2" xfId="10157"/>
    <cellStyle name="Normale 5 2 3 11 3 3" xfId="17565"/>
    <cellStyle name="Normale 5 2 3 11 3 4" xfId="26894"/>
    <cellStyle name="Normale 5 2 3 11 4" xfId="3609"/>
    <cellStyle name="Normale 5 2 3 11 4 2" xfId="11072"/>
    <cellStyle name="Normale 5 2 3 11 4 3" xfId="18480"/>
    <cellStyle name="Normale 5 2 3 11 4 4" xfId="25506"/>
    <cellStyle name="Normale 5 2 3 11 5" xfId="4549"/>
    <cellStyle name="Normale 5 2 3 11 5 2" xfId="12012"/>
    <cellStyle name="Normale 5 2 3 11 5 3" xfId="19420"/>
    <cellStyle name="Normale 5 2 3 11 5 4" xfId="29671"/>
    <cellStyle name="Normale 5 2 3 11 6" xfId="5464"/>
    <cellStyle name="Normale 5 2 3 11 6 2" xfId="12927"/>
    <cellStyle name="Normale 5 2 3 11 6 3" xfId="20335"/>
    <cellStyle name="Normale 5 2 3 11 6 4" xfId="24934"/>
    <cellStyle name="Normale 5 2 3 11 7" xfId="6398"/>
    <cellStyle name="Normale 5 2 3 11 7 2" xfId="13861"/>
    <cellStyle name="Normale 5 2 3 11 7 3" xfId="21269"/>
    <cellStyle name="Normale 5 2 3 11 7 4" xfId="26960"/>
    <cellStyle name="Normale 5 2 3 11 8" xfId="7300"/>
    <cellStyle name="Normale 5 2 3 11 8 2" xfId="14763"/>
    <cellStyle name="Normale 5 2 3 11 8 3" xfId="22171"/>
    <cellStyle name="Normale 5 2 3 11 8 4" xfId="27595"/>
    <cellStyle name="Normale 5 2 3 11 9" xfId="8259"/>
    <cellStyle name="Normale 5 2 3 12" xfId="869"/>
    <cellStyle name="Normale 5 2 3 12 10" xfId="15740"/>
    <cellStyle name="Normale 5 2 3 12 11" xfId="29471"/>
    <cellStyle name="Normale 5 2 3 12 12" xfId="30538"/>
    <cellStyle name="Normale 5 2 3 12 13" xfId="31484"/>
    <cellStyle name="Normale 5 2 3 12 14" xfId="32395"/>
    <cellStyle name="Normale 5 2 3 12 15" xfId="33308"/>
    <cellStyle name="Normale 5 2 3 12 16" xfId="34267"/>
    <cellStyle name="Normale 5 2 3 12 17" xfId="35199"/>
    <cellStyle name="Normale 5 2 3 12 18" xfId="36125"/>
    <cellStyle name="Normale 5 2 3 12 19" xfId="37050"/>
    <cellStyle name="Normale 5 2 3 12 2" xfId="1834"/>
    <cellStyle name="Normale 5 2 3 12 2 2" xfId="9297"/>
    <cellStyle name="Normale 5 2 3 12 2 3" xfId="16705"/>
    <cellStyle name="Normale 5 2 3 12 2 4" xfId="26361"/>
    <cellStyle name="Normale 5 2 3 12 20" xfId="37947"/>
    <cellStyle name="Normale 5 2 3 12 3" xfId="2767"/>
    <cellStyle name="Normale 5 2 3 12 3 2" xfId="10230"/>
    <cellStyle name="Normale 5 2 3 12 3 3" xfId="17638"/>
    <cellStyle name="Normale 5 2 3 12 3 4" xfId="25714"/>
    <cellStyle name="Normale 5 2 3 12 4" xfId="3681"/>
    <cellStyle name="Normale 5 2 3 12 4 2" xfId="11144"/>
    <cellStyle name="Normale 5 2 3 12 4 3" xfId="18552"/>
    <cellStyle name="Normale 5 2 3 12 4 4" xfId="25996"/>
    <cellStyle name="Normale 5 2 3 12 5" xfId="4622"/>
    <cellStyle name="Normale 5 2 3 12 5 2" xfId="12085"/>
    <cellStyle name="Normale 5 2 3 12 5 3" xfId="19493"/>
    <cellStyle name="Normale 5 2 3 12 5 4" xfId="27931"/>
    <cellStyle name="Normale 5 2 3 12 6" xfId="5536"/>
    <cellStyle name="Normale 5 2 3 12 6 2" xfId="12999"/>
    <cellStyle name="Normale 5 2 3 12 6 3" xfId="20407"/>
    <cellStyle name="Normale 5 2 3 12 6 4" xfId="28098"/>
    <cellStyle name="Normale 5 2 3 12 7" xfId="6471"/>
    <cellStyle name="Normale 5 2 3 12 7 2" xfId="13934"/>
    <cellStyle name="Normale 5 2 3 12 7 3" xfId="21342"/>
    <cellStyle name="Normale 5 2 3 12 7 4" xfId="24761"/>
    <cellStyle name="Normale 5 2 3 12 8" xfId="7369"/>
    <cellStyle name="Normale 5 2 3 12 8 2" xfId="14832"/>
    <cellStyle name="Normale 5 2 3 12 8 3" xfId="22240"/>
    <cellStyle name="Normale 5 2 3 12 8 4" xfId="22340"/>
    <cellStyle name="Normale 5 2 3 12 9" xfId="8332"/>
    <cellStyle name="Normale 5 2 3 13" xfId="939"/>
    <cellStyle name="Normale 5 2 3 13 10" xfId="15810"/>
    <cellStyle name="Normale 5 2 3 13 11" xfId="23831"/>
    <cellStyle name="Normale 5 2 3 13 12" xfId="30605"/>
    <cellStyle name="Normale 5 2 3 13 13" xfId="31553"/>
    <cellStyle name="Normale 5 2 3 13 14" xfId="32464"/>
    <cellStyle name="Normale 5 2 3 13 15" xfId="33374"/>
    <cellStyle name="Normale 5 2 3 13 16" xfId="34337"/>
    <cellStyle name="Normale 5 2 3 13 17" xfId="35269"/>
    <cellStyle name="Normale 5 2 3 13 18" xfId="36194"/>
    <cellStyle name="Normale 5 2 3 13 19" xfId="37120"/>
    <cellStyle name="Normale 5 2 3 13 2" xfId="1904"/>
    <cellStyle name="Normale 5 2 3 13 2 2" xfId="9367"/>
    <cellStyle name="Normale 5 2 3 13 2 3" xfId="16775"/>
    <cellStyle name="Normale 5 2 3 13 2 4" xfId="29452"/>
    <cellStyle name="Normale 5 2 3 13 20" xfId="38013"/>
    <cellStyle name="Normale 5 2 3 13 3" xfId="2836"/>
    <cellStyle name="Normale 5 2 3 13 3 2" xfId="10299"/>
    <cellStyle name="Normale 5 2 3 13 3 3" xfId="17707"/>
    <cellStyle name="Normale 5 2 3 13 3 4" xfId="28167"/>
    <cellStyle name="Normale 5 2 3 13 4" xfId="3751"/>
    <cellStyle name="Normale 5 2 3 13 4 2" xfId="11214"/>
    <cellStyle name="Normale 5 2 3 13 4 3" xfId="18622"/>
    <cellStyle name="Normale 5 2 3 13 4 4" xfId="27219"/>
    <cellStyle name="Normale 5 2 3 13 5" xfId="4692"/>
    <cellStyle name="Normale 5 2 3 13 5 2" xfId="12155"/>
    <cellStyle name="Normale 5 2 3 13 5 3" xfId="19563"/>
    <cellStyle name="Normale 5 2 3 13 5 4" xfId="22409"/>
    <cellStyle name="Normale 5 2 3 13 6" xfId="5606"/>
    <cellStyle name="Normale 5 2 3 13 6 2" xfId="13069"/>
    <cellStyle name="Normale 5 2 3 13 6 3" xfId="20477"/>
    <cellStyle name="Normale 5 2 3 13 6 4" xfId="24008"/>
    <cellStyle name="Normale 5 2 3 13 7" xfId="6541"/>
    <cellStyle name="Normale 5 2 3 13 7 2" xfId="14004"/>
    <cellStyle name="Normale 5 2 3 13 7 3" xfId="21412"/>
    <cellStyle name="Normale 5 2 3 13 7 4" xfId="25742"/>
    <cellStyle name="Normale 5 2 3 13 8" xfId="7435"/>
    <cellStyle name="Normale 5 2 3 13 8 2" xfId="14898"/>
    <cellStyle name="Normale 5 2 3 13 8 3" xfId="22306"/>
    <cellStyle name="Normale 5 2 3 13 8 4" xfId="28520"/>
    <cellStyle name="Normale 5 2 3 13 9" xfId="8402"/>
    <cellStyle name="Normale 5 2 3 14" xfId="1128"/>
    <cellStyle name="Normale 5 2 3 14 2" xfId="8591"/>
    <cellStyle name="Normale 5 2 3 14 3" xfId="15999"/>
    <cellStyle name="Normale 5 2 3 14 4" xfId="26182"/>
    <cellStyle name="Normale 5 2 3 15" xfId="2055"/>
    <cellStyle name="Normale 5 2 3 15 2" xfId="9518"/>
    <cellStyle name="Normale 5 2 3 15 3" xfId="16926"/>
    <cellStyle name="Normale 5 2 3 15 4" xfId="29679"/>
    <cellStyle name="Normale 5 2 3 16" xfId="2981"/>
    <cellStyle name="Normale 5 2 3 16 2" xfId="10444"/>
    <cellStyle name="Normale 5 2 3 16 3" xfId="17852"/>
    <cellStyle name="Normale 5 2 3 16 4" xfId="26136"/>
    <cellStyle name="Normale 5 2 3 17" xfId="3910"/>
    <cellStyle name="Normale 5 2 3 17 2" xfId="11373"/>
    <cellStyle name="Normale 5 2 3 17 3" xfId="18781"/>
    <cellStyle name="Normale 5 2 3 17 4" xfId="22620"/>
    <cellStyle name="Normale 5 2 3 18" xfId="4837"/>
    <cellStyle name="Normale 5 2 3 18 2" xfId="12300"/>
    <cellStyle name="Normale 5 2 3 18 3" xfId="19708"/>
    <cellStyle name="Normale 5 2 3 18 4" xfId="29025"/>
    <cellStyle name="Normale 5 2 3 19" xfId="5764"/>
    <cellStyle name="Normale 5 2 3 19 2" xfId="13227"/>
    <cellStyle name="Normale 5 2 3 19 3" xfId="20635"/>
    <cellStyle name="Normale 5 2 3 19 4" xfId="24222"/>
    <cellStyle name="Normale 5 2 3 2" xfId="156"/>
    <cellStyle name="Normale 5 2 3 2 10" xfId="6687"/>
    <cellStyle name="Normale 5 2 3 2 10 2" xfId="14150"/>
    <cellStyle name="Normale 5 2 3 2 10 3" xfId="21558"/>
    <cellStyle name="Normale 5 2 3 2 10 4" xfId="25309"/>
    <cellStyle name="Normale 5 2 3 2 11" xfId="7621"/>
    <cellStyle name="Normale 5 2 3 2 12" xfId="15030"/>
    <cellStyle name="Normale 5 2 3 2 13" xfId="25461"/>
    <cellStyle name="Normale 5 2 3 2 14" xfId="29847"/>
    <cellStyle name="Normale 5 2 3 2 15" xfId="30777"/>
    <cellStyle name="Normale 5 2 3 2 16" xfId="31700"/>
    <cellStyle name="Normale 5 2 3 2 17" xfId="32626"/>
    <cellStyle name="Normale 5 2 3 2 18" xfId="33560"/>
    <cellStyle name="Normale 5 2 3 2 19" xfId="34488"/>
    <cellStyle name="Normale 5 2 3 2 2" xfId="157"/>
    <cellStyle name="Normale 5 2 3 2 2 10" xfId="7622"/>
    <cellStyle name="Normale 5 2 3 2 2 11" xfId="15031"/>
    <cellStyle name="Normale 5 2 3 2 2 12" xfId="24544"/>
    <cellStyle name="Normale 5 2 3 2 2 13" xfId="29848"/>
    <cellStyle name="Normale 5 2 3 2 2 14" xfId="30778"/>
    <cellStyle name="Normale 5 2 3 2 2 15" xfId="31701"/>
    <cellStyle name="Normale 5 2 3 2 2 16" xfId="32627"/>
    <cellStyle name="Normale 5 2 3 2 2 17" xfId="33561"/>
    <cellStyle name="Normale 5 2 3 2 2 18" xfId="34489"/>
    <cellStyle name="Normale 5 2 3 2 2 19" xfId="35417"/>
    <cellStyle name="Normale 5 2 3 2 2 2" xfId="355"/>
    <cellStyle name="Normale 5 2 3 2 2 2 10" xfId="15228"/>
    <cellStyle name="Normale 5 2 3 2 2 2 11" xfId="26400"/>
    <cellStyle name="Normale 5 2 3 2 2 2 12" xfId="30040"/>
    <cellStyle name="Normale 5 2 3 2 2 2 13" xfId="30972"/>
    <cellStyle name="Normale 5 2 3 2 2 2 14" xfId="31893"/>
    <cellStyle name="Normale 5 2 3 2 2 2 15" xfId="32818"/>
    <cellStyle name="Normale 5 2 3 2 2 2 16" xfId="33755"/>
    <cellStyle name="Normale 5 2 3 2 2 2 17" xfId="34685"/>
    <cellStyle name="Normale 5 2 3 2 2 2 18" xfId="35611"/>
    <cellStyle name="Normale 5 2 3 2 2 2 19" xfId="36537"/>
    <cellStyle name="Normale 5 2 3 2 2 2 2" xfId="1322"/>
    <cellStyle name="Normale 5 2 3 2 2 2 2 2" xfId="8785"/>
    <cellStyle name="Normale 5 2 3 2 2 2 2 3" xfId="16193"/>
    <cellStyle name="Normale 5 2 3 2 2 2 2 4" xfId="24959"/>
    <cellStyle name="Normale 5 2 3 2 2 2 20" xfId="37457"/>
    <cellStyle name="Normale 5 2 3 2 2 2 3" xfId="2253"/>
    <cellStyle name="Normale 5 2 3 2 2 2 3 2" xfId="9716"/>
    <cellStyle name="Normale 5 2 3 2 2 2 3 3" xfId="17124"/>
    <cellStyle name="Normale 5 2 3 2 2 2 3 4" xfId="28903"/>
    <cellStyle name="Normale 5 2 3 2 2 2 4" xfId="3175"/>
    <cellStyle name="Normale 5 2 3 2 2 2 4 2" xfId="10638"/>
    <cellStyle name="Normale 5 2 3 2 2 2 4 3" xfId="18046"/>
    <cellStyle name="Normale 5 2 3 2 2 2 4 4" xfId="25206"/>
    <cellStyle name="Normale 5 2 3 2 2 2 5" xfId="4108"/>
    <cellStyle name="Normale 5 2 3 2 2 2 5 2" xfId="11571"/>
    <cellStyle name="Normale 5 2 3 2 2 2 5 3" xfId="18979"/>
    <cellStyle name="Normale 5 2 3 2 2 2 5 4" xfId="23212"/>
    <cellStyle name="Normale 5 2 3 2 2 2 6" xfId="5031"/>
    <cellStyle name="Normale 5 2 3 2 2 2 6 2" xfId="12494"/>
    <cellStyle name="Normale 5 2 3 2 2 2 6 3" xfId="19902"/>
    <cellStyle name="Normale 5 2 3 2 2 2 6 4" xfId="27612"/>
    <cellStyle name="Normale 5 2 3 2 2 2 7" xfId="5959"/>
    <cellStyle name="Normale 5 2 3 2 2 2 7 2" xfId="13422"/>
    <cellStyle name="Normale 5 2 3 2 2 2 7 3" xfId="20830"/>
    <cellStyle name="Normale 5 2 3 2 2 2 7 4" xfId="26257"/>
    <cellStyle name="Normale 5 2 3 2 2 2 8" xfId="6879"/>
    <cellStyle name="Normale 5 2 3 2 2 2 8 2" xfId="14342"/>
    <cellStyle name="Normale 5 2 3 2 2 2 8 3" xfId="21750"/>
    <cellStyle name="Normale 5 2 3 2 2 2 8 4" xfId="22992"/>
    <cellStyle name="Normale 5 2 3 2 2 2 9" xfId="7818"/>
    <cellStyle name="Normale 5 2 3 2 2 20" xfId="36343"/>
    <cellStyle name="Normale 5 2 3 2 2 21" xfId="37266"/>
    <cellStyle name="Normale 5 2 3 2 2 3" xfId="1130"/>
    <cellStyle name="Normale 5 2 3 2 2 3 2" xfId="8593"/>
    <cellStyle name="Normale 5 2 3 2 2 3 3" xfId="16001"/>
    <cellStyle name="Normale 5 2 3 2 2 3 4" xfId="24340"/>
    <cellStyle name="Normale 5 2 3 2 2 4" xfId="2057"/>
    <cellStyle name="Normale 5 2 3 2 2 4 2" xfId="9520"/>
    <cellStyle name="Normale 5 2 3 2 2 4 3" xfId="16928"/>
    <cellStyle name="Normale 5 2 3 2 2 4 4" xfId="27867"/>
    <cellStyle name="Normale 5 2 3 2 2 5" xfId="2983"/>
    <cellStyle name="Normale 5 2 3 2 2 5 2" xfId="10446"/>
    <cellStyle name="Normale 5 2 3 2 2 5 3" xfId="17854"/>
    <cellStyle name="Normale 5 2 3 2 2 5 4" xfId="24294"/>
    <cellStyle name="Normale 5 2 3 2 2 6" xfId="3912"/>
    <cellStyle name="Normale 5 2 3 2 2 6 2" xfId="11375"/>
    <cellStyle name="Normale 5 2 3 2 2 6 3" xfId="18783"/>
    <cellStyle name="Normale 5 2 3 2 2 6 4" xfId="28140"/>
    <cellStyle name="Normale 5 2 3 2 2 7" xfId="4839"/>
    <cellStyle name="Normale 5 2 3 2 2 7 2" xfId="12302"/>
    <cellStyle name="Normale 5 2 3 2 2 7 3" xfId="19710"/>
    <cellStyle name="Normale 5 2 3 2 2 7 4" xfId="27193"/>
    <cellStyle name="Normale 5 2 3 2 2 8" xfId="5766"/>
    <cellStyle name="Normale 5 2 3 2 2 8 2" xfId="13229"/>
    <cellStyle name="Normale 5 2 3 2 2 8 3" xfId="20637"/>
    <cellStyle name="Normale 5 2 3 2 2 8 4" xfId="23248"/>
    <cellStyle name="Normale 5 2 3 2 2 9" xfId="6688"/>
    <cellStyle name="Normale 5 2 3 2 2 9 2" xfId="14151"/>
    <cellStyle name="Normale 5 2 3 2 2 9 3" xfId="21559"/>
    <cellStyle name="Normale 5 2 3 2 2 9 4" xfId="24393"/>
    <cellStyle name="Normale 5 2 3 2 20" xfId="35416"/>
    <cellStyle name="Normale 5 2 3 2 21" xfId="36342"/>
    <cellStyle name="Normale 5 2 3 2 22" xfId="37265"/>
    <cellStyle name="Normale 5 2 3 2 3" xfId="354"/>
    <cellStyle name="Normale 5 2 3 2 3 10" xfId="15227"/>
    <cellStyle name="Normale 5 2 3 2 3 11" xfId="27308"/>
    <cellStyle name="Normale 5 2 3 2 3 12" xfId="30039"/>
    <cellStyle name="Normale 5 2 3 2 3 13" xfId="30971"/>
    <cellStyle name="Normale 5 2 3 2 3 14" xfId="31892"/>
    <cellStyle name="Normale 5 2 3 2 3 15" xfId="32817"/>
    <cellStyle name="Normale 5 2 3 2 3 16" xfId="33754"/>
    <cellStyle name="Normale 5 2 3 2 3 17" xfId="34684"/>
    <cellStyle name="Normale 5 2 3 2 3 18" xfId="35610"/>
    <cellStyle name="Normale 5 2 3 2 3 19" xfId="36536"/>
    <cellStyle name="Normale 5 2 3 2 3 2" xfId="1321"/>
    <cellStyle name="Normale 5 2 3 2 3 2 2" xfId="8784"/>
    <cellStyle name="Normale 5 2 3 2 3 2 3" xfId="16192"/>
    <cellStyle name="Normale 5 2 3 2 3 2 4" xfId="25870"/>
    <cellStyle name="Normale 5 2 3 2 3 20" xfId="37456"/>
    <cellStyle name="Normale 5 2 3 2 3 3" xfId="2252"/>
    <cellStyle name="Normale 5 2 3 2 3 3 2" xfId="9715"/>
    <cellStyle name="Normale 5 2 3 2 3 3 3" xfId="17123"/>
    <cellStyle name="Normale 5 2 3 2 3 3 4" xfId="22472"/>
    <cellStyle name="Normale 5 2 3 2 3 4" xfId="3174"/>
    <cellStyle name="Normale 5 2 3 2 3 4 2" xfId="10637"/>
    <cellStyle name="Normale 5 2 3 2 3 4 3" xfId="18045"/>
    <cellStyle name="Normale 5 2 3 2 3 4 4" xfId="23951"/>
    <cellStyle name="Normale 5 2 3 2 3 5" xfId="4107"/>
    <cellStyle name="Normale 5 2 3 2 3 5 2" xfId="11570"/>
    <cellStyle name="Normale 5 2 3 2 3 5 3" xfId="18978"/>
    <cellStyle name="Normale 5 2 3 2 3 5 4" xfId="23348"/>
    <cellStyle name="Normale 5 2 3 2 3 6" xfId="5030"/>
    <cellStyle name="Normale 5 2 3 2 3 6 2" xfId="12493"/>
    <cellStyle name="Normale 5 2 3 2 3 6 3" xfId="19901"/>
    <cellStyle name="Normale 5 2 3 2 3 6 4" xfId="28538"/>
    <cellStyle name="Normale 5 2 3 2 3 7" xfId="5958"/>
    <cellStyle name="Normale 5 2 3 2 3 7 2" xfId="13421"/>
    <cellStyle name="Normale 5 2 3 2 3 7 3" xfId="20829"/>
    <cellStyle name="Normale 5 2 3 2 3 7 4" xfId="27167"/>
    <cellStyle name="Normale 5 2 3 2 3 8" xfId="6878"/>
    <cellStyle name="Normale 5 2 3 2 3 8 2" xfId="14341"/>
    <cellStyle name="Normale 5 2 3 2 3 8 3" xfId="21749"/>
    <cellStyle name="Normale 5 2 3 2 3 8 4" xfId="23975"/>
    <cellStyle name="Normale 5 2 3 2 3 9" xfId="7817"/>
    <cellStyle name="Normale 5 2 3 2 4" xfId="1129"/>
    <cellStyle name="Normale 5 2 3 2 4 2" xfId="8592"/>
    <cellStyle name="Normale 5 2 3 2 4 3" xfId="16000"/>
    <cellStyle name="Normale 5 2 3 2 4 4" xfId="25259"/>
    <cellStyle name="Normale 5 2 3 2 5" xfId="2056"/>
    <cellStyle name="Normale 5 2 3 2 5 2" xfId="9519"/>
    <cellStyle name="Normale 5 2 3 2 5 3" xfId="16927"/>
    <cellStyle name="Normale 5 2 3 2 5 4" xfId="28794"/>
    <cellStyle name="Normale 5 2 3 2 6" xfId="2982"/>
    <cellStyle name="Normale 5 2 3 2 6 2" xfId="10445"/>
    <cellStyle name="Normale 5 2 3 2 6 3" xfId="17853"/>
    <cellStyle name="Normale 5 2 3 2 6 4" xfId="25213"/>
    <cellStyle name="Normale 5 2 3 2 7" xfId="3911"/>
    <cellStyle name="Normale 5 2 3 2 7 2" xfId="11374"/>
    <cellStyle name="Normale 5 2 3 2 7 3" xfId="18782"/>
    <cellStyle name="Normale 5 2 3 2 7 4" xfId="29050"/>
    <cellStyle name="Normale 5 2 3 2 8" xfId="4838"/>
    <cellStyle name="Normale 5 2 3 2 8 2" xfId="12301"/>
    <cellStyle name="Normale 5 2 3 2 8 3" xfId="19709"/>
    <cellStyle name="Normale 5 2 3 2 8 4" xfId="28115"/>
    <cellStyle name="Normale 5 2 3 2 9" xfId="5765"/>
    <cellStyle name="Normale 5 2 3 2 9 2" xfId="13228"/>
    <cellStyle name="Normale 5 2 3 2 9 3" xfId="20636"/>
    <cellStyle name="Normale 5 2 3 2 9 4" xfId="23306"/>
    <cellStyle name="Normale 5 2 3 20" xfId="6686"/>
    <cellStyle name="Normale 5 2 3 20 2" xfId="14149"/>
    <cellStyle name="Normale 5 2 3 20 3" xfId="21557"/>
    <cellStyle name="Normale 5 2 3 20 4" xfId="26236"/>
    <cellStyle name="Normale 5 2 3 21" xfId="7620"/>
    <cellStyle name="Normale 5 2 3 22" xfId="15029"/>
    <cellStyle name="Normale 5 2 3 23" xfId="26388"/>
    <cellStyle name="Normale 5 2 3 24" xfId="29846"/>
    <cellStyle name="Normale 5 2 3 25" xfId="30776"/>
    <cellStyle name="Normale 5 2 3 26" xfId="31699"/>
    <cellStyle name="Normale 5 2 3 27" xfId="32625"/>
    <cellStyle name="Normale 5 2 3 28" xfId="33559"/>
    <cellStyle name="Normale 5 2 3 29" xfId="34487"/>
    <cellStyle name="Normale 5 2 3 3" xfId="158"/>
    <cellStyle name="Normale 5 2 3 3 10" xfId="7623"/>
    <cellStyle name="Normale 5 2 3 3 11" xfId="15032"/>
    <cellStyle name="Normale 5 2 3 3 12" xfId="23623"/>
    <cellStyle name="Normale 5 2 3 3 13" xfId="29849"/>
    <cellStyle name="Normale 5 2 3 3 14" xfId="30779"/>
    <cellStyle name="Normale 5 2 3 3 15" xfId="31702"/>
    <cellStyle name="Normale 5 2 3 3 16" xfId="32628"/>
    <cellStyle name="Normale 5 2 3 3 17" xfId="33562"/>
    <cellStyle name="Normale 5 2 3 3 18" xfId="34490"/>
    <cellStyle name="Normale 5 2 3 3 19" xfId="35418"/>
    <cellStyle name="Normale 5 2 3 3 2" xfId="356"/>
    <cellStyle name="Normale 5 2 3 3 2 10" xfId="15229"/>
    <cellStyle name="Normale 5 2 3 3 2 11" xfId="25473"/>
    <cellStyle name="Normale 5 2 3 3 2 12" xfId="30041"/>
    <cellStyle name="Normale 5 2 3 3 2 13" xfId="30973"/>
    <cellStyle name="Normale 5 2 3 3 2 14" xfId="31894"/>
    <cellStyle name="Normale 5 2 3 3 2 15" xfId="32819"/>
    <cellStyle name="Normale 5 2 3 3 2 16" xfId="33756"/>
    <cellStyle name="Normale 5 2 3 3 2 17" xfId="34686"/>
    <cellStyle name="Normale 5 2 3 3 2 18" xfId="35612"/>
    <cellStyle name="Normale 5 2 3 3 2 19" xfId="36538"/>
    <cellStyle name="Normale 5 2 3 3 2 2" xfId="1323"/>
    <cellStyle name="Normale 5 2 3 3 2 2 2" xfId="8786"/>
    <cellStyle name="Normale 5 2 3 3 2 2 3" xfId="16194"/>
    <cellStyle name="Normale 5 2 3 3 2 2 4" xfId="24034"/>
    <cellStyle name="Normale 5 2 3 3 2 20" xfId="37458"/>
    <cellStyle name="Normale 5 2 3 3 2 3" xfId="2254"/>
    <cellStyle name="Normale 5 2 3 3 2 3 2" xfId="9717"/>
    <cellStyle name="Normale 5 2 3 3 2 3 3" xfId="17125"/>
    <cellStyle name="Normale 5 2 3 3 2 3 4" xfId="27991"/>
    <cellStyle name="Normale 5 2 3 3 2 4" xfId="3176"/>
    <cellStyle name="Normale 5 2 3 3 2 4 2" xfId="10639"/>
    <cellStyle name="Normale 5 2 3 3 2 4 3" xfId="18047"/>
    <cellStyle name="Normale 5 2 3 3 2 4 4" xfId="24287"/>
    <cellStyle name="Normale 5 2 3 3 2 5" xfId="4109"/>
    <cellStyle name="Normale 5 2 3 3 2 5 2" xfId="11572"/>
    <cellStyle name="Normale 5 2 3 3 2 5 3" xfId="18980"/>
    <cellStyle name="Normale 5 2 3 3 2 5 4" xfId="29642"/>
    <cellStyle name="Normale 5 2 3 3 2 6" xfId="5032"/>
    <cellStyle name="Normale 5 2 3 3 2 6 2" xfId="12495"/>
    <cellStyle name="Normale 5 2 3 3 2 6 3" xfId="19903"/>
    <cellStyle name="Normale 5 2 3 3 2 6 4" xfId="26708"/>
    <cellStyle name="Normale 5 2 3 3 2 7" xfId="5960"/>
    <cellStyle name="Normale 5 2 3 3 2 7 2" xfId="13423"/>
    <cellStyle name="Normale 5 2 3 3 2 7 3" xfId="20831"/>
    <cellStyle name="Normale 5 2 3 3 2 7 4" xfId="25330"/>
    <cellStyle name="Normale 5 2 3 3 2 8" xfId="6880"/>
    <cellStyle name="Normale 5 2 3 3 2 8 2" xfId="14343"/>
    <cellStyle name="Normale 5 2 3 3 2 8 3" xfId="21751"/>
    <cellStyle name="Normale 5 2 3 3 2 8 4" xfId="29421"/>
    <cellStyle name="Normale 5 2 3 3 2 9" xfId="7819"/>
    <cellStyle name="Normale 5 2 3 3 20" xfId="36344"/>
    <cellStyle name="Normale 5 2 3 3 21" xfId="37267"/>
    <cellStyle name="Normale 5 2 3 3 3" xfId="1131"/>
    <cellStyle name="Normale 5 2 3 3 3 2" xfId="8594"/>
    <cellStyle name="Normale 5 2 3 3 3 3" xfId="16002"/>
    <cellStyle name="Normale 5 2 3 3 3 4" xfId="23424"/>
    <cellStyle name="Normale 5 2 3 3 4" xfId="2058"/>
    <cellStyle name="Normale 5 2 3 3 4 2" xfId="9521"/>
    <cellStyle name="Normale 5 2 3 3 4 3" xfId="16929"/>
    <cellStyle name="Normale 5 2 3 3 4 4" xfId="26964"/>
    <cellStyle name="Normale 5 2 3 3 5" xfId="2984"/>
    <cellStyle name="Normale 5 2 3 3 5 2" xfId="10447"/>
    <cellStyle name="Normale 5 2 3 3 5 3" xfId="17855"/>
    <cellStyle name="Normale 5 2 3 3 5 4" xfId="23378"/>
    <cellStyle name="Normale 5 2 3 3 6" xfId="3913"/>
    <cellStyle name="Normale 5 2 3 3 6 2" xfId="11376"/>
    <cellStyle name="Normale 5 2 3 3 6 3" xfId="18784"/>
    <cellStyle name="Normale 5 2 3 3 6 4" xfId="27218"/>
    <cellStyle name="Normale 5 2 3 3 7" xfId="4840"/>
    <cellStyle name="Normale 5 2 3 3 7 2" xfId="12303"/>
    <cellStyle name="Normale 5 2 3 3 7 3" xfId="19711"/>
    <cellStyle name="Normale 5 2 3 3 7 4" xfId="26283"/>
    <cellStyle name="Normale 5 2 3 3 8" xfId="5767"/>
    <cellStyle name="Normale 5 2 3 3 8 2" xfId="13230"/>
    <cellStyle name="Normale 5 2 3 3 8 3" xfId="20638"/>
    <cellStyle name="Normale 5 2 3 3 8 4" xfId="29680"/>
    <cellStyle name="Normale 5 2 3 3 9" xfId="6689"/>
    <cellStyle name="Normale 5 2 3 3 9 2" xfId="14152"/>
    <cellStyle name="Normale 5 2 3 3 9 3" xfId="21560"/>
    <cellStyle name="Normale 5 2 3 3 9 4" xfId="23474"/>
    <cellStyle name="Normale 5 2 3 30" xfId="35415"/>
    <cellStyle name="Normale 5 2 3 31" xfId="36341"/>
    <cellStyle name="Normale 5 2 3 32" xfId="37264"/>
    <cellStyle name="Normale 5 2 3 4" xfId="353"/>
    <cellStyle name="Normale 5 2 3 4 10" xfId="15226"/>
    <cellStyle name="Normale 5 2 3 4 11" xfId="28232"/>
    <cellStyle name="Normale 5 2 3 4 12" xfId="30038"/>
    <cellStyle name="Normale 5 2 3 4 13" xfId="30970"/>
    <cellStyle name="Normale 5 2 3 4 14" xfId="31891"/>
    <cellStyle name="Normale 5 2 3 4 15" xfId="32816"/>
    <cellStyle name="Normale 5 2 3 4 16" xfId="33753"/>
    <cellStyle name="Normale 5 2 3 4 17" xfId="34683"/>
    <cellStyle name="Normale 5 2 3 4 18" xfId="35609"/>
    <cellStyle name="Normale 5 2 3 4 19" xfId="36535"/>
    <cellStyle name="Normale 5 2 3 4 2" xfId="1320"/>
    <cellStyle name="Normale 5 2 3 4 2 2" xfId="8783"/>
    <cellStyle name="Normale 5 2 3 4 2 3" xfId="16191"/>
    <cellStyle name="Normale 5 2 3 4 2 4" xfId="26803"/>
    <cellStyle name="Normale 5 2 3 4 20" xfId="37455"/>
    <cellStyle name="Normale 5 2 3 4 3" xfId="2251"/>
    <cellStyle name="Normale 5 2 3 4 3 2" xfId="9714"/>
    <cellStyle name="Normale 5 2 3 4 3 3" xfId="17122"/>
    <cellStyle name="Normale 5 2 3 4 3 4" xfId="22475"/>
    <cellStyle name="Normale 5 2 3 4 4" xfId="3173"/>
    <cellStyle name="Normale 5 2 3 4 4 2" xfId="10636"/>
    <cellStyle name="Normale 5 2 3 4 4 3" xfId="18044"/>
    <cellStyle name="Normale 5 2 3 4 4 4" xfId="24876"/>
    <cellStyle name="Normale 5 2 3 4 5" xfId="4106"/>
    <cellStyle name="Normale 5 2 3 4 5 2" xfId="11569"/>
    <cellStyle name="Normale 5 2 3 4 5 3" xfId="18977"/>
    <cellStyle name="Normale 5 2 3 4 5 4" xfId="24264"/>
    <cellStyle name="Normale 5 2 3 4 6" xfId="5029"/>
    <cellStyle name="Normale 5 2 3 4 6 2" xfId="12492"/>
    <cellStyle name="Normale 5 2 3 4 6 3" xfId="19900"/>
    <cellStyle name="Normale 5 2 3 4 6 4" xfId="29432"/>
    <cellStyle name="Normale 5 2 3 4 7" xfId="5957"/>
    <cellStyle name="Normale 5 2 3 4 7 2" xfId="13420"/>
    <cellStyle name="Normale 5 2 3 4 7 3" xfId="20828"/>
    <cellStyle name="Normale 5 2 3 4 7 4" xfId="28089"/>
    <cellStyle name="Normale 5 2 3 4 8" xfId="6877"/>
    <cellStyle name="Normale 5 2 3 4 8 2" xfId="14340"/>
    <cellStyle name="Normale 5 2 3 4 8 3" xfId="21748"/>
    <cellStyle name="Normale 5 2 3 4 8 4" xfId="24900"/>
    <cellStyle name="Normale 5 2 3 4 9" xfId="7816"/>
    <cellStyle name="Normale 5 2 3 5" xfId="438"/>
    <cellStyle name="Normale 5 2 3 5 10" xfId="15311"/>
    <cellStyle name="Normale 5 2 3 5 11" xfId="24816"/>
    <cellStyle name="Normale 5 2 3 5 12" xfId="30123"/>
    <cellStyle name="Normale 5 2 3 5 13" xfId="31055"/>
    <cellStyle name="Normale 5 2 3 5 14" xfId="31976"/>
    <cellStyle name="Normale 5 2 3 5 15" xfId="32900"/>
    <cellStyle name="Normale 5 2 3 5 16" xfId="33838"/>
    <cellStyle name="Normale 5 2 3 5 17" xfId="34768"/>
    <cellStyle name="Normale 5 2 3 5 18" xfId="35694"/>
    <cellStyle name="Normale 5 2 3 5 19" xfId="36620"/>
    <cellStyle name="Normale 5 2 3 5 2" xfId="1405"/>
    <cellStyle name="Normale 5 2 3 5 2 2" xfId="8868"/>
    <cellStyle name="Normale 5 2 3 5 2 3" xfId="16276"/>
    <cellStyle name="Normale 5 2 3 5 2 4" xfId="29114"/>
    <cellStyle name="Normale 5 2 3 5 20" xfId="37539"/>
    <cellStyle name="Normale 5 2 3 5 3" xfId="2336"/>
    <cellStyle name="Normale 5 2 3 5 3 2" xfId="9799"/>
    <cellStyle name="Normale 5 2 3 5 3 3" xfId="17207"/>
    <cellStyle name="Normale 5 2 3 5 3 4" xfId="26589"/>
    <cellStyle name="Normale 5 2 3 5 4" xfId="3258"/>
    <cellStyle name="Normale 5 2 3 5 4 2" xfId="10721"/>
    <cellStyle name="Normale 5 2 3 5 4 3" xfId="18129"/>
    <cellStyle name="Normale 5 2 3 5 4 4" xfId="24946"/>
    <cellStyle name="Normale 5 2 3 5 5" xfId="4191"/>
    <cellStyle name="Normale 5 2 3 5 5 2" xfId="11654"/>
    <cellStyle name="Normale 5 2 3 5 5 3" xfId="19062"/>
    <cellStyle name="Normale 5 2 3 5 5 4" xfId="26105"/>
    <cellStyle name="Normale 5 2 3 5 6" xfId="5114"/>
    <cellStyle name="Normale 5 2 3 5 6 2" xfId="12577"/>
    <cellStyle name="Normale 5 2 3 5 6 3" xfId="19985"/>
    <cellStyle name="Normale 5 2 3 5 6 4" xfId="24434"/>
    <cellStyle name="Normale 5 2 3 5 7" xfId="6042"/>
    <cellStyle name="Normale 5 2 3 5 7 2" xfId="13505"/>
    <cellStyle name="Normale 5 2 3 5 7 3" xfId="20913"/>
    <cellStyle name="Normale 5 2 3 5 7 4" xfId="24781"/>
    <cellStyle name="Normale 5 2 3 5 8" xfId="6961"/>
    <cellStyle name="Normale 5 2 3 5 8 2" xfId="14424"/>
    <cellStyle name="Normale 5 2 3 5 8 3" xfId="21832"/>
    <cellStyle name="Normale 5 2 3 5 8 4" xfId="25884"/>
    <cellStyle name="Normale 5 2 3 5 9" xfId="7901"/>
    <cellStyle name="Normale 5 2 3 6" xfId="486"/>
    <cellStyle name="Normale 5 2 3 6 10" xfId="15359"/>
    <cellStyle name="Normale 5 2 3 6 11" xfId="23442"/>
    <cellStyle name="Normale 5 2 3 6 12" xfId="30171"/>
    <cellStyle name="Normale 5 2 3 6 13" xfId="31103"/>
    <cellStyle name="Normale 5 2 3 6 14" xfId="32024"/>
    <cellStyle name="Normale 5 2 3 6 15" xfId="32947"/>
    <cellStyle name="Normale 5 2 3 6 16" xfId="33886"/>
    <cellStyle name="Normale 5 2 3 6 17" xfId="34816"/>
    <cellStyle name="Normale 5 2 3 6 18" xfId="35742"/>
    <cellStyle name="Normale 5 2 3 6 19" xfId="36668"/>
    <cellStyle name="Normale 5 2 3 6 2" xfId="1453"/>
    <cellStyle name="Normale 5 2 3 6 2 2" xfId="8916"/>
    <cellStyle name="Normale 5 2 3 6 2 3" xfId="16324"/>
    <cellStyle name="Normale 5 2 3 6 2 4" xfId="27576"/>
    <cellStyle name="Normale 5 2 3 6 20" xfId="37586"/>
    <cellStyle name="Normale 5 2 3 6 3" xfId="2384"/>
    <cellStyle name="Normale 5 2 3 6 3 2" xfId="9847"/>
    <cellStyle name="Normale 5 2 3 6 3 3" xfId="17255"/>
    <cellStyle name="Normale 5 2 3 6 3 4" xfId="25421"/>
    <cellStyle name="Normale 5 2 3 6 4" xfId="3306"/>
    <cellStyle name="Normale 5 2 3 6 4 2" xfId="10769"/>
    <cellStyle name="Normale 5 2 3 6 4 3" xfId="18177"/>
    <cellStyle name="Normale 5 2 3 6 4 4" xfId="26963"/>
    <cellStyle name="Normale 5 2 3 6 5" xfId="4239"/>
    <cellStyle name="Normale 5 2 3 6 5 2" xfId="11702"/>
    <cellStyle name="Normale 5 2 3 6 5 3" xfId="19110"/>
    <cellStyle name="Normale 5 2 3 6 5 4" xfId="27020"/>
    <cellStyle name="Normale 5 2 3 6 6" xfId="5162"/>
    <cellStyle name="Normale 5 2 3 6 6 2" xfId="12625"/>
    <cellStyle name="Normale 5 2 3 6 6 3" xfId="20033"/>
    <cellStyle name="Normale 5 2 3 6 6 4" xfId="22919"/>
    <cellStyle name="Normale 5 2 3 6 7" xfId="6090"/>
    <cellStyle name="Normale 5 2 3 6 7 2" xfId="13553"/>
    <cellStyle name="Normale 5 2 3 6 7 3" xfId="20961"/>
    <cellStyle name="Normale 5 2 3 6 7 4" xfId="23299"/>
    <cellStyle name="Normale 5 2 3 6 8" xfId="7008"/>
    <cellStyle name="Normale 5 2 3 6 8 2" xfId="14471"/>
    <cellStyle name="Normale 5 2 3 6 8 3" xfId="21879"/>
    <cellStyle name="Normale 5 2 3 6 8 4" xfId="26461"/>
    <cellStyle name="Normale 5 2 3 6 9" xfId="7949"/>
    <cellStyle name="Normale 5 2 3 7" xfId="534"/>
    <cellStyle name="Normale 5 2 3 7 10" xfId="15407"/>
    <cellStyle name="Normale 5 2 3 7 11" xfId="24356"/>
    <cellStyle name="Normale 5 2 3 7 12" xfId="30218"/>
    <cellStyle name="Normale 5 2 3 7 13" xfId="31151"/>
    <cellStyle name="Normale 5 2 3 7 14" xfId="32071"/>
    <cellStyle name="Normale 5 2 3 7 15" xfId="32993"/>
    <cellStyle name="Normale 5 2 3 7 16" xfId="33934"/>
    <cellStyle name="Normale 5 2 3 7 17" xfId="34864"/>
    <cellStyle name="Normale 5 2 3 7 18" xfId="35790"/>
    <cellStyle name="Normale 5 2 3 7 19" xfId="36716"/>
    <cellStyle name="Normale 5 2 3 7 2" xfId="1501"/>
    <cellStyle name="Normale 5 2 3 7 2 2" xfId="8964"/>
    <cellStyle name="Normale 5 2 3 7 2 3" xfId="16372"/>
    <cellStyle name="Normale 5 2 3 7 2 4" xfId="27558"/>
    <cellStyle name="Normale 5 2 3 7 20" xfId="37632"/>
    <cellStyle name="Normale 5 2 3 7 3" xfId="2432"/>
    <cellStyle name="Normale 5 2 3 7 3 2" xfId="9895"/>
    <cellStyle name="Normale 5 2 3 7 3 3" xfId="17303"/>
    <cellStyle name="Normale 5 2 3 7 3 4" xfId="26937"/>
    <cellStyle name="Normale 5 2 3 7 4" xfId="3353"/>
    <cellStyle name="Normale 5 2 3 7 4 2" xfId="10816"/>
    <cellStyle name="Normale 5 2 3 7 4 3" xfId="18224"/>
    <cellStyle name="Normale 5 2 3 7 4 4" xfId="27045"/>
    <cellStyle name="Normale 5 2 3 7 5" xfId="4287"/>
    <cellStyle name="Normale 5 2 3 7 5 2" xfId="11750"/>
    <cellStyle name="Normale 5 2 3 7 5 3" xfId="19158"/>
    <cellStyle name="Normale 5 2 3 7 5 4" xfId="24792"/>
    <cellStyle name="Normale 5 2 3 7 6" xfId="5209"/>
    <cellStyle name="Normale 5 2 3 7 6 2" xfId="12672"/>
    <cellStyle name="Normale 5 2 3 7 6 3" xfId="20080"/>
    <cellStyle name="Normale 5 2 3 7 6 4" xfId="23863"/>
    <cellStyle name="Normale 5 2 3 7 7" xfId="6138"/>
    <cellStyle name="Normale 5 2 3 7 7 2" xfId="13601"/>
    <cellStyle name="Normale 5 2 3 7 7 3" xfId="21009"/>
    <cellStyle name="Normale 5 2 3 7 7 4" xfId="24212"/>
    <cellStyle name="Normale 5 2 3 7 8" xfId="7054"/>
    <cellStyle name="Normale 5 2 3 7 8 2" xfId="14517"/>
    <cellStyle name="Normale 5 2 3 7 8 3" xfId="21925"/>
    <cellStyle name="Normale 5 2 3 7 8 4" xfId="28391"/>
    <cellStyle name="Normale 5 2 3 7 9" xfId="7997"/>
    <cellStyle name="Normale 5 2 3 8" xfId="586"/>
    <cellStyle name="Normale 5 2 3 8 10" xfId="15459"/>
    <cellStyle name="Normale 5 2 3 8 11" xfId="25672"/>
    <cellStyle name="Normale 5 2 3 8 12" xfId="30269"/>
    <cellStyle name="Normale 5 2 3 8 13" xfId="31203"/>
    <cellStyle name="Normale 5 2 3 8 14" xfId="32122"/>
    <cellStyle name="Normale 5 2 3 8 15" xfId="33043"/>
    <cellStyle name="Normale 5 2 3 8 16" xfId="33986"/>
    <cellStyle name="Normale 5 2 3 8 17" xfId="34916"/>
    <cellStyle name="Normale 5 2 3 8 18" xfId="35842"/>
    <cellStyle name="Normale 5 2 3 8 19" xfId="36768"/>
    <cellStyle name="Normale 5 2 3 8 2" xfId="1553"/>
    <cellStyle name="Normale 5 2 3 8 2 2" xfId="9016"/>
    <cellStyle name="Normale 5 2 3 8 2 3" xfId="16424"/>
    <cellStyle name="Normale 5 2 3 8 2 4" xfId="22681"/>
    <cellStyle name="Normale 5 2 3 8 20" xfId="37682"/>
    <cellStyle name="Normale 5 2 3 8 3" xfId="2484"/>
    <cellStyle name="Normale 5 2 3 8 3 2" xfId="9947"/>
    <cellStyle name="Normale 5 2 3 8 3 3" xfId="17355"/>
    <cellStyle name="Normale 5 2 3 8 3 4" xfId="22797"/>
    <cellStyle name="Normale 5 2 3 8 4" xfId="3404"/>
    <cellStyle name="Normale 5 2 3 8 4 2" xfId="10867"/>
    <cellStyle name="Normale 5 2 3 8 4 3" xfId="18275"/>
    <cellStyle name="Normale 5 2 3 8 4 4" xfId="22633"/>
    <cellStyle name="Normale 5 2 3 8 5" xfId="4339"/>
    <cellStyle name="Normale 5 2 3 8 5 2" xfId="11802"/>
    <cellStyle name="Normale 5 2 3 8 5 3" xfId="19210"/>
    <cellStyle name="Normale 5 2 3 8 5 4" xfId="27207"/>
    <cellStyle name="Normale 5 2 3 8 6" xfId="5260"/>
    <cellStyle name="Normale 5 2 3 8 6 2" xfId="12723"/>
    <cellStyle name="Normale 5 2 3 8 6 3" xfId="20131"/>
    <cellStyle name="Normale 5 2 3 8 6 4" xfId="27184"/>
    <cellStyle name="Normale 5 2 3 8 7" xfId="6190"/>
    <cellStyle name="Normale 5 2 3 8 7 2" xfId="13653"/>
    <cellStyle name="Normale 5 2 3 8 7 3" xfId="21061"/>
    <cellStyle name="Normale 5 2 3 8 7 4" xfId="28345"/>
    <cellStyle name="Normale 5 2 3 8 8" xfId="7104"/>
    <cellStyle name="Normale 5 2 3 8 8 2" xfId="14567"/>
    <cellStyle name="Normale 5 2 3 8 8 3" xfId="21975"/>
    <cellStyle name="Normale 5 2 3 8 8 4" xfId="19599"/>
    <cellStyle name="Normale 5 2 3 8 9" xfId="8049"/>
    <cellStyle name="Normale 5 2 3 9" xfId="646"/>
    <cellStyle name="Normale 5 2 3 9 10" xfId="15518"/>
    <cellStyle name="Normale 5 2 3 9 11" xfId="29132"/>
    <cellStyle name="Normale 5 2 3 9 12" xfId="30325"/>
    <cellStyle name="Normale 5 2 3 9 13" xfId="31262"/>
    <cellStyle name="Normale 5 2 3 9 14" xfId="32179"/>
    <cellStyle name="Normale 5 2 3 9 15" xfId="33098"/>
    <cellStyle name="Normale 5 2 3 9 16" xfId="34045"/>
    <cellStyle name="Normale 5 2 3 9 17" xfId="34976"/>
    <cellStyle name="Normale 5 2 3 9 18" xfId="35902"/>
    <cellStyle name="Normale 5 2 3 9 19" xfId="36827"/>
    <cellStyle name="Normale 5 2 3 9 2" xfId="1612"/>
    <cellStyle name="Normale 5 2 3 9 2 2" xfId="9075"/>
    <cellStyle name="Normale 5 2 3 9 2 3" xfId="16483"/>
    <cellStyle name="Normale 5 2 3 9 2 4" xfId="28704"/>
    <cellStyle name="Normale 5 2 3 9 20" xfId="37737"/>
    <cellStyle name="Normale 5 2 3 9 3" xfId="2544"/>
    <cellStyle name="Normale 5 2 3 9 3 2" xfId="10007"/>
    <cellStyle name="Normale 5 2 3 9 3 3" xfId="17415"/>
    <cellStyle name="Normale 5 2 3 9 3 4" xfId="25224"/>
    <cellStyle name="Normale 5 2 3 9 4" xfId="3462"/>
    <cellStyle name="Normale 5 2 3 9 4 2" xfId="10925"/>
    <cellStyle name="Normale 5 2 3 9 4 3" xfId="18333"/>
    <cellStyle name="Normale 5 2 3 9 4 4" xfId="28315"/>
    <cellStyle name="Normale 5 2 3 9 5" xfId="4399"/>
    <cellStyle name="Normale 5 2 3 9 5 2" xfId="11862"/>
    <cellStyle name="Normale 5 2 3 9 5 3" xfId="19270"/>
    <cellStyle name="Normale 5 2 3 9 5 4" xfId="25013"/>
    <cellStyle name="Normale 5 2 3 9 6" xfId="5317"/>
    <cellStyle name="Normale 5 2 3 9 6 2" xfId="12780"/>
    <cellStyle name="Normale 5 2 3 9 6 3" xfId="20188"/>
    <cellStyle name="Normale 5 2 3 9 6 4" xfId="27754"/>
    <cellStyle name="Normale 5 2 3 9 7" xfId="6250"/>
    <cellStyle name="Normale 5 2 3 9 7 2" xfId="13713"/>
    <cellStyle name="Normale 5 2 3 9 7 3" xfId="21121"/>
    <cellStyle name="Normale 5 2 3 9 7 4" xfId="24404"/>
    <cellStyle name="Normale 5 2 3 9 8" xfId="7159"/>
    <cellStyle name="Normale 5 2 3 9 8 2" xfId="14622"/>
    <cellStyle name="Normale 5 2 3 9 8 3" xfId="22030"/>
    <cellStyle name="Normale 5 2 3 9 8 4" xfId="28058"/>
    <cellStyle name="Normale 5 2 3 9 9" xfId="8109"/>
    <cellStyle name="Normale 5 2 30" xfId="32620"/>
    <cellStyle name="Normale 5 2 31" xfId="33554"/>
    <cellStyle name="Normale 5 2 32" xfId="34482"/>
    <cellStyle name="Normale 5 2 33" xfId="35410"/>
    <cellStyle name="Normale 5 2 34" xfId="36336"/>
    <cellStyle name="Normale 5 2 35" xfId="37259"/>
    <cellStyle name="Normale 5 2 4" xfId="159"/>
    <cellStyle name="Normale 5 2 4 10" xfId="725"/>
    <cellStyle name="Normale 5 2 4 10 10" xfId="15596"/>
    <cellStyle name="Normale 5 2 4 10 11" xfId="25944"/>
    <cellStyle name="Normale 5 2 4 10 12" xfId="30399"/>
    <cellStyle name="Normale 5 2 4 10 13" xfId="31340"/>
    <cellStyle name="Normale 5 2 4 10 14" xfId="32253"/>
    <cellStyle name="Normale 5 2 4 10 15" xfId="33171"/>
    <cellStyle name="Normale 5 2 4 10 16" xfId="34123"/>
    <cellStyle name="Normale 5 2 4 10 17" xfId="35055"/>
    <cellStyle name="Normale 5 2 4 10 18" xfId="35981"/>
    <cellStyle name="Normale 5 2 4 10 19" xfId="36906"/>
    <cellStyle name="Normale 5 2 4 10 2" xfId="1690"/>
    <cellStyle name="Normale 5 2 4 10 2 2" xfId="9153"/>
    <cellStyle name="Normale 5 2 4 10 2 3" xfId="16561"/>
    <cellStyle name="Normale 5 2 4 10 2 4" xfId="29107"/>
    <cellStyle name="Normale 5 2 4 10 20" xfId="37810"/>
    <cellStyle name="Normale 5 2 4 10 3" xfId="2623"/>
    <cellStyle name="Normale 5 2 4 10 3 2" xfId="10086"/>
    <cellStyle name="Normale 5 2 4 10 3 3" xfId="17494"/>
    <cellStyle name="Normale 5 2 4 10 3 4" xfId="25398"/>
    <cellStyle name="Normale 5 2 4 10 4" xfId="3539"/>
    <cellStyle name="Normale 5 2 4 10 4 2" xfId="11002"/>
    <cellStyle name="Normale 5 2 4 10 4 3" xfId="18410"/>
    <cellStyle name="Normale 5 2 4 10 4 4" xfId="23363"/>
    <cellStyle name="Normale 5 2 4 10 5" xfId="4478"/>
    <cellStyle name="Normale 5 2 4 10 5 2" xfId="11941"/>
    <cellStyle name="Normale 5 2 4 10 5 3" xfId="19349"/>
    <cellStyle name="Normale 5 2 4 10 5 4" xfId="28253"/>
    <cellStyle name="Normale 5 2 4 10 6" xfId="5394"/>
    <cellStyle name="Normale 5 2 4 10 6 2" xfId="12857"/>
    <cellStyle name="Normale 5 2 4 10 6 3" xfId="20265"/>
    <cellStyle name="Normale 5 2 4 10 6 4" xfId="29012"/>
    <cellStyle name="Normale 5 2 4 10 7" xfId="6327"/>
    <cellStyle name="Normale 5 2 4 10 7 2" xfId="13790"/>
    <cellStyle name="Normale 5 2 4 10 7 3" xfId="21198"/>
    <cellStyle name="Normale 5 2 4 10 7 4" xfId="25486"/>
    <cellStyle name="Normale 5 2 4 10 8" xfId="7232"/>
    <cellStyle name="Normale 5 2 4 10 8 2" xfId="14695"/>
    <cellStyle name="Normale 5 2 4 10 8 3" xfId="22103"/>
    <cellStyle name="Normale 5 2 4 10 8 4" xfId="22347"/>
    <cellStyle name="Normale 5 2 4 10 9" xfId="8188"/>
    <cellStyle name="Normale 5 2 4 11" xfId="797"/>
    <cellStyle name="Normale 5 2 4 11 10" xfId="15668"/>
    <cellStyle name="Normale 5 2 4 11 11" xfId="24197"/>
    <cellStyle name="Normale 5 2 4 11 12" xfId="30469"/>
    <cellStyle name="Normale 5 2 4 11 13" xfId="31412"/>
    <cellStyle name="Normale 5 2 4 11 14" xfId="32324"/>
    <cellStyle name="Normale 5 2 4 11 15" xfId="33240"/>
    <cellStyle name="Normale 5 2 4 11 16" xfId="34195"/>
    <cellStyle name="Normale 5 2 4 11 17" xfId="35127"/>
    <cellStyle name="Normale 5 2 4 11 18" xfId="36053"/>
    <cellStyle name="Normale 5 2 4 11 19" xfId="36978"/>
    <cellStyle name="Normale 5 2 4 11 2" xfId="1762"/>
    <cellStyle name="Normale 5 2 4 11 2 2" xfId="9225"/>
    <cellStyle name="Normale 5 2 4 11 2 3" xfId="16633"/>
    <cellStyle name="Normale 5 2 4 11 2 4" xfId="23024"/>
    <cellStyle name="Normale 5 2 4 11 20" xfId="37879"/>
    <cellStyle name="Normale 5 2 4 11 3" xfId="2695"/>
    <cellStyle name="Normale 5 2 4 11 3 2" xfId="10158"/>
    <cellStyle name="Normale 5 2 4 11 3 3" xfId="17566"/>
    <cellStyle name="Normale 5 2 4 11 3 4" xfId="25960"/>
    <cellStyle name="Normale 5 2 4 11 4" xfId="3610"/>
    <cellStyle name="Normale 5 2 4 11 4 2" xfId="11073"/>
    <cellStyle name="Normale 5 2 4 11 4 3" xfId="18481"/>
    <cellStyle name="Normale 5 2 4 11 4 4" xfId="24589"/>
    <cellStyle name="Normale 5 2 4 11 5" xfId="4550"/>
    <cellStyle name="Normale 5 2 4 11 5 2" xfId="12013"/>
    <cellStyle name="Normale 5 2 4 11 5 3" xfId="19421"/>
    <cellStyle name="Normale 5 2 4 11 5 4" xfId="28786"/>
    <cellStyle name="Normale 5 2 4 11 6" xfId="5465"/>
    <cellStyle name="Normale 5 2 4 11 6 2" xfId="12928"/>
    <cellStyle name="Normale 5 2 4 11 6 3" xfId="20336"/>
    <cellStyle name="Normale 5 2 4 11 6 4" xfId="24009"/>
    <cellStyle name="Normale 5 2 4 11 7" xfId="6399"/>
    <cellStyle name="Normale 5 2 4 11 7 2" xfId="13862"/>
    <cellStyle name="Normale 5 2 4 11 7 3" xfId="21270"/>
    <cellStyle name="Normale 5 2 4 11 7 4" xfId="26027"/>
    <cellStyle name="Normale 5 2 4 11 8" xfId="7301"/>
    <cellStyle name="Normale 5 2 4 11 8 2" xfId="14764"/>
    <cellStyle name="Normale 5 2 4 11 8 3" xfId="22172"/>
    <cellStyle name="Normale 5 2 4 11 8 4" xfId="26691"/>
    <cellStyle name="Normale 5 2 4 11 9" xfId="8260"/>
    <cellStyle name="Normale 5 2 4 12" xfId="870"/>
    <cellStyle name="Normale 5 2 4 12 10" xfId="15741"/>
    <cellStyle name="Normale 5 2 4 12 11" xfId="28578"/>
    <cellStyle name="Normale 5 2 4 12 12" xfId="30539"/>
    <cellStyle name="Normale 5 2 4 12 13" xfId="31485"/>
    <cellStyle name="Normale 5 2 4 12 14" xfId="32396"/>
    <cellStyle name="Normale 5 2 4 12 15" xfId="33309"/>
    <cellStyle name="Normale 5 2 4 12 16" xfId="34268"/>
    <cellStyle name="Normale 5 2 4 12 17" xfId="35200"/>
    <cellStyle name="Normale 5 2 4 12 18" xfId="36126"/>
    <cellStyle name="Normale 5 2 4 12 19" xfId="37051"/>
    <cellStyle name="Normale 5 2 4 12 2" xfId="1835"/>
    <cellStyle name="Normale 5 2 4 12 2 2" xfId="9298"/>
    <cellStyle name="Normale 5 2 4 12 2 3" xfId="16706"/>
    <cellStyle name="Normale 5 2 4 12 2 4" xfId="25434"/>
    <cellStyle name="Normale 5 2 4 12 20" xfId="37948"/>
    <cellStyle name="Normale 5 2 4 12 3" xfId="2768"/>
    <cellStyle name="Normale 5 2 4 12 3 2" xfId="10231"/>
    <cellStyle name="Normale 5 2 4 12 3 3" xfId="17639"/>
    <cellStyle name="Normale 5 2 4 12 3 4" xfId="24802"/>
    <cellStyle name="Normale 5 2 4 12 4" xfId="3682"/>
    <cellStyle name="Normale 5 2 4 12 4 2" xfId="11145"/>
    <cellStyle name="Normale 5 2 4 12 4 3" xfId="18553"/>
    <cellStyle name="Normale 5 2 4 12 4 4" xfId="25086"/>
    <cellStyle name="Normale 5 2 4 12 5" xfId="4623"/>
    <cellStyle name="Normale 5 2 4 12 5 2" xfId="12086"/>
    <cellStyle name="Normale 5 2 4 12 5 3" xfId="19494"/>
    <cellStyle name="Normale 5 2 4 12 5 4" xfId="27012"/>
    <cellStyle name="Normale 5 2 4 12 6" xfId="5537"/>
    <cellStyle name="Normale 5 2 4 12 6 2" xfId="13000"/>
    <cellStyle name="Normale 5 2 4 12 6 3" xfId="20408"/>
    <cellStyle name="Normale 5 2 4 12 6 4" xfId="27176"/>
    <cellStyle name="Normale 5 2 4 12 7" xfId="6472"/>
    <cellStyle name="Normale 5 2 4 12 7 2" xfId="13935"/>
    <cellStyle name="Normale 5 2 4 12 7 3" xfId="21343"/>
    <cellStyle name="Normale 5 2 4 12 7 4" xfId="23259"/>
    <cellStyle name="Normale 5 2 4 12 8" xfId="7370"/>
    <cellStyle name="Normale 5 2 4 12 8 2" xfId="14833"/>
    <cellStyle name="Normale 5 2 4 12 8 3" xfId="22241"/>
    <cellStyle name="Normale 5 2 4 12 8 4" xfId="28027"/>
    <cellStyle name="Normale 5 2 4 12 9" xfId="8333"/>
    <cellStyle name="Normale 5 2 4 13" xfId="940"/>
    <cellStyle name="Normale 5 2 4 13 10" xfId="15811"/>
    <cellStyle name="Normale 5 2 4 13 11" xfId="22852"/>
    <cellStyle name="Normale 5 2 4 13 12" xfId="30606"/>
    <cellStyle name="Normale 5 2 4 13 13" xfId="31554"/>
    <cellStyle name="Normale 5 2 4 13 14" xfId="32465"/>
    <cellStyle name="Normale 5 2 4 13 15" xfId="33375"/>
    <cellStyle name="Normale 5 2 4 13 16" xfId="34338"/>
    <cellStyle name="Normale 5 2 4 13 17" xfId="35270"/>
    <cellStyle name="Normale 5 2 4 13 18" xfId="36195"/>
    <cellStyle name="Normale 5 2 4 13 19" xfId="37121"/>
    <cellStyle name="Normale 5 2 4 13 2" xfId="1905"/>
    <cellStyle name="Normale 5 2 4 13 2 2" xfId="9368"/>
    <cellStyle name="Normale 5 2 4 13 2 3" xfId="16776"/>
    <cellStyle name="Normale 5 2 4 13 2 4" xfId="28558"/>
    <cellStyle name="Normale 5 2 4 13 20" xfId="38014"/>
    <cellStyle name="Normale 5 2 4 13 3" xfId="2837"/>
    <cellStyle name="Normale 5 2 4 13 3 2" xfId="10300"/>
    <cellStyle name="Normale 5 2 4 13 3 3" xfId="17708"/>
    <cellStyle name="Normale 5 2 4 13 3 4" xfId="27245"/>
    <cellStyle name="Normale 5 2 4 13 4" xfId="3752"/>
    <cellStyle name="Normale 5 2 4 13 4 2" xfId="11215"/>
    <cellStyle name="Normale 5 2 4 13 4 3" xfId="18623"/>
    <cellStyle name="Normale 5 2 4 13 4 4" xfId="26309"/>
    <cellStyle name="Normale 5 2 4 13 5" xfId="4693"/>
    <cellStyle name="Normale 5 2 4 13 5 2" xfId="12156"/>
    <cellStyle name="Normale 5 2 4 13 5 3" xfId="19564"/>
    <cellStyle name="Normale 5 2 4 13 5 4" xfId="28840"/>
    <cellStyle name="Normale 5 2 4 13 6" xfId="5607"/>
    <cellStyle name="Normale 5 2 4 13 6 2" xfId="13070"/>
    <cellStyle name="Normale 5 2 4 13 6 3" xfId="20478"/>
    <cellStyle name="Normale 5 2 4 13 6 4" xfId="23000"/>
    <cellStyle name="Normale 5 2 4 13 7" xfId="6542"/>
    <cellStyle name="Normale 5 2 4 13 7 2" xfId="14005"/>
    <cellStyle name="Normale 5 2 4 13 7 3" xfId="21413"/>
    <cellStyle name="Normale 5 2 4 13 7 4" xfId="26045"/>
    <cellStyle name="Normale 5 2 4 13 8" xfId="7436"/>
    <cellStyle name="Normale 5 2 4 13 8 2" xfId="14899"/>
    <cellStyle name="Normale 5 2 4 13 8 3" xfId="22307"/>
    <cellStyle name="Normale 5 2 4 13 8 4" xfId="27594"/>
    <cellStyle name="Normale 5 2 4 13 9" xfId="8403"/>
    <cellStyle name="Normale 5 2 4 14" xfId="1132"/>
    <cellStyle name="Normale 5 2 4 14 2" xfId="8595"/>
    <cellStyle name="Normale 5 2 4 14 3" xfId="16003"/>
    <cellStyle name="Normale 5 2 4 14 4" xfId="22690"/>
    <cellStyle name="Normale 5 2 4 15" xfId="2059"/>
    <cellStyle name="Normale 5 2 4 15 2" xfId="9522"/>
    <cellStyle name="Normale 5 2 4 15 3" xfId="16930"/>
    <cellStyle name="Normale 5 2 4 15 4" xfId="26031"/>
    <cellStyle name="Normale 5 2 4 16" xfId="2985"/>
    <cellStyle name="Normale 5 2 4 16 2" xfId="10448"/>
    <cellStyle name="Normale 5 2 4 16 3" xfId="17856"/>
    <cellStyle name="Normale 5 2 4 16 4" xfId="22644"/>
    <cellStyle name="Normale 5 2 4 17" xfId="3914"/>
    <cellStyle name="Normale 5 2 4 17 2" xfId="11377"/>
    <cellStyle name="Normale 5 2 4 17 3" xfId="18785"/>
    <cellStyle name="Normale 5 2 4 17 4" xfId="26308"/>
    <cellStyle name="Normale 5 2 4 18" xfId="4841"/>
    <cellStyle name="Normale 5 2 4 18 2" xfId="12304"/>
    <cellStyle name="Normale 5 2 4 18 3" xfId="19712"/>
    <cellStyle name="Normale 5 2 4 18 4" xfId="25356"/>
    <cellStyle name="Normale 5 2 4 19" xfId="5768"/>
    <cellStyle name="Normale 5 2 4 19 2" xfId="13231"/>
    <cellStyle name="Normale 5 2 4 19 3" xfId="20639"/>
    <cellStyle name="Normale 5 2 4 19 4" xfId="28795"/>
    <cellStyle name="Normale 5 2 4 2" xfId="160"/>
    <cellStyle name="Normale 5 2 4 2 10" xfId="6691"/>
    <cellStyle name="Normale 5 2 4 2 10 2" xfId="14154"/>
    <cellStyle name="Normale 5 2 4 2 10 3" xfId="21562"/>
    <cellStyle name="Normale 5 2 4 2 10 4" xfId="27126"/>
    <cellStyle name="Normale 5 2 4 2 11" xfId="7625"/>
    <cellStyle name="Normale 5 2 4 2 12" xfId="15034"/>
    <cellStyle name="Normale 5 2 4 2 13" xfId="23449"/>
    <cellStyle name="Normale 5 2 4 2 14" xfId="29851"/>
    <cellStyle name="Normale 5 2 4 2 15" xfId="30781"/>
    <cellStyle name="Normale 5 2 4 2 16" xfId="31704"/>
    <cellStyle name="Normale 5 2 4 2 17" xfId="32630"/>
    <cellStyle name="Normale 5 2 4 2 18" xfId="33564"/>
    <cellStyle name="Normale 5 2 4 2 19" xfId="34492"/>
    <cellStyle name="Normale 5 2 4 2 2" xfId="161"/>
    <cellStyle name="Normale 5 2 4 2 2 10" xfId="7626"/>
    <cellStyle name="Normale 5 2 4 2 2 11" xfId="15035"/>
    <cellStyle name="Normale 5 2 4 2 2 12" xfId="23251"/>
    <cellStyle name="Normale 5 2 4 2 2 13" xfId="29852"/>
    <cellStyle name="Normale 5 2 4 2 2 14" xfId="30782"/>
    <cellStyle name="Normale 5 2 4 2 2 15" xfId="31705"/>
    <cellStyle name="Normale 5 2 4 2 2 16" xfId="32631"/>
    <cellStyle name="Normale 5 2 4 2 2 17" xfId="33565"/>
    <cellStyle name="Normale 5 2 4 2 2 18" xfId="34493"/>
    <cellStyle name="Normale 5 2 4 2 2 19" xfId="35421"/>
    <cellStyle name="Normale 5 2 4 2 2 2" xfId="359"/>
    <cellStyle name="Normale 5 2 4 2 2 2 10" xfId="15232"/>
    <cellStyle name="Normale 5 2 4 2 2 2 11" xfId="22521"/>
    <cellStyle name="Normale 5 2 4 2 2 2 12" xfId="30044"/>
    <cellStyle name="Normale 5 2 4 2 2 2 13" xfId="30976"/>
    <cellStyle name="Normale 5 2 4 2 2 2 14" xfId="31897"/>
    <cellStyle name="Normale 5 2 4 2 2 2 15" xfId="32822"/>
    <cellStyle name="Normale 5 2 4 2 2 2 16" xfId="33759"/>
    <cellStyle name="Normale 5 2 4 2 2 2 17" xfId="34689"/>
    <cellStyle name="Normale 5 2 4 2 2 2 18" xfId="35615"/>
    <cellStyle name="Normale 5 2 4 2 2 2 19" xfId="36541"/>
    <cellStyle name="Normale 5 2 4 2 2 2 2" xfId="1326"/>
    <cellStyle name="Normale 5 2 4 2 2 2 2 2" xfId="8789"/>
    <cellStyle name="Normale 5 2 4 2 2 2 2 3" xfId="16197"/>
    <cellStyle name="Normale 5 2 4 2 2 2 2 4" xfId="28561"/>
    <cellStyle name="Normale 5 2 4 2 2 2 20" xfId="37461"/>
    <cellStyle name="Normale 5 2 4 2 2 2 3" xfId="2257"/>
    <cellStyle name="Normale 5 2 4 2 2 2 3 2" xfId="9720"/>
    <cellStyle name="Normale 5 2 4 2 2 2 3 3" xfId="17128"/>
    <cellStyle name="Normale 5 2 4 2 2 2 3 4" xfId="25231"/>
    <cellStyle name="Normale 5 2 4 2 2 2 4" xfId="3179"/>
    <cellStyle name="Normale 5 2 4 2 2 2 4 2" xfId="10642"/>
    <cellStyle name="Normale 5 2 4 2 2 2 4 3" xfId="18050"/>
    <cellStyle name="Normale 5 2 4 2 2 2 4 4" xfId="29647"/>
    <cellStyle name="Normale 5 2 4 2 2 2 5" xfId="4112"/>
    <cellStyle name="Normale 5 2 4 2 2 2 5 2" xfId="11575"/>
    <cellStyle name="Normale 5 2 4 2 2 2 5 3" xfId="18983"/>
    <cellStyle name="Normale 5 2 4 2 2 2 5 4" xfId="26928"/>
    <cellStyle name="Normale 5 2 4 2 2 2 6" xfId="5035"/>
    <cellStyle name="Normale 5 2 4 2 2 2 6 2" xfId="12498"/>
    <cellStyle name="Normale 5 2 4 2 2 2 6 3" xfId="19906"/>
    <cellStyle name="Normale 5 2 4 2 2 2 6 4" xfId="23939"/>
    <cellStyle name="Normale 5 2 4 2 2 2 7" xfId="5963"/>
    <cellStyle name="Normale 5 2 4 2 2 2 7 2" xfId="13426"/>
    <cellStyle name="Normale 5 2 4 2 2 2 7 3" xfId="20834"/>
    <cellStyle name="Normale 5 2 4 2 2 2 7 4" xfId="22380"/>
    <cellStyle name="Normale 5 2 4 2 2 2 8" xfId="6883"/>
    <cellStyle name="Normale 5 2 4 2 2 2 8 2" xfId="14346"/>
    <cellStyle name="Normale 5 2 4 2 2 2 8 3" xfId="21754"/>
    <cellStyle name="Normale 5 2 4 2 2 2 8 4" xfId="26697"/>
    <cellStyle name="Normale 5 2 4 2 2 2 9" xfId="7822"/>
    <cellStyle name="Normale 5 2 4 2 2 20" xfId="36347"/>
    <cellStyle name="Normale 5 2 4 2 2 21" xfId="37270"/>
    <cellStyle name="Normale 5 2 4 2 2 3" xfId="1134"/>
    <cellStyle name="Normale 5 2 4 2 2 3 2" xfId="8597"/>
    <cellStyle name="Normale 5 2 4 2 2 3 3" xfId="16005"/>
    <cellStyle name="Normale 5 2 4 2 2 3 4" xfId="28210"/>
    <cellStyle name="Normale 5 2 4 2 2 4" xfId="2061"/>
    <cellStyle name="Normale 5 2 4 2 2 4 2" xfId="9524"/>
    <cellStyle name="Normale 5 2 4 2 2 4 3" xfId="16932"/>
    <cellStyle name="Normale 5 2 4 2 2 4 4" xfId="24195"/>
    <cellStyle name="Normale 5 2 4 2 2 5" xfId="2987"/>
    <cellStyle name="Normale 5 2 4 2 2 5 2" xfId="10450"/>
    <cellStyle name="Normale 5 2 4 2 2 5 3" xfId="17858"/>
    <cellStyle name="Normale 5 2 4 2 2 5 4" xfId="28164"/>
    <cellStyle name="Normale 5 2 4 2 2 6" xfId="3916"/>
    <cellStyle name="Normale 5 2 4 2 2 6 2" xfId="11379"/>
    <cellStyle name="Normale 5 2 4 2 2 6 3" xfId="18787"/>
    <cellStyle name="Normale 5 2 4 2 2 6 4" xfId="24465"/>
    <cellStyle name="Normale 5 2 4 2 2 7" xfId="4843"/>
    <cellStyle name="Normale 5 2 4 2 2 7 2" xfId="12306"/>
    <cellStyle name="Normale 5 2 4 2 2 7 3" xfId="19714"/>
    <cellStyle name="Normale 5 2 4 2 2 7 4" xfId="23521"/>
    <cellStyle name="Normale 5 2 4 2 2 8" xfId="5770"/>
    <cellStyle name="Normale 5 2 4 2 2 8 2" xfId="13233"/>
    <cellStyle name="Normale 5 2 4 2 2 8 3" xfId="20641"/>
    <cellStyle name="Normale 5 2 4 2 2 8 4" xfId="26965"/>
    <cellStyle name="Normale 5 2 4 2 2 9" xfId="6692"/>
    <cellStyle name="Normale 5 2 4 2 2 9 2" xfId="14155"/>
    <cellStyle name="Normale 5 2 4 2 2 9 3" xfId="21563"/>
    <cellStyle name="Normale 5 2 4 2 2 9 4" xfId="26674"/>
    <cellStyle name="Normale 5 2 4 2 20" xfId="35420"/>
    <cellStyle name="Normale 5 2 4 2 21" xfId="36346"/>
    <cellStyle name="Normale 5 2 4 2 22" xfId="37269"/>
    <cellStyle name="Normale 5 2 4 2 3" xfId="358"/>
    <cellStyle name="Normale 5 2 4 2 3 10" xfId="15231"/>
    <cellStyle name="Normale 5 2 4 2 3 11" xfId="23634"/>
    <cellStyle name="Normale 5 2 4 2 3 12" xfId="30043"/>
    <cellStyle name="Normale 5 2 4 2 3 13" xfId="30975"/>
    <cellStyle name="Normale 5 2 4 2 3 14" xfId="31896"/>
    <cellStyle name="Normale 5 2 4 2 3 15" xfId="32821"/>
    <cellStyle name="Normale 5 2 4 2 3 16" xfId="33758"/>
    <cellStyle name="Normale 5 2 4 2 3 17" xfId="34688"/>
    <cellStyle name="Normale 5 2 4 2 3 18" xfId="35614"/>
    <cellStyle name="Normale 5 2 4 2 3 19" xfId="36540"/>
    <cellStyle name="Normale 5 2 4 2 3 2" xfId="1325"/>
    <cellStyle name="Normale 5 2 4 2 3 2 2" xfId="8788"/>
    <cellStyle name="Normale 5 2 4 2 3 2 3" xfId="16196"/>
    <cellStyle name="Normale 5 2 4 2 3 2 4" xfId="29455"/>
    <cellStyle name="Normale 5 2 4 2 3 20" xfId="37460"/>
    <cellStyle name="Normale 5 2 4 2 3 3" xfId="2256"/>
    <cellStyle name="Normale 5 2 4 2 3 3 2" xfId="9719"/>
    <cellStyle name="Normale 5 2 4 2 3 3 3" xfId="17127"/>
    <cellStyle name="Normale 5 2 4 2 3 3 4" xfId="26154"/>
    <cellStyle name="Normale 5 2 4 2 3 4" xfId="3178"/>
    <cellStyle name="Normale 5 2 4 2 3 4 2" xfId="10641"/>
    <cellStyle name="Normale 5 2 4 2 3 4 3" xfId="18049"/>
    <cellStyle name="Normale 5 2 4 2 3 4 4" xfId="23217"/>
    <cellStyle name="Normale 5 2 4 2 3 5" xfId="4111"/>
    <cellStyle name="Normale 5 2 4 2 3 5 2" xfId="11574"/>
    <cellStyle name="Normale 5 2 4 2 3 5 3" xfId="18982"/>
    <cellStyle name="Normale 5 2 4 2 3 5 4" xfId="27830"/>
    <cellStyle name="Normale 5 2 4 2 3 6" xfId="5034"/>
    <cellStyle name="Normale 5 2 4 2 3 6 2" xfId="12497"/>
    <cellStyle name="Normale 5 2 4 2 3 6 3" xfId="19905"/>
    <cellStyle name="Normale 5 2 4 2 3 6 4" xfId="24864"/>
    <cellStyle name="Normale 5 2 4 2 3 7" xfId="5962"/>
    <cellStyle name="Normale 5 2 4 2 3 7 2" xfId="13425"/>
    <cellStyle name="Normale 5 2 4 2 3 7 3" xfId="20833"/>
    <cellStyle name="Normale 5 2 4 2 3 7 4" xfId="23495"/>
    <cellStyle name="Normale 5 2 4 2 3 8" xfId="6882"/>
    <cellStyle name="Normale 5 2 4 2 3 8 2" xfId="14345"/>
    <cellStyle name="Normale 5 2 4 2 3 8 3" xfId="21753"/>
    <cellStyle name="Normale 5 2 4 2 3 8 4" xfId="27601"/>
    <cellStyle name="Normale 5 2 4 2 3 9" xfId="7821"/>
    <cellStyle name="Normale 5 2 4 2 4" xfId="1133"/>
    <cellStyle name="Normale 5 2 4 2 4 2" xfId="8596"/>
    <cellStyle name="Normale 5 2 4 2 4 3" xfId="16004"/>
    <cellStyle name="Normale 5 2 4 2 4 4" xfId="29120"/>
    <cellStyle name="Normale 5 2 4 2 5" xfId="2060"/>
    <cellStyle name="Normale 5 2 4 2 5 2" xfId="9523"/>
    <cellStyle name="Normale 5 2 4 2 5 3" xfId="16931"/>
    <cellStyle name="Normale 5 2 4 2 5 4" xfId="25121"/>
    <cellStyle name="Normale 5 2 4 2 6" xfId="2986"/>
    <cellStyle name="Normale 5 2 4 2 6 2" xfId="10449"/>
    <cellStyle name="Normale 5 2 4 2 6 3" xfId="17857"/>
    <cellStyle name="Normale 5 2 4 2 6 4" xfId="29074"/>
    <cellStyle name="Normale 5 2 4 2 7" xfId="3915"/>
    <cellStyle name="Normale 5 2 4 2 7 2" xfId="11378"/>
    <cellStyle name="Normale 5 2 4 2 7 3" xfId="18786"/>
    <cellStyle name="Normale 5 2 4 2 7 4" xfId="25381"/>
    <cellStyle name="Normale 5 2 4 2 8" xfId="4842"/>
    <cellStyle name="Normale 5 2 4 2 8 2" xfId="12305"/>
    <cellStyle name="Normale 5 2 4 2 8 3" xfId="19713"/>
    <cellStyle name="Normale 5 2 4 2 8 4" xfId="24440"/>
    <cellStyle name="Normale 5 2 4 2 9" xfId="5769"/>
    <cellStyle name="Normale 5 2 4 2 9 2" xfId="13232"/>
    <cellStyle name="Normale 5 2 4 2 9 3" xfId="20640"/>
    <cellStyle name="Normale 5 2 4 2 9 4" xfId="27868"/>
    <cellStyle name="Normale 5 2 4 20" xfId="6690"/>
    <cellStyle name="Normale 5 2 4 20 2" xfId="14153"/>
    <cellStyle name="Normale 5 2 4 20 3" xfId="21561"/>
    <cellStyle name="Normale 5 2 4 20 4" xfId="28505"/>
    <cellStyle name="Normale 5 2 4 21" xfId="7624"/>
    <cellStyle name="Normale 5 2 4 22" xfId="15033"/>
    <cellStyle name="Normale 5 2 4 23" xfId="24366"/>
    <cellStyle name="Normale 5 2 4 24" xfId="29850"/>
    <cellStyle name="Normale 5 2 4 25" xfId="30780"/>
    <cellStyle name="Normale 5 2 4 26" xfId="31703"/>
    <cellStyle name="Normale 5 2 4 27" xfId="32629"/>
    <cellStyle name="Normale 5 2 4 28" xfId="33563"/>
    <cellStyle name="Normale 5 2 4 29" xfId="34491"/>
    <cellStyle name="Normale 5 2 4 3" xfId="162"/>
    <cellStyle name="Normale 5 2 4 3 10" xfId="7627"/>
    <cellStyle name="Normale 5 2 4 3 11" xfId="15036"/>
    <cellStyle name="Normale 5 2 4 3 12" xfId="29683"/>
    <cellStyle name="Normale 5 2 4 3 13" xfId="29853"/>
    <cellStyle name="Normale 5 2 4 3 14" xfId="30783"/>
    <cellStyle name="Normale 5 2 4 3 15" xfId="31706"/>
    <cellStyle name="Normale 5 2 4 3 16" xfId="32632"/>
    <cellStyle name="Normale 5 2 4 3 17" xfId="33566"/>
    <cellStyle name="Normale 5 2 4 3 18" xfId="34494"/>
    <cellStyle name="Normale 5 2 4 3 19" xfId="35422"/>
    <cellStyle name="Normale 5 2 4 3 2" xfId="360"/>
    <cellStyle name="Normale 5 2 4 3 2 10" xfId="15233"/>
    <cellStyle name="Normale 5 2 4 3 2 11" xfId="22518"/>
    <cellStyle name="Normale 5 2 4 3 2 12" xfId="30045"/>
    <cellStyle name="Normale 5 2 4 3 2 13" xfId="30977"/>
    <cellStyle name="Normale 5 2 4 3 2 14" xfId="31898"/>
    <cellStyle name="Normale 5 2 4 3 2 15" xfId="32823"/>
    <cellStyle name="Normale 5 2 4 3 2 16" xfId="33760"/>
    <cellStyle name="Normale 5 2 4 3 2 17" xfId="34690"/>
    <cellStyle name="Normale 5 2 4 3 2 18" xfId="35616"/>
    <cellStyle name="Normale 5 2 4 3 2 19" xfId="36542"/>
    <cellStyle name="Normale 5 2 4 3 2 2" xfId="1327"/>
    <cellStyle name="Normale 5 2 4 3 2 2 2" xfId="8790"/>
    <cellStyle name="Normale 5 2 4 3 2 2 3" xfId="16198"/>
    <cellStyle name="Normale 5 2 4 3 2 2 4" xfId="27635"/>
    <cellStyle name="Normale 5 2 4 3 2 20" xfId="37462"/>
    <cellStyle name="Normale 5 2 4 3 2 3" xfId="2258"/>
    <cellStyle name="Normale 5 2 4 3 2 3 2" xfId="9721"/>
    <cellStyle name="Normale 5 2 4 3 2 3 3" xfId="17129"/>
    <cellStyle name="Normale 5 2 4 3 2 3 4" xfId="24312"/>
    <cellStyle name="Normale 5 2 4 3 2 4" xfId="3180"/>
    <cellStyle name="Normale 5 2 4 3 2 4 2" xfId="10643"/>
    <cellStyle name="Normale 5 2 4 3 2 4 3" xfId="18051"/>
    <cellStyle name="Normale 5 2 4 3 2 4 4" xfId="28762"/>
    <cellStyle name="Normale 5 2 4 3 2 5" xfId="4113"/>
    <cellStyle name="Normale 5 2 4 3 2 5 2" xfId="11576"/>
    <cellStyle name="Normale 5 2 4 3 2 5 3" xfId="18984"/>
    <cellStyle name="Normale 5 2 4 3 2 5 4" xfId="25994"/>
    <cellStyle name="Normale 5 2 4 3 2 6" xfId="5036"/>
    <cellStyle name="Normale 5 2 4 3 2 6 2" xfId="12499"/>
    <cellStyle name="Normale 5 2 4 3 2 6 3" xfId="19907"/>
    <cellStyle name="Normale 5 2 4 3 2 6 4" xfId="22384"/>
    <cellStyle name="Normale 5 2 4 3 2 7" xfId="5964"/>
    <cellStyle name="Normale 5 2 4 3 2 7 2" xfId="13427"/>
    <cellStyle name="Normale 5 2 4 3 2 7 3" xfId="20835"/>
    <cellStyle name="Normale 5 2 4 3 2 7 4" xfId="22377"/>
    <cellStyle name="Normale 5 2 4 3 2 8" xfId="6884"/>
    <cellStyle name="Normale 5 2 4 3 2 8 2" xfId="14347"/>
    <cellStyle name="Normale 5 2 4 3 2 8 3" xfId="21755"/>
    <cellStyle name="Normale 5 2 4 3 2 8 4" xfId="25765"/>
    <cellStyle name="Normale 5 2 4 3 2 9" xfId="7823"/>
    <cellStyle name="Normale 5 2 4 3 20" xfId="36348"/>
    <cellStyle name="Normale 5 2 4 3 21" xfId="37271"/>
    <cellStyle name="Normale 5 2 4 3 3" xfId="1135"/>
    <cellStyle name="Normale 5 2 4 3 3 2" xfId="8598"/>
    <cellStyle name="Normale 5 2 4 3 3 3" xfId="16006"/>
    <cellStyle name="Normale 5 2 4 3 3 4" xfId="27288"/>
    <cellStyle name="Normale 5 2 4 3 4" xfId="2062"/>
    <cellStyle name="Normale 5 2 4 3 4 2" xfId="9525"/>
    <cellStyle name="Normale 5 2 4 3 4 3" xfId="16933"/>
    <cellStyle name="Normale 5 2 4 3 4 4" xfId="23189"/>
    <cellStyle name="Normale 5 2 4 3 5" xfId="2988"/>
    <cellStyle name="Normale 5 2 4 3 5 2" xfId="10451"/>
    <cellStyle name="Normale 5 2 4 3 5 3" xfId="17859"/>
    <cellStyle name="Normale 5 2 4 3 5 4" xfId="27242"/>
    <cellStyle name="Normale 5 2 4 3 6" xfId="3917"/>
    <cellStyle name="Normale 5 2 4 3 6 2" xfId="11380"/>
    <cellStyle name="Normale 5 2 4 3 6 3" xfId="18788"/>
    <cellStyle name="Normale 5 2 4 3 6 4" xfId="23546"/>
    <cellStyle name="Normale 5 2 4 3 7" xfId="4844"/>
    <cellStyle name="Normale 5 2 4 3 7 2" xfId="12307"/>
    <cellStyle name="Normale 5 2 4 3 7 3" xfId="19715"/>
    <cellStyle name="Normale 5 2 4 3 7 4" xfId="28838"/>
    <cellStyle name="Normale 5 2 4 3 8" xfId="5771"/>
    <cellStyle name="Normale 5 2 4 3 8 2" xfId="13234"/>
    <cellStyle name="Normale 5 2 4 3 8 3" xfId="20642"/>
    <cellStyle name="Normale 5 2 4 3 8 4" xfId="26032"/>
    <cellStyle name="Normale 5 2 4 3 9" xfId="6693"/>
    <cellStyle name="Normale 5 2 4 3 9 2" xfId="14156"/>
    <cellStyle name="Normale 5 2 4 3 9 3" xfId="21564"/>
    <cellStyle name="Normale 5 2 4 3 9 4" xfId="25948"/>
    <cellStyle name="Normale 5 2 4 30" xfId="35419"/>
    <cellStyle name="Normale 5 2 4 31" xfId="36345"/>
    <cellStyle name="Normale 5 2 4 32" xfId="37268"/>
    <cellStyle name="Normale 5 2 4 4" xfId="357"/>
    <cellStyle name="Normale 5 2 4 4 10" xfId="15230"/>
    <cellStyle name="Normale 5 2 4 4 11" xfId="24556"/>
    <cellStyle name="Normale 5 2 4 4 12" xfId="30042"/>
    <cellStyle name="Normale 5 2 4 4 13" xfId="30974"/>
    <cellStyle name="Normale 5 2 4 4 14" xfId="31895"/>
    <cellStyle name="Normale 5 2 4 4 15" xfId="32820"/>
    <cellStyle name="Normale 5 2 4 4 16" xfId="33757"/>
    <cellStyle name="Normale 5 2 4 4 17" xfId="34687"/>
    <cellStyle name="Normale 5 2 4 4 18" xfId="35613"/>
    <cellStyle name="Normale 5 2 4 4 19" xfId="36539"/>
    <cellStyle name="Normale 5 2 4 4 2" xfId="1324"/>
    <cellStyle name="Normale 5 2 4 4 2 2" xfId="8787"/>
    <cellStyle name="Normale 5 2 4 4 2 3" xfId="16195"/>
    <cellStyle name="Normale 5 2 4 4 2 4" xfId="23026"/>
    <cellStyle name="Normale 5 2 4 4 20" xfId="37459"/>
    <cellStyle name="Normale 5 2 4 4 3" xfId="2255"/>
    <cellStyle name="Normale 5 2 4 4 3 2" xfId="9718"/>
    <cellStyle name="Normale 5 2 4 4 3 3" xfId="17126"/>
    <cellStyle name="Normale 5 2 4 4 3 4" xfId="27072"/>
    <cellStyle name="Normale 5 2 4 4 4" xfId="3177"/>
    <cellStyle name="Normale 5 2 4 4 4 2" xfId="10640"/>
    <cellStyle name="Normale 5 2 4 4 4 3" xfId="18048"/>
    <cellStyle name="Normale 5 2 4 4 4 4" xfId="23371"/>
    <cellStyle name="Normale 5 2 4 4 5" xfId="4110"/>
    <cellStyle name="Normale 5 2 4 4 5 2" xfId="11573"/>
    <cellStyle name="Normale 5 2 4 4 5 3" xfId="18981"/>
    <cellStyle name="Normale 5 2 4 4 5 4" xfId="28757"/>
    <cellStyle name="Normale 5 2 4 4 6" xfId="5033"/>
    <cellStyle name="Normale 5 2 4 4 6 2" xfId="12496"/>
    <cellStyle name="Normale 5 2 4 4 6 3" xfId="19904"/>
    <cellStyle name="Normale 5 2 4 4 6 4" xfId="25776"/>
    <cellStyle name="Normale 5 2 4 4 7" xfId="5961"/>
    <cellStyle name="Normale 5 2 4 4 7 2" xfId="13424"/>
    <cellStyle name="Normale 5 2 4 4 7 3" xfId="20832"/>
    <cellStyle name="Normale 5 2 4 4 7 4" xfId="24414"/>
    <cellStyle name="Normale 5 2 4 4 8" xfId="6881"/>
    <cellStyle name="Normale 5 2 4 4 8 2" xfId="14344"/>
    <cellStyle name="Normale 5 2 4 4 8 3" xfId="21752"/>
    <cellStyle name="Normale 5 2 4 4 8 4" xfId="28527"/>
    <cellStyle name="Normale 5 2 4 4 9" xfId="7820"/>
    <cellStyle name="Normale 5 2 4 5" xfId="439"/>
    <cellStyle name="Normale 5 2 4 5 10" xfId="15312"/>
    <cellStyle name="Normale 5 2 4 5 11" xfId="23892"/>
    <cellStyle name="Normale 5 2 4 5 12" xfId="30124"/>
    <cellStyle name="Normale 5 2 4 5 13" xfId="31056"/>
    <cellStyle name="Normale 5 2 4 5 14" xfId="31977"/>
    <cellStyle name="Normale 5 2 4 5 15" xfId="32901"/>
    <cellStyle name="Normale 5 2 4 5 16" xfId="33839"/>
    <cellStyle name="Normale 5 2 4 5 17" xfId="34769"/>
    <cellStyle name="Normale 5 2 4 5 18" xfId="35695"/>
    <cellStyle name="Normale 5 2 4 5 19" xfId="36621"/>
    <cellStyle name="Normale 5 2 4 5 2" xfId="1406"/>
    <cellStyle name="Normale 5 2 4 5 2 2" xfId="8869"/>
    <cellStyle name="Normale 5 2 4 5 2 3" xfId="16277"/>
    <cellStyle name="Normale 5 2 4 5 2 4" xfId="28204"/>
    <cellStyle name="Normale 5 2 4 5 20" xfId="37540"/>
    <cellStyle name="Normale 5 2 4 5 3" xfId="2337"/>
    <cellStyle name="Normale 5 2 4 5 3 2" xfId="9800"/>
    <cellStyle name="Normale 5 2 4 5 3 3" xfId="17208"/>
    <cellStyle name="Normale 5 2 4 5 3 4" xfId="25659"/>
    <cellStyle name="Normale 5 2 4 5 4" xfId="3259"/>
    <cellStyle name="Normale 5 2 4 5 4 2" xfId="10722"/>
    <cellStyle name="Normale 5 2 4 5 4 3" xfId="18130"/>
    <cellStyle name="Normale 5 2 4 5 4 4" xfId="24021"/>
    <cellStyle name="Normale 5 2 4 5 5" xfId="4192"/>
    <cellStyle name="Normale 5 2 4 5 5 2" xfId="11655"/>
    <cellStyle name="Normale 5 2 4 5 5 3" xfId="19063"/>
    <cellStyle name="Normale 5 2 4 5 5 4" xfId="25182"/>
    <cellStyle name="Normale 5 2 4 5 6" xfId="5115"/>
    <cellStyle name="Normale 5 2 4 5 6 2" xfId="12578"/>
    <cellStyle name="Normale 5 2 4 5 6 3" xfId="19986"/>
    <cellStyle name="Normale 5 2 4 5 6 4" xfId="23515"/>
    <cellStyle name="Normale 5 2 4 5 7" xfId="6043"/>
    <cellStyle name="Normale 5 2 4 5 7 2" xfId="13506"/>
    <cellStyle name="Normale 5 2 4 5 7 3" xfId="20914"/>
    <cellStyle name="Normale 5 2 4 5 7 4" xfId="23857"/>
    <cellStyle name="Normale 5 2 4 5 8" xfId="6962"/>
    <cellStyle name="Normale 5 2 4 5 8 2" xfId="14425"/>
    <cellStyle name="Normale 5 2 4 5 8 3" xfId="21833"/>
    <cellStyle name="Normale 5 2 4 5 8 4" xfId="24973"/>
    <cellStyle name="Normale 5 2 4 5 9" xfId="7902"/>
    <cellStyle name="Normale 5 2 4 6" xfId="487"/>
    <cellStyle name="Normale 5 2 4 6 10" xfId="15360"/>
    <cellStyle name="Normale 5 2 4 6 11" xfId="22707"/>
    <cellStyle name="Normale 5 2 4 6 12" xfId="30172"/>
    <cellStyle name="Normale 5 2 4 6 13" xfId="31104"/>
    <cellStyle name="Normale 5 2 4 6 14" xfId="32025"/>
    <cellStyle name="Normale 5 2 4 6 15" xfId="32948"/>
    <cellStyle name="Normale 5 2 4 6 16" xfId="33887"/>
    <cellStyle name="Normale 5 2 4 6 17" xfId="34817"/>
    <cellStyle name="Normale 5 2 4 6 18" xfId="35743"/>
    <cellStyle name="Normale 5 2 4 6 19" xfId="36669"/>
    <cellStyle name="Normale 5 2 4 6 2" xfId="1454"/>
    <cellStyle name="Normale 5 2 4 6 2 2" xfId="8917"/>
    <cellStyle name="Normale 5 2 4 6 2 3" xfId="16325"/>
    <cellStyle name="Normale 5 2 4 6 2 4" xfId="26671"/>
    <cellStyle name="Normale 5 2 4 6 20" xfId="37587"/>
    <cellStyle name="Normale 5 2 4 6 3" xfId="2385"/>
    <cellStyle name="Normale 5 2 4 6 3 2" xfId="9848"/>
    <cellStyle name="Normale 5 2 4 6 3 3" xfId="17256"/>
    <cellStyle name="Normale 5 2 4 6 3 4" xfId="24505"/>
    <cellStyle name="Normale 5 2 4 6 4" xfId="3307"/>
    <cellStyle name="Normale 5 2 4 6 4 2" xfId="10770"/>
    <cellStyle name="Normale 5 2 4 6 4 3" xfId="18178"/>
    <cellStyle name="Normale 5 2 4 6 4 4" xfId="26030"/>
    <cellStyle name="Normale 5 2 4 6 5" xfId="4240"/>
    <cellStyle name="Normale 5 2 4 6 5 2" xfId="11703"/>
    <cellStyle name="Normale 5 2 4 6 5 3" xfId="19111"/>
    <cellStyle name="Normale 5 2 4 6 5 4" xfId="26102"/>
    <cellStyle name="Normale 5 2 4 6 6" xfId="5163"/>
    <cellStyle name="Normale 5 2 4 6 6 2" xfId="12626"/>
    <cellStyle name="Normale 5 2 4 6 6 3" xfId="20034"/>
    <cellStyle name="Normale 5 2 4 6 6 4" xfId="29348"/>
    <cellStyle name="Normale 5 2 4 6 7" xfId="6091"/>
    <cellStyle name="Normale 5 2 4 6 7 2" xfId="13554"/>
    <cellStyle name="Normale 5 2 4 6 7 3" xfId="20962"/>
    <cellStyle name="Normale 5 2 4 6 7 4" xfId="22565"/>
    <cellStyle name="Normale 5 2 4 6 8" xfId="7009"/>
    <cellStyle name="Normale 5 2 4 6 8 2" xfId="14472"/>
    <cellStyle name="Normale 5 2 4 6 8 3" xfId="21880"/>
    <cellStyle name="Normale 5 2 4 6 8 4" xfId="25533"/>
    <cellStyle name="Normale 5 2 4 6 9" xfId="7950"/>
    <cellStyle name="Normale 5 2 4 7" xfId="535"/>
    <cellStyle name="Normale 5 2 4 7 10" xfId="15408"/>
    <cellStyle name="Normale 5 2 4 7 11" xfId="23439"/>
    <cellStyle name="Normale 5 2 4 7 12" xfId="30219"/>
    <cellStyle name="Normale 5 2 4 7 13" xfId="31152"/>
    <cellStyle name="Normale 5 2 4 7 14" xfId="32072"/>
    <cellStyle name="Normale 5 2 4 7 15" xfId="32994"/>
    <cellStyle name="Normale 5 2 4 7 16" xfId="33935"/>
    <cellStyle name="Normale 5 2 4 7 17" xfId="34865"/>
    <cellStyle name="Normale 5 2 4 7 18" xfId="35791"/>
    <cellStyle name="Normale 5 2 4 7 19" xfId="36717"/>
    <cellStyle name="Normale 5 2 4 7 2" xfId="1502"/>
    <cellStyle name="Normale 5 2 4 7 2 2" xfId="8965"/>
    <cellStyle name="Normale 5 2 4 7 2 3" xfId="16373"/>
    <cellStyle name="Normale 5 2 4 7 2 4" xfId="26653"/>
    <cellStyle name="Normale 5 2 4 7 20" xfId="37633"/>
    <cellStyle name="Normale 5 2 4 7 3" xfId="2433"/>
    <cellStyle name="Normale 5 2 4 7 3 2" xfId="9896"/>
    <cellStyle name="Normale 5 2 4 7 3 3" xfId="17304"/>
    <cellStyle name="Normale 5 2 4 7 3 4" xfId="26004"/>
    <cellStyle name="Normale 5 2 4 7 4" xfId="3354"/>
    <cellStyle name="Normale 5 2 4 7 4 2" xfId="10817"/>
    <cellStyle name="Normale 5 2 4 7 4 3" xfId="18225"/>
    <cellStyle name="Normale 5 2 4 7 4 4" xfId="26127"/>
    <cellStyle name="Normale 5 2 4 7 5" xfId="4288"/>
    <cellStyle name="Normale 5 2 4 7 5 2" xfId="11751"/>
    <cellStyle name="Normale 5 2 4 7 5 3" xfId="19159"/>
    <cellStyle name="Normale 5 2 4 7 5 4" xfId="23868"/>
    <cellStyle name="Normale 5 2 4 7 6" xfId="5210"/>
    <cellStyle name="Normale 5 2 4 7 6 2" xfId="12673"/>
    <cellStyle name="Normale 5 2 4 7 6 3" xfId="20081"/>
    <cellStyle name="Normale 5 2 4 7 6 4" xfId="22876"/>
    <cellStyle name="Normale 5 2 4 7 7" xfId="6139"/>
    <cellStyle name="Normale 5 2 4 7 7 2" xfId="13602"/>
    <cellStyle name="Normale 5 2 4 7 7 3" xfId="21010"/>
    <cellStyle name="Normale 5 2 4 7 7 4" xfId="23296"/>
    <cellStyle name="Normale 5 2 4 7 8" xfId="7055"/>
    <cellStyle name="Normale 5 2 4 7 8 2" xfId="14518"/>
    <cellStyle name="Normale 5 2 4 7 8 3" xfId="21926"/>
    <cellStyle name="Normale 5 2 4 7 8 4" xfId="27466"/>
    <cellStyle name="Normale 5 2 4 7 9" xfId="7998"/>
    <cellStyle name="Normale 5 2 4 8" xfId="587"/>
    <cellStyle name="Normale 5 2 4 8 10" xfId="15460"/>
    <cellStyle name="Normale 5 2 4 8 11" xfId="24758"/>
    <cellStyle name="Normale 5 2 4 8 12" xfId="30270"/>
    <cellStyle name="Normale 5 2 4 8 13" xfId="31204"/>
    <cellStyle name="Normale 5 2 4 8 14" xfId="32123"/>
    <cellStyle name="Normale 5 2 4 8 15" xfId="33044"/>
    <cellStyle name="Normale 5 2 4 8 16" xfId="33987"/>
    <cellStyle name="Normale 5 2 4 8 17" xfId="34917"/>
    <cellStyle name="Normale 5 2 4 8 18" xfId="35843"/>
    <cellStyle name="Normale 5 2 4 8 19" xfId="36769"/>
    <cellStyle name="Normale 5 2 4 8 2" xfId="1554"/>
    <cellStyle name="Normale 5 2 4 8 2 2" xfId="9017"/>
    <cellStyle name="Normale 5 2 4 8 2 3" xfId="16425"/>
    <cellStyle name="Normale 5 2 4 8 2 4" xfId="29111"/>
    <cellStyle name="Normale 5 2 4 8 20" xfId="37683"/>
    <cellStyle name="Normale 5 2 4 8 3" xfId="2485"/>
    <cellStyle name="Normale 5 2 4 8 3 2" xfId="9948"/>
    <cellStyle name="Normale 5 2 4 8 3 3" xfId="17356"/>
    <cellStyle name="Normale 5 2 4 8 3 4" xfId="29227"/>
    <cellStyle name="Normale 5 2 4 8 4" xfId="3405"/>
    <cellStyle name="Normale 5 2 4 8 4 2" xfId="10868"/>
    <cellStyle name="Normale 5 2 4 8 4 3" xfId="18276"/>
    <cellStyle name="Normale 5 2 4 8 4 4" xfId="29063"/>
    <cellStyle name="Normale 5 2 4 8 5" xfId="4340"/>
    <cellStyle name="Normale 5 2 4 8 5 2" xfId="11803"/>
    <cellStyle name="Normale 5 2 4 8 5 3" xfId="19211"/>
    <cellStyle name="Normale 5 2 4 8 5 4" xfId="26297"/>
    <cellStyle name="Normale 5 2 4 8 6" xfId="5261"/>
    <cellStyle name="Normale 5 2 4 8 6 2" xfId="12724"/>
    <cellStyle name="Normale 5 2 4 8 6 3" xfId="20132"/>
    <cellStyle name="Normale 5 2 4 8 6 4" xfId="26274"/>
    <cellStyle name="Normale 5 2 4 8 7" xfId="6191"/>
    <cellStyle name="Normale 5 2 4 8 7 2" xfId="13654"/>
    <cellStyle name="Normale 5 2 4 8 7 3" xfId="21062"/>
    <cellStyle name="Normale 5 2 4 8 7 4" xfId="27421"/>
    <cellStyle name="Normale 5 2 4 8 8" xfId="7105"/>
    <cellStyle name="Normale 5 2 4 8 8 2" xfId="14568"/>
    <cellStyle name="Normale 5 2 4 8 8 3" xfId="21976"/>
    <cellStyle name="Normale 5 2 4 8 8 4" xfId="18658"/>
    <cellStyle name="Normale 5 2 4 8 9" xfId="8050"/>
    <cellStyle name="Normale 5 2 4 9" xfId="647"/>
    <cellStyle name="Normale 5 2 4 9 10" xfId="15519"/>
    <cellStyle name="Normale 5 2 4 9 11" xfId="28222"/>
    <cellStyle name="Normale 5 2 4 9 12" xfId="30326"/>
    <cellStyle name="Normale 5 2 4 9 13" xfId="31263"/>
    <cellStyle name="Normale 5 2 4 9 14" xfId="32180"/>
    <cellStyle name="Normale 5 2 4 9 15" xfId="33099"/>
    <cellStyle name="Normale 5 2 4 9 16" xfId="34046"/>
    <cellStyle name="Normale 5 2 4 9 17" xfId="34977"/>
    <cellStyle name="Normale 5 2 4 9 18" xfId="35903"/>
    <cellStyle name="Normale 5 2 4 9 19" xfId="36828"/>
    <cellStyle name="Normale 5 2 4 9 2" xfId="1613"/>
    <cellStyle name="Normale 5 2 4 9 2 2" xfId="9076"/>
    <cellStyle name="Normale 5 2 4 9 2 3" xfId="16484"/>
    <cellStyle name="Normale 5 2 4 9 2 4" xfId="27776"/>
    <cellStyle name="Normale 5 2 4 9 20" xfId="37738"/>
    <cellStyle name="Normale 5 2 4 9 3" xfId="2545"/>
    <cellStyle name="Normale 5 2 4 9 3 2" xfId="10008"/>
    <cellStyle name="Normale 5 2 4 9 3 3" xfId="17416"/>
    <cellStyle name="Normale 5 2 4 9 3 4" xfId="24305"/>
    <cellStyle name="Normale 5 2 4 9 4" xfId="3463"/>
    <cellStyle name="Normale 5 2 4 9 4 2" xfId="10926"/>
    <cellStyle name="Normale 5 2 4 9 4 3" xfId="18334"/>
    <cellStyle name="Normale 5 2 4 9 4 4" xfId="27391"/>
    <cellStyle name="Normale 5 2 4 9 5" xfId="4400"/>
    <cellStyle name="Normale 5 2 4 9 5 2" xfId="11863"/>
    <cellStyle name="Normale 5 2 4 9 5 3" xfId="19271"/>
    <cellStyle name="Normale 5 2 4 9 5 4" xfId="24087"/>
    <cellStyle name="Normale 5 2 4 9 6" xfId="5318"/>
    <cellStyle name="Normale 5 2 4 9 6 2" xfId="12781"/>
    <cellStyle name="Normale 5 2 4 9 6 3" xfId="20189"/>
    <cellStyle name="Normale 5 2 4 9 6 4" xfId="26851"/>
    <cellStyle name="Normale 5 2 4 9 7" xfId="6251"/>
    <cellStyle name="Normale 5 2 4 9 7 2" xfId="13714"/>
    <cellStyle name="Normale 5 2 4 9 7 3" xfId="21122"/>
    <cellStyle name="Normale 5 2 4 9 7 4" xfId="23485"/>
    <cellStyle name="Normale 5 2 4 9 8" xfId="7160"/>
    <cellStyle name="Normale 5 2 4 9 8 2" xfId="14623"/>
    <cellStyle name="Normale 5 2 4 9 8 3" xfId="22031"/>
    <cellStyle name="Normale 5 2 4 9 8 4" xfId="27136"/>
    <cellStyle name="Normale 5 2 4 9 9" xfId="8110"/>
    <cellStyle name="Normale 5 2 5" xfId="163"/>
    <cellStyle name="Normale 5 2 5 10" xfId="1136"/>
    <cellStyle name="Normale 5 2 5 10 2" xfId="8599"/>
    <cellStyle name="Normale 5 2 5 10 3" xfId="16007"/>
    <cellStyle name="Normale 5 2 5 10 4" xfId="26378"/>
    <cellStyle name="Normale 5 2 5 11" xfId="2063"/>
    <cellStyle name="Normale 5 2 5 11 2" xfId="9526"/>
    <cellStyle name="Normale 5 2 5 11 3" xfId="16934"/>
    <cellStyle name="Normale 5 2 5 11 4" xfId="29619"/>
    <cellStyle name="Normale 5 2 5 12" xfId="2989"/>
    <cellStyle name="Normale 5 2 5 12 2" xfId="10452"/>
    <cellStyle name="Normale 5 2 5 12 3" xfId="17860"/>
    <cellStyle name="Normale 5 2 5 12 4" xfId="26332"/>
    <cellStyle name="Normale 5 2 5 13" xfId="3918"/>
    <cellStyle name="Normale 5 2 5 13 2" xfId="11381"/>
    <cellStyle name="Normale 5 2 5 13 3" xfId="18789"/>
    <cellStyle name="Normale 5 2 5 13 4" xfId="22431"/>
    <cellStyle name="Normale 5 2 5 14" xfId="4845"/>
    <cellStyle name="Normale 5 2 5 14 2" xfId="12308"/>
    <cellStyle name="Normale 5 2 5 14 3" xfId="19716"/>
    <cellStyle name="Normale 5 2 5 14 4" xfId="27925"/>
    <cellStyle name="Normale 5 2 5 15" xfId="5772"/>
    <cellStyle name="Normale 5 2 5 15 2" xfId="13235"/>
    <cellStyle name="Normale 5 2 5 15 3" xfId="20643"/>
    <cellStyle name="Normale 5 2 5 15 4" xfId="25122"/>
    <cellStyle name="Normale 5 2 5 16" xfId="6694"/>
    <cellStyle name="Normale 5 2 5 16 2" xfId="14157"/>
    <cellStyle name="Normale 5 2 5 16 3" xfId="21565"/>
    <cellStyle name="Normale 5 2 5 16 4" xfId="24830"/>
    <cellStyle name="Normale 5 2 5 17" xfId="7628"/>
    <cellStyle name="Normale 5 2 5 18" xfId="15037"/>
    <cellStyle name="Normale 5 2 5 19" xfId="28798"/>
    <cellStyle name="Normale 5 2 5 2" xfId="164"/>
    <cellStyle name="Normale 5 2 5 2 10" xfId="7629"/>
    <cellStyle name="Normale 5 2 5 2 11" xfId="15038"/>
    <cellStyle name="Normale 5 2 5 2 12" xfId="27871"/>
    <cellStyle name="Normale 5 2 5 2 13" xfId="29855"/>
    <cellStyle name="Normale 5 2 5 2 14" xfId="30785"/>
    <cellStyle name="Normale 5 2 5 2 15" xfId="31708"/>
    <cellStyle name="Normale 5 2 5 2 16" xfId="32634"/>
    <cellStyle name="Normale 5 2 5 2 17" xfId="33568"/>
    <cellStyle name="Normale 5 2 5 2 18" xfId="34496"/>
    <cellStyle name="Normale 5 2 5 2 19" xfId="35424"/>
    <cellStyle name="Normale 5 2 5 2 2" xfId="362"/>
    <cellStyle name="Normale 5 2 5 2 2 10" xfId="15235"/>
    <cellStyle name="Normale 5 2 5 2 2 11" xfId="28038"/>
    <cellStyle name="Normale 5 2 5 2 2 12" xfId="30047"/>
    <cellStyle name="Normale 5 2 5 2 2 13" xfId="30979"/>
    <cellStyle name="Normale 5 2 5 2 2 14" xfId="31900"/>
    <cellStyle name="Normale 5 2 5 2 2 15" xfId="32825"/>
    <cellStyle name="Normale 5 2 5 2 2 16" xfId="33762"/>
    <cellStyle name="Normale 5 2 5 2 2 17" xfId="34692"/>
    <cellStyle name="Normale 5 2 5 2 2 18" xfId="35618"/>
    <cellStyle name="Normale 5 2 5 2 2 19" xfId="36544"/>
    <cellStyle name="Normale 5 2 5 2 2 2" xfId="1329"/>
    <cellStyle name="Normale 5 2 5 2 2 2 2" xfId="8792"/>
    <cellStyle name="Normale 5 2 5 2 2 2 3" xfId="16200"/>
    <cellStyle name="Normale 5 2 5 2 2 2 4" xfId="25799"/>
    <cellStyle name="Normale 5 2 5 2 2 20" xfId="37464"/>
    <cellStyle name="Normale 5 2 5 2 2 3" xfId="2260"/>
    <cellStyle name="Normale 5 2 5 2 2 3 2" xfId="9723"/>
    <cellStyle name="Normale 5 2 5 2 2 3 3" xfId="17131"/>
    <cellStyle name="Normale 5 2 5 2 2 3 4" xfId="22662"/>
    <cellStyle name="Normale 5 2 5 2 2 4" xfId="3182"/>
    <cellStyle name="Normale 5 2 5 2 2 4 2" xfId="10645"/>
    <cellStyle name="Normale 5 2 5 2 2 4 3" xfId="18053"/>
    <cellStyle name="Normale 5 2 5 2 2 4 4" xfId="26933"/>
    <cellStyle name="Normale 5 2 5 2 2 5" xfId="4115"/>
    <cellStyle name="Normale 5 2 5 2 2 5 2" xfId="11578"/>
    <cellStyle name="Normale 5 2 5 2 2 5 3" xfId="18986"/>
    <cellStyle name="Normale 5 2 5 2 2 5 4" xfId="24159"/>
    <cellStyle name="Normale 5 2 5 2 2 6" xfId="5038"/>
    <cellStyle name="Normale 5 2 5 2 2 6 2" xfId="12501"/>
    <cellStyle name="Normale 5 2 5 2 2 6 3" xfId="19909"/>
    <cellStyle name="Normale 5 2 5 2 2 6 4" xfId="27902"/>
    <cellStyle name="Normale 5 2 5 2 2 7" xfId="5966"/>
    <cellStyle name="Normale 5 2 5 2 2 7 2" xfId="13429"/>
    <cellStyle name="Normale 5 2 5 2 2 7 3" xfId="20837"/>
    <cellStyle name="Normale 5 2 5 2 2 7 4" xfId="27896"/>
    <cellStyle name="Normale 5 2 5 2 2 8" xfId="6886"/>
    <cellStyle name="Normale 5 2 5 2 2 8 2" xfId="14349"/>
    <cellStyle name="Normale 5 2 5 2 2 8 3" xfId="21757"/>
    <cellStyle name="Normale 5 2 5 2 2 8 4" xfId="23928"/>
    <cellStyle name="Normale 5 2 5 2 2 9" xfId="7825"/>
    <cellStyle name="Normale 5 2 5 2 20" xfId="36350"/>
    <cellStyle name="Normale 5 2 5 2 21" xfId="37273"/>
    <cellStyle name="Normale 5 2 5 2 3" xfId="1137"/>
    <cellStyle name="Normale 5 2 5 2 3 2" xfId="8600"/>
    <cellStyle name="Normale 5 2 5 2 3 3" xfId="16008"/>
    <cellStyle name="Normale 5 2 5 2 3 4" xfId="25451"/>
    <cellStyle name="Normale 5 2 5 2 4" xfId="2064"/>
    <cellStyle name="Normale 5 2 5 2 4 2" xfId="9527"/>
    <cellStyle name="Normale 5 2 5 2 4 3" xfId="16935"/>
    <cellStyle name="Normale 5 2 5 2 4 4" xfId="28731"/>
    <cellStyle name="Normale 5 2 5 2 5" xfId="2990"/>
    <cellStyle name="Normale 5 2 5 2 5 2" xfId="10453"/>
    <cellStyle name="Normale 5 2 5 2 5 3" xfId="17861"/>
    <cellStyle name="Normale 5 2 5 2 5 4" xfId="25405"/>
    <cellStyle name="Normale 5 2 5 2 6" xfId="3919"/>
    <cellStyle name="Normale 5 2 5 2 6 2" xfId="11382"/>
    <cellStyle name="Normale 5 2 5 2 6 3" xfId="18790"/>
    <cellStyle name="Normale 5 2 5 2 6 4" xfId="28862"/>
    <cellStyle name="Normale 5 2 5 2 7" xfId="4846"/>
    <cellStyle name="Normale 5 2 5 2 7 2" xfId="12309"/>
    <cellStyle name="Normale 5 2 5 2 7 3" xfId="19717"/>
    <cellStyle name="Normale 5 2 5 2 7 4" xfId="27007"/>
    <cellStyle name="Normale 5 2 5 2 8" xfId="5773"/>
    <cellStyle name="Normale 5 2 5 2 8 2" xfId="13236"/>
    <cellStyle name="Normale 5 2 5 2 8 3" xfId="20644"/>
    <cellStyle name="Normale 5 2 5 2 8 4" xfId="24196"/>
    <cellStyle name="Normale 5 2 5 2 9" xfId="6695"/>
    <cellStyle name="Normale 5 2 5 2 9 2" xfId="14158"/>
    <cellStyle name="Normale 5 2 5 2 9 3" xfId="21566"/>
    <cellStyle name="Normale 5 2 5 2 9 4" xfId="23838"/>
    <cellStyle name="Normale 5 2 5 20" xfId="29854"/>
    <cellStyle name="Normale 5 2 5 21" xfId="30784"/>
    <cellStyle name="Normale 5 2 5 22" xfId="31707"/>
    <cellStyle name="Normale 5 2 5 23" xfId="32633"/>
    <cellStyle name="Normale 5 2 5 24" xfId="33567"/>
    <cellStyle name="Normale 5 2 5 25" xfId="34495"/>
    <cellStyle name="Normale 5 2 5 26" xfId="35423"/>
    <cellStyle name="Normale 5 2 5 27" xfId="36349"/>
    <cellStyle name="Normale 5 2 5 28" xfId="37272"/>
    <cellStyle name="Normale 5 2 5 3" xfId="361"/>
    <cellStyle name="Normale 5 2 5 3 10" xfId="15234"/>
    <cellStyle name="Normale 5 2 5 3 11" xfId="28948"/>
    <cellStyle name="Normale 5 2 5 3 12" xfId="30046"/>
    <cellStyle name="Normale 5 2 5 3 13" xfId="30978"/>
    <cellStyle name="Normale 5 2 5 3 14" xfId="31899"/>
    <cellStyle name="Normale 5 2 5 3 15" xfId="32824"/>
    <cellStyle name="Normale 5 2 5 3 16" xfId="33761"/>
    <cellStyle name="Normale 5 2 5 3 17" xfId="34691"/>
    <cellStyle name="Normale 5 2 5 3 18" xfId="35617"/>
    <cellStyle name="Normale 5 2 5 3 19" xfId="36543"/>
    <cellStyle name="Normale 5 2 5 3 2" xfId="1328"/>
    <cellStyle name="Normale 5 2 5 3 2 2" xfId="8791"/>
    <cellStyle name="Normale 5 2 5 3 2 3" xfId="16199"/>
    <cellStyle name="Normale 5 2 5 3 2 4" xfId="26731"/>
    <cellStyle name="Normale 5 2 5 3 20" xfId="37463"/>
    <cellStyle name="Normale 5 2 5 3 3" xfId="2259"/>
    <cellStyle name="Normale 5 2 5 3 3 2" xfId="9722"/>
    <cellStyle name="Normale 5 2 5 3 3 3" xfId="17130"/>
    <cellStyle name="Normale 5 2 5 3 3 4" xfId="23396"/>
    <cellStyle name="Normale 5 2 5 3 4" xfId="3181"/>
    <cellStyle name="Normale 5 2 5 3 4 2" xfId="10644"/>
    <cellStyle name="Normale 5 2 5 3 4 3" xfId="18052"/>
    <cellStyle name="Normale 5 2 5 3 4 4" xfId="27835"/>
    <cellStyle name="Normale 5 2 5 3 5" xfId="4114"/>
    <cellStyle name="Normale 5 2 5 3 5 2" xfId="11577"/>
    <cellStyle name="Normale 5 2 5 3 5 3" xfId="18985"/>
    <cellStyle name="Normale 5 2 5 3 5 4" xfId="25084"/>
    <cellStyle name="Normale 5 2 5 3 6" xfId="5037"/>
    <cellStyle name="Normale 5 2 5 3 6 2" xfId="12500"/>
    <cellStyle name="Normale 5 2 5 3 6 3" xfId="19908"/>
    <cellStyle name="Normale 5 2 5 3 6 4" xfId="28815"/>
    <cellStyle name="Normale 5 2 5 3 7" xfId="5965"/>
    <cellStyle name="Normale 5 2 5 3 7 2" xfId="13428"/>
    <cellStyle name="Normale 5 2 5 3 7 3" xfId="20836"/>
    <cellStyle name="Normale 5 2 5 3 7 4" xfId="28808"/>
    <cellStyle name="Normale 5 2 5 3 8" xfId="6885"/>
    <cellStyle name="Normale 5 2 5 3 8 2" xfId="14348"/>
    <cellStyle name="Normale 5 2 5 3 8 3" xfId="21756"/>
    <cellStyle name="Normale 5 2 5 3 8 4" xfId="24853"/>
    <cellStyle name="Normale 5 2 5 3 9" xfId="7824"/>
    <cellStyle name="Normale 5 2 5 4" xfId="610"/>
    <cellStyle name="Normale 5 2 5 4 10" xfId="15482"/>
    <cellStyle name="Normale 5 2 5 4 11" xfId="25527"/>
    <cellStyle name="Normale 5 2 5 4 12" xfId="30291"/>
    <cellStyle name="Normale 5 2 5 4 13" xfId="31226"/>
    <cellStyle name="Normale 5 2 5 4 14" xfId="32144"/>
    <cellStyle name="Normale 5 2 5 4 15" xfId="33064"/>
    <cellStyle name="Normale 5 2 5 4 16" xfId="34009"/>
    <cellStyle name="Normale 5 2 5 4 17" xfId="34940"/>
    <cellStyle name="Normale 5 2 5 4 18" xfId="35866"/>
    <cellStyle name="Normale 5 2 5 4 19" xfId="36791"/>
    <cellStyle name="Normale 5 2 5 4 2" xfId="1576"/>
    <cellStyle name="Normale 5 2 5 4 2 2" xfId="9039"/>
    <cellStyle name="Normale 5 2 5 4 2 3" xfId="16447"/>
    <cellStyle name="Normale 5 2 5 4 2 4" xfId="24524"/>
    <cellStyle name="Normale 5 2 5 4 20" xfId="37703"/>
    <cellStyle name="Normale 5 2 5 4 3" xfId="2508"/>
    <cellStyle name="Normale 5 2 5 4 3 2" xfId="9971"/>
    <cellStyle name="Normale 5 2 5 4 3 3" xfId="17379"/>
    <cellStyle name="Normale 5 2 5 4 3 4" xfId="28898"/>
    <cellStyle name="Normale 5 2 5 4 4" xfId="3426"/>
    <cellStyle name="Normale 5 2 5 4 4 2" xfId="10889"/>
    <cellStyle name="Normale 5 2 5 4 4 3" xfId="18297"/>
    <cellStyle name="Normale 5 2 5 4 4 4" xfId="23559"/>
    <cellStyle name="Normale 5 2 5 4 5" xfId="4363"/>
    <cellStyle name="Normale 5 2 5 4 5 2" xfId="11826"/>
    <cellStyle name="Normale 5 2 5 4 5 3" xfId="19234"/>
    <cellStyle name="Normale 5 2 5 4 5 4" xfId="27018"/>
    <cellStyle name="Normale 5 2 5 4 6" xfId="5282"/>
    <cellStyle name="Normale 5 2 5 4 6 2" xfId="12745"/>
    <cellStyle name="Normale 5 2 5 4 6 3" xfId="20153"/>
    <cellStyle name="Normale 5 2 5 4 6 4" xfId="28827"/>
    <cellStyle name="Normale 5 2 5 4 7" xfId="6214"/>
    <cellStyle name="Normale 5 2 5 4 7 2" xfId="13677"/>
    <cellStyle name="Normale 5 2 5 4 7 3" xfId="21085"/>
    <cellStyle name="Normale 5 2 5 4 7 4" xfId="28078"/>
    <cellStyle name="Normale 5 2 5 4 8" xfId="7125"/>
    <cellStyle name="Normale 5 2 5 4 8 2" xfId="14588"/>
    <cellStyle name="Normale 5 2 5 4 8 3" xfId="21996"/>
    <cellStyle name="Normale 5 2 5 4 8 4" xfId="28059"/>
    <cellStyle name="Normale 5 2 5 4 9" xfId="8073"/>
    <cellStyle name="Normale 5 2 5 5" xfId="665"/>
    <cellStyle name="Normale 5 2 5 5 10" xfId="15537"/>
    <cellStyle name="Normale 5 2 5 5 11" xfId="25464"/>
    <cellStyle name="Normale 5 2 5 5 12" xfId="30344"/>
    <cellStyle name="Normale 5 2 5 5 13" xfId="31281"/>
    <cellStyle name="Normale 5 2 5 5 14" xfId="32198"/>
    <cellStyle name="Normale 5 2 5 5 15" xfId="33117"/>
    <cellStyle name="Normale 5 2 5 5 16" xfId="34064"/>
    <cellStyle name="Normale 5 2 5 5 17" xfId="34995"/>
    <cellStyle name="Normale 5 2 5 5 18" xfId="35921"/>
    <cellStyle name="Normale 5 2 5 5 19" xfId="36846"/>
    <cellStyle name="Normale 5 2 5 5 2" xfId="1631"/>
    <cellStyle name="Normale 5 2 5 5 2 2" xfId="9094"/>
    <cellStyle name="Normale 5 2 5 5 2 3" xfId="16502"/>
    <cellStyle name="Normale 5 2 5 5 2 4" xfId="25798"/>
    <cellStyle name="Normale 5 2 5 5 20" xfId="37756"/>
    <cellStyle name="Normale 5 2 5 5 3" xfId="2563"/>
    <cellStyle name="Normale 5 2 5 5 3 2" xfId="10026"/>
    <cellStyle name="Normale 5 2 5 5 3 3" xfId="17434"/>
    <cellStyle name="Normale 5 2 5 5 3 4" xfId="23387"/>
    <cellStyle name="Normale 5 2 5 5 4" xfId="3481"/>
    <cellStyle name="Normale 5 2 5 5 4 2" xfId="10944"/>
    <cellStyle name="Normale 5 2 5 5 4 3" xfId="18352"/>
    <cellStyle name="Normale 5 2 5 5 4 4" xfId="25390"/>
    <cellStyle name="Normale 5 2 5 5 5" xfId="4418"/>
    <cellStyle name="Normale 5 2 5 5 5 2" xfId="11881"/>
    <cellStyle name="Normale 5 2 5 5 5 3" xfId="19289"/>
    <cellStyle name="Normale 5 2 5 5 5 4" xfId="24255"/>
    <cellStyle name="Normale 5 2 5 5 6" xfId="5336"/>
    <cellStyle name="Normale 5 2 5 5 6 2" xfId="12799"/>
    <cellStyle name="Normale 5 2 5 5 6 3" xfId="20207"/>
    <cellStyle name="Normale 5 2 5 5 6 4" xfId="24863"/>
    <cellStyle name="Normale 5 2 5 5 7" xfId="6269"/>
    <cellStyle name="Normale 5 2 5 5 7 2" xfId="13732"/>
    <cellStyle name="Normale 5 2 5 5 7 3" xfId="21140"/>
    <cellStyle name="Normale 5 2 5 5 7 4" xfId="28290"/>
    <cellStyle name="Normale 5 2 5 5 8" xfId="7178"/>
    <cellStyle name="Normale 5 2 5 5 8 2" xfId="14641"/>
    <cellStyle name="Normale 5 2 5 5 8 3" xfId="22049"/>
    <cellStyle name="Normale 5 2 5 5 8 4" xfId="29289"/>
    <cellStyle name="Normale 5 2 5 5 9" xfId="8128"/>
    <cellStyle name="Normale 5 2 5 6" xfId="750"/>
    <cellStyle name="Normale 5 2 5 6 10" xfId="15621"/>
    <cellStyle name="Normale 5 2 5 6 11" xfId="24814"/>
    <cellStyle name="Normale 5 2 5 6 12" xfId="30424"/>
    <cellStyle name="Normale 5 2 5 6 13" xfId="31365"/>
    <cellStyle name="Normale 5 2 5 6 14" xfId="32278"/>
    <cellStyle name="Normale 5 2 5 6 15" xfId="33195"/>
    <cellStyle name="Normale 5 2 5 6 16" xfId="34148"/>
    <cellStyle name="Normale 5 2 5 6 17" xfId="35080"/>
    <cellStyle name="Normale 5 2 5 6 18" xfId="36006"/>
    <cellStyle name="Normale 5 2 5 6 19" xfId="36931"/>
    <cellStyle name="Normale 5 2 5 6 2" xfId="1715"/>
    <cellStyle name="Normale 5 2 5 6 2 2" xfId="9178"/>
    <cellStyle name="Normale 5 2 5 6 2 3" xfId="16586"/>
    <cellStyle name="Normale 5 2 5 6 2 4" xfId="28005"/>
    <cellStyle name="Normale 5 2 5 6 20" xfId="37834"/>
    <cellStyle name="Normale 5 2 5 6 3" xfId="2648"/>
    <cellStyle name="Normale 5 2 5 6 3 2" xfId="10111"/>
    <cellStyle name="Normale 5 2 5 6 3 3" xfId="17519"/>
    <cellStyle name="Normale 5 2 5 6 3 4" xfId="26839"/>
    <cellStyle name="Normale 5 2 5 6 4" xfId="3564"/>
    <cellStyle name="Normale 5 2 5 6 4 2" xfId="11027"/>
    <cellStyle name="Normale 5 2 5 6 4 3" xfId="18435"/>
    <cellStyle name="Normale 5 2 5 6 4 4" xfId="23012"/>
    <cellStyle name="Normale 5 2 5 6 5" xfId="4503"/>
    <cellStyle name="Normale 5 2 5 6 5 2" xfId="11966"/>
    <cellStyle name="Normale 5 2 5 6 5 3" xfId="19374"/>
    <cellStyle name="Normale 5 2 5 6 5 4" xfId="29623"/>
    <cellStyle name="Normale 5 2 5 6 6" xfId="5419"/>
    <cellStyle name="Normale 5 2 5 6 6 2" xfId="12882"/>
    <cellStyle name="Normale 5 2 5 6 6 3" xfId="20290"/>
    <cellStyle name="Normale 5 2 5 6 6 4" xfId="27910"/>
    <cellStyle name="Normale 5 2 5 6 7" xfId="6352"/>
    <cellStyle name="Normale 5 2 5 6 7 2" xfId="13815"/>
    <cellStyle name="Normale 5 2 5 6 7 3" xfId="21223"/>
    <cellStyle name="Normale 5 2 5 6 7 4" xfId="26911"/>
    <cellStyle name="Normale 5 2 5 6 8" xfId="7256"/>
    <cellStyle name="Normale 5 2 5 6 8 2" xfId="14719"/>
    <cellStyle name="Normale 5 2 5 6 8 3" xfId="22127"/>
    <cellStyle name="Normale 5 2 5 6 8 4" xfId="22535"/>
    <cellStyle name="Normale 5 2 5 6 9" xfId="8213"/>
    <cellStyle name="Normale 5 2 5 7" xfId="821"/>
    <cellStyle name="Normale 5 2 5 7 10" xfId="15692"/>
    <cellStyle name="Normale 5 2 5 7 11" xfId="23995"/>
    <cellStyle name="Normale 5 2 5 7 12" xfId="30493"/>
    <cellStyle name="Normale 5 2 5 7 13" xfId="31436"/>
    <cellStyle name="Normale 5 2 5 7 14" xfId="32348"/>
    <cellStyle name="Normale 5 2 5 7 15" xfId="33264"/>
    <cellStyle name="Normale 5 2 5 7 16" xfId="34219"/>
    <cellStyle name="Normale 5 2 5 7 17" xfId="35151"/>
    <cellStyle name="Normale 5 2 5 7 18" xfId="36077"/>
    <cellStyle name="Normale 5 2 5 7 19" xfId="37002"/>
    <cellStyle name="Normale 5 2 5 7 2" xfId="1786"/>
    <cellStyle name="Normale 5 2 5 7 2 2" xfId="9249"/>
    <cellStyle name="Normale 5 2 5 7 2 3" xfId="16657"/>
    <cellStyle name="Normale 5 2 5 7 2 4" xfId="27500"/>
    <cellStyle name="Normale 5 2 5 7 20" xfId="37903"/>
    <cellStyle name="Normale 5 2 5 7 3" xfId="2719"/>
    <cellStyle name="Normale 5 2 5 7 3 2" xfId="10182"/>
    <cellStyle name="Normale 5 2 5 7 3 3" xfId="17590"/>
    <cellStyle name="Normale 5 2 5 7 3 4" xfId="25738"/>
    <cellStyle name="Normale 5 2 5 7 4" xfId="3634"/>
    <cellStyle name="Normale 5 2 5 7 4 2" xfId="11097"/>
    <cellStyle name="Normale 5 2 5 7 4 3" xfId="18505"/>
    <cellStyle name="Normale 5 2 5 7 4 4" xfId="23553"/>
    <cellStyle name="Normale 5 2 5 7 5" xfId="4574"/>
    <cellStyle name="Normale 5 2 5 7 5 2" xfId="12037"/>
    <cellStyle name="Normale 5 2 5 7 5 3" xfId="19445"/>
    <cellStyle name="Normale 5 2 5 7 5 4" xfId="28579"/>
    <cellStyle name="Normale 5 2 5 7 6" xfId="5489"/>
    <cellStyle name="Normale 5 2 5 7 6 2" xfId="12952"/>
    <cellStyle name="Normale 5 2 5 7 6 3" xfId="20360"/>
    <cellStyle name="Normale 5 2 5 7 6 4" xfId="28402"/>
    <cellStyle name="Normale 5 2 5 7 7" xfId="6423"/>
    <cellStyle name="Normale 5 2 5 7 7 2" xfId="13886"/>
    <cellStyle name="Normale 5 2 5 7 7 3" xfId="21294"/>
    <cellStyle name="Normale 5 2 5 7 7 4" xfId="25822"/>
    <cellStyle name="Normale 5 2 5 7 8" xfId="7325"/>
    <cellStyle name="Normale 5 2 5 7 8 2" xfId="14788"/>
    <cellStyle name="Normale 5 2 5 7 8 3" xfId="22196"/>
    <cellStyle name="Normale 5 2 5 7 8 4" xfId="26501"/>
    <cellStyle name="Normale 5 2 5 7 9" xfId="8284"/>
    <cellStyle name="Normale 5 2 5 8" xfId="892"/>
    <cellStyle name="Normale 5 2 5 8 10" xfId="15763"/>
    <cellStyle name="Normale 5 2 5 8 11" xfId="22697"/>
    <cellStyle name="Normale 5 2 5 8 12" xfId="30561"/>
    <cellStyle name="Normale 5 2 5 8 13" xfId="31507"/>
    <cellStyle name="Normale 5 2 5 8 14" xfId="32418"/>
    <cellStyle name="Normale 5 2 5 8 15" xfId="33330"/>
    <cellStyle name="Normale 5 2 5 8 16" xfId="34290"/>
    <cellStyle name="Normale 5 2 5 8 17" xfId="35222"/>
    <cellStyle name="Normale 5 2 5 8 18" xfId="36148"/>
    <cellStyle name="Normale 5 2 5 8 19" xfId="37073"/>
    <cellStyle name="Normale 5 2 5 8 2" xfId="1857"/>
    <cellStyle name="Normale 5 2 5 8 2 2" xfId="9320"/>
    <cellStyle name="Normale 5 2 5 8 2 3" xfId="16728"/>
    <cellStyle name="Normale 5 2 5 8 2 4" xfId="27082"/>
    <cellStyle name="Normale 5 2 5 8 20" xfId="37969"/>
    <cellStyle name="Normale 5 2 5 8 3" xfId="2790"/>
    <cellStyle name="Normale 5 2 5 8 3 2" xfId="10253"/>
    <cellStyle name="Normale 5 2 5 8 3 3" xfId="17661"/>
    <cellStyle name="Normale 5 2 5 8 3 4" xfId="26488"/>
    <cellStyle name="Normale 5 2 5 8 4" xfId="3704"/>
    <cellStyle name="Normale 5 2 5 8 4 2" xfId="11167"/>
    <cellStyle name="Normale 5 2 5 8 4 3" xfId="18575"/>
    <cellStyle name="Normale 5 2 5 8 4 4" xfId="26716"/>
    <cellStyle name="Normale 5 2 5 8 5" xfId="4645"/>
    <cellStyle name="Normale 5 2 5 8 5 2" xfId="12108"/>
    <cellStyle name="Normale 5 2 5 8 5 3" xfId="19516"/>
    <cellStyle name="Normale 5 2 5 8 5 4" xfId="29260"/>
    <cellStyle name="Normale 5 2 5 8 6" xfId="5559"/>
    <cellStyle name="Normale 5 2 5 8 6 2" xfId="13022"/>
    <cellStyle name="Normale 5 2 5 8 6 3" xfId="20430"/>
    <cellStyle name="Normale 5 2 5 8 6 4" xfId="28819"/>
    <cellStyle name="Normale 5 2 5 8 7" xfId="6494"/>
    <cellStyle name="Normale 5 2 5 8 7 2" xfId="13957"/>
    <cellStyle name="Normale 5 2 5 8 7 3" xfId="21365"/>
    <cellStyle name="Normale 5 2 5 8 7 4" xfId="26512"/>
    <cellStyle name="Normale 5 2 5 8 8" xfId="7391"/>
    <cellStyle name="Normale 5 2 5 8 8 2" xfId="14854"/>
    <cellStyle name="Normale 5 2 5 8 8 3" xfId="22262"/>
    <cellStyle name="Normale 5 2 5 8 8 4" xfId="23262"/>
    <cellStyle name="Normale 5 2 5 8 9" xfId="8355"/>
    <cellStyle name="Normale 5 2 5 9" xfId="958"/>
    <cellStyle name="Normale 5 2 5 9 10" xfId="15829"/>
    <cellStyle name="Normale 5 2 5 9 11" xfId="28283"/>
    <cellStyle name="Normale 5 2 5 9 12" xfId="30624"/>
    <cellStyle name="Normale 5 2 5 9 13" xfId="31572"/>
    <cellStyle name="Normale 5 2 5 9 14" xfId="32483"/>
    <cellStyle name="Normale 5 2 5 9 15" xfId="33393"/>
    <cellStyle name="Normale 5 2 5 9 16" xfId="34356"/>
    <cellStyle name="Normale 5 2 5 9 17" xfId="35288"/>
    <cellStyle name="Normale 5 2 5 9 18" xfId="36213"/>
    <cellStyle name="Normale 5 2 5 9 19" xfId="37139"/>
    <cellStyle name="Normale 5 2 5 9 2" xfId="1923"/>
    <cellStyle name="Normale 5 2 5 9 2 2" xfId="9386"/>
    <cellStyle name="Normale 5 2 5 9 2 3" xfId="16794"/>
    <cellStyle name="Normale 5 2 5 9 2 4" xfId="29589"/>
    <cellStyle name="Normale 5 2 5 9 20" xfId="38032"/>
    <cellStyle name="Normale 5 2 5 9 3" xfId="2855"/>
    <cellStyle name="Normale 5 2 5 9 3 2" xfId="10318"/>
    <cellStyle name="Normale 5 2 5 9 3 3" xfId="17726"/>
    <cellStyle name="Normale 5 2 5 9 3 4" xfId="24493"/>
    <cellStyle name="Normale 5 2 5 9 4" xfId="3770"/>
    <cellStyle name="Normale 5 2 5 9 4 2" xfId="11233"/>
    <cellStyle name="Normale 5 2 5 9 4 3" xfId="18641"/>
    <cellStyle name="Normale 5 2 5 9 4 4" xfId="23549"/>
    <cellStyle name="Normale 5 2 5 9 5" xfId="4711"/>
    <cellStyle name="Normale 5 2 5 9 5 2" xfId="12174"/>
    <cellStyle name="Normale 5 2 5 9 5 3" xfId="19582"/>
    <cellStyle name="Normale 5 2 5 9 5 4" xfId="26092"/>
    <cellStyle name="Normale 5 2 5 9 6" xfId="5625"/>
    <cellStyle name="Normale 5 2 5 9 6 2" xfId="13088"/>
    <cellStyle name="Normale 5 2 5 9 6 3" xfId="20496"/>
    <cellStyle name="Normale 5 2 5 9 6 4" xfId="24042"/>
    <cellStyle name="Normale 5 2 5 9 7" xfId="6560"/>
    <cellStyle name="Normale 5 2 5 9 7 2" xfId="14023"/>
    <cellStyle name="Normale 5 2 5 9 7 3" xfId="21431"/>
    <cellStyle name="Normale 5 2 5 9 7 4" xfId="23287"/>
    <cellStyle name="Normale 5 2 5 9 8" xfId="7454"/>
    <cellStyle name="Normale 5 2 5 9 8 2" xfId="14917"/>
    <cellStyle name="Normale 5 2 5 9 8 3" xfId="22325"/>
    <cellStyle name="Normale 5 2 5 9 8 4" xfId="17741"/>
    <cellStyle name="Normale 5 2 5 9 9" xfId="8421"/>
    <cellStyle name="Normale 5 2 6" xfId="165"/>
    <cellStyle name="Normale 5 2 6 10" xfId="2991"/>
    <cellStyle name="Normale 5 2 6 10 2" xfId="10454"/>
    <cellStyle name="Normale 5 2 6 10 3" xfId="17862"/>
    <cellStyle name="Normale 5 2 6 10 4" xfId="24489"/>
    <cellStyle name="Normale 5 2 6 11" xfId="3920"/>
    <cellStyle name="Normale 5 2 6 11 2" xfId="11383"/>
    <cellStyle name="Normale 5 2 6 11 3" xfId="18791"/>
    <cellStyle name="Normale 5 2 6 11 4" xfId="27949"/>
    <cellStyle name="Normale 5 2 6 12" xfId="4847"/>
    <cellStyle name="Normale 5 2 6 12 2" xfId="12310"/>
    <cellStyle name="Normale 5 2 6 12 3" xfId="19718"/>
    <cellStyle name="Normale 5 2 6 12 4" xfId="26089"/>
    <cellStyle name="Normale 5 2 6 13" xfId="5774"/>
    <cellStyle name="Normale 5 2 6 13 2" xfId="13237"/>
    <cellStyle name="Normale 5 2 6 13 3" xfId="20645"/>
    <cellStyle name="Normale 5 2 6 13 4" xfId="23191"/>
    <cellStyle name="Normale 5 2 6 14" xfId="6696"/>
    <cellStyle name="Normale 5 2 6 14 2" xfId="14159"/>
    <cellStyle name="Normale 5 2 6 14 3" xfId="21567"/>
    <cellStyle name="Normale 5 2 6 14 4" xfId="23284"/>
    <cellStyle name="Normale 5 2 6 15" xfId="7630"/>
    <cellStyle name="Normale 5 2 6 16" xfId="15039"/>
    <cellStyle name="Normale 5 2 6 17" xfId="26968"/>
    <cellStyle name="Normale 5 2 6 18" xfId="29856"/>
    <cellStyle name="Normale 5 2 6 19" xfId="30786"/>
    <cellStyle name="Normale 5 2 6 2" xfId="363"/>
    <cellStyle name="Normale 5 2 6 2 10" xfId="15236"/>
    <cellStyle name="Normale 5 2 6 2 11" xfId="27116"/>
    <cellStyle name="Normale 5 2 6 2 12" xfId="30048"/>
    <cellStyle name="Normale 5 2 6 2 13" xfId="30980"/>
    <cellStyle name="Normale 5 2 6 2 14" xfId="31901"/>
    <cellStyle name="Normale 5 2 6 2 15" xfId="32826"/>
    <cellStyle name="Normale 5 2 6 2 16" xfId="33763"/>
    <cellStyle name="Normale 5 2 6 2 17" xfId="34693"/>
    <cellStyle name="Normale 5 2 6 2 18" xfId="35619"/>
    <cellStyle name="Normale 5 2 6 2 19" xfId="36545"/>
    <cellStyle name="Normale 5 2 6 2 2" xfId="1330"/>
    <cellStyle name="Normale 5 2 6 2 2 2" xfId="8793"/>
    <cellStyle name="Normale 5 2 6 2 2 3" xfId="16201"/>
    <cellStyle name="Normale 5 2 6 2 2 4" xfId="24887"/>
    <cellStyle name="Normale 5 2 6 2 20" xfId="37465"/>
    <cellStyle name="Normale 5 2 6 2 3" xfId="2261"/>
    <cellStyle name="Normale 5 2 6 2 3 2" xfId="9724"/>
    <cellStyle name="Normale 5 2 6 2 3 3" xfId="17132"/>
    <cellStyle name="Normale 5 2 6 2 3 4" xfId="29092"/>
    <cellStyle name="Normale 5 2 6 2 4" xfId="3183"/>
    <cellStyle name="Normale 5 2 6 2 4 2" xfId="10646"/>
    <cellStyle name="Normale 5 2 6 2 4 3" xfId="18054"/>
    <cellStyle name="Normale 5 2 6 2 4 4" xfId="25999"/>
    <cellStyle name="Normale 5 2 6 2 5" xfId="4116"/>
    <cellStyle name="Normale 5 2 6 2 5 2" xfId="11579"/>
    <cellStyle name="Normale 5 2 6 2 5 3" xfId="18987"/>
    <cellStyle name="Normale 5 2 6 2 5 4" xfId="23147"/>
    <cellStyle name="Normale 5 2 6 2 6" xfId="5039"/>
    <cellStyle name="Normale 5 2 6 2 6 2" xfId="12502"/>
    <cellStyle name="Normale 5 2 6 2 6 3" xfId="19910"/>
    <cellStyle name="Normale 5 2 6 2 6 4" xfId="26984"/>
    <cellStyle name="Normale 5 2 6 2 7" xfId="5967"/>
    <cellStyle name="Normale 5 2 6 2 7 2" xfId="13430"/>
    <cellStyle name="Normale 5 2 6 2 7 3" xfId="20838"/>
    <cellStyle name="Normale 5 2 6 2 7 4" xfId="26978"/>
    <cellStyle name="Normale 5 2 6 2 8" xfId="6887"/>
    <cellStyle name="Normale 5 2 6 2 8 2" xfId="14350"/>
    <cellStyle name="Normale 5 2 6 2 8 3" xfId="21758"/>
    <cellStyle name="Normale 5 2 6 2 8 4" xfId="25074"/>
    <cellStyle name="Normale 5 2 6 2 9" xfId="7826"/>
    <cellStyle name="Normale 5 2 6 20" xfId="31709"/>
    <cellStyle name="Normale 5 2 6 21" xfId="32635"/>
    <cellStyle name="Normale 5 2 6 22" xfId="33569"/>
    <cellStyle name="Normale 5 2 6 23" xfId="34497"/>
    <cellStyle name="Normale 5 2 6 24" xfId="35425"/>
    <cellStyle name="Normale 5 2 6 25" xfId="36351"/>
    <cellStyle name="Normale 5 2 6 26" xfId="37274"/>
    <cellStyle name="Normale 5 2 6 3" xfId="681"/>
    <cellStyle name="Normale 5 2 6 3 10" xfId="15552"/>
    <cellStyle name="Normale 5 2 6 3 11" xfId="26948"/>
    <cellStyle name="Normale 5 2 6 3 12" xfId="30355"/>
    <cellStyle name="Normale 5 2 6 3 13" xfId="31296"/>
    <cellStyle name="Normale 5 2 6 3 14" xfId="32210"/>
    <cellStyle name="Normale 5 2 6 3 15" xfId="33128"/>
    <cellStyle name="Normale 5 2 6 3 16" xfId="34079"/>
    <cellStyle name="Normale 5 2 6 3 17" xfId="35011"/>
    <cellStyle name="Normale 5 2 6 3 18" xfId="35937"/>
    <cellStyle name="Normale 5 2 6 3 19" xfId="36862"/>
    <cellStyle name="Normale 5 2 6 3 2" xfId="1646"/>
    <cellStyle name="Normale 5 2 6 3 2 2" xfId="9109"/>
    <cellStyle name="Normale 5 2 6 3 2 3" xfId="16517"/>
    <cellStyle name="Normale 5 2 6 3 2 4" xfId="26594"/>
    <cellStyle name="Normale 5 2 6 3 20" xfId="37767"/>
    <cellStyle name="Normale 5 2 6 3 3" xfId="2579"/>
    <cellStyle name="Normale 5 2 6 3 3 2" xfId="10042"/>
    <cellStyle name="Normale 5 2 6 3 3 3" xfId="17450"/>
    <cellStyle name="Normale 5 2 6 3 3 4" xfId="24098"/>
    <cellStyle name="Normale 5 2 6 3 4" xfId="3495"/>
    <cellStyle name="Normale 5 2 6 3 4 2" xfId="10958"/>
    <cellStyle name="Normale 5 2 6 3 4 3" xfId="18366"/>
    <cellStyle name="Normale 5 2 6 3 4 4" xfId="26320"/>
    <cellStyle name="Normale 5 2 6 3 5" xfId="4434"/>
    <cellStyle name="Normale 5 2 6 3 5 2" xfId="11897"/>
    <cellStyle name="Normale 5 2 6 3 5 3" xfId="19305"/>
    <cellStyle name="Normale 5 2 6 3 5 4" xfId="25012"/>
    <cellStyle name="Normale 5 2 6 3 6" xfId="5350"/>
    <cellStyle name="Normale 5 2 6 3 6 2" xfId="12813"/>
    <cellStyle name="Normale 5 2 6 3 6 3" xfId="20221"/>
    <cellStyle name="Normale 5 2 6 3 6 4" xfId="26571"/>
    <cellStyle name="Normale 5 2 6 3 7" xfId="6283"/>
    <cellStyle name="Normale 5 2 6 3 7 2" xfId="13746"/>
    <cellStyle name="Normale 5 2 6 3 7 3" xfId="21154"/>
    <cellStyle name="Normale 5 2 6 3 7 4" xfId="24077"/>
    <cellStyle name="Normale 5 2 6 3 8" xfId="7189"/>
    <cellStyle name="Normale 5 2 6 3 8 2" xfId="14652"/>
    <cellStyle name="Normale 5 2 6 3 8 3" xfId="22060"/>
    <cellStyle name="Normale 5 2 6 3 8 4" xfId="26500"/>
    <cellStyle name="Normale 5 2 6 3 9" xfId="8144"/>
    <cellStyle name="Normale 5 2 6 4" xfId="766"/>
    <cellStyle name="Normale 5 2 6 4 10" xfId="15637"/>
    <cellStyle name="Normale 5 2 6 4 11" xfId="24703"/>
    <cellStyle name="Normale 5 2 6 4 12" xfId="30440"/>
    <cellStyle name="Normale 5 2 6 4 13" xfId="31381"/>
    <cellStyle name="Normale 5 2 6 4 14" xfId="32294"/>
    <cellStyle name="Normale 5 2 6 4 15" xfId="33211"/>
    <cellStyle name="Normale 5 2 6 4 16" xfId="34164"/>
    <cellStyle name="Normale 5 2 6 4 17" xfId="35096"/>
    <cellStyle name="Normale 5 2 6 4 18" xfId="36022"/>
    <cellStyle name="Normale 5 2 6 4 19" xfId="36947"/>
    <cellStyle name="Normale 5 2 6 4 2" xfId="1731"/>
    <cellStyle name="Normale 5 2 6 4 2 2" xfId="9194"/>
    <cellStyle name="Normale 5 2 6 4 2 3" xfId="16602"/>
    <cellStyle name="Normale 5 2 6 4 2 4" xfId="28917"/>
    <cellStyle name="Normale 5 2 6 4 20" xfId="37850"/>
    <cellStyle name="Normale 5 2 6 4 3" xfId="2664"/>
    <cellStyle name="Normale 5 2 6 4 3 2" xfId="10127"/>
    <cellStyle name="Normale 5 2 6 4 3 3" xfId="17535"/>
    <cellStyle name="Normale 5 2 6 4 3 4" xfId="26684"/>
    <cellStyle name="Normale 5 2 6 4 4" xfId="3580"/>
    <cellStyle name="Normale 5 2 6 4 4 2" xfId="11043"/>
    <cellStyle name="Normale 5 2 6 4 4 3" xfId="18451"/>
    <cellStyle name="Normale 5 2 6 4 4 4" xfId="22885"/>
    <cellStyle name="Normale 5 2 6 4 5" xfId="4519"/>
    <cellStyle name="Normale 5 2 6 4 5 2" xfId="11982"/>
    <cellStyle name="Normale 5 2 6 4 5 3" xfId="19390"/>
    <cellStyle name="Normale 5 2 6 4 5 4" xfId="29488"/>
    <cellStyle name="Normale 5 2 6 4 6" xfId="5435"/>
    <cellStyle name="Normale 5 2 6 4 6 2" xfId="12898"/>
    <cellStyle name="Normale 5 2 6 4 6 3" xfId="20306"/>
    <cellStyle name="Normale 5 2 6 4 6 4" xfId="28822"/>
    <cellStyle name="Normale 5 2 6 4 7" xfId="6368"/>
    <cellStyle name="Normale 5 2 6 4 7 2" xfId="13831"/>
    <cellStyle name="Normale 5 2 6 4 7 3" xfId="21239"/>
    <cellStyle name="Normale 5 2 6 4 7 4" xfId="26770"/>
    <cellStyle name="Normale 5 2 6 4 8" xfId="7272"/>
    <cellStyle name="Normale 5 2 6 4 8 2" xfId="14735"/>
    <cellStyle name="Normale 5 2 6 4 8 3" xfId="22143"/>
    <cellStyle name="Normale 5 2 6 4 8 4" xfId="23264"/>
    <cellStyle name="Normale 5 2 6 4 9" xfId="8229"/>
    <cellStyle name="Normale 5 2 6 5" xfId="837"/>
    <cellStyle name="Normale 5 2 6 5 10" xfId="15708"/>
    <cellStyle name="Normale 5 2 6 5 11" xfId="23622"/>
    <cellStyle name="Normale 5 2 6 5 12" xfId="30509"/>
    <cellStyle name="Normale 5 2 6 5 13" xfId="31452"/>
    <cellStyle name="Normale 5 2 6 5 14" xfId="32364"/>
    <cellStyle name="Normale 5 2 6 5 15" xfId="33279"/>
    <cellStyle name="Normale 5 2 6 5 16" xfId="34235"/>
    <cellStyle name="Normale 5 2 6 5 17" xfId="35167"/>
    <cellStyle name="Normale 5 2 6 5 18" xfId="36093"/>
    <cellStyle name="Normale 5 2 6 5 19" xfId="37018"/>
    <cellStyle name="Normale 5 2 6 5 2" xfId="1802"/>
    <cellStyle name="Normale 5 2 6 5 2 2" xfId="9265"/>
    <cellStyle name="Normale 5 2 6 5 2 3" xfId="16673"/>
    <cellStyle name="Normale 5 2 6 5 2 4" xfId="27402"/>
    <cellStyle name="Normale 5 2 6 5 20" xfId="37918"/>
    <cellStyle name="Normale 5 2 6 5 3" xfId="2735"/>
    <cellStyle name="Normale 5 2 6 5 3 2" xfId="10198"/>
    <cellStyle name="Normale 5 2 6 5 3 3" xfId="17606"/>
    <cellStyle name="Normale 5 2 6 5 3 4" xfId="25411"/>
    <cellStyle name="Normale 5 2 6 5 4" xfId="3650"/>
    <cellStyle name="Normale 5 2 6 5 4 2" xfId="11113"/>
    <cellStyle name="Normale 5 2 6 5 4 3" xfId="18521"/>
    <cellStyle name="Normale 5 2 6 5 4 4" xfId="24471"/>
    <cellStyle name="Normale 5 2 6 5 5" xfId="4590"/>
    <cellStyle name="Normale 5 2 6 5 5 2" xfId="12053"/>
    <cellStyle name="Normale 5 2 6 5 5 3" xfId="19461"/>
    <cellStyle name="Normale 5 2 6 5 5 4" xfId="28443"/>
    <cellStyle name="Normale 5 2 6 5 6" xfId="5505"/>
    <cellStyle name="Normale 5 2 6 5 6 2" xfId="12968"/>
    <cellStyle name="Normale 5 2 6 5 6 3" xfId="20376"/>
    <cellStyle name="Normale 5 2 6 5 6 4" xfId="28303"/>
    <cellStyle name="Normale 5 2 6 5 7" xfId="6439"/>
    <cellStyle name="Normale 5 2 6 5 7 2" xfId="13902"/>
    <cellStyle name="Normale 5 2 6 5 7 3" xfId="21310"/>
    <cellStyle name="Normale 5 2 6 5 7 4" xfId="25684"/>
    <cellStyle name="Normale 5 2 6 5 8" xfId="7340"/>
    <cellStyle name="Normale 5 2 6 5 8 2" xfId="14803"/>
    <cellStyle name="Normale 5 2 6 5 8 3" xfId="22211"/>
    <cellStyle name="Normale 5 2 6 5 8 4" xfId="27318"/>
    <cellStyle name="Normale 5 2 6 5 9" xfId="8300"/>
    <cellStyle name="Normale 5 2 6 6" xfId="908"/>
    <cellStyle name="Normale 5 2 6 6 10" xfId="15779"/>
    <cellStyle name="Normale 5 2 6 6 11" xfId="29128"/>
    <cellStyle name="Normale 5 2 6 6 12" xfId="30577"/>
    <cellStyle name="Normale 5 2 6 6 13" xfId="31523"/>
    <cellStyle name="Normale 5 2 6 6 14" xfId="32434"/>
    <cellStyle name="Normale 5 2 6 6 15" xfId="33346"/>
    <cellStyle name="Normale 5 2 6 6 16" xfId="34306"/>
    <cellStyle name="Normale 5 2 6 6 17" xfId="35238"/>
    <cellStyle name="Normale 5 2 6 6 18" xfId="36164"/>
    <cellStyle name="Normale 5 2 6 6 19" xfId="37089"/>
    <cellStyle name="Normale 5 2 6 6 2" xfId="1873"/>
    <cellStyle name="Normale 5 2 6 6 2 2" xfId="9336"/>
    <cellStyle name="Normale 5 2 6 6 2 3" xfId="16744"/>
    <cellStyle name="Normale 5 2 6 6 2 4" xfId="27999"/>
    <cellStyle name="Normale 5 2 6 6 20" xfId="37985"/>
    <cellStyle name="Normale 5 2 6 6 3" xfId="2806"/>
    <cellStyle name="Normale 5 2 6 6 3 2" xfId="10269"/>
    <cellStyle name="Normale 5 2 6 6 3 3" xfId="17677"/>
    <cellStyle name="Normale 5 2 6 6 3 4" xfId="26334"/>
    <cellStyle name="Normale 5 2 6 6 4" xfId="3720"/>
    <cellStyle name="Normale 5 2 6 6 4 2" xfId="11183"/>
    <cellStyle name="Normale 5 2 6 6 4 3" xfId="18591"/>
    <cellStyle name="Normale 5 2 6 6 4 4" xfId="26580"/>
    <cellStyle name="Normale 5 2 6 6 5" xfId="4661"/>
    <cellStyle name="Normale 5 2 6 6 5 2" xfId="12124"/>
    <cellStyle name="Normale 5 2 6 6 5 3" xfId="19532"/>
    <cellStyle name="Normale 5 2 6 6 5 4" xfId="29168"/>
    <cellStyle name="Normale 5 2 6 6 6" xfId="5575"/>
    <cellStyle name="Normale 5 2 6 6 6 2" xfId="13038"/>
    <cellStyle name="Normale 5 2 6 6 6 3" xfId="20446"/>
    <cellStyle name="Normale 5 2 6 6 6 4" xfId="22387"/>
    <cellStyle name="Normale 5 2 6 6 7" xfId="6510"/>
    <cellStyle name="Normale 5 2 6 6 7 2" xfId="13973"/>
    <cellStyle name="Normale 5 2 6 6 7 3" xfId="21381"/>
    <cellStyle name="Normale 5 2 6 6 7 4" xfId="26417"/>
    <cellStyle name="Normale 5 2 6 6 8" xfId="7407"/>
    <cellStyle name="Normale 5 2 6 6 8 2" xfId="14870"/>
    <cellStyle name="Normale 5 2 6 6 8 3" xfId="22278"/>
    <cellStyle name="Normale 5 2 6 6 8 4" xfId="23785"/>
    <cellStyle name="Normale 5 2 6 6 9" xfId="8371"/>
    <cellStyle name="Normale 5 2 6 7" xfId="969"/>
    <cellStyle name="Normale 5 2 6 7 10" xfId="15840"/>
    <cellStyle name="Normale 5 2 6 7 11" xfId="25454"/>
    <cellStyle name="Normale 5 2 6 7 12" xfId="30635"/>
    <cellStyle name="Normale 5 2 6 7 13" xfId="31583"/>
    <cellStyle name="Normale 5 2 6 7 14" xfId="32494"/>
    <cellStyle name="Normale 5 2 6 7 15" xfId="33404"/>
    <cellStyle name="Normale 5 2 6 7 16" xfId="34367"/>
    <cellStyle name="Normale 5 2 6 7 17" xfId="35299"/>
    <cellStyle name="Normale 5 2 6 7 18" xfId="36224"/>
    <cellStyle name="Normale 5 2 6 7 19" xfId="37150"/>
    <cellStyle name="Normale 5 2 6 7 2" xfId="1934"/>
    <cellStyle name="Normale 5 2 6 7 2 2" xfId="9397"/>
    <cellStyle name="Normale 5 2 6 7 2 3" xfId="16805"/>
    <cellStyle name="Normale 5 2 6 7 2 4" xfId="26799"/>
    <cellStyle name="Normale 5 2 6 7 20" xfId="38043"/>
    <cellStyle name="Normale 5 2 6 7 3" xfId="2866"/>
    <cellStyle name="Normale 5 2 6 7 3 2" xfId="10329"/>
    <cellStyle name="Normale 5 2 6 7 3 3" xfId="17737"/>
    <cellStyle name="Normale 5 2 6 7 3 4" xfId="23220"/>
    <cellStyle name="Normale 5 2 6 7 4" xfId="3781"/>
    <cellStyle name="Normale 5 2 6 7 4 2" xfId="11244"/>
    <cellStyle name="Normale 5 2 6 7 4 3" xfId="18652"/>
    <cellStyle name="Normale 5 2 6 7 4 4" xfId="29052"/>
    <cellStyle name="Normale 5 2 6 7 5" xfId="4722"/>
    <cellStyle name="Normale 5 2 6 7 5 2" xfId="12185"/>
    <cellStyle name="Normale 5 2 6 7 5 3" xfId="19593"/>
    <cellStyle name="Normale 5 2 6 7 5 4" xfId="23526"/>
    <cellStyle name="Normale 5 2 6 7 6" xfId="5636"/>
    <cellStyle name="Normale 5 2 6 7 6 2" xfId="13099"/>
    <cellStyle name="Normale 5 2 6 7 6 3" xfId="20507"/>
    <cellStyle name="Normale 5 2 6 7 6 4" xfId="28606"/>
    <cellStyle name="Normale 5 2 6 7 7" xfId="6571"/>
    <cellStyle name="Normale 5 2 6 7 7 2" xfId="14034"/>
    <cellStyle name="Normale 5 2 6 7 7 3" xfId="21442"/>
    <cellStyle name="Normale 5 2 6 7 7 4" xfId="27677"/>
    <cellStyle name="Normale 5 2 6 7 8" xfId="7465"/>
    <cellStyle name="Normale 5 2 6 7 8 2" xfId="14928"/>
    <cellStyle name="Normale 5 2 6 7 8 3" xfId="22336"/>
    <cellStyle name="Normale 5 2 6 7 8 4" xfId="29693"/>
    <cellStyle name="Normale 5 2 6 7 9" xfId="8432"/>
    <cellStyle name="Normale 5 2 6 8" xfId="1138"/>
    <cellStyle name="Normale 5 2 6 8 2" xfId="8601"/>
    <cellStyle name="Normale 5 2 6 8 3" xfId="16009"/>
    <cellStyle name="Normale 5 2 6 8 4" xfId="24535"/>
    <cellStyle name="Normale 5 2 6 9" xfId="2065"/>
    <cellStyle name="Normale 5 2 6 9 2" xfId="9528"/>
    <cellStyle name="Normale 5 2 6 9 3" xfId="16936"/>
    <cellStyle name="Normale 5 2 6 9 4" xfId="27804"/>
    <cellStyle name="Normale 5 2 7" xfId="348"/>
    <cellStyle name="Normale 5 2 7 10" xfId="15221"/>
    <cellStyle name="Normale 5 2 7 11" xfId="25281"/>
    <cellStyle name="Normale 5 2 7 12" xfId="30033"/>
    <cellStyle name="Normale 5 2 7 13" xfId="30965"/>
    <cellStyle name="Normale 5 2 7 14" xfId="31886"/>
    <cellStyle name="Normale 5 2 7 15" xfId="32811"/>
    <cellStyle name="Normale 5 2 7 16" xfId="33748"/>
    <cellStyle name="Normale 5 2 7 17" xfId="34678"/>
    <cellStyle name="Normale 5 2 7 18" xfId="35604"/>
    <cellStyle name="Normale 5 2 7 19" xfId="36530"/>
    <cellStyle name="Normale 5 2 7 2" xfId="1315"/>
    <cellStyle name="Normale 5 2 7 2 2" xfId="8778"/>
    <cellStyle name="Normale 5 2 7 2 3" xfId="16186"/>
    <cellStyle name="Normale 5 2 7 2 4" xfId="24106"/>
    <cellStyle name="Normale 5 2 7 20" xfId="37450"/>
    <cellStyle name="Normale 5 2 7 3" xfId="2246"/>
    <cellStyle name="Normale 5 2 7 3 2" xfId="9709"/>
    <cellStyle name="Normale 5 2 7 3 3" xfId="17117"/>
    <cellStyle name="Normale 5 2 7 3 4" xfId="27262"/>
    <cellStyle name="Normale 5 2 7 4" xfId="3168"/>
    <cellStyle name="Normale 5 2 7 4 2" xfId="10631"/>
    <cellStyle name="Normale 5 2 7 4 3" xfId="18039"/>
    <cellStyle name="Normale 5 2 7 4 4" xfId="29444"/>
    <cellStyle name="Normale 5 2 7 5" xfId="4101"/>
    <cellStyle name="Normale 5 2 7 5 2" xfId="11564"/>
    <cellStyle name="Normale 5 2 7 5 3" xfId="18972"/>
    <cellStyle name="Normale 5 2 7 5 4" xfId="28857"/>
    <cellStyle name="Normale 5 2 7 6" xfId="5024"/>
    <cellStyle name="Normale 5 2 7 6 2" xfId="12487"/>
    <cellStyle name="Normale 5 2 7 6 3" xfId="19895"/>
    <cellStyle name="Normale 5 2 7 6 4" xfId="26780"/>
    <cellStyle name="Normale 5 2 7 7" xfId="5952"/>
    <cellStyle name="Normale 5 2 7 7 2" xfId="13415"/>
    <cellStyle name="Normale 5 2 7 7 3" xfId="20823"/>
    <cellStyle name="Normale 5 2 7 7 4" xfId="25138"/>
    <cellStyle name="Normale 5 2 7 8" xfId="6872"/>
    <cellStyle name="Normale 5 2 7 8 2" xfId="14335"/>
    <cellStyle name="Normale 5 2 7 8 3" xfId="21743"/>
    <cellStyle name="Normale 5 2 7 8 4" xfId="29467"/>
    <cellStyle name="Normale 5 2 7 9" xfId="7811"/>
    <cellStyle name="Normale 5 2 8" xfId="436"/>
    <cellStyle name="Normale 5 2 8 10" xfId="15309"/>
    <cellStyle name="Normale 5 2 8 11" xfId="26659"/>
    <cellStyle name="Normale 5 2 8 12" xfId="30121"/>
    <cellStyle name="Normale 5 2 8 13" xfId="31053"/>
    <cellStyle name="Normale 5 2 8 14" xfId="31974"/>
    <cellStyle name="Normale 5 2 8 15" xfId="32898"/>
    <cellStyle name="Normale 5 2 8 16" xfId="33836"/>
    <cellStyle name="Normale 5 2 8 17" xfId="34766"/>
    <cellStyle name="Normale 5 2 8 18" xfId="35692"/>
    <cellStyle name="Normale 5 2 8 19" xfId="36618"/>
    <cellStyle name="Normale 5 2 8 2" xfId="1403"/>
    <cellStyle name="Normale 5 2 8 2 2" xfId="8866"/>
    <cellStyle name="Normale 5 2 8 2 3" xfId="16274"/>
    <cellStyle name="Normale 5 2 8 2 4" xfId="23917"/>
    <cellStyle name="Normale 5 2 8 20" xfId="37537"/>
    <cellStyle name="Normale 5 2 8 3" xfId="2334"/>
    <cellStyle name="Normale 5 2 8 3 2" xfId="9797"/>
    <cellStyle name="Normale 5 2 8 3 3" xfId="17205"/>
    <cellStyle name="Normale 5 2 8 3 4" xfId="28421"/>
    <cellStyle name="Normale 5 2 8 4" xfId="3256"/>
    <cellStyle name="Normale 5 2 8 4 2" xfId="10719"/>
    <cellStyle name="Normale 5 2 8 4 3" xfId="18127"/>
    <cellStyle name="Normale 5 2 8 4 4" xfId="26790"/>
    <cellStyle name="Normale 5 2 8 5" xfId="4189"/>
    <cellStyle name="Normale 5 2 8 5 2" xfId="11652"/>
    <cellStyle name="Normale 5 2 8 5 3" xfId="19060"/>
    <cellStyle name="Normale 5 2 8 5 4" xfId="27942"/>
    <cellStyle name="Normale 5 2 8 6" xfId="5112"/>
    <cellStyle name="Normale 5 2 8 6 2" xfId="12575"/>
    <cellStyle name="Normale 5 2 8 6 3" xfId="19983"/>
    <cellStyle name="Normale 5 2 8 6 4" xfId="26277"/>
    <cellStyle name="Normale 5 2 8 7" xfId="6040"/>
    <cellStyle name="Normale 5 2 8 7 2" xfId="13503"/>
    <cellStyle name="Normale 5 2 8 7 3" xfId="20911"/>
    <cellStyle name="Normale 5 2 8 7 4" xfId="26625"/>
    <cellStyle name="Normale 5 2 8 8" xfId="6959"/>
    <cellStyle name="Normale 5 2 8 8 2" xfId="14422"/>
    <cellStyle name="Normale 5 2 8 8 3" xfId="21830"/>
    <cellStyle name="Normale 5 2 8 8 4" xfId="27720"/>
    <cellStyle name="Normale 5 2 8 9" xfId="7899"/>
    <cellStyle name="Normale 5 2 9" xfId="484"/>
    <cellStyle name="Normale 5 2 9 10" xfId="15357"/>
    <cellStyle name="Normale 5 2 9 11" xfId="25277"/>
    <cellStyle name="Normale 5 2 9 12" xfId="30169"/>
    <cellStyle name="Normale 5 2 9 13" xfId="31101"/>
    <cellStyle name="Normale 5 2 9 14" xfId="32022"/>
    <cellStyle name="Normale 5 2 9 15" xfId="32945"/>
    <cellStyle name="Normale 5 2 9 16" xfId="33884"/>
    <cellStyle name="Normale 5 2 9 17" xfId="34814"/>
    <cellStyle name="Normale 5 2 9 18" xfId="35740"/>
    <cellStyle name="Normale 5 2 9 19" xfId="36666"/>
    <cellStyle name="Normale 5 2 9 2" xfId="1451"/>
    <cellStyle name="Normale 5 2 9 2 2" xfId="8914"/>
    <cellStyle name="Normale 5 2 9 2 3" xfId="16322"/>
    <cellStyle name="Normale 5 2 9 2 4" xfId="29400"/>
    <cellStyle name="Normale 5 2 9 20" xfId="37584"/>
    <cellStyle name="Normale 5 2 9 3" xfId="2382"/>
    <cellStyle name="Normale 5 2 9 3 2" xfId="9845"/>
    <cellStyle name="Normale 5 2 9 3 3" xfId="17253"/>
    <cellStyle name="Normale 5 2 9 3 4" xfId="27258"/>
    <cellStyle name="Normale 5 2 9 4" xfId="3304"/>
    <cellStyle name="Normale 5 2 9 4 2" xfId="10767"/>
    <cellStyle name="Normale 5 2 9 4 3" xfId="18175"/>
    <cellStyle name="Normale 5 2 9 4 4" xfId="28793"/>
    <cellStyle name="Normale 5 2 9 5" xfId="4237"/>
    <cellStyle name="Normale 5 2 9 5 2" xfId="11700"/>
    <cellStyle name="Normale 5 2 9 5 3" xfId="19108"/>
    <cellStyle name="Normale 5 2 9 5 4" xfId="28853"/>
    <cellStyle name="Normale 5 2 9 6" xfId="5160"/>
    <cellStyle name="Normale 5 2 9 6 2" xfId="12623"/>
    <cellStyle name="Normale 5 2 9 6 3" xfId="20031"/>
    <cellStyle name="Normale 5 2 9 6 4" xfId="24829"/>
    <cellStyle name="Normale 5 2 9 7" xfId="6088"/>
    <cellStyle name="Normale 5 2 9 7 2" xfId="13551"/>
    <cellStyle name="Normale 5 2 9 7 3" xfId="20959"/>
    <cellStyle name="Normale 5 2 9 7 4" xfId="25134"/>
    <cellStyle name="Normale 5 2 9 8" xfId="7006"/>
    <cellStyle name="Normale 5 2 9 8 2" xfId="14469"/>
    <cellStyle name="Normale 5 2 9 8 3" xfId="21877"/>
    <cellStyle name="Normale 5 2 9 8 4" xfId="28293"/>
    <cellStyle name="Normale 5 2 9 9" xfId="7947"/>
    <cellStyle name="Normale 5 20" xfId="2975"/>
    <cellStyle name="Normale 5 20 2" xfId="10438"/>
    <cellStyle name="Normale 5 20 3" xfId="17846"/>
    <cellStyle name="Normale 5 20 4" xfId="25404"/>
    <cellStyle name="Normale 5 21" xfId="3904"/>
    <cellStyle name="Normale 5 21 2" xfId="11367"/>
    <cellStyle name="Normale 5 21 3" xfId="18775"/>
    <cellStyle name="Normale 5 21 4" xfId="28513"/>
    <cellStyle name="Normale 5 22" xfId="4831"/>
    <cellStyle name="Normale 5 22 2" xfId="12294"/>
    <cellStyle name="Normale 5 22 3" xfId="19702"/>
    <cellStyle name="Normale 5 22 4" xfId="27006"/>
    <cellStyle name="Normale 5 23" xfId="5758"/>
    <cellStyle name="Normale 5 23 2" xfId="13221"/>
    <cellStyle name="Normale 5 23 3" xfId="20629"/>
    <cellStyle name="Normale 5 23 4" xfId="28061"/>
    <cellStyle name="Normale 5 24" xfId="6680"/>
    <cellStyle name="Normale 5 24 2" xfId="14143"/>
    <cellStyle name="Normale 5 24 3" xfId="21551"/>
    <cellStyle name="Normale 5 24 4" xfId="23920"/>
    <cellStyle name="Normale 5 25" xfId="7614"/>
    <cellStyle name="Normale 5 26" xfId="15023"/>
    <cellStyle name="Normale 5 27" xfId="24609"/>
    <cellStyle name="Normale 5 28" xfId="29840"/>
    <cellStyle name="Normale 5 29" xfId="30770"/>
    <cellStyle name="Normale 5 3" xfId="166"/>
    <cellStyle name="Normale 5 3 10" xfId="726"/>
    <cellStyle name="Normale 5 3 10 10" xfId="15597"/>
    <cellStyle name="Normale 5 3 10 11" xfId="25035"/>
    <cellStyle name="Normale 5 3 10 12" xfId="30400"/>
    <cellStyle name="Normale 5 3 10 13" xfId="31341"/>
    <cellStyle name="Normale 5 3 10 14" xfId="32254"/>
    <cellStyle name="Normale 5 3 10 15" xfId="33172"/>
    <cellStyle name="Normale 5 3 10 16" xfId="34124"/>
    <cellStyle name="Normale 5 3 10 17" xfId="35056"/>
    <cellStyle name="Normale 5 3 10 18" xfId="35982"/>
    <cellStyle name="Normale 5 3 10 19" xfId="36907"/>
    <cellStyle name="Normale 5 3 10 2" xfId="1691"/>
    <cellStyle name="Normale 5 3 10 2 2" xfId="9154"/>
    <cellStyle name="Normale 5 3 10 2 3" xfId="16562"/>
    <cellStyle name="Normale 5 3 10 2 4" xfId="28197"/>
    <cellStyle name="Normale 5 3 10 20" xfId="37811"/>
    <cellStyle name="Normale 5 3 10 3" xfId="2624"/>
    <cellStyle name="Normale 5 3 10 3 2" xfId="10087"/>
    <cellStyle name="Normale 5 3 10 3 3" xfId="17495"/>
    <cellStyle name="Normale 5 3 10 3 4" xfId="24482"/>
    <cellStyle name="Normale 5 3 10 4" xfId="3540"/>
    <cellStyle name="Normale 5 3 10 4 2" xfId="11003"/>
    <cellStyle name="Normale 5 3 10 4 3" xfId="18411"/>
    <cellStyle name="Normale 5 3 10 4 4" xfId="23215"/>
    <cellStyle name="Normale 5 3 10 5" xfId="4479"/>
    <cellStyle name="Normale 5 3 10 5 2" xfId="11942"/>
    <cellStyle name="Normale 5 3 10 5 3" xfId="19350"/>
    <cellStyle name="Normale 5 3 10 5 4" xfId="27329"/>
    <cellStyle name="Normale 5 3 10 6" xfId="5395"/>
    <cellStyle name="Normale 5 3 10 6 2" xfId="12858"/>
    <cellStyle name="Normale 5 3 10 6 3" xfId="20266"/>
    <cellStyle name="Normale 5 3 10 6 4" xfId="28102"/>
    <cellStyle name="Normale 5 3 10 7" xfId="6328"/>
    <cellStyle name="Normale 5 3 10 7 2" xfId="13791"/>
    <cellStyle name="Normale 5 3 10 7 3" xfId="21199"/>
    <cellStyle name="Normale 5 3 10 7 4" xfId="24570"/>
    <cellStyle name="Normale 5 3 10 8" xfId="7233"/>
    <cellStyle name="Normale 5 3 10 8 2" xfId="14696"/>
    <cellStyle name="Normale 5 3 10 8 3" xfId="22104"/>
    <cellStyle name="Normale 5 3 10 8 4" xfId="22344"/>
    <cellStyle name="Normale 5 3 10 9" xfId="8189"/>
    <cellStyle name="Normale 5 3 11" xfId="798"/>
    <cellStyle name="Normale 5 3 11 10" xfId="15669"/>
    <cellStyle name="Normale 5 3 11 11" xfId="23192"/>
    <cellStyle name="Normale 5 3 11 12" xfId="30470"/>
    <cellStyle name="Normale 5 3 11 13" xfId="31413"/>
    <cellStyle name="Normale 5 3 11 14" xfId="32325"/>
    <cellStyle name="Normale 5 3 11 15" xfId="33241"/>
    <cellStyle name="Normale 5 3 11 16" xfId="34196"/>
    <cellStyle name="Normale 5 3 11 17" xfId="35128"/>
    <cellStyle name="Normale 5 3 11 18" xfId="36054"/>
    <cellStyle name="Normale 5 3 11 19" xfId="36979"/>
    <cellStyle name="Normale 5 3 11 2" xfId="1763"/>
    <cellStyle name="Normale 5 3 11 2 2" xfId="9226"/>
    <cellStyle name="Normale 5 3 11 2 3" xfId="16634"/>
    <cellStyle name="Normale 5 3 11 2 4" xfId="29453"/>
    <cellStyle name="Normale 5 3 11 20" xfId="37880"/>
    <cellStyle name="Normale 5 3 11 3" xfId="2696"/>
    <cellStyle name="Normale 5 3 11 3 2" xfId="10159"/>
    <cellStyle name="Normale 5 3 11 3 3" xfId="17567"/>
    <cellStyle name="Normale 5 3 11 3 4" xfId="25051"/>
    <cellStyle name="Normale 5 3 11 4" xfId="3611"/>
    <cellStyle name="Normale 5 3 11 4 2" xfId="11074"/>
    <cellStyle name="Normale 5 3 11 4 3" xfId="18482"/>
    <cellStyle name="Normale 5 3 11 4 4" xfId="23668"/>
    <cellStyle name="Normale 5 3 11 5" xfId="4551"/>
    <cellStyle name="Normale 5 3 11 5 2" xfId="12014"/>
    <cellStyle name="Normale 5 3 11 5 3" xfId="19422"/>
    <cellStyle name="Normale 5 3 11 5 4" xfId="27859"/>
    <cellStyle name="Normale 5 3 11 6" xfId="5466"/>
    <cellStyle name="Normale 5 3 11 6 2" xfId="12929"/>
    <cellStyle name="Normale 5 3 11 6 3" xfId="20337"/>
    <cellStyle name="Normale 5 3 11 6 4" xfId="23001"/>
    <cellStyle name="Normale 5 3 11 7" xfId="6400"/>
    <cellStyle name="Normale 5 3 11 7 2" xfId="13863"/>
    <cellStyle name="Normale 5 3 11 7 3" xfId="21271"/>
    <cellStyle name="Normale 5 3 11 7 4" xfId="25117"/>
    <cellStyle name="Normale 5 3 11 8" xfId="7302"/>
    <cellStyle name="Normale 5 3 11 8 2" xfId="14765"/>
    <cellStyle name="Normale 5 3 11 8 3" xfId="22173"/>
    <cellStyle name="Normale 5 3 11 8 4" xfId="25759"/>
    <cellStyle name="Normale 5 3 11 9" xfId="8261"/>
    <cellStyle name="Normale 5 3 12" xfId="871"/>
    <cellStyle name="Normale 5 3 12 10" xfId="15742"/>
    <cellStyle name="Normale 5 3 12 11" xfId="27652"/>
    <cellStyle name="Normale 5 3 12 12" xfId="30540"/>
    <cellStyle name="Normale 5 3 12 13" xfId="31486"/>
    <cellStyle name="Normale 5 3 12 14" xfId="32397"/>
    <cellStyle name="Normale 5 3 12 15" xfId="33310"/>
    <cellStyle name="Normale 5 3 12 16" xfId="34269"/>
    <cellStyle name="Normale 5 3 12 17" xfId="35201"/>
    <cellStyle name="Normale 5 3 12 18" xfId="36127"/>
    <cellStyle name="Normale 5 3 12 19" xfId="37052"/>
    <cellStyle name="Normale 5 3 12 2" xfId="1836"/>
    <cellStyle name="Normale 5 3 12 2 2" xfId="9299"/>
    <cellStyle name="Normale 5 3 12 2 3" xfId="16707"/>
    <cellStyle name="Normale 5 3 12 2 4" xfId="24518"/>
    <cellStyle name="Normale 5 3 12 20" xfId="37949"/>
    <cellStyle name="Normale 5 3 12 3" xfId="2769"/>
    <cellStyle name="Normale 5 3 12 3 2" xfId="10232"/>
    <cellStyle name="Normale 5 3 12 3 3" xfId="17640"/>
    <cellStyle name="Normale 5 3 12 3 4" xfId="23878"/>
    <cellStyle name="Normale 5 3 12 4" xfId="3683"/>
    <cellStyle name="Normale 5 3 12 4 2" xfId="11146"/>
    <cellStyle name="Normale 5 3 12 4 3" xfId="18554"/>
    <cellStyle name="Normale 5 3 12 4 4" xfId="24161"/>
    <cellStyle name="Normale 5 3 12 5" xfId="4624"/>
    <cellStyle name="Normale 5 3 12 5 2" xfId="12087"/>
    <cellStyle name="Normale 5 3 12 5 3" xfId="19495"/>
    <cellStyle name="Normale 5 3 12 5 4" xfId="26094"/>
    <cellStyle name="Normale 5 3 12 6" xfId="5538"/>
    <cellStyle name="Normale 5 3 12 6 2" xfId="13001"/>
    <cellStyle name="Normale 5 3 12 6 3" xfId="20409"/>
    <cellStyle name="Normale 5 3 12 6 4" xfId="26266"/>
    <cellStyle name="Normale 5 3 12 7" xfId="6473"/>
    <cellStyle name="Normale 5 3 12 7 2" xfId="13936"/>
    <cellStyle name="Normale 5 3 12 7 3" xfId="21344"/>
    <cellStyle name="Normale 5 3 12 7 4" xfId="23289"/>
    <cellStyle name="Normale 5 3 12 8" xfId="7371"/>
    <cellStyle name="Normale 5 3 12 8 2" xfId="14834"/>
    <cellStyle name="Normale 5 3 12 8 3" xfId="22242"/>
    <cellStyle name="Normale 5 3 12 8 4" xfId="27881"/>
    <cellStyle name="Normale 5 3 12 9" xfId="8334"/>
    <cellStyle name="Normale 5 3 13" xfId="941"/>
    <cellStyle name="Normale 5 3 13 10" xfId="15812"/>
    <cellStyle name="Normale 5 3 13 11" xfId="29283"/>
    <cellStyle name="Normale 5 3 13 12" xfId="30607"/>
    <cellStyle name="Normale 5 3 13 13" xfId="31555"/>
    <cellStyle name="Normale 5 3 13 14" xfId="32466"/>
    <cellStyle name="Normale 5 3 13 15" xfId="33376"/>
    <cellStyle name="Normale 5 3 13 16" xfId="34339"/>
    <cellStyle name="Normale 5 3 13 17" xfId="35271"/>
    <cellStyle name="Normale 5 3 13 18" xfId="36196"/>
    <cellStyle name="Normale 5 3 13 19" xfId="37122"/>
    <cellStyle name="Normale 5 3 13 2" xfId="1906"/>
    <cellStyle name="Normale 5 3 13 2 2" xfId="9369"/>
    <cellStyle name="Normale 5 3 13 2 3" xfId="16777"/>
    <cellStyle name="Normale 5 3 13 2 4" xfId="27632"/>
    <cellStyle name="Normale 5 3 13 20" xfId="38015"/>
    <cellStyle name="Normale 5 3 13 3" xfId="2838"/>
    <cellStyle name="Normale 5 3 13 3 2" xfId="10301"/>
    <cellStyle name="Normale 5 3 13 3 3" xfId="17709"/>
    <cellStyle name="Normale 5 3 13 3 4" xfId="26335"/>
    <cellStyle name="Normale 5 3 13 4" xfId="3753"/>
    <cellStyle name="Normale 5 3 13 4 2" xfId="11216"/>
    <cellStyle name="Normale 5 3 13 4 3" xfId="18624"/>
    <cellStyle name="Normale 5 3 13 4 4" xfId="25382"/>
    <cellStyle name="Normale 5 3 13 5" xfId="4694"/>
    <cellStyle name="Normale 5 3 13 5 2" xfId="12157"/>
    <cellStyle name="Normale 5 3 13 5 3" xfId="19565"/>
    <cellStyle name="Normale 5 3 13 5 4" xfId="27928"/>
    <cellStyle name="Normale 5 3 13 6" xfId="5608"/>
    <cellStyle name="Normale 5 3 13 6 2" xfId="13071"/>
    <cellStyle name="Normale 5 3 13 6 3" xfId="20479"/>
    <cellStyle name="Normale 5 3 13 6 4" xfId="29429"/>
    <cellStyle name="Normale 5 3 13 7" xfId="6543"/>
    <cellStyle name="Normale 5 3 13 7 2" xfId="14006"/>
    <cellStyle name="Normale 5 3 13 7 3" xfId="21414"/>
    <cellStyle name="Normale 5 3 13 7 4" xfId="24148"/>
    <cellStyle name="Normale 5 3 13 8" xfId="7437"/>
    <cellStyle name="Normale 5 3 13 8 2" xfId="14900"/>
    <cellStyle name="Normale 5 3 13 8 3" xfId="22308"/>
    <cellStyle name="Normale 5 3 13 8 4" xfId="26690"/>
    <cellStyle name="Normale 5 3 13 9" xfId="8404"/>
    <cellStyle name="Normale 5 3 14" xfId="1139"/>
    <cellStyle name="Normale 5 3 14 2" xfId="8602"/>
    <cellStyle name="Normale 5 3 14 3" xfId="16010"/>
    <cellStyle name="Normale 5 3 14 4" xfId="23615"/>
    <cellStyle name="Normale 5 3 15" xfId="2066"/>
    <cellStyle name="Normale 5 3 15 2" xfId="9529"/>
    <cellStyle name="Normale 5 3 15 3" xfId="16937"/>
    <cellStyle name="Normale 5 3 15 4" xfId="26902"/>
    <cellStyle name="Normale 5 3 16" xfId="2992"/>
    <cellStyle name="Normale 5 3 16 2" xfId="10455"/>
    <cellStyle name="Normale 5 3 16 3" xfId="17863"/>
    <cellStyle name="Normale 5 3 16 4" xfId="23569"/>
    <cellStyle name="Normale 5 3 17" xfId="3921"/>
    <cellStyle name="Normale 5 3 17 2" xfId="11384"/>
    <cellStyle name="Normale 5 3 17 3" xfId="18792"/>
    <cellStyle name="Normale 5 3 17 4" xfId="27030"/>
    <cellStyle name="Normale 5 3 18" xfId="4848"/>
    <cellStyle name="Normale 5 3 18 2" xfId="12311"/>
    <cellStyle name="Normale 5 3 18 3" xfId="19719"/>
    <cellStyle name="Normale 5 3 18 4" xfId="25165"/>
    <cellStyle name="Normale 5 3 19" xfId="5775"/>
    <cellStyle name="Normale 5 3 19 2" xfId="13238"/>
    <cellStyle name="Normale 5 3 19 3" xfId="20646"/>
    <cellStyle name="Normale 5 3 19 4" xfId="29621"/>
    <cellStyle name="Normale 5 3 2" xfId="167"/>
    <cellStyle name="Normale 5 3 2 10" xfId="6698"/>
    <cellStyle name="Normale 5 3 2 10 2" xfId="14161"/>
    <cellStyle name="Normale 5 3 2 10 3" xfId="21569"/>
    <cellStyle name="Normale 5 3 2 10 4" xfId="28979"/>
    <cellStyle name="Normale 5 3 2 11" xfId="7632"/>
    <cellStyle name="Normale 5 3 2 12" xfId="15041"/>
    <cellStyle name="Normale 5 3 2 13" xfId="25125"/>
    <cellStyle name="Normale 5 3 2 14" xfId="29858"/>
    <cellStyle name="Normale 5 3 2 15" xfId="30788"/>
    <cellStyle name="Normale 5 3 2 16" xfId="31711"/>
    <cellStyle name="Normale 5 3 2 17" xfId="32637"/>
    <cellStyle name="Normale 5 3 2 18" xfId="33571"/>
    <cellStyle name="Normale 5 3 2 19" xfId="34499"/>
    <cellStyle name="Normale 5 3 2 2" xfId="168"/>
    <cellStyle name="Normale 5 3 2 2 10" xfId="7633"/>
    <cellStyle name="Normale 5 3 2 2 11" xfId="15042"/>
    <cellStyle name="Normale 5 3 2 2 12" xfId="24199"/>
    <cellStyle name="Normale 5 3 2 2 13" xfId="29859"/>
    <cellStyle name="Normale 5 3 2 2 14" xfId="30789"/>
    <cellStyle name="Normale 5 3 2 2 15" xfId="31712"/>
    <cellStyle name="Normale 5 3 2 2 16" xfId="32638"/>
    <cellStyle name="Normale 5 3 2 2 17" xfId="33572"/>
    <cellStyle name="Normale 5 3 2 2 18" xfId="34500"/>
    <cellStyle name="Normale 5 3 2 2 19" xfId="35428"/>
    <cellStyle name="Normale 5 3 2 2 2" xfId="366"/>
    <cellStyle name="Normale 5 3 2 2 2 10" xfId="15239"/>
    <cellStyle name="Normale 5 3 2 2 2 11" xfId="24361"/>
    <cellStyle name="Normale 5 3 2 2 2 12" xfId="30051"/>
    <cellStyle name="Normale 5 3 2 2 2 13" xfId="30983"/>
    <cellStyle name="Normale 5 3 2 2 2 14" xfId="31904"/>
    <cellStyle name="Normale 5 3 2 2 2 15" xfId="32829"/>
    <cellStyle name="Normale 5 3 2 2 2 16" xfId="33766"/>
    <cellStyle name="Normale 5 3 2 2 2 17" xfId="34696"/>
    <cellStyle name="Normale 5 3 2 2 2 18" xfId="35622"/>
    <cellStyle name="Normale 5 3 2 2 2 19" xfId="36548"/>
    <cellStyle name="Normale 5 3 2 2 2 2" xfId="1333"/>
    <cellStyle name="Normale 5 3 2 2 2 2 2" xfId="8796"/>
    <cellStyle name="Normale 5 3 2 2 2 2 3" xfId="16204"/>
    <cellStyle name="Normale 5 3 2 2 2 2 4" xfId="28910"/>
    <cellStyle name="Normale 5 3 2 2 2 20" xfId="37468"/>
    <cellStyle name="Normale 5 3 2 2 2 3" xfId="2264"/>
    <cellStyle name="Normale 5 3 2 2 2 3 2" xfId="9727"/>
    <cellStyle name="Normale 5 3 2 2 2 3 3" xfId="17135"/>
    <cellStyle name="Normale 5 3 2 2 2 3 4" xfId="26350"/>
    <cellStyle name="Normale 5 3 2 2 2 4" xfId="3186"/>
    <cellStyle name="Normale 5 3 2 2 2 4 2" xfId="10649"/>
    <cellStyle name="Normale 5 3 2 2 2 4 3" xfId="18057"/>
    <cellStyle name="Normale 5 3 2 2 2 4 4" xfId="23152"/>
    <cellStyle name="Normale 5 3 2 2 2 5" xfId="4119"/>
    <cellStyle name="Normale 5 3 2 2 2 5 2" xfId="11582"/>
    <cellStyle name="Normale 5 3 2 2 2 5 3" xfId="18990"/>
    <cellStyle name="Normale 5 3 2 2 2 5 4" xfId="27761"/>
    <cellStyle name="Normale 5 3 2 2 2 6" xfId="5042"/>
    <cellStyle name="Normale 5 3 2 2 2 6 2" xfId="12505"/>
    <cellStyle name="Normale 5 3 2 2 2 6 3" xfId="19913"/>
    <cellStyle name="Normale 5 3 2 2 2 6 4" xfId="22778"/>
    <cellStyle name="Normale 5 3 2 2 2 7" xfId="5970"/>
    <cellStyle name="Normale 5 3 2 2 2 7 2" xfId="13433"/>
    <cellStyle name="Normale 5 3 2 2 2 7 3" xfId="20841"/>
    <cellStyle name="Normale 5 3 2 2 2 7 4" xfId="24217"/>
    <cellStyle name="Normale 5 3 2 2 2 8" xfId="6890"/>
    <cellStyle name="Normale 5 3 2 2 2 8 2" xfId="14353"/>
    <cellStyle name="Normale 5 3 2 2 2 8 3" xfId="21761"/>
    <cellStyle name="Normale 5 3 2 2 2 8 4" xfId="23190"/>
    <cellStyle name="Normale 5 3 2 2 2 9" xfId="7829"/>
    <cellStyle name="Normale 5 3 2 2 20" xfId="36354"/>
    <cellStyle name="Normale 5 3 2 2 21" xfId="37277"/>
    <cellStyle name="Normale 5 3 2 2 3" xfId="1141"/>
    <cellStyle name="Normale 5 3 2 2 3 2" xfId="8604"/>
    <cellStyle name="Normale 5 3 2 2 3 3" xfId="16012"/>
    <cellStyle name="Normale 5 3 2 2 3 4" xfId="28020"/>
    <cellStyle name="Normale 5 3 2 2 4" xfId="2068"/>
    <cellStyle name="Normale 5 3 2 2 4 2" xfId="9531"/>
    <cellStyle name="Normale 5 3 2 2 4 3" xfId="16939"/>
    <cellStyle name="Normale 5 3 2 2 4 4" xfId="25059"/>
    <cellStyle name="Normale 5 3 2 2 5" xfId="2994"/>
    <cellStyle name="Normale 5 3 2 2 5 2" xfId="10457"/>
    <cellStyle name="Normale 5 3 2 2 5 3" xfId="17865"/>
    <cellStyle name="Normale 5 3 2 2 5 4" xfId="22454"/>
    <cellStyle name="Normale 5 3 2 2 6" xfId="3923"/>
    <cellStyle name="Normale 5 3 2 2 6 2" xfId="11386"/>
    <cellStyle name="Normale 5 3 2 2 6 3" xfId="18794"/>
    <cellStyle name="Normale 5 3 2 2 6 4" xfId="25189"/>
    <cellStyle name="Normale 5 3 2 2 7" xfId="4850"/>
    <cellStyle name="Normale 5 3 2 2 7 2" xfId="12313"/>
    <cellStyle name="Normale 5 3 2 2 7 3" xfId="19721"/>
    <cellStyle name="Normale 5 3 2 2 7 4" xfId="23330"/>
    <cellStyle name="Normale 5 3 2 2 8" xfId="5777"/>
    <cellStyle name="Normale 5 3 2 2 8 2" xfId="13240"/>
    <cellStyle name="Normale 5 3 2 2 8 3" xfId="20648"/>
    <cellStyle name="Normale 5 3 2 2 8 4" xfId="27806"/>
    <cellStyle name="Normale 5 3 2 2 9" xfId="6699"/>
    <cellStyle name="Normale 5 3 2 2 9 2" xfId="14162"/>
    <cellStyle name="Normale 5 3 2 2 9 3" xfId="21570"/>
    <cellStyle name="Normale 5 3 2 2 9 4" xfId="28069"/>
    <cellStyle name="Normale 5 3 2 20" xfId="35427"/>
    <cellStyle name="Normale 5 3 2 21" xfId="36353"/>
    <cellStyle name="Normale 5 3 2 22" xfId="37276"/>
    <cellStyle name="Normale 5 3 2 3" xfId="365"/>
    <cellStyle name="Normale 5 3 2 3 10" xfId="15238"/>
    <cellStyle name="Normale 5 3 2 3 11" xfId="25279"/>
    <cellStyle name="Normale 5 3 2 3 12" xfId="30050"/>
    <cellStyle name="Normale 5 3 2 3 13" xfId="30982"/>
    <cellStyle name="Normale 5 3 2 3 14" xfId="31903"/>
    <cellStyle name="Normale 5 3 2 3 15" xfId="32828"/>
    <cellStyle name="Normale 5 3 2 3 16" xfId="33765"/>
    <cellStyle name="Normale 5 3 2 3 17" xfId="34695"/>
    <cellStyle name="Normale 5 3 2 3 18" xfId="35621"/>
    <cellStyle name="Normale 5 3 2 3 19" xfId="36547"/>
    <cellStyle name="Normale 5 3 2 3 2" xfId="1332"/>
    <cellStyle name="Normale 5 3 2 3 2 2" xfId="8795"/>
    <cellStyle name="Normale 5 3 2 3 2 3" xfId="16203"/>
    <cellStyle name="Normale 5 3 2 3 2 4" xfId="22479"/>
    <cellStyle name="Normale 5 3 2 3 20" xfId="37467"/>
    <cellStyle name="Normale 5 3 2 3 3" xfId="2263"/>
    <cellStyle name="Normale 5 3 2 3 3 2" xfId="9726"/>
    <cellStyle name="Normale 5 3 2 3 3 3" xfId="17134"/>
    <cellStyle name="Normale 5 3 2 3 3 4" xfId="27260"/>
    <cellStyle name="Normale 5 3 2 3 4" xfId="3185"/>
    <cellStyle name="Normale 5 3 2 3 4 2" xfId="10648"/>
    <cellStyle name="Normale 5 3 2 3 4 3" xfId="18056"/>
    <cellStyle name="Normale 5 3 2 3 4 4" xfId="24164"/>
    <cellStyle name="Normale 5 3 2 3 5" xfId="4118"/>
    <cellStyle name="Normale 5 3 2 3 5 2" xfId="11581"/>
    <cellStyle name="Normale 5 3 2 3 5 3" xfId="18989"/>
    <cellStyle name="Normale 5 3 2 3 5 4" xfId="28688"/>
    <cellStyle name="Normale 5 3 2 3 6" xfId="5041"/>
    <cellStyle name="Normale 5 3 2 3 6 2" xfId="12504"/>
    <cellStyle name="Normale 5 3 2 3 6 3" xfId="19912"/>
    <cellStyle name="Normale 5 3 2 3 6 4" xfId="25142"/>
    <cellStyle name="Normale 5 3 2 3 7" xfId="5969"/>
    <cellStyle name="Normale 5 3 2 3 7 2" xfId="13432"/>
    <cellStyle name="Normale 5 3 2 3 7 3" xfId="20840"/>
    <cellStyle name="Normale 5 3 2 3 7 4" xfId="25136"/>
    <cellStyle name="Normale 5 3 2 3 8" xfId="6889"/>
    <cellStyle name="Normale 5 3 2 3 8 2" xfId="14352"/>
    <cellStyle name="Normale 5 3 2 3 8 3" xfId="21760"/>
    <cellStyle name="Normale 5 3 2 3 8 4" xfId="23277"/>
    <cellStyle name="Normale 5 3 2 3 9" xfId="7828"/>
    <cellStyle name="Normale 5 3 2 4" xfId="1140"/>
    <cellStyle name="Normale 5 3 2 4 2" xfId="8603"/>
    <cellStyle name="Normale 5 3 2 4 3" xfId="16011"/>
    <cellStyle name="Normale 5 3 2 4 4" xfId="28933"/>
    <cellStyle name="Normale 5 3 2 5" xfId="2067"/>
    <cellStyle name="Normale 5 3 2 5 2" xfId="9530"/>
    <cellStyle name="Normale 5 3 2 5 3" xfId="16938"/>
    <cellStyle name="Normale 5 3 2 5 4" xfId="25968"/>
    <cellStyle name="Normale 5 3 2 6" xfId="2993"/>
    <cellStyle name="Normale 5 3 2 6 2" xfId="10456"/>
    <cellStyle name="Normale 5 3 2 6 3" xfId="17864"/>
    <cellStyle name="Normale 5 3 2 6 4" xfId="22455"/>
    <cellStyle name="Normale 5 3 2 7" xfId="3922"/>
    <cellStyle name="Normale 5 3 2 7 2" xfId="11385"/>
    <cellStyle name="Normale 5 3 2 7 3" xfId="18793"/>
    <cellStyle name="Normale 5 3 2 7 4" xfId="26112"/>
    <cellStyle name="Normale 5 3 2 8" xfId="4849"/>
    <cellStyle name="Normale 5 3 2 8 2" xfId="12312"/>
    <cellStyle name="Normale 5 3 2 8 3" xfId="19720"/>
    <cellStyle name="Normale 5 3 2 8 4" xfId="24246"/>
    <cellStyle name="Normale 5 3 2 9" xfId="5776"/>
    <cellStyle name="Normale 5 3 2 9 2" xfId="13239"/>
    <cellStyle name="Normale 5 3 2 9 3" xfId="20647"/>
    <cellStyle name="Normale 5 3 2 9 4" xfId="28733"/>
    <cellStyle name="Normale 5 3 20" xfId="6697"/>
    <cellStyle name="Normale 5 3 20 2" xfId="14160"/>
    <cellStyle name="Normale 5 3 20 3" xfId="21568"/>
    <cellStyle name="Normale 5 3 20 4" xfId="22549"/>
    <cellStyle name="Normale 5 3 21" xfId="7631"/>
    <cellStyle name="Normale 5 3 22" xfId="15040"/>
    <cellStyle name="Normale 5 3 23" xfId="26035"/>
    <cellStyle name="Normale 5 3 24" xfId="29857"/>
    <cellStyle name="Normale 5 3 25" xfId="30787"/>
    <cellStyle name="Normale 5 3 26" xfId="31710"/>
    <cellStyle name="Normale 5 3 27" xfId="32636"/>
    <cellStyle name="Normale 5 3 28" xfId="33570"/>
    <cellStyle name="Normale 5 3 29" xfId="34498"/>
    <cellStyle name="Normale 5 3 3" xfId="169"/>
    <cellStyle name="Normale 5 3 3 10" xfId="7634"/>
    <cellStyle name="Normale 5 3 3 11" xfId="15043"/>
    <cellStyle name="Normale 5 3 3 12" xfId="23194"/>
    <cellStyle name="Normale 5 3 3 13" xfId="29860"/>
    <cellStyle name="Normale 5 3 3 14" xfId="30790"/>
    <cellStyle name="Normale 5 3 3 15" xfId="31713"/>
    <cellStyle name="Normale 5 3 3 16" xfId="32639"/>
    <cellStyle name="Normale 5 3 3 17" xfId="33573"/>
    <cellStyle name="Normale 5 3 3 18" xfId="34501"/>
    <cellStyle name="Normale 5 3 3 19" xfId="35429"/>
    <cellStyle name="Normale 5 3 3 2" xfId="367"/>
    <cellStyle name="Normale 5 3 3 2 10" xfId="15240"/>
    <cellStyle name="Normale 5 3 3 2 11" xfId="23444"/>
    <cellStyle name="Normale 5 3 3 2 12" xfId="30052"/>
    <cellStyle name="Normale 5 3 3 2 13" xfId="30984"/>
    <cellStyle name="Normale 5 3 3 2 14" xfId="31905"/>
    <cellStyle name="Normale 5 3 3 2 15" xfId="32830"/>
    <cellStyle name="Normale 5 3 3 2 16" xfId="33767"/>
    <cellStyle name="Normale 5 3 3 2 17" xfId="34697"/>
    <cellStyle name="Normale 5 3 3 2 18" xfId="35623"/>
    <cellStyle name="Normale 5 3 3 2 19" xfId="36549"/>
    <cellStyle name="Normale 5 3 3 2 2" xfId="1334"/>
    <cellStyle name="Normale 5 3 3 2 2 2" xfId="8797"/>
    <cellStyle name="Normale 5 3 3 2 2 3" xfId="16205"/>
    <cellStyle name="Normale 5 3 3 2 2 4" xfId="27997"/>
    <cellStyle name="Normale 5 3 3 2 20" xfId="37469"/>
    <cellStyle name="Normale 5 3 3 2 3" xfId="2265"/>
    <cellStyle name="Normale 5 3 3 2 3 2" xfId="9728"/>
    <cellStyle name="Normale 5 3 3 2 3 3" xfId="17136"/>
    <cellStyle name="Normale 5 3 3 2 3 4" xfId="25423"/>
    <cellStyle name="Normale 5 3 3 2 4" xfId="3187"/>
    <cellStyle name="Normale 5 3 3 2 4 2" xfId="10650"/>
    <cellStyle name="Normale 5 3 3 2 4 3" xfId="18058"/>
    <cellStyle name="Normale 5 3 3 2 4 4" xfId="29581"/>
    <cellStyle name="Normale 5 3 3 2 5" xfId="4120"/>
    <cellStyle name="Normale 5 3 3 2 5 2" xfId="11583"/>
    <cellStyle name="Normale 5 3 3 2 5 3" xfId="18991"/>
    <cellStyle name="Normale 5 3 3 2 5 4" xfId="26858"/>
    <cellStyle name="Normale 5 3 3 2 6" xfId="5043"/>
    <cellStyle name="Normale 5 3 3 2 6 2" xfId="12506"/>
    <cellStyle name="Normale 5 3 3 2 6 3" xfId="19914"/>
    <cellStyle name="Normale 5 3 3 2 6 4" xfId="29208"/>
    <cellStyle name="Normale 5 3 3 2 7" xfId="5971"/>
    <cellStyle name="Normale 5 3 3 2 7 2" xfId="13434"/>
    <cellStyle name="Normale 5 3 3 2 7 3" xfId="20842"/>
    <cellStyle name="Normale 5 3 3 2 7 4" xfId="23301"/>
    <cellStyle name="Normale 5 3 3 2 8" xfId="6891"/>
    <cellStyle name="Normale 5 3 3 2 8 2" xfId="14354"/>
    <cellStyle name="Normale 5 3 3 2 8 3" xfId="21762"/>
    <cellStyle name="Normale 5 3 3 2 8 4" xfId="29620"/>
    <cellStyle name="Normale 5 3 3 2 9" xfId="7830"/>
    <cellStyle name="Normale 5 3 3 20" xfId="36355"/>
    <cellStyle name="Normale 5 3 3 21" xfId="37278"/>
    <cellStyle name="Normale 5 3 3 3" xfId="1142"/>
    <cellStyle name="Normale 5 3 3 3 2" xfId="8605"/>
    <cellStyle name="Normale 5 3 3 3 3" xfId="16013"/>
    <cellStyle name="Normale 5 3 3 3 4" xfId="27101"/>
    <cellStyle name="Normale 5 3 3 4" xfId="2069"/>
    <cellStyle name="Normale 5 3 3 4 2" xfId="9532"/>
    <cellStyle name="Normale 5 3 3 4 3" xfId="16940"/>
    <cellStyle name="Normale 5 3 3 4 4" xfId="24133"/>
    <cellStyle name="Normale 5 3 3 5" xfId="2995"/>
    <cellStyle name="Normale 5 3 3 5 2" xfId="10458"/>
    <cellStyle name="Normale 5 3 3 5 3" xfId="17866"/>
    <cellStyle name="Normale 5 3 3 5 4" xfId="28885"/>
    <cellStyle name="Normale 5 3 3 6" xfId="3924"/>
    <cellStyle name="Normale 5 3 3 6 2" xfId="11387"/>
    <cellStyle name="Normale 5 3 3 6 3" xfId="18795"/>
    <cellStyle name="Normale 5 3 3 6 4" xfId="23241"/>
    <cellStyle name="Normale 5 3 3 7" xfId="4851"/>
    <cellStyle name="Normale 5 3 3 7 2" xfId="12314"/>
    <cellStyle name="Normale 5 3 3 7 3" xfId="19722"/>
    <cellStyle name="Normale 5 3 3 7 4" xfId="22596"/>
    <cellStyle name="Normale 5 3 3 8" xfId="5778"/>
    <cellStyle name="Normale 5 3 3 8 2" xfId="13241"/>
    <cellStyle name="Normale 5 3 3 8 3" xfId="20649"/>
    <cellStyle name="Normale 5 3 3 8 4" xfId="26904"/>
    <cellStyle name="Normale 5 3 3 9" xfId="6700"/>
    <cellStyle name="Normale 5 3 3 9 2" xfId="14163"/>
    <cellStyle name="Normale 5 3 3 9 3" xfId="21571"/>
    <cellStyle name="Normale 5 3 3 9 4" xfId="27147"/>
    <cellStyle name="Normale 5 3 30" xfId="35426"/>
    <cellStyle name="Normale 5 3 31" xfId="36352"/>
    <cellStyle name="Normale 5 3 32" xfId="37275"/>
    <cellStyle name="Normale 5 3 4" xfId="364"/>
    <cellStyle name="Normale 5 3 4 10" xfId="15237"/>
    <cellStyle name="Normale 5 3 4 11" xfId="26204"/>
    <cellStyle name="Normale 5 3 4 12" xfId="30049"/>
    <cellStyle name="Normale 5 3 4 13" xfId="30981"/>
    <cellStyle name="Normale 5 3 4 14" xfId="31902"/>
    <cellStyle name="Normale 5 3 4 15" xfId="32827"/>
    <cellStyle name="Normale 5 3 4 16" xfId="33764"/>
    <cellStyle name="Normale 5 3 4 17" xfId="34694"/>
    <cellStyle name="Normale 5 3 4 18" xfId="35620"/>
    <cellStyle name="Normale 5 3 4 19" xfId="36546"/>
    <cellStyle name="Normale 5 3 4 2" xfId="1331"/>
    <cellStyle name="Normale 5 3 4 2 2" xfId="8794"/>
    <cellStyle name="Normale 5 3 4 2 3" xfId="16202"/>
    <cellStyle name="Normale 5 3 4 2 4" xfId="23962"/>
    <cellStyle name="Normale 5 3 4 20" xfId="37466"/>
    <cellStyle name="Normale 5 3 4 3" xfId="2262"/>
    <cellStyle name="Normale 5 3 4 3 2" xfId="9725"/>
    <cellStyle name="Normale 5 3 4 3 3" xfId="17133"/>
    <cellStyle name="Normale 5 3 4 3 4" xfId="28182"/>
    <cellStyle name="Normale 5 3 4 4" xfId="3184"/>
    <cellStyle name="Normale 5 3 4 4 2" xfId="10647"/>
    <cellStyle name="Normale 5 3 4 4 3" xfId="18055"/>
    <cellStyle name="Normale 5 3 4 4 4" xfId="25089"/>
    <cellStyle name="Normale 5 3 4 5" xfId="4117"/>
    <cellStyle name="Normale 5 3 4 5 2" xfId="11580"/>
    <cellStyle name="Normale 5 3 4 5 3" xfId="18988"/>
    <cellStyle name="Normale 5 3 4 5 4" xfId="29576"/>
    <cellStyle name="Normale 5 3 4 6" xfId="5040"/>
    <cellStyle name="Normale 5 3 4 6 2" xfId="12503"/>
    <cellStyle name="Normale 5 3 4 6 3" xfId="19911"/>
    <cellStyle name="Normale 5 3 4 6 4" xfId="26066"/>
    <cellStyle name="Normale 5 3 4 7" xfId="5968"/>
    <cellStyle name="Normale 5 3 4 7 2" xfId="13431"/>
    <cellStyle name="Normale 5 3 4 7 3" xfId="20839"/>
    <cellStyle name="Normale 5 3 4 7 4" xfId="26060"/>
    <cellStyle name="Normale 5 3 4 8" xfId="6888"/>
    <cellStyle name="Normale 5 3 4 8 2" xfId="14351"/>
    <cellStyle name="Normale 5 3 4 8 3" xfId="21759"/>
    <cellStyle name="Normale 5 3 4 8 4" xfId="23907"/>
    <cellStyle name="Normale 5 3 4 9" xfId="7827"/>
    <cellStyle name="Normale 5 3 5" xfId="440"/>
    <cellStyle name="Normale 5 3 5 10" xfId="15313"/>
    <cellStyle name="Normale 5 3 5 11" xfId="22907"/>
    <cellStyle name="Normale 5 3 5 12" xfId="30125"/>
    <cellStyle name="Normale 5 3 5 13" xfId="31057"/>
    <cellStyle name="Normale 5 3 5 14" xfId="31978"/>
    <cellStyle name="Normale 5 3 5 15" xfId="32902"/>
    <cellStyle name="Normale 5 3 5 16" xfId="33840"/>
    <cellStyle name="Normale 5 3 5 17" xfId="34770"/>
    <cellStyle name="Normale 5 3 5 18" xfId="35696"/>
    <cellStyle name="Normale 5 3 5 19" xfId="36622"/>
    <cellStyle name="Normale 5 3 5 2" xfId="1407"/>
    <cellStyle name="Normale 5 3 5 2 2" xfId="8870"/>
    <cellStyle name="Normale 5 3 5 2 3" xfId="16278"/>
    <cellStyle name="Normale 5 3 5 2 4" xfId="27282"/>
    <cellStyle name="Normale 5 3 5 20" xfId="37541"/>
    <cellStyle name="Normale 5 3 5 3" xfId="2338"/>
    <cellStyle name="Normale 5 3 5 3 2" xfId="9801"/>
    <cellStyle name="Normale 5 3 5 3 3" xfId="17209"/>
    <cellStyle name="Normale 5 3 5 3 4" xfId="24745"/>
    <cellStyle name="Normale 5 3 5 4" xfId="3260"/>
    <cellStyle name="Normale 5 3 5 4 2" xfId="10723"/>
    <cellStyle name="Normale 5 3 5 4 3" xfId="18131"/>
    <cellStyle name="Normale 5 3 5 4 4" xfId="23013"/>
    <cellStyle name="Normale 5 3 5 5" xfId="4193"/>
    <cellStyle name="Normale 5 3 5 5 2" xfId="11656"/>
    <cellStyle name="Normale 5 3 5 5 3" xfId="19064"/>
    <cellStyle name="Normale 5 3 5 5 4" xfId="24263"/>
    <cellStyle name="Normale 5 3 5 6" xfId="5116"/>
    <cellStyle name="Normale 5 3 5 6 2" xfId="12579"/>
    <cellStyle name="Normale 5 3 5 6 3" xfId="19987"/>
    <cellStyle name="Normale 5 3 5 6 4" xfId="22400"/>
    <cellStyle name="Normale 5 3 5 7" xfId="6044"/>
    <cellStyle name="Normale 5 3 5 7 2" xfId="13507"/>
    <cellStyle name="Normale 5 3 5 7 3" xfId="20915"/>
    <cellStyle name="Normale 5 3 5 7 4" xfId="22870"/>
    <cellStyle name="Normale 5 3 5 8" xfId="6963"/>
    <cellStyle name="Normale 5 3 5 8 2" xfId="14426"/>
    <cellStyle name="Normale 5 3 5 8 3" xfId="21834"/>
    <cellStyle name="Normale 5 3 5 8 4" xfId="24047"/>
    <cellStyle name="Normale 5 3 5 9" xfId="7903"/>
    <cellStyle name="Normale 5 3 6" xfId="488"/>
    <cellStyle name="Normale 5 3 6 10" xfId="15361"/>
    <cellStyle name="Normale 5 3 6 11" xfId="29138"/>
    <cellStyle name="Normale 5 3 6 12" xfId="30173"/>
    <cellStyle name="Normale 5 3 6 13" xfId="31105"/>
    <cellStyle name="Normale 5 3 6 14" xfId="32026"/>
    <cellStyle name="Normale 5 3 6 15" xfId="32949"/>
    <cellStyle name="Normale 5 3 6 16" xfId="33888"/>
    <cellStyle name="Normale 5 3 6 17" xfId="34818"/>
    <cellStyle name="Normale 5 3 6 18" xfId="35744"/>
    <cellStyle name="Normale 5 3 6 19" xfId="36670"/>
    <cellStyle name="Normale 5 3 6 2" xfId="1455"/>
    <cellStyle name="Normale 5 3 6 2 2" xfId="8918"/>
    <cellStyle name="Normale 5 3 6 2 3" xfId="16326"/>
    <cellStyle name="Normale 5 3 6 2 4" xfId="25740"/>
    <cellStyle name="Normale 5 3 6 20" xfId="37588"/>
    <cellStyle name="Normale 5 3 6 3" xfId="2386"/>
    <cellStyle name="Normale 5 3 6 3 2" xfId="9849"/>
    <cellStyle name="Normale 5 3 6 3 3" xfId="17257"/>
    <cellStyle name="Normale 5 3 6 3 4" xfId="23585"/>
    <cellStyle name="Normale 5 3 6 4" xfId="3308"/>
    <cellStyle name="Normale 5 3 6 4 2" xfId="10771"/>
    <cellStyle name="Normale 5 3 6 4 3" xfId="18179"/>
    <cellStyle name="Normale 5 3 6 4 4" xfId="25120"/>
    <cellStyle name="Normale 5 3 6 5" xfId="4241"/>
    <cellStyle name="Normale 5 3 6 5 2" xfId="11704"/>
    <cellStyle name="Normale 5 3 6 5 3" xfId="19112"/>
    <cellStyle name="Normale 5 3 6 5 4" xfId="25179"/>
    <cellStyle name="Normale 5 3 6 6" xfId="5164"/>
    <cellStyle name="Normale 5 3 6 6 2" xfId="12627"/>
    <cellStyle name="Normale 5 3 6 6 3" xfId="20035"/>
    <cellStyle name="Normale 5 3 6 6 4" xfId="28449"/>
    <cellStyle name="Normale 5 3 6 7" xfId="6092"/>
    <cellStyle name="Normale 5 3 6 7 2" xfId="13555"/>
    <cellStyle name="Normale 5 3 6 7 3" xfId="20963"/>
    <cellStyle name="Normale 5 3 6 7 4" xfId="28995"/>
    <cellStyle name="Normale 5 3 6 8" xfId="7010"/>
    <cellStyle name="Normale 5 3 6 8 2" xfId="14473"/>
    <cellStyle name="Normale 5 3 6 8 3" xfId="21881"/>
    <cellStyle name="Normale 5 3 6 8 4" xfId="24616"/>
    <cellStyle name="Normale 5 3 6 9" xfId="7951"/>
    <cellStyle name="Normale 5 3 7" xfId="536"/>
    <cellStyle name="Normale 5 3 7 10" xfId="15409"/>
    <cellStyle name="Normale 5 3 7 11" xfId="23233"/>
    <cellStyle name="Normale 5 3 7 12" xfId="30220"/>
    <cellStyle name="Normale 5 3 7 13" xfId="31153"/>
    <cellStyle name="Normale 5 3 7 14" xfId="32073"/>
    <cellStyle name="Normale 5 3 7 15" xfId="32995"/>
    <cellStyle name="Normale 5 3 7 16" xfId="33936"/>
    <cellStyle name="Normale 5 3 7 17" xfId="34866"/>
    <cellStyle name="Normale 5 3 7 18" xfId="35792"/>
    <cellStyle name="Normale 5 3 7 19" xfId="36718"/>
    <cellStyle name="Normale 5 3 7 2" xfId="1503"/>
    <cellStyle name="Normale 5 3 7 2 2" xfId="8966"/>
    <cellStyle name="Normale 5 3 7 2 3" xfId="16374"/>
    <cellStyle name="Normale 5 3 7 2 4" xfId="25722"/>
    <cellStyle name="Normale 5 3 7 20" xfId="37634"/>
    <cellStyle name="Normale 5 3 7 3" xfId="2434"/>
    <cellStyle name="Normale 5 3 7 3 2" xfId="9897"/>
    <cellStyle name="Normale 5 3 7 3 3" xfId="17305"/>
    <cellStyle name="Normale 5 3 7 3 4" xfId="25094"/>
    <cellStyle name="Normale 5 3 7 4" xfId="3355"/>
    <cellStyle name="Normale 5 3 7 4 2" xfId="10818"/>
    <cellStyle name="Normale 5 3 7 4 3" xfId="18226"/>
    <cellStyle name="Normale 5 3 7 4 4" xfId="25204"/>
    <cellStyle name="Normale 5 3 7 5" xfId="4289"/>
    <cellStyle name="Normale 5 3 7 5 2" xfId="11752"/>
    <cellStyle name="Normale 5 3 7 5 3" xfId="19160"/>
    <cellStyle name="Normale 5 3 7 5 4" xfId="22881"/>
    <cellStyle name="Normale 5 3 7 6" xfId="5211"/>
    <cellStyle name="Normale 5 3 7 6 2" xfId="12674"/>
    <cellStyle name="Normale 5 3 7 6 3" xfId="20082"/>
    <cellStyle name="Normale 5 3 7 6 4" xfId="29305"/>
    <cellStyle name="Normale 5 3 7 7" xfId="6140"/>
    <cellStyle name="Normale 5 3 7 7 2" xfId="13603"/>
    <cellStyle name="Normale 5 3 7 7 3" xfId="21011"/>
    <cellStyle name="Normale 5 3 7 7 4" xfId="23187"/>
    <cellStyle name="Normale 5 3 7 8" xfId="7056"/>
    <cellStyle name="Normale 5 3 7 8 2" xfId="14519"/>
    <cellStyle name="Normale 5 3 7 8 3" xfId="21927"/>
    <cellStyle name="Normale 5 3 7 8 4" xfId="26559"/>
    <cellStyle name="Normale 5 3 7 9" xfId="7999"/>
    <cellStyle name="Normale 5 3 8" xfId="588"/>
    <cellStyle name="Normale 5 3 8 10" xfId="15461"/>
    <cellStyle name="Normale 5 3 8 11" xfId="23835"/>
    <cellStyle name="Normale 5 3 8 12" xfId="30271"/>
    <cellStyle name="Normale 5 3 8 13" xfId="31205"/>
    <cellStyle name="Normale 5 3 8 14" xfId="32124"/>
    <cellStyle name="Normale 5 3 8 15" xfId="33045"/>
    <cellStyle name="Normale 5 3 8 16" xfId="33988"/>
    <cellStyle name="Normale 5 3 8 17" xfId="34918"/>
    <cellStyle name="Normale 5 3 8 18" xfId="35844"/>
    <cellStyle name="Normale 5 3 8 19" xfId="36770"/>
    <cellStyle name="Normale 5 3 8 2" xfId="1555"/>
    <cellStyle name="Normale 5 3 8 2 2" xfId="9018"/>
    <cellStyle name="Normale 5 3 8 2 3" xfId="16426"/>
    <cellStyle name="Normale 5 3 8 2 4" xfId="28201"/>
    <cellStyle name="Normale 5 3 8 20" xfId="37684"/>
    <cellStyle name="Normale 5 3 8 3" xfId="2486"/>
    <cellStyle name="Normale 5 3 8 3 2" xfId="9949"/>
    <cellStyle name="Normale 5 3 8 3 3" xfId="17357"/>
    <cellStyle name="Normale 5 3 8 3 4" xfId="28321"/>
    <cellStyle name="Normale 5 3 8 4" xfId="3406"/>
    <cellStyle name="Normale 5 3 8 4 2" xfId="10869"/>
    <cellStyle name="Normale 5 3 8 4 3" xfId="18277"/>
    <cellStyle name="Normale 5 3 8 4 4" xfId="28153"/>
    <cellStyle name="Normale 5 3 8 5" xfId="4341"/>
    <cellStyle name="Normale 5 3 8 5 2" xfId="11804"/>
    <cellStyle name="Normale 5 3 8 5 3" xfId="19212"/>
    <cellStyle name="Normale 5 3 8 5 4" xfId="25370"/>
    <cellStyle name="Normale 5 3 8 6" xfId="5262"/>
    <cellStyle name="Normale 5 3 8 6 2" xfId="12725"/>
    <cellStyle name="Normale 5 3 8 6 3" xfId="20133"/>
    <cellStyle name="Normale 5 3 8 6 4" xfId="25347"/>
    <cellStyle name="Normale 5 3 8 7" xfId="6192"/>
    <cellStyle name="Normale 5 3 8 7 2" xfId="13655"/>
    <cellStyle name="Normale 5 3 8 7 3" xfId="21063"/>
    <cellStyle name="Normale 5 3 8 7 4" xfId="26513"/>
    <cellStyle name="Normale 5 3 8 8" xfId="7106"/>
    <cellStyle name="Normale 5 3 8 8 2" xfId="14569"/>
    <cellStyle name="Normale 5 3 8 8 3" xfId="21977"/>
    <cellStyle name="Normale 5 3 8 8 4" xfId="15844"/>
    <cellStyle name="Normale 5 3 8 9" xfId="8051"/>
    <cellStyle name="Normale 5 3 9" xfId="648"/>
    <cellStyle name="Normale 5 3 9 10" xfId="15520"/>
    <cellStyle name="Normale 5 3 9 11" xfId="27298"/>
    <cellStyle name="Normale 5 3 9 12" xfId="30327"/>
    <cellStyle name="Normale 5 3 9 13" xfId="31264"/>
    <cellStyle name="Normale 5 3 9 14" xfId="32181"/>
    <cellStyle name="Normale 5 3 9 15" xfId="33100"/>
    <cellStyle name="Normale 5 3 9 16" xfId="34047"/>
    <cellStyle name="Normale 5 3 9 17" xfId="34978"/>
    <cellStyle name="Normale 5 3 9 18" xfId="35904"/>
    <cellStyle name="Normale 5 3 9 19" xfId="36829"/>
    <cellStyle name="Normale 5 3 9 2" xfId="1614"/>
    <cellStyle name="Normale 5 3 9 2 2" xfId="9077"/>
    <cellStyle name="Normale 5 3 9 2 3" xfId="16485"/>
    <cellStyle name="Normale 5 3 9 2 4" xfId="26874"/>
    <cellStyle name="Normale 5 3 9 20" xfId="37739"/>
    <cellStyle name="Normale 5 3 9 3" xfId="2546"/>
    <cellStyle name="Normale 5 3 9 3 2" xfId="10009"/>
    <cellStyle name="Normale 5 3 9 3 3" xfId="17417"/>
    <cellStyle name="Normale 5 3 9 3 4" xfId="23389"/>
    <cellStyle name="Normale 5 3 9 4" xfId="3464"/>
    <cellStyle name="Normale 5 3 9 4 2" xfId="10927"/>
    <cellStyle name="Normale 5 3 9 4 3" xfId="18335"/>
    <cellStyle name="Normale 5 3 9 4 4" xfId="26483"/>
    <cellStyle name="Normale 5 3 9 5" xfId="4401"/>
    <cellStyle name="Normale 5 3 9 5 2" xfId="11864"/>
    <cellStyle name="Normale 5 3 9 5 3" xfId="19272"/>
    <cellStyle name="Normale 5 3 9 5 4" xfId="23076"/>
    <cellStyle name="Normale 5 3 9 6" xfId="5319"/>
    <cellStyle name="Normale 5 3 9 6 2" xfId="12782"/>
    <cellStyle name="Normale 5 3 9 6 3" xfId="20190"/>
    <cellStyle name="Normale 5 3 9 6 4" xfId="25917"/>
    <cellStyle name="Normale 5 3 9 7" xfId="6252"/>
    <cellStyle name="Normale 5 3 9 7 2" xfId="13715"/>
    <cellStyle name="Normale 5 3 9 7 3" xfId="21123"/>
    <cellStyle name="Normale 5 3 9 7 4" xfId="28241"/>
    <cellStyle name="Normale 5 3 9 8" xfId="7161"/>
    <cellStyle name="Normale 5 3 9 8 2" xfId="14624"/>
    <cellStyle name="Normale 5 3 9 8 3" xfId="22032"/>
    <cellStyle name="Normale 5 3 9 8 4" xfId="26226"/>
    <cellStyle name="Normale 5 3 9 9" xfId="8111"/>
    <cellStyle name="Normale 5 30" xfId="31693"/>
    <cellStyle name="Normale 5 31" xfId="32619"/>
    <cellStyle name="Normale 5 32" xfId="33553"/>
    <cellStyle name="Normale 5 33" xfId="34481"/>
    <cellStyle name="Normale 5 34" xfId="35409"/>
    <cellStyle name="Normale 5 35" xfId="36335"/>
    <cellStyle name="Normale 5 36" xfId="37258"/>
    <cellStyle name="Normale 5 4" xfId="170"/>
    <cellStyle name="Normale 5 4 10" xfId="727"/>
    <cellStyle name="Normale 5 4 10 10" xfId="15598"/>
    <cellStyle name="Normale 5 4 10 11" xfId="24109"/>
    <cellStyle name="Normale 5 4 10 12" xfId="30401"/>
    <cellStyle name="Normale 5 4 10 13" xfId="31342"/>
    <cellStyle name="Normale 5 4 10 14" xfId="32255"/>
    <cellStyle name="Normale 5 4 10 15" xfId="33173"/>
    <cellStyle name="Normale 5 4 10 16" xfId="34125"/>
    <cellStyle name="Normale 5 4 10 17" xfId="35057"/>
    <cellStyle name="Normale 5 4 10 18" xfId="35983"/>
    <cellStyle name="Normale 5 4 10 19" xfId="36908"/>
    <cellStyle name="Normale 5 4 10 2" xfId="1692"/>
    <cellStyle name="Normale 5 4 10 2 2" xfId="9155"/>
    <cellStyle name="Normale 5 4 10 2 3" xfId="16563"/>
    <cellStyle name="Normale 5 4 10 2 4" xfId="27275"/>
    <cellStyle name="Normale 5 4 10 20" xfId="37812"/>
    <cellStyle name="Normale 5 4 10 3" xfId="2625"/>
    <cellStyle name="Normale 5 4 10 3 2" xfId="10088"/>
    <cellStyle name="Normale 5 4 10 3 3" xfId="17496"/>
    <cellStyle name="Normale 5 4 10 3 4" xfId="23562"/>
    <cellStyle name="Normale 5 4 10 4" xfId="3541"/>
    <cellStyle name="Normale 5 4 10 4 2" xfId="11004"/>
    <cellStyle name="Normale 5 4 10 4 3" xfId="18412"/>
    <cellStyle name="Normale 5 4 10 4 4" xfId="29645"/>
    <cellStyle name="Normale 5 4 10 5" xfId="4480"/>
    <cellStyle name="Normale 5 4 10 5 2" xfId="11943"/>
    <cellStyle name="Normale 5 4 10 5 3" xfId="19351"/>
    <cellStyle name="Normale 5 4 10 5 4" xfId="26421"/>
    <cellStyle name="Normale 5 4 10 6" xfId="5396"/>
    <cellStyle name="Normale 5 4 10 6 2" xfId="12859"/>
    <cellStyle name="Normale 5 4 10 6 3" xfId="20267"/>
    <cellStyle name="Normale 5 4 10 6 4" xfId="27180"/>
    <cellStyle name="Normale 5 4 10 7" xfId="6329"/>
    <cellStyle name="Normale 5 4 10 7 2" xfId="13792"/>
    <cellStyle name="Normale 5 4 10 7 3" xfId="21200"/>
    <cellStyle name="Normale 5 4 10 7 4" xfId="23648"/>
    <cellStyle name="Normale 5 4 10 8" xfId="7234"/>
    <cellStyle name="Normale 5 4 10 8 2" xfId="14697"/>
    <cellStyle name="Normale 5 4 10 8 3" xfId="22105"/>
    <cellStyle name="Normale 5 4 10 8 4" xfId="28440"/>
    <cellStyle name="Normale 5 4 10 9" xfId="8190"/>
    <cellStyle name="Normale 5 4 11" xfId="799"/>
    <cellStyle name="Normale 5 4 11 10" xfId="15670"/>
    <cellStyle name="Normale 5 4 11 11" xfId="29622"/>
    <cellStyle name="Normale 5 4 11 12" xfId="30471"/>
    <cellStyle name="Normale 5 4 11 13" xfId="31414"/>
    <cellStyle name="Normale 5 4 11 14" xfId="32326"/>
    <cellStyle name="Normale 5 4 11 15" xfId="33242"/>
    <cellStyle name="Normale 5 4 11 16" xfId="34197"/>
    <cellStyle name="Normale 5 4 11 17" xfId="35129"/>
    <cellStyle name="Normale 5 4 11 18" xfId="36055"/>
    <cellStyle name="Normale 5 4 11 19" xfId="36980"/>
    <cellStyle name="Normale 5 4 11 2" xfId="1764"/>
    <cellStyle name="Normale 5 4 11 2 2" xfId="9227"/>
    <cellStyle name="Normale 5 4 11 2 3" xfId="16635"/>
    <cellStyle name="Normale 5 4 11 2 4" xfId="28559"/>
    <cellStyle name="Normale 5 4 11 20" xfId="37881"/>
    <cellStyle name="Normale 5 4 11 3" xfId="2697"/>
    <cellStyle name="Normale 5 4 11 3 2" xfId="10160"/>
    <cellStyle name="Normale 5 4 11 3 3" xfId="17568"/>
    <cellStyle name="Normale 5 4 11 3 4" xfId="24125"/>
    <cellStyle name="Normale 5 4 11 4" xfId="3612"/>
    <cellStyle name="Normale 5 4 11 4 2" xfId="11075"/>
    <cellStyle name="Normale 5 4 11 4 3" xfId="18483"/>
    <cellStyle name="Normale 5 4 11 4 4" xfId="22625"/>
    <cellStyle name="Normale 5 4 11 5" xfId="4552"/>
    <cellStyle name="Normale 5 4 11 5 2" xfId="12015"/>
    <cellStyle name="Normale 5 4 11 5 3" xfId="19423"/>
    <cellStyle name="Normale 5 4 11 5 4" xfId="26956"/>
    <cellStyle name="Normale 5 4 11 6" xfId="5467"/>
    <cellStyle name="Normale 5 4 11 6 2" xfId="12930"/>
    <cellStyle name="Normale 5 4 11 6 3" xfId="20338"/>
    <cellStyle name="Normale 5 4 11 6 4" xfId="29430"/>
    <cellStyle name="Normale 5 4 11 7" xfId="6401"/>
    <cellStyle name="Normale 5 4 11 7 2" xfId="13864"/>
    <cellStyle name="Normale 5 4 11 7 3" xfId="21272"/>
    <cellStyle name="Normale 5 4 11 7 4" xfId="24191"/>
    <cellStyle name="Normale 5 4 11 8" xfId="7303"/>
    <cellStyle name="Normale 5 4 11 8 2" xfId="14766"/>
    <cellStyle name="Normale 5 4 11 8 3" xfId="22174"/>
    <cellStyle name="Normale 5 4 11 8 4" xfId="24847"/>
    <cellStyle name="Normale 5 4 11 9" xfId="8262"/>
    <cellStyle name="Normale 5 4 12" xfId="872"/>
    <cellStyle name="Normale 5 4 12 10" xfId="15743"/>
    <cellStyle name="Normale 5 4 12 11" xfId="26748"/>
    <cellStyle name="Normale 5 4 12 12" xfId="30541"/>
    <cellStyle name="Normale 5 4 12 13" xfId="31487"/>
    <cellStyle name="Normale 5 4 12 14" xfId="32398"/>
    <cellStyle name="Normale 5 4 12 15" xfId="33311"/>
    <cellStyle name="Normale 5 4 12 16" xfId="34270"/>
    <cellStyle name="Normale 5 4 12 17" xfId="35202"/>
    <cellStyle name="Normale 5 4 12 18" xfId="36128"/>
    <cellStyle name="Normale 5 4 12 19" xfId="37053"/>
    <cellStyle name="Normale 5 4 12 2" xfId="1837"/>
    <cellStyle name="Normale 5 4 12 2 2" xfId="9300"/>
    <cellStyle name="Normale 5 4 12 2 3" xfId="16708"/>
    <cellStyle name="Normale 5 4 12 2 4" xfId="23598"/>
    <cellStyle name="Normale 5 4 12 20" xfId="37950"/>
    <cellStyle name="Normale 5 4 12 3" xfId="2770"/>
    <cellStyle name="Normale 5 4 12 3 2" xfId="10233"/>
    <cellStyle name="Normale 5 4 12 3 3" xfId="17641"/>
    <cellStyle name="Normale 5 4 12 3 4" xfId="22891"/>
    <cellStyle name="Normale 5 4 12 4" xfId="3684"/>
    <cellStyle name="Normale 5 4 12 4 2" xfId="11147"/>
    <cellStyle name="Normale 5 4 12 4 3" xfId="18555"/>
    <cellStyle name="Normale 5 4 12 4 4" xfId="23149"/>
    <cellStyle name="Normale 5 4 12 5" xfId="4625"/>
    <cellStyle name="Normale 5 4 12 5 2" xfId="12088"/>
    <cellStyle name="Normale 5 4 12 5 3" xfId="19496"/>
    <cellStyle name="Normale 5 4 12 5 4" xfId="25171"/>
    <cellStyle name="Normale 5 4 12 6" xfId="5539"/>
    <cellStyle name="Normale 5 4 12 6 2" xfId="13002"/>
    <cellStyle name="Normale 5 4 12 6 3" xfId="20410"/>
    <cellStyle name="Normale 5 4 12 6 4" xfId="25339"/>
    <cellStyle name="Normale 5 4 12 7" xfId="6474"/>
    <cellStyle name="Normale 5 4 12 7 2" xfId="13937"/>
    <cellStyle name="Normale 5 4 12 7 3" xfId="21345"/>
    <cellStyle name="Normale 5 4 12 7 4" xfId="22922"/>
    <cellStyle name="Normale 5 4 12 8" xfId="7372"/>
    <cellStyle name="Normale 5 4 12 8 2" xfId="14835"/>
    <cellStyle name="Normale 5 4 12 8 3" xfId="22243"/>
    <cellStyle name="Normale 5 4 12 8 4" xfId="26192"/>
    <cellStyle name="Normale 5 4 12 9" xfId="8335"/>
    <cellStyle name="Normale 5 4 13" xfId="942"/>
    <cellStyle name="Normale 5 4 13 10" xfId="15813"/>
    <cellStyle name="Normale 5 4 13 11" xfId="28378"/>
    <cellStyle name="Normale 5 4 13 12" xfId="30608"/>
    <cellStyle name="Normale 5 4 13 13" xfId="31556"/>
    <cellStyle name="Normale 5 4 13 14" xfId="32467"/>
    <cellStyle name="Normale 5 4 13 15" xfId="33377"/>
    <cellStyle name="Normale 5 4 13 16" xfId="34340"/>
    <cellStyle name="Normale 5 4 13 17" xfId="35272"/>
    <cellStyle name="Normale 5 4 13 18" xfId="36197"/>
    <cellStyle name="Normale 5 4 13 19" xfId="37123"/>
    <cellStyle name="Normale 5 4 13 2" xfId="1907"/>
    <cellStyle name="Normale 5 4 13 2 2" xfId="9370"/>
    <cellStyle name="Normale 5 4 13 2 3" xfId="16778"/>
    <cellStyle name="Normale 5 4 13 2 4" xfId="26728"/>
    <cellStyle name="Normale 5 4 13 20" xfId="38016"/>
    <cellStyle name="Normale 5 4 13 3" xfId="2839"/>
    <cellStyle name="Normale 5 4 13 3 2" xfId="10302"/>
    <cellStyle name="Normale 5 4 13 3 3" xfId="17710"/>
    <cellStyle name="Normale 5 4 13 3 4" xfId="25408"/>
    <cellStyle name="Normale 5 4 13 4" xfId="3754"/>
    <cellStyle name="Normale 5 4 13 4 2" xfId="11217"/>
    <cellStyle name="Normale 5 4 13 4 3" xfId="18625"/>
    <cellStyle name="Normale 5 4 13 4 4" xfId="24466"/>
    <cellStyle name="Normale 5 4 13 5" xfId="4695"/>
    <cellStyle name="Normale 5 4 13 5 2" xfId="12158"/>
    <cellStyle name="Normale 5 4 13 5 3" xfId="19566"/>
    <cellStyle name="Normale 5 4 13 5 4" xfId="27009"/>
    <cellStyle name="Normale 5 4 13 6" xfId="5609"/>
    <cellStyle name="Normale 5 4 13 6 2" xfId="13072"/>
    <cellStyle name="Normale 5 4 13 6 3" xfId="20480"/>
    <cellStyle name="Normale 5 4 13 6 4" xfId="28535"/>
    <cellStyle name="Normale 5 4 13 7" xfId="6544"/>
    <cellStyle name="Normale 5 4 13 7 2" xfId="14007"/>
    <cellStyle name="Normale 5 4 13 7 3" xfId="21415"/>
    <cellStyle name="Normale 5 4 13 7 4" xfId="23691"/>
    <cellStyle name="Normale 5 4 13 8" xfId="7438"/>
    <cellStyle name="Normale 5 4 13 8 2" xfId="14901"/>
    <cellStyle name="Normale 5 4 13 8 3" xfId="22309"/>
    <cellStyle name="Normale 5 4 13 8 4" xfId="25758"/>
    <cellStyle name="Normale 5 4 13 9" xfId="8405"/>
    <cellStyle name="Normale 5 4 14" xfId="1143"/>
    <cellStyle name="Normale 5 4 14 2" xfId="8606"/>
    <cellStyle name="Normale 5 4 14 3" xfId="16014"/>
    <cellStyle name="Normale 5 4 14 4" xfId="26183"/>
    <cellStyle name="Normale 5 4 15" xfId="2070"/>
    <cellStyle name="Normale 5 4 15 2" xfId="9533"/>
    <cellStyle name="Normale 5 4 15 3" xfId="16941"/>
    <cellStyle name="Normale 5 4 15 4" xfId="23124"/>
    <cellStyle name="Normale 5 4 16" xfId="2996"/>
    <cellStyle name="Normale 5 4 16 2" xfId="10459"/>
    <cellStyle name="Normale 5 4 16 3" xfId="17867"/>
    <cellStyle name="Normale 5 4 16 4" xfId="27971"/>
    <cellStyle name="Normale 5 4 17" xfId="3925"/>
    <cellStyle name="Normale 5 4 17 2" xfId="11388"/>
    <cellStyle name="Normale 5 4 17 3" xfId="18796"/>
    <cellStyle name="Normale 5 4 17 4" xfId="29673"/>
    <cellStyle name="Normale 5 4 18" xfId="4852"/>
    <cellStyle name="Normale 5 4 18 2" xfId="12315"/>
    <cellStyle name="Normale 5 4 18 3" xfId="19723"/>
    <cellStyle name="Normale 5 4 18 4" xfId="29026"/>
    <cellStyle name="Normale 5 4 19" xfId="5779"/>
    <cellStyle name="Normale 5 4 19 2" xfId="13242"/>
    <cellStyle name="Normale 5 4 19 3" xfId="20650"/>
    <cellStyle name="Normale 5 4 19 4" xfId="25970"/>
    <cellStyle name="Normale 5 4 2" xfId="171"/>
    <cellStyle name="Normale 5 4 2 10" xfId="6702"/>
    <cellStyle name="Normale 5 4 2 10 2" xfId="14165"/>
    <cellStyle name="Normale 5 4 2 10 3" xfId="21573"/>
    <cellStyle name="Normale 5 4 2 10 4" xfId="25310"/>
    <cellStyle name="Normale 5 4 2 11" xfId="7636"/>
    <cellStyle name="Normale 5 4 2 12" xfId="15045"/>
    <cellStyle name="Normale 5 4 2 13" xfId="28736"/>
    <cellStyle name="Normale 5 4 2 14" xfId="29862"/>
    <cellStyle name="Normale 5 4 2 15" xfId="30792"/>
    <cellStyle name="Normale 5 4 2 16" xfId="31715"/>
    <cellStyle name="Normale 5 4 2 17" xfId="32641"/>
    <cellStyle name="Normale 5 4 2 18" xfId="33575"/>
    <cellStyle name="Normale 5 4 2 19" xfId="34503"/>
    <cellStyle name="Normale 5 4 2 2" xfId="172"/>
    <cellStyle name="Normale 5 4 2 2 10" xfId="7637"/>
    <cellStyle name="Normale 5 4 2 2 11" xfId="15046"/>
    <cellStyle name="Normale 5 4 2 2 12" xfId="27809"/>
    <cellStyle name="Normale 5 4 2 2 13" xfId="29863"/>
    <cellStyle name="Normale 5 4 2 2 14" xfId="30793"/>
    <cellStyle name="Normale 5 4 2 2 15" xfId="31716"/>
    <cellStyle name="Normale 5 4 2 2 16" xfId="32642"/>
    <cellStyle name="Normale 5 4 2 2 17" xfId="33576"/>
    <cellStyle name="Normale 5 4 2 2 18" xfId="34504"/>
    <cellStyle name="Normale 5 4 2 2 19" xfId="35432"/>
    <cellStyle name="Normale 5 4 2 2 2" xfId="370"/>
    <cellStyle name="Normale 5 4 2 2 2 10" xfId="15243"/>
    <cellStyle name="Normale 5 4 2 2 2 11" xfId="28230"/>
    <cellStyle name="Normale 5 4 2 2 2 12" xfId="30055"/>
    <cellStyle name="Normale 5 4 2 2 2 13" xfId="30987"/>
    <cellStyle name="Normale 5 4 2 2 2 14" xfId="31908"/>
    <cellStyle name="Normale 5 4 2 2 2 15" xfId="32833"/>
    <cellStyle name="Normale 5 4 2 2 2 16" xfId="33770"/>
    <cellStyle name="Normale 5 4 2 2 2 17" xfId="34700"/>
    <cellStyle name="Normale 5 4 2 2 2 18" xfId="35626"/>
    <cellStyle name="Normale 5 4 2 2 2 19" xfId="36552"/>
    <cellStyle name="Normale 5 4 2 2 2 2" xfId="1337"/>
    <cellStyle name="Normale 5 4 2 2 2 2 2" xfId="8800"/>
    <cellStyle name="Normale 5 4 2 2 2 2 3" xfId="16208"/>
    <cellStyle name="Normale 5 4 2 2 2 2 4" xfId="25237"/>
    <cellStyle name="Normale 5 4 2 2 2 20" xfId="37472"/>
    <cellStyle name="Normale 5 4 2 2 2 3" xfId="2268"/>
    <cellStyle name="Normale 5 4 2 2 2 3 2" xfId="9731"/>
    <cellStyle name="Normale 5 4 2 2 2 3 3" xfId="17139"/>
    <cellStyle name="Normale 5 4 2 2 2 3 4" xfId="28905"/>
    <cellStyle name="Normale 5 4 2 2 2 4" xfId="3190"/>
    <cellStyle name="Normale 5 4 2 2 2 4 2" xfId="10653"/>
    <cellStyle name="Normale 5 4 2 2 2 4 3" xfId="18061"/>
    <cellStyle name="Normale 5 4 2 2 2 4 4" xfId="26863"/>
    <cellStyle name="Normale 5 4 2 2 2 5" xfId="4123"/>
    <cellStyle name="Normale 5 4 2 2 2 5 2" xfId="11586"/>
    <cellStyle name="Normale 5 4 2 2 2 5 3" xfId="18994"/>
    <cellStyle name="Normale 5 4 2 2 2 5 4" xfId="24089"/>
    <cellStyle name="Normale 5 4 2 2 2 6" xfId="5046"/>
    <cellStyle name="Normale 5 4 2 2 2 6 2" xfId="12509"/>
    <cellStyle name="Normale 5 4 2 2 2 6 3" xfId="19917"/>
    <cellStyle name="Normale 5 4 2 2 2 6 4" xfId="26470"/>
    <cellStyle name="Normale 5 4 2 2 2 7" xfId="5974"/>
    <cellStyle name="Normale 5 4 2 2 2 7 2" xfId="13437"/>
    <cellStyle name="Normale 5 4 2 2 2 7 3" xfId="20845"/>
    <cellStyle name="Normale 5 4 2 2 2 7 4" xfId="28087"/>
    <cellStyle name="Normale 5 4 2 2 2 8" xfId="6894"/>
    <cellStyle name="Normale 5 4 2 2 2 8 2" xfId="14357"/>
    <cellStyle name="Normale 5 4 2 2 2 8 3" xfId="21765"/>
    <cellStyle name="Normale 5 4 2 2 2 8 4" xfId="26903"/>
    <cellStyle name="Normale 5 4 2 2 2 9" xfId="7833"/>
    <cellStyle name="Normale 5 4 2 2 20" xfId="36358"/>
    <cellStyle name="Normale 5 4 2 2 21" xfId="37281"/>
    <cellStyle name="Normale 5 4 2 2 3" xfId="1145"/>
    <cellStyle name="Normale 5 4 2 2 3 2" xfId="8608"/>
    <cellStyle name="Normale 5 4 2 2 3 3" xfId="16016"/>
    <cellStyle name="Normale 5 4 2 2 3 4" xfId="24341"/>
    <cellStyle name="Normale 5 4 2 2 4" xfId="2072"/>
    <cellStyle name="Normale 5 4 2 2 4 2" xfId="9535"/>
    <cellStyle name="Normale 5 4 2 2 4 3" xfId="16943"/>
    <cellStyle name="Normale 5 4 2 2 4 4" xfId="28662"/>
    <cellStyle name="Normale 5 4 2 2 5" xfId="2998"/>
    <cellStyle name="Normale 5 4 2 2 5 2" xfId="10461"/>
    <cellStyle name="Normale 5 4 2 2 5 3" xfId="17869"/>
    <cellStyle name="Normale 5 4 2 2 5 4" xfId="26134"/>
    <cellStyle name="Normale 5 4 2 2 6" xfId="3927"/>
    <cellStyle name="Normale 5 4 2 2 6 2" xfId="11390"/>
    <cellStyle name="Normale 5 4 2 2 6 3" xfId="18798"/>
    <cellStyle name="Normale 5 4 2 2 6 4" xfId="27861"/>
    <cellStyle name="Normale 5 4 2 2 7" xfId="4854"/>
    <cellStyle name="Normale 5 4 2 2 7 2" xfId="12317"/>
    <cellStyle name="Normale 5 4 2 2 7 3" xfId="19725"/>
    <cellStyle name="Normale 5 4 2 2 7 4" xfId="27194"/>
    <cellStyle name="Normale 5 4 2 2 8" xfId="5781"/>
    <cellStyle name="Normale 5 4 2 2 8 2" xfId="13244"/>
    <cellStyle name="Normale 5 4 2 2 8 3" xfId="20652"/>
    <cellStyle name="Normale 5 4 2 2 8 4" xfId="24135"/>
    <cellStyle name="Normale 5 4 2 2 9" xfId="6703"/>
    <cellStyle name="Normale 5 4 2 2 9 2" xfId="14166"/>
    <cellStyle name="Normale 5 4 2 2 9 3" xfId="21574"/>
    <cellStyle name="Normale 5 4 2 2 9 4" xfId="24394"/>
    <cellStyle name="Normale 5 4 2 20" xfId="35431"/>
    <cellStyle name="Normale 5 4 2 21" xfId="36357"/>
    <cellStyle name="Normale 5 4 2 22" xfId="37280"/>
    <cellStyle name="Normale 5 4 2 3" xfId="369"/>
    <cellStyle name="Normale 5 4 2 3 10" xfId="15242"/>
    <cellStyle name="Normale 5 4 2 3 11" xfId="29140"/>
    <cellStyle name="Normale 5 4 2 3 12" xfId="30054"/>
    <cellStyle name="Normale 5 4 2 3 13" xfId="30986"/>
    <cellStyle name="Normale 5 4 2 3 14" xfId="31907"/>
    <cellStyle name="Normale 5 4 2 3 15" xfId="32832"/>
    <cellStyle name="Normale 5 4 2 3 16" xfId="33769"/>
    <cellStyle name="Normale 5 4 2 3 17" xfId="34699"/>
    <cellStyle name="Normale 5 4 2 3 18" xfId="35625"/>
    <cellStyle name="Normale 5 4 2 3 19" xfId="36551"/>
    <cellStyle name="Normale 5 4 2 3 2" xfId="1336"/>
    <cellStyle name="Normale 5 4 2 3 2 2" xfId="8799"/>
    <cellStyle name="Normale 5 4 2 3 2 3" xfId="16207"/>
    <cellStyle name="Normale 5 4 2 3 2 4" xfId="26160"/>
    <cellStyle name="Normale 5 4 2 3 20" xfId="37471"/>
    <cellStyle name="Normale 5 4 2 3 3" xfId="2267"/>
    <cellStyle name="Normale 5 4 2 3 3 2" xfId="9730"/>
    <cellStyle name="Normale 5 4 2 3 3 3" xfId="17138"/>
    <cellStyle name="Normale 5 4 2 3 3 4" xfId="23587"/>
    <cellStyle name="Normale 5 4 2 3 4" xfId="3189"/>
    <cellStyle name="Normale 5 4 2 3 4 2" xfId="10652"/>
    <cellStyle name="Normale 5 4 2 3 4 3" xfId="18060"/>
    <cellStyle name="Normale 5 4 2 3 4 4" xfId="27766"/>
    <cellStyle name="Normale 5 4 2 3 5" xfId="4122"/>
    <cellStyle name="Normale 5 4 2 3 5 2" xfId="11585"/>
    <cellStyle name="Normale 5 4 2 3 5 3" xfId="18993"/>
    <cellStyle name="Normale 5 4 2 3 5 4" xfId="25015"/>
    <cellStyle name="Normale 5 4 2 3 6" xfId="5045"/>
    <cellStyle name="Normale 5 4 2 3 6 2" xfId="12508"/>
    <cellStyle name="Normale 5 4 2 3 6 3" xfId="19916"/>
    <cellStyle name="Normale 5 4 2 3 6 4" xfId="27378"/>
    <cellStyle name="Normale 5 4 2 3 7" xfId="5973"/>
    <cellStyle name="Normale 5 4 2 3 7 2" xfId="13436"/>
    <cellStyle name="Normale 5 4 2 3 7 3" xfId="20844"/>
    <cellStyle name="Normale 5 4 2 3 7 4" xfId="28997"/>
    <cellStyle name="Normale 5 4 2 3 8" xfId="6893"/>
    <cellStyle name="Normale 5 4 2 3 8 2" xfId="14356"/>
    <cellStyle name="Normale 5 4 2 3 8 3" xfId="21764"/>
    <cellStyle name="Normale 5 4 2 3 8 4" xfId="27805"/>
    <cellStyle name="Normale 5 4 2 3 9" xfId="7832"/>
    <cellStyle name="Normale 5 4 2 4" xfId="1144"/>
    <cellStyle name="Normale 5 4 2 4 2" xfId="8607"/>
    <cellStyle name="Normale 5 4 2 4 3" xfId="16015"/>
    <cellStyle name="Normale 5 4 2 4 4" xfId="25260"/>
    <cellStyle name="Normale 5 4 2 5" xfId="2071"/>
    <cellStyle name="Normale 5 4 2 5 2" xfId="9534"/>
    <cellStyle name="Normale 5 4 2 5 3" xfId="16942"/>
    <cellStyle name="Normale 5 4 2 5 4" xfId="29553"/>
    <cellStyle name="Normale 5 4 2 6" xfId="2997"/>
    <cellStyle name="Normale 5 4 2 6 2" xfId="10460"/>
    <cellStyle name="Normale 5 4 2 6 3" xfId="17868"/>
    <cellStyle name="Normale 5 4 2 6 4" xfId="27052"/>
    <cellStyle name="Normale 5 4 2 7" xfId="3926"/>
    <cellStyle name="Normale 5 4 2 7 2" xfId="11389"/>
    <cellStyle name="Normale 5 4 2 7 3" xfId="18797"/>
    <cellStyle name="Normale 5 4 2 7 4" xfId="28788"/>
    <cellStyle name="Normale 5 4 2 8" xfId="4853"/>
    <cellStyle name="Normale 5 4 2 8 2" xfId="12316"/>
    <cellStyle name="Normale 5 4 2 8 3" xfId="19724"/>
    <cellStyle name="Normale 5 4 2 8 4" xfId="28116"/>
    <cellStyle name="Normale 5 4 2 9" xfId="5780"/>
    <cellStyle name="Normale 5 4 2 9 2" xfId="13243"/>
    <cellStyle name="Normale 5 4 2 9 3" xfId="20651"/>
    <cellStyle name="Normale 5 4 2 9 4" xfId="25061"/>
    <cellStyle name="Normale 5 4 20" xfId="6701"/>
    <cellStyle name="Normale 5 4 20 2" xfId="14164"/>
    <cellStyle name="Normale 5 4 20 3" xfId="21572"/>
    <cellStyle name="Normale 5 4 20 4" xfId="26237"/>
    <cellStyle name="Normale 5 4 21" xfId="7635"/>
    <cellStyle name="Normale 5 4 22" xfId="15044"/>
    <cellStyle name="Normale 5 4 23" xfId="29624"/>
    <cellStyle name="Normale 5 4 24" xfId="29861"/>
    <cellStyle name="Normale 5 4 25" xfId="30791"/>
    <cellStyle name="Normale 5 4 26" xfId="31714"/>
    <cellStyle name="Normale 5 4 27" xfId="32640"/>
    <cellStyle name="Normale 5 4 28" xfId="33574"/>
    <cellStyle name="Normale 5 4 29" xfId="34502"/>
    <cellStyle name="Normale 5 4 3" xfId="173"/>
    <cellStyle name="Normale 5 4 3 10" xfId="7638"/>
    <cellStyle name="Normale 5 4 3 11" xfId="15047"/>
    <cellStyle name="Normale 5 4 3 12" xfId="26907"/>
    <cellStyle name="Normale 5 4 3 13" xfId="29864"/>
    <cellStyle name="Normale 5 4 3 14" xfId="30794"/>
    <cellStyle name="Normale 5 4 3 15" xfId="31717"/>
    <cellStyle name="Normale 5 4 3 16" xfId="32643"/>
    <cellStyle name="Normale 5 4 3 17" xfId="33577"/>
    <cellStyle name="Normale 5 4 3 18" xfId="34505"/>
    <cellStyle name="Normale 5 4 3 19" xfId="35433"/>
    <cellStyle name="Normale 5 4 3 2" xfId="371"/>
    <cellStyle name="Normale 5 4 3 2 10" xfId="15244"/>
    <cellStyle name="Normale 5 4 3 2 11" xfId="27306"/>
    <cellStyle name="Normale 5 4 3 2 12" xfId="30056"/>
    <cellStyle name="Normale 5 4 3 2 13" xfId="30988"/>
    <cellStyle name="Normale 5 4 3 2 14" xfId="31909"/>
    <cellStyle name="Normale 5 4 3 2 15" xfId="32834"/>
    <cellStyle name="Normale 5 4 3 2 16" xfId="33771"/>
    <cellStyle name="Normale 5 4 3 2 17" xfId="34701"/>
    <cellStyle name="Normale 5 4 3 2 18" xfId="35627"/>
    <cellStyle name="Normale 5 4 3 2 19" xfId="36553"/>
    <cellStyle name="Normale 5 4 3 2 2" xfId="1338"/>
    <cellStyle name="Normale 5 4 3 2 2 2" xfId="8801"/>
    <cellStyle name="Normale 5 4 3 2 2 3" xfId="16209"/>
    <cellStyle name="Normale 5 4 3 2 2 4" xfId="22801"/>
    <cellStyle name="Normale 5 4 3 2 20" xfId="37473"/>
    <cellStyle name="Normale 5 4 3 2 3" xfId="2269"/>
    <cellStyle name="Normale 5 4 3 2 3 2" xfId="9732"/>
    <cellStyle name="Normale 5 4 3 2 3 3" xfId="17140"/>
    <cellStyle name="Normale 5 4 3 2 3 4" xfId="27992"/>
    <cellStyle name="Normale 5 4 3 2 4" xfId="3191"/>
    <cellStyle name="Normale 5 4 3 2 4 2" xfId="10654"/>
    <cellStyle name="Normale 5 4 3 2 4 3" xfId="18062"/>
    <cellStyle name="Normale 5 4 3 2 4 4" xfId="25929"/>
    <cellStyle name="Normale 5 4 3 2 5" xfId="4124"/>
    <cellStyle name="Normale 5 4 3 2 5 2" xfId="11587"/>
    <cellStyle name="Normale 5 4 3 2 5 3" xfId="18995"/>
    <cellStyle name="Normale 5 4 3 2 5 4" xfId="23078"/>
    <cellStyle name="Normale 5 4 3 2 6" xfId="5047"/>
    <cellStyle name="Normale 5 4 3 2 6 2" xfId="12510"/>
    <cellStyle name="Normale 5 4 3 2 6 3" xfId="19918"/>
    <cellStyle name="Normale 5 4 3 2 6 4" xfId="25542"/>
    <cellStyle name="Normale 5 4 3 2 7" xfId="5975"/>
    <cellStyle name="Normale 5 4 3 2 7 2" xfId="13438"/>
    <cellStyle name="Normale 5 4 3 2 7 3" xfId="20846"/>
    <cellStyle name="Normale 5 4 3 2 7 4" xfId="27165"/>
    <cellStyle name="Normale 5 4 3 2 8" xfId="6895"/>
    <cellStyle name="Normale 5 4 3 2 8 2" xfId="14358"/>
    <cellStyle name="Normale 5 4 3 2 8 3" xfId="21766"/>
    <cellStyle name="Normale 5 4 3 2 8 4" xfId="25969"/>
    <cellStyle name="Normale 5 4 3 2 9" xfId="7834"/>
    <cellStyle name="Normale 5 4 3 20" xfId="36359"/>
    <cellStyle name="Normale 5 4 3 21" xfId="37282"/>
    <cellStyle name="Normale 5 4 3 3" xfId="1146"/>
    <cellStyle name="Normale 5 4 3 3 2" xfId="8609"/>
    <cellStyle name="Normale 5 4 3 3 3" xfId="16017"/>
    <cellStyle name="Normale 5 4 3 3 4" xfId="23425"/>
    <cellStyle name="Normale 5 4 3 4" xfId="2073"/>
    <cellStyle name="Normale 5 4 3 4 2" xfId="9536"/>
    <cellStyle name="Normale 5 4 3 4 3" xfId="16944"/>
    <cellStyle name="Normale 5 4 3 4 4" xfId="27735"/>
    <cellStyle name="Normale 5 4 3 5" xfId="2999"/>
    <cellStyle name="Normale 5 4 3 5 2" xfId="10462"/>
    <cellStyle name="Normale 5 4 3 5 3" xfId="17870"/>
    <cellStyle name="Normale 5 4 3 5 4" xfId="25211"/>
    <cellStyle name="Normale 5 4 3 6" xfId="3928"/>
    <cellStyle name="Normale 5 4 3 6 2" xfId="11391"/>
    <cellStyle name="Normale 5 4 3 6 3" xfId="18799"/>
    <cellStyle name="Normale 5 4 3 6 4" xfId="26958"/>
    <cellStyle name="Normale 5 4 3 7" xfId="4855"/>
    <cellStyle name="Normale 5 4 3 7 2" xfId="12318"/>
    <cellStyle name="Normale 5 4 3 7 3" xfId="19726"/>
    <cellStyle name="Normale 5 4 3 7 4" xfId="26284"/>
    <cellStyle name="Normale 5 4 3 8" xfId="5782"/>
    <cellStyle name="Normale 5 4 3 8 2" xfId="13245"/>
    <cellStyle name="Normale 5 4 3 8 3" xfId="20653"/>
    <cellStyle name="Normale 5 4 3 8 4" xfId="23126"/>
    <cellStyle name="Normale 5 4 3 9" xfId="6704"/>
    <cellStyle name="Normale 5 4 3 9 2" xfId="14167"/>
    <cellStyle name="Normale 5 4 3 9 3" xfId="21575"/>
    <cellStyle name="Normale 5 4 3 9 4" xfId="23475"/>
    <cellStyle name="Normale 5 4 30" xfId="35430"/>
    <cellStyle name="Normale 5 4 31" xfId="36356"/>
    <cellStyle name="Normale 5 4 32" xfId="37279"/>
    <cellStyle name="Normale 5 4 4" xfId="368"/>
    <cellStyle name="Normale 5 4 4 10" xfId="15241"/>
    <cellStyle name="Normale 5 4 4 11" xfId="22709"/>
    <cellStyle name="Normale 5 4 4 12" xfId="30053"/>
    <cellStyle name="Normale 5 4 4 13" xfId="30985"/>
    <cellStyle name="Normale 5 4 4 14" xfId="31906"/>
    <cellStyle name="Normale 5 4 4 15" xfId="32831"/>
    <cellStyle name="Normale 5 4 4 16" xfId="33768"/>
    <cellStyle name="Normale 5 4 4 17" xfId="34698"/>
    <cellStyle name="Normale 5 4 4 18" xfId="35624"/>
    <cellStyle name="Normale 5 4 4 19" xfId="36550"/>
    <cellStyle name="Normale 5 4 4 2" xfId="1335"/>
    <cellStyle name="Normale 5 4 4 2 2" xfId="8798"/>
    <cellStyle name="Normale 5 4 4 2 3" xfId="16206"/>
    <cellStyle name="Normale 5 4 4 2 4" xfId="27078"/>
    <cellStyle name="Normale 5 4 4 20" xfId="37470"/>
    <cellStyle name="Normale 5 4 4 3" xfId="2266"/>
    <cellStyle name="Normale 5 4 4 3 2" xfId="9729"/>
    <cellStyle name="Normale 5 4 4 3 3" xfId="17137"/>
    <cellStyle name="Normale 5 4 4 3 4" xfId="24507"/>
    <cellStyle name="Normale 5 4 4 4" xfId="3188"/>
    <cellStyle name="Normale 5 4 4 4 2" xfId="10651"/>
    <cellStyle name="Normale 5 4 4 4 3" xfId="18059"/>
    <cellStyle name="Normale 5 4 4 4 4" xfId="28693"/>
    <cellStyle name="Normale 5 4 4 5" xfId="4121"/>
    <cellStyle name="Normale 5 4 4 5 2" xfId="11584"/>
    <cellStyle name="Normale 5 4 4 5 3" xfId="18992"/>
    <cellStyle name="Normale 5 4 4 5 4" xfId="25924"/>
    <cellStyle name="Normale 5 4 4 6" xfId="5044"/>
    <cellStyle name="Normale 5 4 4 6 2" xfId="12507"/>
    <cellStyle name="Normale 5 4 4 6 3" xfId="19915"/>
    <cellStyle name="Normale 5 4 4 6 4" xfId="28302"/>
    <cellStyle name="Normale 5 4 4 7" xfId="5972"/>
    <cellStyle name="Normale 5 4 4 7 2" xfId="13435"/>
    <cellStyle name="Normale 5 4 4 7 3" xfId="20843"/>
    <cellStyle name="Normale 5 4 4 7 4" xfId="22567"/>
    <cellStyle name="Normale 5 4 4 8" xfId="6892"/>
    <cellStyle name="Normale 5 4 4 8 2" xfId="14355"/>
    <cellStyle name="Normale 5 4 4 8 3" xfId="21763"/>
    <cellStyle name="Normale 5 4 4 8 4" xfId="28732"/>
    <cellStyle name="Normale 5 4 4 9" xfId="7831"/>
    <cellStyle name="Normale 5 4 5" xfId="441"/>
    <cellStyle name="Normale 5 4 5 10" xfId="15314"/>
    <cellStyle name="Normale 5 4 5 11" xfId="29336"/>
    <cellStyle name="Normale 5 4 5 12" xfId="30126"/>
    <cellStyle name="Normale 5 4 5 13" xfId="31058"/>
    <cellStyle name="Normale 5 4 5 14" xfId="31979"/>
    <cellStyle name="Normale 5 4 5 15" xfId="32903"/>
    <cellStyle name="Normale 5 4 5 16" xfId="33841"/>
    <cellStyle name="Normale 5 4 5 17" xfId="34771"/>
    <cellStyle name="Normale 5 4 5 18" xfId="35697"/>
    <cellStyle name="Normale 5 4 5 19" xfId="36623"/>
    <cellStyle name="Normale 5 4 5 2" xfId="1408"/>
    <cellStyle name="Normale 5 4 5 2 2" xfId="8871"/>
    <cellStyle name="Normale 5 4 5 2 3" xfId="16279"/>
    <cellStyle name="Normale 5 4 5 2 4" xfId="26372"/>
    <cellStyle name="Normale 5 4 5 20" xfId="37542"/>
    <cellStyle name="Normale 5 4 5 3" xfId="2339"/>
    <cellStyle name="Normale 5 4 5 3 2" xfId="9802"/>
    <cellStyle name="Normale 5 4 5 3 3" xfId="17210"/>
    <cellStyle name="Normale 5 4 5 3 4" xfId="23822"/>
    <cellStyle name="Normale 5 4 5 4" xfId="3261"/>
    <cellStyle name="Normale 5 4 5 4 2" xfId="10724"/>
    <cellStyle name="Normale 5 4 5 4 3" xfId="18132"/>
    <cellStyle name="Normale 5 4 5 4 4" xfId="29442"/>
    <cellStyle name="Normale 5 4 5 5" xfId="4194"/>
    <cellStyle name="Normale 5 4 5 5 2" xfId="11657"/>
    <cellStyle name="Normale 5 4 5 5 3" xfId="19065"/>
    <cellStyle name="Normale 5 4 5 5 4" xfId="23347"/>
    <cellStyle name="Normale 5 4 5 6" xfId="5117"/>
    <cellStyle name="Normale 5 4 5 6 2" xfId="12580"/>
    <cellStyle name="Normale 5 4 5 6 3" xfId="19988"/>
    <cellStyle name="Normale 5 4 5 6 4" xfId="28831"/>
    <cellStyle name="Normale 5 4 5 7" xfId="6045"/>
    <cellStyle name="Normale 5 4 5 7 2" xfId="13508"/>
    <cellStyle name="Normale 5 4 5 7 3" xfId="20916"/>
    <cellStyle name="Normale 5 4 5 7 4" xfId="29299"/>
    <cellStyle name="Normale 5 4 5 8" xfId="6964"/>
    <cellStyle name="Normale 5 4 5 8 2" xfId="14427"/>
    <cellStyle name="Normale 5 4 5 8 3" xfId="21835"/>
    <cellStyle name="Normale 5 4 5 8 4" xfId="23040"/>
    <cellStyle name="Normale 5 4 5 9" xfId="7904"/>
    <cellStyle name="Normale 5 4 6" xfId="489"/>
    <cellStyle name="Normale 5 4 6 10" xfId="15362"/>
    <cellStyle name="Normale 5 4 6 11" xfId="28228"/>
    <cellStyle name="Normale 5 4 6 12" xfId="30174"/>
    <cellStyle name="Normale 5 4 6 13" xfId="31106"/>
    <cellStyle name="Normale 5 4 6 14" xfId="32027"/>
    <cellStyle name="Normale 5 4 6 15" xfId="32950"/>
    <cellStyle name="Normale 5 4 6 16" xfId="33889"/>
    <cellStyle name="Normale 5 4 6 17" xfId="34819"/>
    <cellStyle name="Normale 5 4 6 18" xfId="35745"/>
    <cellStyle name="Normale 5 4 6 19" xfId="36671"/>
    <cellStyle name="Normale 5 4 6 2" xfId="1456"/>
    <cellStyle name="Normale 5 4 6 2 2" xfId="8919"/>
    <cellStyle name="Normale 5 4 6 2 3" xfId="16327"/>
    <cellStyle name="Normale 5 4 6 2 4" xfId="24828"/>
    <cellStyle name="Normale 5 4 6 20" xfId="37589"/>
    <cellStyle name="Normale 5 4 6 3" xfId="2387"/>
    <cellStyle name="Normale 5 4 6 3 2" xfId="9850"/>
    <cellStyle name="Normale 5 4 6 3 3" xfId="17258"/>
    <cellStyle name="Normale 5 4 6 3 4" xfId="22471"/>
    <cellStyle name="Normale 5 4 6 4" xfId="3309"/>
    <cellStyle name="Normale 5 4 6 4 2" xfId="10772"/>
    <cellStyle name="Normale 5 4 6 4 3" xfId="18180"/>
    <cellStyle name="Normale 5 4 6 4 4" xfId="24194"/>
    <cellStyle name="Normale 5 4 6 5" xfId="4242"/>
    <cellStyle name="Normale 5 4 6 5 2" xfId="11705"/>
    <cellStyle name="Normale 5 4 6 5 3" xfId="19113"/>
    <cellStyle name="Normale 5 4 6 5 4" xfId="24260"/>
    <cellStyle name="Normale 5 4 6 6" xfId="5165"/>
    <cellStyle name="Normale 5 4 6 6 2" xfId="12628"/>
    <cellStyle name="Normale 5 4 6 6 3" xfId="20036"/>
    <cellStyle name="Normale 5 4 6 6 4" xfId="27523"/>
    <cellStyle name="Normale 5 4 6 7" xfId="6093"/>
    <cellStyle name="Normale 5 4 6 7 2" xfId="13556"/>
    <cellStyle name="Normale 5 4 6 7 3" xfId="20964"/>
    <cellStyle name="Normale 5 4 6 7 4" xfId="28085"/>
    <cellStyle name="Normale 5 4 6 8" xfId="7011"/>
    <cellStyle name="Normale 5 4 6 8 2" xfId="14474"/>
    <cellStyle name="Normale 5 4 6 8 3" xfId="21882"/>
    <cellStyle name="Normale 5 4 6 8 4" xfId="23694"/>
    <cellStyle name="Normale 5 4 6 9" xfId="7952"/>
    <cellStyle name="Normale 5 4 7" xfId="537"/>
    <cellStyle name="Normale 5 4 7 10" xfId="15410"/>
    <cellStyle name="Normale 5 4 7 11" xfId="29664"/>
    <cellStyle name="Normale 5 4 7 12" xfId="30221"/>
    <cellStyle name="Normale 5 4 7 13" xfId="31154"/>
    <cellStyle name="Normale 5 4 7 14" xfId="32074"/>
    <cellStyle name="Normale 5 4 7 15" xfId="32996"/>
    <cellStyle name="Normale 5 4 7 16" xfId="33937"/>
    <cellStyle name="Normale 5 4 7 17" xfId="34867"/>
    <cellStyle name="Normale 5 4 7 18" xfId="35793"/>
    <cellStyle name="Normale 5 4 7 19" xfId="36719"/>
    <cellStyle name="Normale 5 4 7 2" xfId="1504"/>
    <cellStyle name="Normale 5 4 7 2 2" xfId="8967"/>
    <cellStyle name="Normale 5 4 7 2 3" xfId="16375"/>
    <cellStyle name="Normale 5 4 7 2 4" xfId="24810"/>
    <cellStyle name="Normale 5 4 7 20" xfId="37635"/>
    <cellStyle name="Normale 5 4 7 3" xfId="2435"/>
    <cellStyle name="Normale 5 4 7 3 2" xfId="9898"/>
    <cellStyle name="Normale 5 4 7 3 3" xfId="17306"/>
    <cellStyle name="Normale 5 4 7 3 4" xfId="24169"/>
    <cellStyle name="Normale 5 4 7 4" xfId="3356"/>
    <cellStyle name="Normale 5 4 7 4 2" xfId="10819"/>
    <cellStyle name="Normale 5 4 7 4 3" xfId="18227"/>
    <cellStyle name="Normale 5 4 7 4 4" xfId="23235"/>
    <cellStyle name="Normale 5 4 7 5" xfId="4290"/>
    <cellStyle name="Normale 5 4 7 5 2" xfId="11753"/>
    <cellStyle name="Normale 5 4 7 5 3" xfId="19161"/>
    <cellStyle name="Normale 5 4 7 5 4" xfId="29310"/>
    <cellStyle name="Normale 5 4 7 6" xfId="5212"/>
    <cellStyle name="Normale 5 4 7 6 2" xfId="12675"/>
    <cellStyle name="Normale 5 4 7 6 3" xfId="20083"/>
    <cellStyle name="Normale 5 4 7 6 4" xfId="28404"/>
    <cellStyle name="Normale 5 4 7 7" xfId="6141"/>
    <cellStyle name="Normale 5 4 7 7 2" xfId="13604"/>
    <cellStyle name="Normale 5 4 7 7 3" xfId="21012"/>
    <cellStyle name="Normale 5 4 7 7 4" xfId="29617"/>
    <cellStyle name="Normale 5 4 7 8" xfId="7057"/>
    <cellStyle name="Normale 5 4 7 8 2" xfId="14520"/>
    <cellStyle name="Normale 5 4 7 8 3" xfId="21928"/>
    <cellStyle name="Normale 5 4 7 8 4" xfId="25629"/>
    <cellStyle name="Normale 5 4 7 9" xfId="8000"/>
    <cellStyle name="Normale 5 4 8" xfId="589"/>
    <cellStyle name="Normale 5 4 8 10" xfId="15462"/>
    <cellStyle name="Normale 5 4 8 11" xfId="22854"/>
    <cellStyle name="Normale 5 4 8 12" xfId="30272"/>
    <cellStyle name="Normale 5 4 8 13" xfId="31206"/>
    <cellStyle name="Normale 5 4 8 14" xfId="32125"/>
    <cellStyle name="Normale 5 4 8 15" xfId="33046"/>
    <cellStyle name="Normale 5 4 8 16" xfId="33989"/>
    <cellStyle name="Normale 5 4 8 17" xfId="34919"/>
    <cellStyle name="Normale 5 4 8 18" xfId="35845"/>
    <cellStyle name="Normale 5 4 8 19" xfId="36771"/>
    <cellStyle name="Normale 5 4 8 2" xfId="1556"/>
    <cellStyle name="Normale 5 4 8 2 2" xfId="9019"/>
    <cellStyle name="Normale 5 4 8 2 3" xfId="16427"/>
    <cellStyle name="Normale 5 4 8 2 4" xfId="27279"/>
    <cellStyle name="Normale 5 4 8 20" xfId="37685"/>
    <cellStyle name="Normale 5 4 8 3" xfId="2487"/>
    <cellStyle name="Normale 5 4 8 3 2" xfId="9950"/>
    <cellStyle name="Normale 5 4 8 3 3" xfId="17358"/>
    <cellStyle name="Normale 5 4 8 3 4" xfId="27397"/>
    <cellStyle name="Normale 5 4 8 4" xfId="3407"/>
    <cellStyle name="Normale 5 4 8 4 2" xfId="10870"/>
    <cellStyle name="Normale 5 4 8 4 3" xfId="18278"/>
    <cellStyle name="Normale 5 4 8 4 4" xfId="27231"/>
    <cellStyle name="Normale 5 4 8 5" xfId="4342"/>
    <cellStyle name="Normale 5 4 8 5 2" xfId="11805"/>
    <cellStyle name="Normale 5 4 8 5 3" xfId="19213"/>
    <cellStyle name="Normale 5 4 8 5 4" xfId="24454"/>
    <cellStyle name="Normale 5 4 8 6" xfId="5263"/>
    <cellStyle name="Normale 5 4 8 6 2" xfId="12726"/>
    <cellStyle name="Normale 5 4 8 6 3" xfId="20134"/>
    <cellStyle name="Normale 5 4 8 6 4" xfId="24431"/>
    <cellStyle name="Normale 5 4 8 7" xfId="6193"/>
    <cellStyle name="Normale 5 4 8 7 2" xfId="13656"/>
    <cellStyle name="Normale 5 4 8 7 3" xfId="21064"/>
    <cellStyle name="Normale 5 4 8 7 4" xfId="25584"/>
    <cellStyle name="Normale 5 4 8 8" xfId="7107"/>
    <cellStyle name="Normale 5 4 8 8 2" xfId="14570"/>
    <cellStyle name="Normale 5 4 8 8 3" xfId="21978"/>
    <cellStyle name="Normale 5 4 8 8 4" xfId="15784"/>
    <cellStyle name="Normale 5 4 8 9" xfId="8052"/>
    <cellStyle name="Normale 5 4 9" xfId="649"/>
    <cellStyle name="Normale 5 4 9 10" xfId="15521"/>
    <cellStyle name="Normale 5 4 9 11" xfId="26390"/>
    <cellStyle name="Normale 5 4 9 12" xfId="30328"/>
    <cellStyle name="Normale 5 4 9 13" xfId="31265"/>
    <cellStyle name="Normale 5 4 9 14" xfId="32182"/>
    <cellStyle name="Normale 5 4 9 15" xfId="33101"/>
    <cellStyle name="Normale 5 4 9 16" xfId="34048"/>
    <cellStyle name="Normale 5 4 9 17" xfId="34979"/>
    <cellStyle name="Normale 5 4 9 18" xfId="35905"/>
    <cellStyle name="Normale 5 4 9 19" xfId="36830"/>
    <cellStyle name="Normale 5 4 9 2" xfId="1615"/>
    <cellStyle name="Normale 5 4 9 2 2" xfId="9078"/>
    <cellStyle name="Normale 5 4 9 2 3" xfId="16486"/>
    <cellStyle name="Normale 5 4 9 2 4" xfId="25940"/>
    <cellStyle name="Normale 5 4 9 20" xfId="37740"/>
    <cellStyle name="Normale 5 4 9 3" xfId="2547"/>
    <cellStyle name="Normale 5 4 9 3 2" xfId="10010"/>
    <cellStyle name="Normale 5 4 9 3 3" xfId="17418"/>
    <cellStyle name="Normale 5 4 9 3 4" xfId="22655"/>
    <cellStyle name="Normale 5 4 9 4" xfId="3465"/>
    <cellStyle name="Normale 5 4 9 4 2" xfId="10928"/>
    <cellStyle name="Normale 5 4 9 4 3" xfId="18336"/>
    <cellStyle name="Normale 5 4 9 4 4" xfId="25555"/>
    <cellStyle name="Normale 5 4 9 5" xfId="4402"/>
    <cellStyle name="Normale 5 4 9 5 2" xfId="11865"/>
    <cellStyle name="Normale 5 4 9 5 3" xfId="19273"/>
    <cellStyle name="Normale 5 4 9 5 4" xfId="29505"/>
    <cellStyle name="Normale 5 4 9 6" xfId="5320"/>
    <cellStyle name="Normale 5 4 9 6 2" xfId="12783"/>
    <cellStyle name="Normale 5 4 9 6 3" xfId="20191"/>
    <cellStyle name="Normale 5 4 9 6 4" xfId="25008"/>
    <cellStyle name="Normale 5 4 9 7" xfId="6253"/>
    <cellStyle name="Normale 5 4 9 7 2" xfId="13716"/>
    <cellStyle name="Normale 5 4 9 7 3" xfId="21124"/>
    <cellStyle name="Normale 5 4 9 7 4" xfId="27889"/>
    <cellStyle name="Normale 5 4 9 8" xfId="7162"/>
    <cellStyle name="Normale 5 4 9 8 2" xfId="14625"/>
    <cellStyle name="Normale 5 4 9 8 3" xfId="22033"/>
    <cellStyle name="Normale 5 4 9 8 4" xfId="25299"/>
    <cellStyle name="Normale 5 4 9 9" xfId="8112"/>
    <cellStyle name="Normale 5 5" xfId="174"/>
    <cellStyle name="Normale 5 5 10" xfId="728"/>
    <cellStyle name="Normale 5 5 10 10" xfId="15599"/>
    <cellStyle name="Normale 5 5 10 11" xfId="23100"/>
    <cellStyle name="Normale 5 5 10 12" xfId="30402"/>
    <cellStyle name="Normale 5 5 10 13" xfId="31343"/>
    <cellStyle name="Normale 5 5 10 14" xfId="32256"/>
    <cellStyle name="Normale 5 5 10 15" xfId="33174"/>
    <cellStyle name="Normale 5 5 10 16" xfId="34126"/>
    <cellStyle name="Normale 5 5 10 17" xfId="35058"/>
    <cellStyle name="Normale 5 5 10 18" xfId="35984"/>
    <cellStyle name="Normale 5 5 10 19" xfId="36909"/>
    <cellStyle name="Normale 5 5 10 2" xfId="1693"/>
    <cellStyle name="Normale 5 5 10 2 2" xfId="9156"/>
    <cellStyle name="Normale 5 5 10 2 3" xfId="16564"/>
    <cellStyle name="Normale 5 5 10 2 4" xfId="26365"/>
    <cellStyle name="Normale 5 5 10 20" xfId="37813"/>
    <cellStyle name="Normale 5 5 10 3" xfId="2626"/>
    <cellStyle name="Normale 5 5 10 3 2" xfId="10089"/>
    <cellStyle name="Normale 5 5 10 3 3" xfId="17497"/>
    <cellStyle name="Normale 5 5 10 3 4" xfId="24302"/>
    <cellStyle name="Normale 5 5 10 4" xfId="3542"/>
    <cellStyle name="Normale 5 5 10 4 2" xfId="11005"/>
    <cellStyle name="Normale 5 5 10 4 3" xfId="18413"/>
    <cellStyle name="Normale 5 5 10 4 4" xfId="28760"/>
    <cellStyle name="Normale 5 5 10 5" xfId="4481"/>
    <cellStyle name="Normale 5 5 10 5 2" xfId="11944"/>
    <cellStyle name="Normale 5 5 10 5 3" xfId="19352"/>
    <cellStyle name="Normale 5 5 10 5 4" xfId="25493"/>
    <cellStyle name="Normale 5 5 10 6" xfId="5397"/>
    <cellStyle name="Normale 5 5 10 6 2" xfId="12860"/>
    <cellStyle name="Normale 5 5 10 6 3" xfId="20268"/>
    <cellStyle name="Normale 5 5 10 6 4" xfId="26270"/>
    <cellStyle name="Normale 5 5 10 7" xfId="6330"/>
    <cellStyle name="Normale 5 5 10 7 2" xfId="13793"/>
    <cellStyle name="Normale 5 5 10 7 3" xfId="21201"/>
    <cellStyle name="Normale 5 5 10 7 4" xfId="22542"/>
    <cellStyle name="Normale 5 5 10 8" xfId="7235"/>
    <cellStyle name="Normale 5 5 10 8 2" xfId="14698"/>
    <cellStyle name="Normale 5 5 10 8 3" xfId="22106"/>
    <cellStyle name="Normale 5 5 10 8 4" xfId="27878"/>
    <cellStyle name="Normale 5 5 10 9" xfId="8191"/>
    <cellStyle name="Normale 5 5 11" xfId="800"/>
    <cellStyle name="Normale 5 5 11 10" xfId="15671"/>
    <cellStyle name="Normale 5 5 11 11" xfId="28734"/>
    <cellStyle name="Normale 5 5 11 12" xfId="30472"/>
    <cellStyle name="Normale 5 5 11 13" xfId="31415"/>
    <cellStyle name="Normale 5 5 11 14" xfId="32327"/>
    <cellStyle name="Normale 5 5 11 15" xfId="33243"/>
    <cellStyle name="Normale 5 5 11 16" xfId="34198"/>
    <cellStyle name="Normale 5 5 11 17" xfId="35130"/>
    <cellStyle name="Normale 5 5 11 18" xfId="36056"/>
    <cellStyle name="Normale 5 5 11 19" xfId="36981"/>
    <cellStyle name="Normale 5 5 11 2" xfId="1765"/>
    <cellStyle name="Normale 5 5 11 2 2" xfId="9228"/>
    <cellStyle name="Normale 5 5 11 2 3" xfId="16636"/>
    <cellStyle name="Normale 5 5 11 2 4" xfId="27633"/>
    <cellStyle name="Normale 5 5 11 20" xfId="37882"/>
    <cellStyle name="Normale 5 5 11 3" xfId="2698"/>
    <cellStyle name="Normale 5 5 11 3 2" xfId="10161"/>
    <cellStyle name="Normale 5 5 11 3 3" xfId="17569"/>
    <cellStyle name="Normale 5 5 11 3 4" xfId="23116"/>
    <cellStyle name="Normale 5 5 11 4" xfId="3613"/>
    <cellStyle name="Normale 5 5 11 4 2" xfId="11076"/>
    <cellStyle name="Normale 5 5 11 4 3" xfId="18484"/>
    <cellStyle name="Normale 5 5 11 4 4" xfId="29055"/>
    <cellStyle name="Normale 5 5 11 5" xfId="4553"/>
    <cellStyle name="Normale 5 5 11 5 2" xfId="12016"/>
    <cellStyle name="Normale 5 5 11 5 3" xfId="19424"/>
    <cellStyle name="Normale 5 5 11 5 4" xfId="26023"/>
    <cellStyle name="Normale 5 5 11 6" xfId="5468"/>
    <cellStyle name="Normale 5 5 11 6 2" xfId="12931"/>
    <cellStyle name="Normale 5 5 11 6 3" xfId="20339"/>
    <cellStyle name="Normale 5 5 11 6 4" xfId="28536"/>
    <cellStyle name="Normale 5 5 11 7" xfId="6402"/>
    <cellStyle name="Normale 5 5 11 7 2" xfId="13865"/>
    <cellStyle name="Normale 5 5 11 7 3" xfId="21273"/>
    <cellStyle name="Normale 5 5 11 7 4" xfId="23182"/>
    <cellStyle name="Normale 5 5 11 8" xfId="7304"/>
    <cellStyle name="Normale 5 5 11 8 2" xfId="14767"/>
    <cellStyle name="Normale 5 5 11 8 3" xfId="22175"/>
    <cellStyle name="Normale 5 5 11 8 4" xfId="23922"/>
    <cellStyle name="Normale 5 5 11 9" xfId="8263"/>
    <cellStyle name="Normale 5 5 12" xfId="873"/>
    <cellStyle name="Normale 5 5 12 10" xfId="15744"/>
    <cellStyle name="Normale 5 5 12 11" xfId="25816"/>
    <cellStyle name="Normale 5 5 12 12" xfId="30542"/>
    <cellStyle name="Normale 5 5 12 13" xfId="31488"/>
    <cellStyle name="Normale 5 5 12 14" xfId="32399"/>
    <cellStyle name="Normale 5 5 12 15" xfId="33312"/>
    <cellStyle name="Normale 5 5 12 16" xfId="34271"/>
    <cellStyle name="Normale 5 5 12 17" xfId="35203"/>
    <cellStyle name="Normale 5 5 12 18" xfId="36129"/>
    <cellStyle name="Normale 5 5 12 19" xfId="37054"/>
    <cellStyle name="Normale 5 5 12 2" xfId="1838"/>
    <cellStyle name="Normale 5 5 12 2 2" xfId="9301"/>
    <cellStyle name="Normale 5 5 12 2 3" xfId="16709"/>
    <cellStyle name="Normale 5 5 12 2 4" xfId="22484"/>
    <cellStyle name="Normale 5 5 12 20" xfId="37951"/>
    <cellStyle name="Normale 5 5 12 3" xfId="2771"/>
    <cellStyle name="Normale 5 5 12 3 2" xfId="10234"/>
    <cellStyle name="Normale 5 5 12 3 3" xfId="17642"/>
    <cellStyle name="Normale 5 5 12 3 4" xfId="29320"/>
    <cellStyle name="Normale 5 5 12 4" xfId="3685"/>
    <cellStyle name="Normale 5 5 12 4 2" xfId="11148"/>
    <cellStyle name="Normale 5 5 12 4 3" xfId="18556"/>
    <cellStyle name="Normale 5 5 12 4 4" xfId="29578"/>
    <cellStyle name="Normale 5 5 12 5" xfId="4626"/>
    <cellStyle name="Normale 5 5 12 5 2" xfId="12089"/>
    <cellStyle name="Normale 5 5 12 5 3" xfId="19497"/>
    <cellStyle name="Normale 5 5 12 5 4" xfId="24252"/>
    <cellStyle name="Normale 5 5 12 6" xfId="5540"/>
    <cellStyle name="Normale 5 5 12 6 2" xfId="13003"/>
    <cellStyle name="Normale 5 5 12 6 3" xfId="20411"/>
    <cellStyle name="Normale 5 5 12 6 4" xfId="24423"/>
    <cellStyle name="Normale 5 5 12 7" xfId="6475"/>
    <cellStyle name="Normale 5 5 12 7 2" xfId="13938"/>
    <cellStyle name="Normale 5 5 12 7 3" xfId="21346"/>
    <cellStyle name="Normale 5 5 12 7 4" xfId="29351"/>
    <cellStyle name="Normale 5 5 12 8" xfId="7373"/>
    <cellStyle name="Normale 5 5 12 8 2" xfId="14836"/>
    <cellStyle name="Normale 5 5 12 8 3" xfId="22244"/>
    <cellStyle name="Normale 5 5 12 8 4" xfId="25983"/>
    <cellStyle name="Normale 5 5 12 9" xfId="8336"/>
    <cellStyle name="Normale 5 5 13" xfId="943"/>
    <cellStyle name="Normale 5 5 13 10" xfId="15814"/>
    <cellStyle name="Normale 5 5 13 11" xfId="27454"/>
    <cellStyle name="Normale 5 5 13 12" xfId="30609"/>
    <cellStyle name="Normale 5 5 13 13" xfId="31557"/>
    <cellStyle name="Normale 5 5 13 14" xfId="32468"/>
    <cellStyle name="Normale 5 5 13 15" xfId="33378"/>
    <cellStyle name="Normale 5 5 13 16" xfId="34341"/>
    <cellStyle name="Normale 5 5 13 17" xfId="35273"/>
    <cellStyle name="Normale 5 5 13 18" xfId="36198"/>
    <cellStyle name="Normale 5 5 13 19" xfId="37124"/>
    <cellStyle name="Normale 5 5 13 2" xfId="1908"/>
    <cellStyle name="Normale 5 5 13 2 2" xfId="9371"/>
    <cellStyle name="Normale 5 5 13 2 3" xfId="16779"/>
    <cellStyle name="Normale 5 5 13 2 4" xfId="25796"/>
    <cellStyle name="Normale 5 5 13 20" xfId="38017"/>
    <cellStyle name="Normale 5 5 13 3" xfId="2840"/>
    <cellStyle name="Normale 5 5 13 3 2" xfId="10303"/>
    <cellStyle name="Normale 5 5 13 3 3" xfId="17711"/>
    <cellStyle name="Normale 5 5 13 3 4" xfId="24492"/>
    <cellStyle name="Normale 5 5 13 4" xfId="3755"/>
    <cellStyle name="Normale 5 5 13 4 2" xfId="11218"/>
    <cellStyle name="Normale 5 5 13 4 3" xfId="18626"/>
    <cellStyle name="Normale 5 5 13 4 4" xfId="23547"/>
    <cellStyle name="Normale 5 5 13 5" xfId="4696"/>
    <cellStyle name="Normale 5 5 13 5 2" xfId="12159"/>
    <cellStyle name="Normale 5 5 13 5 3" xfId="19567"/>
    <cellStyle name="Normale 5 5 13 5 4" xfId="26091"/>
    <cellStyle name="Normale 5 5 13 6" xfId="5610"/>
    <cellStyle name="Normale 5 5 13 6 2" xfId="13073"/>
    <cellStyle name="Normale 5 5 13 6 3" xfId="20481"/>
    <cellStyle name="Normale 5 5 13 6 4" xfId="27609"/>
    <cellStyle name="Normale 5 5 13 7" xfId="6545"/>
    <cellStyle name="Normale 5 5 13 7 2" xfId="14008"/>
    <cellStyle name="Normale 5 5 13 7 3" xfId="21416"/>
    <cellStyle name="Normale 5 5 13 7 4" xfId="23286"/>
    <cellStyle name="Normale 5 5 13 8" xfId="7439"/>
    <cellStyle name="Normale 5 5 13 8 2" xfId="14902"/>
    <cellStyle name="Normale 5 5 13 8 3" xfId="22310"/>
    <cellStyle name="Normale 5 5 13 8 4" xfId="24846"/>
    <cellStyle name="Normale 5 5 13 9" xfId="8406"/>
    <cellStyle name="Normale 5 5 14" xfId="1147"/>
    <cellStyle name="Normale 5 5 14 2" xfId="8610"/>
    <cellStyle name="Normale 5 5 14 3" xfId="16018"/>
    <cellStyle name="Normale 5 5 14 4" xfId="22691"/>
    <cellStyle name="Normale 5 5 15" xfId="2074"/>
    <cellStyle name="Normale 5 5 15 2" xfId="9537"/>
    <cellStyle name="Normale 5 5 15 3" xfId="16945"/>
    <cellStyle name="Normale 5 5 15 4" xfId="26832"/>
    <cellStyle name="Normale 5 5 16" xfId="3000"/>
    <cellStyle name="Normale 5 5 16 2" xfId="10463"/>
    <cellStyle name="Normale 5 5 16 3" xfId="17871"/>
    <cellStyle name="Normale 5 5 16 4" xfId="24292"/>
    <cellStyle name="Normale 5 5 17" xfId="3929"/>
    <cellStyle name="Normale 5 5 17 2" xfId="11392"/>
    <cellStyle name="Normale 5 5 17 3" xfId="18800"/>
    <cellStyle name="Normale 5 5 17 4" xfId="26025"/>
    <cellStyle name="Normale 5 5 18" xfId="4856"/>
    <cellStyle name="Normale 5 5 18 2" xfId="12319"/>
    <cellStyle name="Normale 5 5 18 3" xfId="19727"/>
    <cellStyle name="Normale 5 5 18 4" xfId="25357"/>
    <cellStyle name="Normale 5 5 19" xfId="5783"/>
    <cellStyle name="Normale 5 5 19 2" xfId="13246"/>
    <cellStyle name="Normale 5 5 19 3" xfId="20654"/>
    <cellStyle name="Normale 5 5 19 4" xfId="29555"/>
    <cellStyle name="Normale 5 5 2" xfId="175"/>
    <cellStyle name="Normale 5 5 2 10" xfId="6706"/>
    <cellStyle name="Normale 5 5 2 10 2" xfId="14169"/>
    <cellStyle name="Normale 5 5 2 10 3" xfId="21577"/>
    <cellStyle name="Normale 5 5 2 10 4" xfId="22359"/>
    <cellStyle name="Normale 5 5 2 11" xfId="7640"/>
    <cellStyle name="Normale 5 5 2 12" xfId="15049"/>
    <cellStyle name="Normale 5 5 2 13" xfId="25064"/>
    <cellStyle name="Normale 5 5 2 14" xfId="29866"/>
    <cellStyle name="Normale 5 5 2 15" xfId="30796"/>
    <cellStyle name="Normale 5 5 2 16" xfId="31719"/>
    <cellStyle name="Normale 5 5 2 17" xfId="32645"/>
    <cellStyle name="Normale 5 5 2 18" xfId="33579"/>
    <cellStyle name="Normale 5 5 2 19" xfId="34507"/>
    <cellStyle name="Normale 5 5 2 2" xfId="176"/>
    <cellStyle name="Normale 5 5 2 2 10" xfId="7641"/>
    <cellStyle name="Normale 5 5 2 2 11" xfId="15050"/>
    <cellStyle name="Normale 5 5 2 2 12" xfId="24138"/>
    <cellStyle name="Normale 5 5 2 2 13" xfId="29867"/>
    <cellStyle name="Normale 5 5 2 2 14" xfId="30797"/>
    <cellStyle name="Normale 5 5 2 2 15" xfId="31720"/>
    <cellStyle name="Normale 5 5 2 2 16" xfId="32646"/>
    <cellStyle name="Normale 5 5 2 2 17" xfId="33580"/>
    <cellStyle name="Normale 5 5 2 2 18" xfId="34508"/>
    <cellStyle name="Normale 5 5 2 2 19" xfId="35436"/>
    <cellStyle name="Normale 5 5 2 2 2" xfId="374"/>
    <cellStyle name="Normale 5 5 2 2 2 10" xfId="15247"/>
    <cellStyle name="Normale 5 5 2 2 2 11" xfId="24554"/>
    <cellStyle name="Normale 5 5 2 2 2 12" xfId="30059"/>
    <cellStyle name="Normale 5 5 2 2 2 13" xfId="30991"/>
    <cellStyle name="Normale 5 5 2 2 2 14" xfId="31912"/>
    <cellStyle name="Normale 5 5 2 2 2 15" xfId="32837"/>
    <cellStyle name="Normale 5 5 2 2 2 16" xfId="33774"/>
    <cellStyle name="Normale 5 5 2 2 2 17" xfId="34704"/>
    <cellStyle name="Normale 5 5 2 2 2 18" xfId="35630"/>
    <cellStyle name="Normale 5 5 2 2 2 19" xfId="36556"/>
    <cellStyle name="Normale 5 5 2 2 2 2" xfId="1341"/>
    <cellStyle name="Normale 5 5 2 2 2 2 2" xfId="8804"/>
    <cellStyle name="Normale 5 5 2 2 2 2 3" xfId="16212"/>
    <cellStyle name="Normale 5 5 2 2 2 2 4" xfId="27401"/>
    <cellStyle name="Normale 5 5 2 2 2 20" xfId="37476"/>
    <cellStyle name="Normale 5 5 2 2 2 3" xfId="2272"/>
    <cellStyle name="Normale 5 5 2 2 2 3 2" xfId="9735"/>
    <cellStyle name="Normale 5 5 2 2 2 3 3" xfId="17143"/>
    <cellStyle name="Normale 5 5 2 2 2 3 4" xfId="25232"/>
    <cellStyle name="Normale 5 5 2 2 2 4" xfId="3194"/>
    <cellStyle name="Normale 5 5 2 2 2 4 2" xfId="10657"/>
    <cellStyle name="Normale 5 5 2 2 2 4 3" xfId="18065"/>
    <cellStyle name="Normale 5 5 2 2 2 4 4" xfId="23083"/>
    <cellStyle name="Normale 5 5 2 2 2 5" xfId="4127"/>
    <cellStyle name="Normale 5 5 2 2 2 5 2" xfId="11590"/>
    <cellStyle name="Normale 5 5 2 2 2 5 3" xfId="18998"/>
    <cellStyle name="Normale 5 5 2 2 2 5 4" xfId="27689"/>
    <cellStyle name="Normale 5 5 2 2 2 6" xfId="5050"/>
    <cellStyle name="Normale 5 5 2 2 2 6 2" xfId="12513"/>
    <cellStyle name="Normale 5 5 2 2 2 6 3" xfId="19921"/>
    <cellStyle name="Normale 5 5 2 2 2 6 4" xfId="22732"/>
    <cellStyle name="Normale 5 5 2 2 2 7" xfId="5978"/>
    <cellStyle name="Normale 5 5 2 2 2 7 2" xfId="13441"/>
    <cellStyle name="Normale 5 5 2 2 2 7 3" xfId="20849"/>
    <cellStyle name="Normale 5 5 2 2 2 7 4" xfId="24412"/>
    <cellStyle name="Normale 5 5 2 2 2 8" xfId="6898"/>
    <cellStyle name="Normale 5 5 2 2 2 8 2" xfId="14361"/>
    <cellStyle name="Normale 5 5 2 2 2 8 3" xfId="21769"/>
    <cellStyle name="Normale 5 5 2 2 2 8 4" xfId="23120"/>
    <cellStyle name="Normale 5 5 2 2 2 9" xfId="7837"/>
    <cellStyle name="Normale 5 5 2 2 20" xfId="36362"/>
    <cellStyle name="Normale 5 5 2 2 21" xfId="37285"/>
    <cellStyle name="Normale 5 5 2 2 3" xfId="1149"/>
    <cellStyle name="Normale 5 5 2 2 3 2" xfId="8612"/>
    <cellStyle name="Normale 5 5 2 2 3 3" xfId="16020"/>
    <cellStyle name="Normale 5 5 2 2 3 4" xfId="28211"/>
    <cellStyle name="Normale 5 5 2 2 4" xfId="2076"/>
    <cellStyle name="Normale 5 5 2 2 4 2" xfId="9539"/>
    <cellStyle name="Normale 5 5 2 2 4 3" xfId="16947"/>
    <cellStyle name="Normale 5 5 2 2 4 4" xfId="24988"/>
    <cellStyle name="Normale 5 5 2 2 5" xfId="3002"/>
    <cellStyle name="Normale 5 5 2 2 5 2" xfId="10465"/>
    <cellStyle name="Normale 5 5 2 2 5 3" xfId="17873"/>
    <cellStyle name="Normale 5 5 2 2 5 4" xfId="23219"/>
    <cellStyle name="Normale 5 5 2 2 6" xfId="3931"/>
    <cellStyle name="Normale 5 5 2 2 6 2" xfId="11394"/>
    <cellStyle name="Normale 5 5 2 2 6 3" xfId="18802"/>
    <cellStyle name="Normale 5 5 2 2 6 4" xfId="24189"/>
    <cellStyle name="Normale 5 5 2 2 7" xfId="4858"/>
    <cellStyle name="Normale 5 5 2 2 7 2" xfId="12321"/>
    <cellStyle name="Normale 5 5 2 2 7 3" xfId="19729"/>
    <cellStyle name="Normale 5 5 2 2 7 4" xfId="23522"/>
    <cellStyle name="Normale 5 5 2 2 8" xfId="5785"/>
    <cellStyle name="Normale 5 5 2 2 8 2" xfId="13248"/>
    <cellStyle name="Normale 5 5 2 2 8 3" xfId="20656"/>
    <cellStyle name="Normale 5 5 2 2 8 4" xfId="27737"/>
    <cellStyle name="Normale 5 5 2 2 9" xfId="6707"/>
    <cellStyle name="Normale 5 5 2 2 9 2" xfId="14170"/>
    <cellStyle name="Normale 5 5 2 2 9 3" xfId="21578"/>
    <cellStyle name="Normale 5 5 2 2 9 4" xfId="28603"/>
    <cellStyle name="Normale 5 5 2 20" xfId="35435"/>
    <cellStyle name="Normale 5 5 2 21" xfId="36361"/>
    <cellStyle name="Normale 5 5 2 22" xfId="37284"/>
    <cellStyle name="Normale 5 5 2 3" xfId="373"/>
    <cellStyle name="Normale 5 5 2 3 10" xfId="15246"/>
    <cellStyle name="Normale 5 5 2 3 11" xfId="25471"/>
    <cellStyle name="Normale 5 5 2 3 12" xfId="30058"/>
    <cellStyle name="Normale 5 5 2 3 13" xfId="30990"/>
    <cellStyle name="Normale 5 5 2 3 14" xfId="31911"/>
    <cellStyle name="Normale 5 5 2 3 15" xfId="32836"/>
    <cellStyle name="Normale 5 5 2 3 16" xfId="33773"/>
    <cellStyle name="Normale 5 5 2 3 17" xfId="34703"/>
    <cellStyle name="Normale 5 5 2 3 18" xfId="35629"/>
    <cellStyle name="Normale 5 5 2 3 19" xfId="36555"/>
    <cellStyle name="Normale 5 5 2 3 2" xfId="1340"/>
    <cellStyle name="Normale 5 5 2 3 2 2" xfId="8803"/>
    <cellStyle name="Normale 5 5 2 3 2 3" xfId="16211"/>
    <cellStyle name="Normale 5 5 2 3 2 4" xfId="28325"/>
    <cellStyle name="Normale 5 5 2 3 20" xfId="37475"/>
    <cellStyle name="Normale 5 5 2 3 3" xfId="2271"/>
    <cellStyle name="Normale 5 5 2 3 3 2" xfId="9734"/>
    <cellStyle name="Normale 5 5 2 3 3 3" xfId="17142"/>
    <cellStyle name="Normale 5 5 2 3 3 4" xfId="26155"/>
    <cellStyle name="Normale 5 5 2 3 4" xfId="3193"/>
    <cellStyle name="Normale 5 5 2 3 4 2" xfId="10656"/>
    <cellStyle name="Normale 5 5 2 3 4 3" xfId="18064"/>
    <cellStyle name="Normale 5 5 2 3 4 4" xfId="24094"/>
    <cellStyle name="Normale 5 5 2 3 5" xfId="4126"/>
    <cellStyle name="Normale 5 5 2 3 5 2" xfId="11589"/>
    <cellStyle name="Normale 5 5 2 3 5 3" xfId="18997"/>
    <cellStyle name="Normale 5 5 2 3 5 4" xfId="28616"/>
    <cellStyle name="Normale 5 5 2 3 6" xfId="5049"/>
    <cellStyle name="Normale 5 5 2 3 6 2" xfId="12512"/>
    <cellStyle name="Normale 5 5 2 3 6 3" xfId="19920"/>
    <cellStyle name="Normale 5 5 2 3 6 4" xfId="23703"/>
    <cellStyle name="Normale 5 5 2 3 7" xfId="5977"/>
    <cellStyle name="Normale 5 5 2 3 7 2" xfId="13440"/>
    <cellStyle name="Normale 5 5 2 3 7 3" xfId="20848"/>
    <cellStyle name="Normale 5 5 2 3 7 4" xfId="25328"/>
    <cellStyle name="Normale 5 5 2 3 8" xfId="6897"/>
    <cellStyle name="Normale 5 5 2 3 8 2" xfId="14360"/>
    <cellStyle name="Normale 5 5 2 3 8 3" xfId="21768"/>
    <cellStyle name="Normale 5 5 2 3 8 4" xfId="24134"/>
    <cellStyle name="Normale 5 5 2 3 9" xfId="7836"/>
    <cellStyle name="Normale 5 5 2 4" xfId="1148"/>
    <cellStyle name="Normale 5 5 2 4 2" xfId="8611"/>
    <cellStyle name="Normale 5 5 2 4 3" xfId="16019"/>
    <cellStyle name="Normale 5 5 2 4 4" xfId="29121"/>
    <cellStyle name="Normale 5 5 2 5" xfId="2075"/>
    <cellStyle name="Normale 5 5 2 5 2" xfId="9538"/>
    <cellStyle name="Normale 5 5 2 5 3" xfId="16946"/>
    <cellStyle name="Normale 5 5 2 5 4" xfId="25899"/>
    <cellStyle name="Normale 5 5 2 6" xfId="3001"/>
    <cellStyle name="Normale 5 5 2 6 2" xfId="10464"/>
    <cellStyle name="Normale 5 5 2 6 3" xfId="17872"/>
    <cellStyle name="Normale 5 5 2 6 4" xfId="23376"/>
    <cellStyle name="Normale 5 5 2 7" xfId="3930"/>
    <cellStyle name="Normale 5 5 2 7 2" xfId="11393"/>
    <cellStyle name="Normale 5 5 2 7 3" xfId="18801"/>
    <cellStyle name="Normale 5 5 2 7 4" xfId="25115"/>
    <cellStyle name="Normale 5 5 2 8" xfId="4857"/>
    <cellStyle name="Normale 5 5 2 8 2" xfId="12320"/>
    <cellStyle name="Normale 5 5 2 8 3" xfId="19728"/>
    <cellStyle name="Normale 5 5 2 8 4" xfId="24441"/>
    <cellStyle name="Normale 5 5 2 9" xfId="5784"/>
    <cellStyle name="Normale 5 5 2 9 2" xfId="13247"/>
    <cellStyle name="Normale 5 5 2 9 3" xfId="20655"/>
    <cellStyle name="Normale 5 5 2 9 4" xfId="28664"/>
    <cellStyle name="Normale 5 5 20" xfId="6705"/>
    <cellStyle name="Normale 5 5 20 2" xfId="14168"/>
    <cellStyle name="Normale 5 5 20 3" xfId="21576"/>
    <cellStyle name="Normale 5 5 20 4" xfId="22360"/>
    <cellStyle name="Normale 5 5 21" xfId="7639"/>
    <cellStyle name="Normale 5 5 22" xfId="15048"/>
    <cellStyle name="Normale 5 5 23" xfId="25973"/>
    <cellStyle name="Normale 5 5 24" xfId="29865"/>
    <cellStyle name="Normale 5 5 25" xfId="30795"/>
    <cellStyle name="Normale 5 5 26" xfId="31718"/>
    <cellStyle name="Normale 5 5 27" xfId="32644"/>
    <cellStyle name="Normale 5 5 28" xfId="33578"/>
    <cellStyle name="Normale 5 5 29" xfId="34506"/>
    <cellStyle name="Normale 5 5 3" xfId="177"/>
    <cellStyle name="Normale 5 5 3 10" xfId="7642"/>
    <cellStyle name="Normale 5 5 3 11" xfId="15051"/>
    <cellStyle name="Normale 5 5 3 12" xfId="23129"/>
    <cellStyle name="Normale 5 5 3 13" xfId="29868"/>
    <cellStyle name="Normale 5 5 3 14" xfId="30798"/>
    <cellStyle name="Normale 5 5 3 15" xfId="31721"/>
    <cellStyle name="Normale 5 5 3 16" xfId="32647"/>
    <cellStyle name="Normale 5 5 3 17" xfId="33581"/>
    <cellStyle name="Normale 5 5 3 18" xfId="34509"/>
    <cellStyle name="Normale 5 5 3 19" xfId="35437"/>
    <cellStyle name="Normale 5 5 3 2" xfId="375"/>
    <cellStyle name="Normale 5 5 3 2 10" xfId="15248"/>
    <cellStyle name="Normale 5 5 3 2 11" xfId="23632"/>
    <cellStyle name="Normale 5 5 3 2 12" xfId="30060"/>
    <cellStyle name="Normale 5 5 3 2 13" xfId="30992"/>
    <cellStyle name="Normale 5 5 3 2 14" xfId="31913"/>
    <cellStyle name="Normale 5 5 3 2 15" xfId="32838"/>
    <cellStyle name="Normale 5 5 3 2 16" xfId="33775"/>
    <cellStyle name="Normale 5 5 3 2 17" xfId="34705"/>
    <cellStyle name="Normale 5 5 3 2 18" xfId="35631"/>
    <cellStyle name="Normale 5 5 3 2 19" xfId="36557"/>
    <cellStyle name="Normale 5 5 3 2 2" xfId="1342"/>
    <cellStyle name="Normale 5 5 3 2 2 2" xfId="8805"/>
    <cellStyle name="Normale 5 5 3 2 2 3" xfId="16213"/>
    <cellStyle name="Normale 5 5 3 2 2 4" xfId="26493"/>
    <cellStyle name="Normale 5 5 3 2 20" xfId="37477"/>
    <cellStyle name="Normale 5 5 3 2 3" xfId="2273"/>
    <cellStyle name="Normale 5 5 3 2 3 2" xfId="9736"/>
    <cellStyle name="Normale 5 5 3 2 3 3" xfId="17144"/>
    <cellStyle name="Normale 5 5 3 2 3 4" xfId="24313"/>
    <cellStyle name="Normale 5 5 3 2 4" xfId="3195"/>
    <cellStyle name="Normale 5 5 3 2 4 2" xfId="10658"/>
    <cellStyle name="Normale 5 5 3 2 4 3" xfId="18066"/>
    <cellStyle name="Normale 5 5 3 2 4 4" xfId="29512"/>
    <cellStyle name="Normale 5 5 3 2 5" xfId="4128"/>
    <cellStyle name="Normale 5 5 3 2 5 2" xfId="11591"/>
    <cellStyle name="Normale 5 5 3 2 5 3" xfId="18999"/>
    <cellStyle name="Normale 5 5 3 2 5 4" xfId="26786"/>
    <cellStyle name="Normale 5 5 3 2 6" xfId="5051"/>
    <cellStyle name="Normale 5 5 3 2 6 2" xfId="12514"/>
    <cellStyle name="Normale 5 5 3 2 6 3" xfId="19922"/>
    <cellStyle name="Normale 5 5 3 2 6 4" xfId="29162"/>
    <cellStyle name="Normale 5 5 3 2 7" xfId="5979"/>
    <cellStyle name="Normale 5 5 3 2 7 2" xfId="13442"/>
    <cellStyle name="Normale 5 5 3 2 7 3" xfId="20850"/>
    <cellStyle name="Normale 5 5 3 2 7 4" xfId="23493"/>
    <cellStyle name="Normale 5 5 3 2 8" xfId="6899"/>
    <cellStyle name="Normale 5 5 3 2 8 2" xfId="14362"/>
    <cellStyle name="Normale 5 5 3 2 8 3" xfId="21770"/>
    <cellStyle name="Normale 5 5 3 2 8 4" xfId="29549"/>
    <cellStyle name="Normale 5 5 3 2 9" xfId="7838"/>
    <cellStyle name="Normale 5 5 3 20" xfId="36363"/>
    <cellStyle name="Normale 5 5 3 21" xfId="37286"/>
    <cellStyle name="Normale 5 5 3 3" xfId="1150"/>
    <cellStyle name="Normale 5 5 3 3 2" xfId="8613"/>
    <cellStyle name="Normale 5 5 3 3 3" xfId="16021"/>
    <cellStyle name="Normale 5 5 3 3 4" xfId="27289"/>
    <cellStyle name="Normale 5 5 3 4" xfId="2077"/>
    <cellStyle name="Normale 5 5 3 4 2" xfId="9540"/>
    <cellStyle name="Normale 5 5 3 4 3" xfId="16948"/>
    <cellStyle name="Normale 5 5 3 4 4" xfId="24062"/>
    <cellStyle name="Normale 5 5 3 5" xfId="3003"/>
    <cellStyle name="Normale 5 5 3 5 2" xfId="10466"/>
    <cellStyle name="Normale 5 5 3 5 3" xfId="17874"/>
    <cellStyle name="Normale 5 5 3 5 4" xfId="29649"/>
    <cellStyle name="Normale 5 5 3 6" xfId="3932"/>
    <cellStyle name="Normale 5 5 3 6 2" xfId="11395"/>
    <cellStyle name="Normale 5 5 3 6 3" xfId="18803"/>
    <cellStyle name="Normale 5 5 3 6 4" xfId="23180"/>
    <cellStyle name="Normale 5 5 3 7" xfId="4859"/>
    <cellStyle name="Normale 5 5 3 7 2" xfId="12322"/>
    <cellStyle name="Normale 5 5 3 7 3" xfId="19730"/>
    <cellStyle name="Normale 5 5 3 7 4" xfId="22407"/>
    <cellStyle name="Normale 5 5 3 8" xfId="5786"/>
    <cellStyle name="Normale 5 5 3 8 2" xfId="13249"/>
    <cellStyle name="Normale 5 5 3 8 3" xfId="20657"/>
    <cellStyle name="Normale 5 5 3 8 4" xfId="26834"/>
    <cellStyle name="Normale 5 5 3 9" xfId="6708"/>
    <cellStyle name="Normale 5 5 3 9 2" xfId="14171"/>
    <cellStyle name="Normale 5 5 3 9 3" xfId="21579"/>
    <cellStyle name="Normale 5 5 3 9 4" xfId="27366"/>
    <cellStyle name="Normale 5 5 30" xfId="35434"/>
    <cellStyle name="Normale 5 5 31" xfId="36360"/>
    <cellStyle name="Normale 5 5 32" xfId="37283"/>
    <cellStyle name="Normale 5 5 4" xfId="372"/>
    <cellStyle name="Normale 5 5 4 10" xfId="15245"/>
    <cellStyle name="Normale 5 5 4 11" xfId="26398"/>
    <cellStyle name="Normale 5 5 4 12" xfId="30057"/>
    <cellStyle name="Normale 5 5 4 13" xfId="30989"/>
    <cellStyle name="Normale 5 5 4 14" xfId="31910"/>
    <cellStyle name="Normale 5 5 4 15" xfId="32835"/>
    <cellStyle name="Normale 5 5 4 16" xfId="33772"/>
    <cellStyle name="Normale 5 5 4 17" xfId="34702"/>
    <cellStyle name="Normale 5 5 4 18" xfId="35628"/>
    <cellStyle name="Normale 5 5 4 19" xfId="36554"/>
    <cellStyle name="Normale 5 5 4 2" xfId="1339"/>
    <cellStyle name="Normale 5 5 4 2 2" xfId="8802"/>
    <cellStyle name="Normale 5 5 4 2 3" xfId="16210"/>
    <cellStyle name="Normale 5 5 4 2 4" xfId="29231"/>
    <cellStyle name="Normale 5 5 4 20" xfId="37474"/>
    <cellStyle name="Normale 5 5 4 3" xfId="2270"/>
    <cellStyle name="Normale 5 5 4 3 2" xfId="9733"/>
    <cellStyle name="Normale 5 5 4 3 3" xfId="17141"/>
    <cellStyle name="Normale 5 5 4 3 4" xfId="27073"/>
    <cellStyle name="Normale 5 5 4 4" xfId="3192"/>
    <cellStyle name="Normale 5 5 4 4 2" xfId="10655"/>
    <cellStyle name="Normale 5 5 4 4 3" xfId="18063"/>
    <cellStyle name="Normale 5 5 4 4 4" xfId="25020"/>
    <cellStyle name="Normale 5 5 4 5" xfId="4125"/>
    <cellStyle name="Normale 5 5 4 5 2" xfId="11588"/>
    <cellStyle name="Normale 5 5 4 5 3" xfId="18996"/>
    <cellStyle name="Normale 5 5 4 5 4" xfId="29507"/>
    <cellStyle name="Normale 5 5 4 6" xfId="5048"/>
    <cellStyle name="Normale 5 5 4 6 2" xfId="12511"/>
    <cellStyle name="Normale 5 5 4 6 3" xfId="19919"/>
    <cellStyle name="Normale 5 5 4 6 4" xfId="24625"/>
    <cellStyle name="Normale 5 5 4 7" xfId="5976"/>
    <cellStyle name="Normale 5 5 4 7 2" xfId="13439"/>
    <cellStyle name="Normale 5 5 4 7 3" xfId="20847"/>
    <cellStyle name="Normale 5 5 4 7 4" xfId="26255"/>
    <cellStyle name="Normale 5 5 4 8" xfId="6896"/>
    <cellStyle name="Normale 5 5 4 8 2" xfId="14359"/>
    <cellStyle name="Normale 5 5 4 8 3" xfId="21767"/>
    <cellStyle name="Normale 5 5 4 8 4" xfId="25060"/>
    <cellStyle name="Normale 5 5 4 9" xfId="7835"/>
    <cellStyle name="Normale 5 5 5" xfId="442"/>
    <cellStyle name="Normale 5 5 5 10" xfId="15315"/>
    <cellStyle name="Normale 5 5 5 11" xfId="28435"/>
    <cellStyle name="Normale 5 5 5 12" xfId="30127"/>
    <cellStyle name="Normale 5 5 5 13" xfId="31059"/>
    <cellStyle name="Normale 5 5 5 14" xfId="31980"/>
    <cellStyle name="Normale 5 5 5 15" xfId="32904"/>
    <cellStyle name="Normale 5 5 5 16" xfId="33842"/>
    <cellStyle name="Normale 5 5 5 17" xfId="34772"/>
    <cellStyle name="Normale 5 5 5 18" xfId="35698"/>
    <cellStyle name="Normale 5 5 5 19" xfId="36624"/>
    <cellStyle name="Normale 5 5 5 2" xfId="1409"/>
    <cellStyle name="Normale 5 5 5 2 2" xfId="8872"/>
    <cellStyle name="Normale 5 5 5 2 3" xfId="16280"/>
    <cellStyle name="Normale 5 5 5 2 4" xfId="25445"/>
    <cellStyle name="Normale 5 5 5 20" xfId="37543"/>
    <cellStyle name="Normale 5 5 5 3" xfId="2340"/>
    <cellStyle name="Normale 5 5 5 3 2" xfId="9803"/>
    <cellStyle name="Normale 5 5 5 3 3" xfId="17211"/>
    <cellStyle name="Normale 5 5 5 3 4" xfId="22843"/>
    <cellStyle name="Normale 5 5 5 4" xfId="3262"/>
    <cellStyle name="Normale 5 5 5 4 2" xfId="10725"/>
    <cellStyle name="Normale 5 5 5 4 3" xfId="18133"/>
    <cellStyle name="Normale 5 5 5 4 4" xfId="28548"/>
    <cellStyle name="Normale 5 5 5 5" xfId="4195"/>
    <cellStyle name="Normale 5 5 5 5 2" xfId="11658"/>
    <cellStyle name="Normale 5 5 5 5 3" xfId="19066"/>
    <cellStyle name="Normale 5 5 5 5 4" xfId="22613"/>
    <cellStyle name="Normale 5 5 5 6" xfId="5118"/>
    <cellStyle name="Normale 5 5 5 6 2" xfId="12581"/>
    <cellStyle name="Normale 5 5 5 6 3" xfId="19989"/>
    <cellStyle name="Normale 5 5 5 6 4" xfId="27918"/>
    <cellStyle name="Normale 5 5 5 7" xfId="6046"/>
    <cellStyle name="Normale 5 5 5 7 2" xfId="13509"/>
    <cellStyle name="Normale 5 5 5 7 3" xfId="20917"/>
    <cellStyle name="Normale 5 5 5 7 4" xfId="28398"/>
    <cellStyle name="Normale 5 5 5 8" xfId="6965"/>
    <cellStyle name="Normale 5 5 5 8 2" xfId="14428"/>
    <cellStyle name="Normale 5 5 5 8 3" xfId="21836"/>
    <cellStyle name="Normale 5 5 5 8 4" xfId="29469"/>
    <cellStyle name="Normale 5 5 5 9" xfId="7905"/>
    <cellStyle name="Normale 5 5 6" xfId="490"/>
    <cellStyle name="Normale 5 5 6 10" xfId="15363"/>
    <cellStyle name="Normale 5 5 6 11" xfId="27304"/>
    <cellStyle name="Normale 5 5 6 12" xfId="30175"/>
    <cellStyle name="Normale 5 5 6 13" xfId="31107"/>
    <cellStyle name="Normale 5 5 6 14" xfId="32028"/>
    <cellStyle name="Normale 5 5 6 15" xfId="32951"/>
    <cellStyle name="Normale 5 5 6 16" xfId="33890"/>
    <cellStyle name="Normale 5 5 6 17" xfId="34820"/>
    <cellStyle name="Normale 5 5 6 18" xfId="35746"/>
    <cellStyle name="Normale 5 5 6 19" xfId="36672"/>
    <cellStyle name="Normale 5 5 6 2" xfId="1457"/>
    <cellStyle name="Normale 5 5 6 2 2" xfId="8920"/>
    <cellStyle name="Normale 5 5 6 2 3" xfId="16328"/>
    <cellStyle name="Normale 5 5 6 2 4" xfId="23904"/>
    <cellStyle name="Normale 5 5 6 20" xfId="37590"/>
    <cellStyle name="Normale 5 5 6 3" xfId="2388"/>
    <cellStyle name="Normale 5 5 6 3 2" xfId="9851"/>
    <cellStyle name="Normale 5 5 6 3 3" xfId="17259"/>
    <cellStyle name="Normale 5 5 6 3 4" xfId="22468"/>
    <cellStyle name="Normale 5 5 6 4" xfId="3310"/>
    <cellStyle name="Normale 5 5 6 4 2" xfId="10773"/>
    <cellStyle name="Normale 5 5 6 4 3" xfId="18181"/>
    <cellStyle name="Normale 5 5 6 4 4" xfId="23188"/>
    <cellStyle name="Normale 5 5 6 5" xfId="4243"/>
    <cellStyle name="Normale 5 5 6 5 2" xfId="11706"/>
    <cellStyle name="Normale 5 5 6 5 3" xfId="19114"/>
    <cellStyle name="Normale 5 5 6 5 4" xfId="23344"/>
    <cellStyle name="Normale 5 5 6 6" xfId="5166"/>
    <cellStyle name="Normale 5 5 6 6 2" xfId="12629"/>
    <cellStyle name="Normale 5 5 6 6 3" xfId="20037"/>
    <cellStyle name="Normale 5 5 6 6 4" xfId="26618"/>
    <cellStyle name="Normale 5 5 6 7" xfId="6094"/>
    <cellStyle name="Normale 5 5 6 7 2" xfId="13557"/>
    <cellStyle name="Normale 5 5 6 7 3" xfId="20965"/>
    <cellStyle name="Normale 5 5 6 7 4" xfId="27163"/>
    <cellStyle name="Normale 5 5 6 8" xfId="7012"/>
    <cellStyle name="Normale 5 5 6 8 2" xfId="14475"/>
    <cellStyle name="Normale 5 5 6 8 3" xfId="21883"/>
    <cellStyle name="Normale 5 5 6 8 4" xfId="23201"/>
    <cellStyle name="Normale 5 5 6 9" xfId="7953"/>
    <cellStyle name="Normale 5 5 7" xfId="538"/>
    <cellStyle name="Normale 5 5 7 10" xfId="15411"/>
    <cellStyle name="Normale 5 5 7 11" xfId="28779"/>
    <cellStyle name="Normale 5 5 7 12" xfId="30222"/>
    <cellStyle name="Normale 5 5 7 13" xfId="31155"/>
    <cellStyle name="Normale 5 5 7 14" xfId="32075"/>
    <cellStyle name="Normale 5 5 7 15" xfId="32997"/>
    <cellStyle name="Normale 5 5 7 16" xfId="33938"/>
    <cellStyle name="Normale 5 5 7 17" xfId="34868"/>
    <cellStyle name="Normale 5 5 7 18" xfId="35794"/>
    <cellStyle name="Normale 5 5 7 19" xfId="36720"/>
    <cellStyle name="Normale 5 5 7 2" xfId="1505"/>
    <cellStyle name="Normale 5 5 7 2 2" xfId="8968"/>
    <cellStyle name="Normale 5 5 7 2 3" xfId="16376"/>
    <cellStyle name="Normale 5 5 7 2 4" xfId="23886"/>
    <cellStyle name="Normale 5 5 7 20" xfId="37636"/>
    <cellStyle name="Normale 5 5 7 3" xfId="2436"/>
    <cellStyle name="Normale 5 5 7 3 2" xfId="9899"/>
    <cellStyle name="Normale 5 5 7 3 3" xfId="17307"/>
    <cellStyle name="Normale 5 5 7 3 4" xfId="23157"/>
    <cellStyle name="Normale 5 5 7 4" xfId="3357"/>
    <cellStyle name="Normale 5 5 7 4 2" xfId="10820"/>
    <cellStyle name="Normale 5 5 7 4 3" xfId="18228"/>
    <cellStyle name="Normale 5 5 7 4 4" xfId="29667"/>
    <cellStyle name="Normale 5 5 7 5" xfId="4291"/>
    <cellStyle name="Normale 5 5 7 5 2" xfId="11754"/>
    <cellStyle name="Normale 5 5 7 5 3" xfId="19162"/>
    <cellStyle name="Normale 5 5 7 5 4" xfId="28409"/>
    <cellStyle name="Normale 5 5 7 6" xfId="5213"/>
    <cellStyle name="Normale 5 5 7 6 2" xfId="12676"/>
    <cellStyle name="Normale 5 5 7 6 3" xfId="20084"/>
    <cellStyle name="Normale 5 5 7 6 4" xfId="27479"/>
    <cellStyle name="Normale 5 5 7 7" xfId="6142"/>
    <cellStyle name="Normale 5 5 7 7 2" xfId="13605"/>
    <cellStyle name="Normale 5 5 7 7 3" xfId="21013"/>
    <cellStyle name="Normale 5 5 7 7 4" xfId="28729"/>
    <cellStyle name="Normale 5 5 7 8" xfId="7058"/>
    <cellStyle name="Normale 5 5 7 8 2" xfId="14521"/>
    <cellStyle name="Normale 5 5 7 8 3" xfId="21929"/>
    <cellStyle name="Normale 5 5 7 8 4" xfId="24715"/>
    <cellStyle name="Normale 5 5 7 9" xfId="8001"/>
    <cellStyle name="Normale 5 5 8" xfId="590"/>
    <cellStyle name="Normale 5 5 8 10" xfId="15463"/>
    <cellStyle name="Normale 5 5 8 11" xfId="29285"/>
    <cellStyle name="Normale 5 5 8 12" xfId="30273"/>
    <cellStyle name="Normale 5 5 8 13" xfId="31207"/>
    <cellStyle name="Normale 5 5 8 14" xfId="32126"/>
    <cellStyle name="Normale 5 5 8 15" xfId="33047"/>
    <cellStyle name="Normale 5 5 8 16" xfId="33990"/>
    <cellStyle name="Normale 5 5 8 17" xfId="34920"/>
    <cellStyle name="Normale 5 5 8 18" xfId="35846"/>
    <cellStyle name="Normale 5 5 8 19" xfId="36772"/>
    <cellStyle name="Normale 5 5 8 2" xfId="1557"/>
    <cellStyle name="Normale 5 5 8 2 2" xfId="9020"/>
    <cellStyle name="Normale 5 5 8 2 3" xfId="16428"/>
    <cellStyle name="Normale 5 5 8 2 4" xfId="26369"/>
    <cellStyle name="Normale 5 5 8 20" xfId="37686"/>
    <cellStyle name="Normale 5 5 8 3" xfId="2488"/>
    <cellStyle name="Normale 5 5 8 3 2" xfId="9951"/>
    <cellStyle name="Normale 5 5 8 3 3" xfId="17359"/>
    <cellStyle name="Normale 5 5 8 3 4" xfId="26489"/>
    <cellStyle name="Normale 5 5 8 4" xfId="3408"/>
    <cellStyle name="Normale 5 5 8 4 2" xfId="10871"/>
    <cellStyle name="Normale 5 5 8 4 3" xfId="18279"/>
    <cellStyle name="Normale 5 5 8 4 4" xfId="26321"/>
    <cellStyle name="Normale 5 5 8 5" xfId="4343"/>
    <cellStyle name="Normale 5 5 8 5 2" xfId="11806"/>
    <cellStyle name="Normale 5 5 8 5 3" xfId="19214"/>
    <cellStyle name="Normale 5 5 8 5 4" xfId="23535"/>
    <cellStyle name="Normale 5 5 8 6" xfId="5264"/>
    <cellStyle name="Normale 5 5 8 6 2" xfId="12727"/>
    <cellStyle name="Normale 5 5 8 6 3" xfId="20135"/>
    <cellStyle name="Normale 5 5 8 6 4" xfId="23512"/>
    <cellStyle name="Normale 5 5 8 7" xfId="6194"/>
    <cellStyle name="Normale 5 5 8 7 2" xfId="13657"/>
    <cellStyle name="Normale 5 5 8 7 3" xfId="21065"/>
    <cellStyle name="Normale 5 5 8 7 4" xfId="24669"/>
    <cellStyle name="Normale 5 5 8 8" xfId="7108"/>
    <cellStyle name="Normale 5 5 8 8 2" xfId="14571"/>
    <cellStyle name="Normale 5 5 8 8 3" xfId="21979"/>
    <cellStyle name="Normale 5 5 8 8 4" xfId="15845"/>
    <cellStyle name="Normale 5 5 8 9" xfId="8053"/>
    <cellStyle name="Normale 5 5 9" xfId="650"/>
    <cellStyle name="Normale 5 5 9 10" xfId="15522"/>
    <cellStyle name="Normale 5 5 9 11" xfId="25463"/>
    <cellStyle name="Normale 5 5 9 12" xfId="30329"/>
    <cellStyle name="Normale 5 5 9 13" xfId="31266"/>
    <cellStyle name="Normale 5 5 9 14" xfId="32183"/>
    <cellStyle name="Normale 5 5 9 15" xfId="33102"/>
    <cellStyle name="Normale 5 5 9 16" xfId="34049"/>
    <cellStyle name="Normale 5 5 9 17" xfId="34980"/>
    <cellStyle name="Normale 5 5 9 18" xfId="35906"/>
    <cellStyle name="Normale 5 5 9 19" xfId="36831"/>
    <cellStyle name="Normale 5 5 9 2" xfId="1616"/>
    <cellStyle name="Normale 5 5 9 2 2" xfId="9079"/>
    <cellStyle name="Normale 5 5 9 2 3" xfId="16487"/>
    <cellStyle name="Normale 5 5 9 2 4" xfId="25031"/>
    <cellStyle name="Normale 5 5 9 20" xfId="37741"/>
    <cellStyle name="Normale 5 5 9 3" xfId="2548"/>
    <cellStyle name="Normale 5 5 9 3 2" xfId="10011"/>
    <cellStyle name="Normale 5 5 9 3 3" xfId="17419"/>
    <cellStyle name="Normale 5 5 9 3 4" xfId="29085"/>
    <cellStyle name="Normale 5 5 9 4" xfId="3466"/>
    <cellStyle name="Normale 5 5 9 4 2" xfId="10929"/>
    <cellStyle name="Normale 5 5 9 4 3" xfId="18337"/>
    <cellStyle name="Normale 5 5 9 4 4" xfId="24638"/>
    <cellStyle name="Normale 5 5 9 5" xfId="4403"/>
    <cellStyle name="Normale 5 5 9 5 2" xfId="11866"/>
    <cellStyle name="Normale 5 5 9 5 3" xfId="19274"/>
    <cellStyle name="Normale 5 5 9 5 4" xfId="28614"/>
    <cellStyle name="Normale 5 5 9 6" xfId="5321"/>
    <cellStyle name="Normale 5 5 9 6 2" xfId="12784"/>
    <cellStyle name="Normale 5 5 9 6 3" xfId="20192"/>
    <cellStyle name="Normale 5 5 9 6 4" xfId="24082"/>
    <cellStyle name="Normale 5 5 9 7" xfId="6254"/>
    <cellStyle name="Normale 5 5 9 7 2" xfId="13717"/>
    <cellStyle name="Normale 5 5 9 7 3" xfId="21125"/>
    <cellStyle name="Normale 5 5 9 7 4" xfId="26409"/>
    <cellStyle name="Normale 5 5 9 8" xfId="7163"/>
    <cellStyle name="Normale 5 5 9 8 2" xfId="14626"/>
    <cellStyle name="Normale 5 5 9 8 3" xfId="22034"/>
    <cellStyle name="Normale 5 5 9 8 4" xfId="24383"/>
    <cellStyle name="Normale 5 5 9 9" xfId="8113"/>
    <cellStyle name="Normale 5 6" xfId="178"/>
    <cellStyle name="Normale 5 6 10" xfId="1151"/>
    <cellStyle name="Normale 5 6 10 2" xfId="8614"/>
    <cellStyle name="Normale 5 6 10 3" xfId="16022"/>
    <cellStyle name="Normale 5 6 10 4" xfId="26379"/>
    <cellStyle name="Normale 5 6 11" xfId="2078"/>
    <cellStyle name="Normale 5 6 11 2" xfId="9541"/>
    <cellStyle name="Normale 5 6 11 3" xfId="16949"/>
    <cellStyle name="Normale 5 6 11 4" xfId="23055"/>
    <cellStyle name="Normale 5 6 12" xfId="3004"/>
    <cellStyle name="Normale 5 6 12 2" xfId="10467"/>
    <cellStyle name="Normale 5 6 12 3" xfId="17875"/>
    <cellStyle name="Normale 5 6 12 4" xfId="28764"/>
    <cellStyle name="Normale 5 6 13" xfId="3933"/>
    <cellStyle name="Normale 5 6 13 2" xfId="11396"/>
    <cellStyle name="Normale 5 6 13 3" xfId="18804"/>
    <cellStyle name="Normale 5 6 13 4" xfId="29610"/>
    <cellStyle name="Normale 5 6 14" xfId="4860"/>
    <cellStyle name="Normale 5 6 14 2" xfId="12323"/>
    <cellStyle name="Normale 5 6 14 3" xfId="19731"/>
    <cellStyle name="Normale 5 6 14 4" xfId="22406"/>
    <cellStyle name="Normale 5 6 15" xfId="5787"/>
    <cellStyle name="Normale 5 6 15 2" xfId="13250"/>
    <cellStyle name="Normale 5 6 15 3" xfId="20658"/>
    <cellStyle name="Normale 5 6 15 4" xfId="25901"/>
    <cellStyle name="Normale 5 6 16" xfId="6709"/>
    <cellStyle name="Normale 5 6 16 2" xfId="14172"/>
    <cellStyle name="Normale 5 6 16 3" xfId="21580"/>
    <cellStyle name="Normale 5 6 16 4" xfId="26843"/>
    <cellStyle name="Normale 5 6 17" xfId="7643"/>
    <cellStyle name="Normale 5 6 18" xfId="15052"/>
    <cellStyle name="Normale 5 6 19" xfId="29558"/>
    <cellStyle name="Normale 5 6 2" xfId="179"/>
    <cellStyle name="Normale 5 6 2 10" xfId="7644"/>
    <cellStyle name="Normale 5 6 2 11" xfId="15053"/>
    <cellStyle name="Normale 5 6 2 12" xfId="28667"/>
    <cellStyle name="Normale 5 6 2 13" xfId="29870"/>
    <cellStyle name="Normale 5 6 2 14" xfId="30800"/>
    <cellStyle name="Normale 5 6 2 15" xfId="31723"/>
    <cellStyle name="Normale 5 6 2 16" xfId="32649"/>
    <cellStyle name="Normale 5 6 2 17" xfId="33583"/>
    <cellStyle name="Normale 5 6 2 18" xfId="34511"/>
    <cellStyle name="Normale 5 6 2 19" xfId="35439"/>
    <cellStyle name="Normale 5 6 2 2" xfId="377"/>
    <cellStyle name="Normale 5 6 2 2 10" xfId="15250"/>
    <cellStyle name="Normale 5 6 2 2 11" xfId="28039"/>
    <cellStyle name="Normale 5 6 2 2 12" xfId="30062"/>
    <cellStyle name="Normale 5 6 2 2 13" xfId="30994"/>
    <cellStyle name="Normale 5 6 2 2 14" xfId="31915"/>
    <cellStyle name="Normale 5 6 2 2 15" xfId="32840"/>
    <cellStyle name="Normale 5 6 2 2 16" xfId="33777"/>
    <cellStyle name="Normale 5 6 2 2 17" xfId="34707"/>
    <cellStyle name="Normale 5 6 2 2 18" xfId="35633"/>
    <cellStyle name="Normale 5 6 2 2 19" xfId="36559"/>
    <cellStyle name="Normale 5 6 2 2 2" xfId="1344"/>
    <cellStyle name="Normale 5 6 2 2 2 2" xfId="8807"/>
    <cellStyle name="Normale 5 6 2 2 2 3" xfId="16215"/>
    <cellStyle name="Normale 5 6 2 2 2 4" xfId="24648"/>
    <cellStyle name="Normale 5 6 2 2 20" xfId="37479"/>
    <cellStyle name="Normale 5 6 2 2 3" xfId="2275"/>
    <cellStyle name="Normale 5 6 2 2 3 2" xfId="9738"/>
    <cellStyle name="Normale 5 6 2 2 3 3" xfId="17146"/>
    <cellStyle name="Normale 5 6 2 2 3 4" xfId="22663"/>
    <cellStyle name="Normale 5 6 2 2 4" xfId="3197"/>
    <cellStyle name="Normale 5 6 2 2 4 2" xfId="10660"/>
    <cellStyle name="Normale 5 6 2 2 4 3" xfId="18068"/>
    <cellStyle name="Normale 5 6 2 2 4 4" xfId="27694"/>
    <cellStyle name="Normale 5 6 2 2 5" xfId="4130"/>
    <cellStyle name="Normale 5 6 2 2 5 2" xfId="11593"/>
    <cellStyle name="Normale 5 6 2 2 5 3" xfId="19001"/>
    <cellStyle name="Normale 5 6 2 2 5 4" xfId="24942"/>
    <cellStyle name="Normale 5 6 2 2 6" xfId="5053"/>
    <cellStyle name="Normale 5 6 2 2 6 2" xfId="12516"/>
    <cellStyle name="Normale 5 6 2 2 6 3" xfId="19924"/>
    <cellStyle name="Normale 5 6 2 2 6 4" xfId="27330"/>
    <cellStyle name="Normale 5 6 2 2 7" xfId="5981"/>
    <cellStyle name="Normale 5 6 2 2 7 2" xfId="13444"/>
    <cellStyle name="Normale 5 6 2 2 7 3" xfId="20852"/>
    <cellStyle name="Normale 5 6 2 2 7 4" xfId="27897"/>
    <cellStyle name="Normale 5 6 2 2 8" xfId="6901"/>
    <cellStyle name="Normale 5 6 2 2 8 2" xfId="14364"/>
    <cellStyle name="Normale 5 6 2 2 8 3" xfId="21772"/>
    <cellStyle name="Normale 5 6 2 2 8 4" xfId="27731"/>
    <cellStyle name="Normale 5 6 2 2 9" xfId="7840"/>
    <cellStyle name="Normale 5 6 2 20" xfId="36365"/>
    <cellStyle name="Normale 5 6 2 21" xfId="37288"/>
    <cellStyle name="Normale 5 6 2 3" xfId="1152"/>
    <cellStyle name="Normale 5 6 2 3 2" xfId="8615"/>
    <cellStyle name="Normale 5 6 2 3 3" xfId="16023"/>
    <cellStyle name="Normale 5 6 2 3 4" xfId="25452"/>
    <cellStyle name="Normale 5 6 2 4" xfId="2079"/>
    <cellStyle name="Normale 5 6 2 4 2" xfId="9542"/>
    <cellStyle name="Normale 5 6 2 4 3" xfId="16950"/>
    <cellStyle name="Normale 5 6 2 4 4" xfId="29484"/>
    <cellStyle name="Normale 5 6 2 5" xfId="3005"/>
    <cellStyle name="Normale 5 6 2 5 2" xfId="10468"/>
    <cellStyle name="Normale 5 6 2 5 3" xfId="17876"/>
    <cellStyle name="Normale 5 6 2 5 4" xfId="27837"/>
    <cellStyle name="Normale 5 6 2 6" xfId="3934"/>
    <cellStyle name="Normale 5 6 2 6 2" xfId="11397"/>
    <cellStyle name="Normale 5 6 2 6 3" xfId="18805"/>
    <cellStyle name="Normale 5 6 2 6 4" xfId="28722"/>
    <cellStyle name="Normale 5 6 2 7" xfId="4861"/>
    <cellStyle name="Normale 5 6 2 7 2" xfId="12324"/>
    <cellStyle name="Normale 5 6 2 7 3" xfId="19732"/>
    <cellStyle name="Normale 5 6 2 7 4" xfId="28837"/>
    <cellStyle name="Normale 5 6 2 8" xfId="5788"/>
    <cellStyle name="Normale 5 6 2 8 2" xfId="13251"/>
    <cellStyle name="Normale 5 6 2 8 3" xfId="20659"/>
    <cellStyle name="Normale 5 6 2 8 4" xfId="24990"/>
    <cellStyle name="Normale 5 6 2 9" xfId="6710"/>
    <cellStyle name="Normale 5 6 2 9 2" xfId="14173"/>
    <cellStyle name="Normale 5 6 2 9 3" xfId="21581"/>
    <cellStyle name="Normale 5 6 2 9 4" xfId="25289"/>
    <cellStyle name="Normale 5 6 20" xfId="29869"/>
    <cellStyle name="Normale 5 6 21" xfId="30799"/>
    <cellStyle name="Normale 5 6 22" xfId="31722"/>
    <cellStyle name="Normale 5 6 23" xfId="32648"/>
    <cellStyle name="Normale 5 6 24" xfId="33582"/>
    <cellStyle name="Normale 5 6 25" xfId="34510"/>
    <cellStyle name="Normale 5 6 26" xfId="35438"/>
    <cellStyle name="Normale 5 6 27" xfId="36364"/>
    <cellStyle name="Normale 5 6 28" xfId="37287"/>
    <cellStyle name="Normale 5 6 3" xfId="376"/>
    <cellStyle name="Normale 5 6 3 10" xfId="15249"/>
    <cellStyle name="Normale 5 6 3 11" xfId="28950"/>
    <cellStyle name="Normale 5 6 3 12" xfId="30061"/>
    <cellStyle name="Normale 5 6 3 13" xfId="30993"/>
    <cellStyle name="Normale 5 6 3 14" xfId="31914"/>
    <cellStyle name="Normale 5 6 3 15" xfId="32839"/>
    <cellStyle name="Normale 5 6 3 16" xfId="33776"/>
    <cellStyle name="Normale 5 6 3 17" xfId="34706"/>
    <cellStyle name="Normale 5 6 3 18" xfId="35632"/>
    <cellStyle name="Normale 5 6 3 19" xfId="36558"/>
    <cellStyle name="Normale 5 6 3 2" xfId="1343"/>
    <cellStyle name="Normale 5 6 3 2 2" xfId="8806"/>
    <cellStyle name="Normale 5 6 3 2 3" xfId="16214"/>
    <cellStyle name="Normale 5 6 3 2 4" xfId="25565"/>
    <cellStyle name="Normale 5 6 3 20" xfId="37478"/>
    <cellStyle name="Normale 5 6 3 3" xfId="2274"/>
    <cellStyle name="Normale 5 6 3 3 2" xfId="9737"/>
    <cellStyle name="Normale 5 6 3 3 3" xfId="17145"/>
    <cellStyle name="Normale 5 6 3 3 4" xfId="23397"/>
    <cellStyle name="Normale 5 6 3 4" xfId="3196"/>
    <cellStyle name="Normale 5 6 3 4 2" xfId="10659"/>
    <cellStyle name="Normale 5 6 3 4 3" xfId="18067"/>
    <cellStyle name="Normale 5 6 3 4 4" xfId="28621"/>
    <cellStyle name="Normale 5 6 3 5" xfId="4129"/>
    <cellStyle name="Normale 5 6 3 5 2" xfId="11592"/>
    <cellStyle name="Normale 5 6 3 5 3" xfId="19000"/>
    <cellStyle name="Normale 5 6 3 5 4" xfId="25853"/>
    <cellStyle name="Normale 5 6 3 6" xfId="5052"/>
    <cellStyle name="Normale 5 6 3 6 2" xfId="12515"/>
    <cellStyle name="Normale 5 6 3 6 3" xfId="19923"/>
    <cellStyle name="Normale 5 6 3 6 4" xfId="28254"/>
    <cellStyle name="Normale 5 6 3 7" xfId="5980"/>
    <cellStyle name="Normale 5 6 3 7 2" xfId="13443"/>
    <cellStyle name="Normale 5 6 3 7 3" xfId="20851"/>
    <cellStyle name="Normale 5 6 3 7 4" xfId="28810"/>
    <cellStyle name="Normale 5 6 3 8" xfId="6900"/>
    <cellStyle name="Normale 5 6 3 8 2" xfId="14363"/>
    <cellStyle name="Normale 5 6 3 8 3" xfId="21771"/>
    <cellStyle name="Normale 5 6 3 8 4" xfId="28658"/>
    <cellStyle name="Normale 5 6 3 9" xfId="7839"/>
    <cellStyle name="Normale 5 6 4" xfId="603"/>
    <cellStyle name="Normale 5 6 4 10" xfId="15476"/>
    <cellStyle name="Normale 5 6 4 11" xfId="24658"/>
    <cellStyle name="Normale 5 6 4 12" xfId="30285"/>
    <cellStyle name="Normale 5 6 4 13" xfId="31220"/>
    <cellStyle name="Normale 5 6 4 14" xfId="32138"/>
    <cellStyle name="Normale 5 6 4 15" xfId="33058"/>
    <cellStyle name="Normale 5 6 4 16" xfId="34003"/>
    <cellStyle name="Normale 5 6 4 17" xfId="34933"/>
    <cellStyle name="Normale 5 6 4 18" xfId="35859"/>
    <cellStyle name="Normale 5 6 4 19" xfId="36785"/>
    <cellStyle name="Normale 5 6 4 2" xfId="1570"/>
    <cellStyle name="Normale 5 6 4 2 2" xfId="9033"/>
    <cellStyle name="Normale 5 6 4 2 3" xfId="16441"/>
    <cellStyle name="Normale 5 6 4 2 4" xfId="22679"/>
    <cellStyle name="Normale 5 6 4 20" xfId="37697"/>
    <cellStyle name="Normale 5 6 4 3" xfId="2501"/>
    <cellStyle name="Normale 5 6 4 3 2" xfId="9964"/>
    <cellStyle name="Normale 5 6 4 3 3" xfId="17372"/>
    <cellStyle name="Normale 5 6 4 3 4" xfId="29083"/>
    <cellStyle name="Normale 5 6 4 4" xfId="3420"/>
    <cellStyle name="Normale 5 6 4 4 2" xfId="10883"/>
    <cellStyle name="Normale 5 6 4 4 3" xfId="18291"/>
    <cellStyle name="Normale 5 6 4 4 4" xfId="29064"/>
    <cellStyle name="Normale 5 6 4 5" xfId="4356"/>
    <cellStyle name="Normale 5 6 4 5 2" xfId="11819"/>
    <cellStyle name="Normale 5 6 4 5 3" xfId="19227"/>
    <cellStyle name="Normale 5 6 4 5 4" xfId="27205"/>
    <cellStyle name="Normale 5 6 4 6" xfId="5276"/>
    <cellStyle name="Normale 5 6 4 6 2" xfId="12739"/>
    <cellStyle name="Normale 5 6 4 6 3" xfId="20147"/>
    <cellStyle name="Normale 5 6 4 6 4" xfId="28104"/>
    <cellStyle name="Normale 5 6 4 7" xfId="6207"/>
    <cellStyle name="Normale 5 6 4 7 2" xfId="13670"/>
    <cellStyle name="Normale 5 6 4 7 3" xfId="21078"/>
    <cellStyle name="Normale 5 6 4 7 4" xfId="27326"/>
    <cellStyle name="Normale 5 6 4 8" xfId="7119"/>
    <cellStyle name="Normale 5 6 4 8 2" xfId="14582"/>
    <cellStyle name="Normale 5 6 4 8 3" xfId="21990"/>
    <cellStyle name="Normale 5 6 4 8 4" xfId="24005"/>
    <cellStyle name="Normale 5 6 4 9" xfId="8066"/>
    <cellStyle name="Normale 5 6 5" xfId="659"/>
    <cellStyle name="Normale 5 6 5 10" xfId="15531"/>
    <cellStyle name="Normale 5 6 5 11" xfId="23437"/>
    <cellStyle name="Normale 5 6 5 12" xfId="30338"/>
    <cellStyle name="Normale 5 6 5 13" xfId="31275"/>
    <cellStyle name="Normale 5 6 5 14" xfId="32192"/>
    <cellStyle name="Normale 5 6 5 15" xfId="33111"/>
    <cellStyle name="Normale 5 6 5 16" xfId="34058"/>
    <cellStyle name="Normale 5 6 5 17" xfId="34989"/>
    <cellStyle name="Normale 5 6 5 18" xfId="35915"/>
    <cellStyle name="Normale 5 6 5 19" xfId="36840"/>
    <cellStyle name="Normale 5 6 5 2" xfId="1625"/>
    <cellStyle name="Normale 5 6 5 2 2" xfId="9088"/>
    <cellStyle name="Normale 5 6 5 2 3" xfId="16496"/>
    <cellStyle name="Normale 5 6 5 2 4" xfId="24033"/>
    <cellStyle name="Normale 5 6 5 20" xfId="37750"/>
    <cellStyle name="Normale 5 6 5 3" xfId="2557"/>
    <cellStyle name="Normale 5 6 5 3 2" xfId="10020"/>
    <cellStyle name="Normale 5 6 5 3 3" xfId="17428"/>
    <cellStyle name="Normale 5 6 5 3 4" xfId="28896"/>
    <cellStyle name="Normale 5 6 5 4" xfId="3475"/>
    <cellStyle name="Normale 5 6 5 4 2" xfId="10938"/>
    <cellStyle name="Normale 5 6 5 4 3" xfId="18346"/>
    <cellStyle name="Normale 5 6 5 4 4" xfId="23669"/>
    <cellStyle name="Normale 5 6 5 5" xfId="4412"/>
    <cellStyle name="Normale 5 6 5 5 2" xfId="11875"/>
    <cellStyle name="Normale 5 6 5 5 3" xfId="19283"/>
    <cellStyle name="Normale 5 6 5 5 4" xfId="27616"/>
    <cellStyle name="Normale 5 6 5 6" xfId="5330"/>
    <cellStyle name="Normale 5 6 5 6 2" xfId="12793"/>
    <cellStyle name="Normale 5 6 5 6 3" xfId="20201"/>
    <cellStyle name="Normale 5 6 5 6 4" xfId="23002"/>
    <cellStyle name="Normale 5 6 5 7" xfId="6263"/>
    <cellStyle name="Normale 5 6 5 7 2" xfId="13726"/>
    <cellStyle name="Normale 5 6 5 7 3" xfId="21134"/>
    <cellStyle name="Normale 5 6 5 7 4" xfId="26248"/>
    <cellStyle name="Normale 5 6 5 8" xfId="7172"/>
    <cellStyle name="Normale 5 6 5 8 2" xfId="14635"/>
    <cellStyle name="Normale 5 6 5 8 3" xfId="22043"/>
    <cellStyle name="Normale 5 6 5 8 4" xfId="27506"/>
    <cellStyle name="Normale 5 6 5 9" xfId="8122"/>
    <cellStyle name="Normale 5 6 6" xfId="743"/>
    <cellStyle name="Normale 5 6 6 10" xfId="15614"/>
    <cellStyle name="Normale 5 6 6 11" xfId="23967"/>
    <cellStyle name="Normale 5 6 6 12" xfId="30417"/>
    <cellStyle name="Normale 5 6 6 13" xfId="31358"/>
    <cellStyle name="Normale 5 6 6 14" xfId="32271"/>
    <cellStyle name="Normale 5 6 6 15" xfId="33188"/>
    <cellStyle name="Normale 5 6 6 16" xfId="34141"/>
    <cellStyle name="Normale 5 6 6 17" xfId="35073"/>
    <cellStyle name="Normale 5 6 6 18" xfId="35999"/>
    <cellStyle name="Normale 5 6 6 19" xfId="36924"/>
    <cellStyle name="Normale 5 6 6 2" xfId="1708"/>
    <cellStyle name="Normale 5 6 6 2 2" xfId="9171"/>
    <cellStyle name="Normale 5 6 6 2 3" xfId="16579"/>
    <cellStyle name="Normale 5 6 6 2 4" xfId="28195"/>
    <cellStyle name="Normale 5 6 6 20" xfId="37827"/>
    <cellStyle name="Normale 5 6 6 3" xfId="2641"/>
    <cellStyle name="Normale 5 6 6 3 2" xfId="10104"/>
    <cellStyle name="Normale 5 6 6 3 3" xfId="17512"/>
    <cellStyle name="Normale 5 6 6 3 4" xfId="25976"/>
    <cellStyle name="Normale 5 6 6 4" xfId="3557"/>
    <cellStyle name="Normale 5 6 6 4 2" xfId="11020"/>
    <cellStyle name="Normale 5 6 6 4 3" xfId="18428"/>
    <cellStyle name="Normale 5 6 6 4 4" xfId="29510"/>
    <cellStyle name="Normale 5 6 6 5" xfId="4496"/>
    <cellStyle name="Normale 5 6 6 5 2" xfId="11959"/>
    <cellStyle name="Normale 5 6 6 5 3" xfId="19367"/>
    <cellStyle name="Normale 5 6 6 5 4" xfId="28797"/>
    <cellStyle name="Normale 5 6 6 6" xfId="5412"/>
    <cellStyle name="Normale 5 6 6 6 2" xfId="12875"/>
    <cellStyle name="Normale 5 6 6 6 3" xfId="20283"/>
    <cellStyle name="Normale 5 6 6 6 4" xfId="28100"/>
    <cellStyle name="Normale 5 6 6 7" xfId="6345"/>
    <cellStyle name="Normale 5 6 6 7 2" xfId="13808"/>
    <cellStyle name="Normale 5 6 6 7 3" xfId="21216"/>
    <cellStyle name="Normale 5 6 6 7 4" xfId="26038"/>
    <cellStyle name="Normale 5 6 6 8" xfId="7249"/>
    <cellStyle name="Normale 5 6 6 8 2" xfId="14712"/>
    <cellStyle name="Normale 5 6 6 8 3" xfId="22120"/>
    <cellStyle name="Normale 5 6 6 8 4" xfId="28339"/>
    <cellStyle name="Normale 5 6 6 9" xfId="8206"/>
    <cellStyle name="Normale 5 6 7" xfId="814"/>
    <cellStyle name="Normale 5 6 7 10" xfId="15685"/>
    <cellStyle name="Normale 5 6 7 11" xfId="23058"/>
    <cellStyle name="Normale 5 6 7 12" xfId="30486"/>
    <cellStyle name="Normale 5 6 7 13" xfId="31429"/>
    <cellStyle name="Normale 5 6 7 14" xfId="32341"/>
    <cellStyle name="Normale 5 6 7 15" xfId="33257"/>
    <cellStyle name="Normale 5 6 7 16" xfId="34212"/>
    <cellStyle name="Normale 5 6 7 17" xfId="35144"/>
    <cellStyle name="Normale 5 6 7 18" xfId="36070"/>
    <cellStyle name="Normale 5 6 7 19" xfId="36995"/>
    <cellStyle name="Normale 5 6 7 2" xfId="1779"/>
    <cellStyle name="Normale 5 6 7 2 2" xfId="9242"/>
    <cellStyle name="Normale 5 6 7 2 3" xfId="16650"/>
    <cellStyle name="Normale 5 6 7 2 4" xfId="26652"/>
    <cellStyle name="Normale 5 6 7 20" xfId="37896"/>
    <cellStyle name="Normale 5 6 7 3" xfId="2712"/>
    <cellStyle name="Normale 5 6 7 3 2" xfId="10175"/>
    <cellStyle name="Normale 5 6 7 3 3" xfId="17583"/>
    <cellStyle name="Normale 5 6 7 3 4" xfId="24909"/>
    <cellStyle name="Normale 5 6 7 4" xfId="3627"/>
    <cellStyle name="Normale 5 6 7 4 2" xfId="11090"/>
    <cellStyle name="Normale 5 6 7 4 3" xfId="18498"/>
    <cellStyle name="Normale 5 6 7 4 4" xfId="22628"/>
    <cellStyle name="Normale 5 6 7 5" xfId="4567"/>
    <cellStyle name="Normale 5 6 7 5 2" xfId="12030"/>
    <cellStyle name="Normale 5 6 7 5 3" xfId="19438"/>
    <cellStyle name="Normale 5 6 7 5 4" xfId="27723"/>
    <cellStyle name="Normale 5 6 7 6" xfId="5482"/>
    <cellStyle name="Normale 5 6 7 6 2" xfId="12945"/>
    <cellStyle name="Normale 5 6 7 6 3" xfId="20353"/>
    <cellStyle name="Normale 5 6 7 6 4" xfId="27533"/>
    <cellStyle name="Normale 5 6 7 7" xfId="6416"/>
    <cellStyle name="Normale 5 6 7 7 2" xfId="13879"/>
    <cellStyle name="Normale 5 6 7 7 3" xfId="21287"/>
    <cellStyle name="Normale 5 6 7 7 4" xfId="24981"/>
    <cellStyle name="Normale 5 6 7 8" xfId="7318"/>
    <cellStyle name="Normale 5 6 7 8 2" xfId="14781"/>
    <cellStyle name="Normale 5 6 7 8 3" xfId="22189"/>
    <cellStyle name="Normale 5 6 7 8 4" xfId="25625"/>
    <cellStyle name="Normale 5 6 7 9" xfId="8277"/>
    <cellStyle name="Normale 5 6 8" xfId="885"/>
    <cellStyle name="Normale 5 6 8 10" xfId="15756"/>
    <cellStyle name="Normale 5 6 8 11" xfId="29341"/>
    <cellStyle name="Normale 5 6 8 12" xfId="30554"/>
    <cellStyle name="Normale 5 6 8 13" xfId="31500"/>
    <cellStyle name="Normale 5 6 8 14" xfId="32411"/>
    <cellStyle name="Normale 5 6 8 15" xfId="33323"/>
    <cellStyle name="Normale 5 6 8 16" xfId="34283"/>
    <cellStyle name="Normale 5 6 8 17" xfId="35215"/>
    <cellStyle name="Normale 5 6 8 18" xfId="36141"/>
    <cellStyle name="Normale 5 6 8 19" xfId="37066"/>
    <cellStyle name="Normale 5 6 8 2" xfId="1850"/>
    <cellStyle name="Normale 5 6 8 2 2" xfId="9313"/>
    <cellStyle name="Normale 5 6 8 2 3" xfId="16721"/>
    <cellStyle name="Normale 5 6 8 2 4" xfId="27269"/>
    <cellStyle name="Normale 5 6 8 20" xfId="37962"/>
    <cellStyle name="Normale 5 6 8 3" xfId="2783"/>
    <cellStyle name="Normale 5 6 8 3 2" xfId="10246"/>
    <cellStyle name="Normale 5 6 8 3 3" xfId="17654"/>
    <cellStyle name="Normale 5 6 8 3 4" xfId="25606"/>
    <cellStyle name="Normale 5 6 8 4" xfId="3697"/>
    <cellStyle name="Normale 5 6 8 4 2" xfId="11160"/>
    <cellStyle name="Normale 5 6 8 4 3" xfId="18568"/>
    <cellStyle name="Normale 5 6 8 4 4" xfId="25855"/>
    <cellStyle name="Normale 5 6 8 5" xfId="4638"/>
    <cellStyle name="Normale 5 6 8 5 2" xfId="12101"/>
    <cellStyle name="Normale 5 6 8 5 3" xfId="19509"/>
    <cellStyle name="Normale 5 6 8 5 4" xfId="28407"/>
    <cellStyle name="Normale 5 6 8 6" xfId="5552"/>
    <cellStyle name="Normale 5 6 8 6 2" xfId="13015"/>
    <cellStyle name="Normale 5 6 8 6 3" xfId="20423"/>
    <cellStyle name="Normale 5 6 8 6 4" xfId="29006"/>
    <cellStyle name="Normale 5 6 8 7" xfId="6487"/>
    <cellStyle name="Normale 5 6 8 7 2" xfId="13950"/>
    <cellStyle name="Normale 5 6 8 7 3" xfId="21358"/>
    <cellStyle name="Normale 5 6 8 7 4" xfId="25634"/>
    <cellStyle name="Normale 5 6 8 8" xfId="7384"/>
    <cellStyle name="Normale 5 6 8 8 2" xfId="14847"/>
    <cellStyle name="Normale 5 6 8 8 3" xfId="22255"/>
    <cellStyle name="Normale 5 6 8 8 4" xfId="23456"/>
    <cellStyle name="Normale 5 6 8 9" xfId="8348"/>
    <cellStyle name="Normale 5 6 9" xfId="952"/>
    <cellStyle name="Normale 5 6 9 10" xfId="15823"/>
    <cellStyle name="Normale 5 6 9 11" xfId="26499"/>
    <cellStyle name="Normale 5 6 9 12" xfId="30618"/>
    <cellStyle name="Normale 5 6 9 13" xfId="31566"/>
    <cellStyle name="Normale 5 6 9 14" xfId="32477"/>
    <cellStyle name="Normale 5 6 9 15" xfId="33387"/>
    <cellStyle name="Normale 5 6 9 16" xfId="34350"/>
    <cellStyle name="Normale 5 6 9 17" xfId="35282"/>
    <cellStyle name="Normale 5 6 9 18" xfId="36207"/>
    <cellStyle name="Normale 5 6 9 19" xfId="37133"/>
    <cellStyle name="Normale 5 6 9 2" xfId="1917"/>
    <cellStyle name="Normale 5 6 9 2 2" xfId="9380"/>
    <cellStyle name="Normale 5 6 9 2 3" xfId="16788"/>
    <cellStyle name="Normale 5 6 9 2 4" xfId="27843"/>
    <cellStyle name="Normale 5 6 9 20" xfId="38026"/>
    <cellStyle name="Normale 5 6 9 3" xfId="2849"/>
    <cellStyle name="Normale 5 6 9 3 2" xfId="10312"/>
    <cellStyle name="Normale 5 6 9 3 3" xfId="17720"/>
    <cellStyle name="Normale 5 6 9 3 4" xfId="22648"/>
    <cellStyle name="Normale 5 6 9 4" xfId="3764"/>
    <cellStyle name="Normale 5 6 9 4 2" xfId="11227"/>
    <cellStyle name="Normale 5 6 9 4 3" xfId="18635"/>
    <cellStyle name="Normale 5 6 9 4 4" xfId="29054"/>
    <cellStyle name="Normale 5 6 9 5" xfId="4705"/>
    <cellStyle name="Normale 5 6 9 5 2" xfId="12168"/>
    <cellStyle name="Normale 5 6 9 5 3" xfId="19576"/>
    <cellStyle name="Normale 5 6 9 5 4" xfId="25360"/>
    <cellStyle name="Normale 5 6 9 6" xfId="5619"/>
    <cellStyle name="Normale 5 6 9 6 2" xfId="13082"/>
    <cellStyle name="Normale 5 6 9 6 3" xfId="20490"/>
    <cellStyle name="Normale 5 6 9 6 4" xfId="29533"/>
    <cellStyle name="Normale 5 6 9 7" xfId="6554"/>
    <cellStyle name="Normale 5 6 9 7 2" xfId="14017"/>
    <cellStyle name="Normale 5 6 9 7 3" xfId="21425"/>
    <cellStyle name="Normale 5 6 9 7 4" xfId="27877"/>
    <cellStyle name="Normale 5 6 9 8" xfId="7448"/>
    <cellStyle name="Normale 5 6 9 8 2" xfId="14911"/>
    <cellStyle name="Normale 5 6 9 8 3" xfId="22319"/>
    <cellStyle name="Normale 5 6 9 8 4" xfId="15080"/>
    <cellStyle name="Normale 5 6 9 9" xfId="8415"/>
    <cellStyle name="Normale 5 7" xfId="180"/>
    <cellStyle name="Normale 5 7 10" xfId="3006"/>
    <cellStyle name="Normale 5 7 10 2" xfId="10469"/>
    <cellStyle name="Normale 5 7 10 3" xfId="17877"/>
    <cellStyle name="Normale 5 7 10 4" xfId="26935"/>
    <cellStyle name="Normale 5 7 11" xfId="3935"/>
    <cellStyle name="Normale 5 7 11 2" xfId="11398"/>
    <cellStyle name="Normale 5 7 11 3" xfId="18806"/>
    <cellStyle name="Normale 5 7 11 4" xfId="27795"/>
    <cellStyle name="Normale 5 7 12" xfId="4862"/>
    <cellStyle name="Normale 5 7 12 2" xfId="12325"/>
    <cellStyle name="Normale 5 7 12 3" xfId="19733"/>
    <cellStyle name="Normale 5 7 12 4" xfId="27923"/>
    <cellStyle name="Normale 5 7 13" xfId="5789"/>
    <cellStyle name="Normale 5 7 13 2" xfId="13252"/>
    <cellStyle name="Normale 5 7 13 3" xfId="20660"/>
    <cellStyle name="Normale 5 7 13 4" xfId="24064"/>
    <cellStyle name="Normale 5 7 14" xfId="6711"/>
    <cellStyle name="Normale 5 7 14 2" xfId="14174"/>
    <cellStyle name="Normale 5 7 14 3" xfId="21582"/>
    <cellStyle name="Normale 5 7 14 4" xfId="24929"/>
    <cellStyle name="Normale 5 7 15" xfId="7645"/>
    <cellStyle name="Normale 5 7 16" xfId="15054"/>
    <cellStyle name="Normale 5 7 17" xfId="27740"/>
    <cellStyle name="Normale 5 7 18" xfId="29871"/>
    <cellStyle name="Normale 5 7 19" xfId="30801"/>
    <cellStyle name="Normale 5 7 2" xfId="378"/>
    <cellStyle name="Normale 5 7 2 10" xfId="15251"/>
    <cellStyle name="Normale 5 7 2 11" xfId="27117"/>
    <cellStyle name="Normale 5 7 2 12" xfId="30063"/>
    <cellStyle name="Normale 5 7 2 13" xfId="30995"/>
    <cellStyle name="Normale 5 7 2 14" xfId="31916"/>
    <cellStyle name="Normale 5 7 2 15" xfId="32841"/>
    <cellStyle name="Normale 5 7 2 16" xfId="33778"/>
    <cellStyle name="Normale 5 7 2 17" xfId="34708"/>
    <cellStyle name="Normale 5 7 2 18" xfId="35634"/>
    <cellStyle name="Normale 5 7 2 19" xfId="36560"/>
    <cellStyle name="Normale 5 7 2 2" xfId="1345"/>
    <cellStyle name="Normale 5 7 2 2 2" xfId="8808"/>
    <cellStyle name="Normale 5 7 2 2 3" xfId="16216"/>
    <cellStyle name="Normale 5 7 2 2 4" xfId="23726"/>
    <cellStyle name="Normale 5 7 2 20" xfId="37480"/>
    <cellStyle name="Normale 5 7 2 3" xfId="2276"/>
    <cellStyle name="Normale 5 7 2 3 2" xfId="9739"/>
    <cellStyle name="Normale 5 7 2 3 3" xfId="17147"/>
    <cellStyle name="Normale 5 7 2 3 4" xfId="29093"/>
    <cellStyle name="Normale 5 7 2 4" xfId="3198"/>
    <cellStyle name="Normale 5 7 2 4 2" xfId="10661"/>
    <cellStyle name="Normale 5 7 2 4 3" xfId="18069"/>
    <cellStyle name="Normale 5 7 2 4 4" xfId="26791"/>
    <cellStyle name="Normale 5 7 2 5" xfId="4131"/>
    <cellStyle name="Normale 5 7 2 5 2" xfId="11594"/>
    <cellStyle name="Normale 5 7 2 5 3" xfId="19002"/>
    <cellStyle name="Normale 5 7 2 5 4" xfId="24017"/>
    <cellStyle name="Normale 5 7 2 6" xfId="5054"/>
    <cellStyle name="Normale 5 7 2 6 2" xfId="12517"/>
    <cellStyle name="Normale 5 7 2 6 3" xfId="19925"/>
    <cellStyle name="Normale 5 7 2 6 4" xfId="26422"/>
    <cellStyle name="Normale 5 7 2 7" xfId="5982"/>
    <cellStyle name="Normale 5 7 2 7 2" xfId="13445"/>
    <cellStyle name="Normale 5 7 2 7 3" xfId="20853"/>
    <cellStyle name="Normale 5 7 2 7 4" xfId="26979"/>
    <cellStyle name="Normale 5 7 2 8" xfId="6902"/>
    <cellStyle name="Normale 5 7 2 8 2" xfId="14365"/>
    <cellStyle name="Normale 5 7 2 8 3" xfId="21773"/>
    <cellStyle name="Normale 5 7 2 8 4" xfId="26828"/>
    <cellStyle name="Normale 5 7 2 9" xfId="7841"/>
    <cellStyle name="Normale 5 7 20" xfId="31724"/>
    <cellStyle name="Normale 5 7 21" xfId="32650"/>
    <cellStyle name="Normale 5 7 22" xfId="33584"/>
    <cellStyle name="Normale 5 7 23" xfId="34512"/>
    <cellStyle name="Normale 5 7 24" xfId="35440"/>
    <cellStyle name="Normale 5 7 25" xfId="36366"/>
    <cellStyle name="Normale 5 7 26" xfId="37289"/>
    <cellStyle name="Normale 5 7 3" xfId="674"/>
    <cellStyle name="Normale 5 7 3 10" xfId="15546"/>
    <cellStyle name="Normale 5 7 3 11" xfId="25270"/>
    <cellStyle name="Normale 5 7 3 12" xfId="30349"/>
    <cellStyle name="Normale 5 7 3 13" xfId="31290"/>
    <cellStyle name="Normale 5 7 3 14" xfId="32204"/>
    <cellStyle name="Normale 5 7 3 15" xfId="33122"/>
    <cellStyle name="Normale 5 7 3 16" xfId="34073"/>
    <cellStyle name="Normale 5 7 3 17" xfId="35004"/>
    <cellStyle name="Normale 5 7 3 18" xfId="35930"/>
    <cellStyle name="Normale 5 7 3 19" xfId="36855"/>
    <cellStyle name="Normale 5 7 3 2" xfId="1640"/>
    <cellStyle name="Normale 5 7 3 2 2" xfId="9103"/>
    <cellStyle name="Normale 5 7 3 2 3" xfId="16511"/>
    <cellStyle name="Normale 5 7 3 2 4" xfId="24809"/>
    <cellStyle name="Normale 5 7 3 20" xfId="37761"/>
    <cellStyle name="Normale 5 7 3 3" xfId="2572"/>
    <cellStyle name="Normale 5 7 3 3 2" xfId="10035"/>
    <cellStyle name="Normale 5 7 3 3 3" xfId="17443"/>
    <cellStyle name="Normale 5 7 3 3 4" xfId="23156"/>
    <cellStyle name="Normale 5 7 3 4" xfId="3489"/>
    <cellStyle name="Normale 5 7 3 4 2" xfId="10952"/>
    <cellStyle name="Normale 5 7 3 4 3" xfId="18360"/>
    <cellStyle name="Normale 5 7 3 4 4" xfId="24282"/>
    <cellStyle name="Normale 5 7 3 5" xfId="4427"/>
    <cellStyle name="Normale 5 7 3 5 2" xfId="11890"/>
    <cellStyle name="Normale 5 7 3 5 3" xfId="19298"/>
    <cellStyle name="Normale 5 7 3 5 4" xfId="24156"/>
    <cellStyle name="Normale 5 7 3 6" xfId="5344"/>
    <cellStyle name="Normale 5 7 3 6 2" xfId="12807"/>
    <cellStyle name="Normale 5 7 3 6 3" xfId="20215"/>
    <cellStyle name="Normale 5 7 3 6 4" xfId="24786"/>
    <cellStyle name="Normale 5 7 3 7" xfId="6277"/>
    <cellStyle name="Normale 5 7 3 7 2" xfId="13740"/>
    <cellStyle name="Normale 5 7 3 7 3" xfId="21148"/>
    <cellStyle name="Normale 5 7 3 7 4" xfId="29564"/>
    <cellStyle name="Normale 5 7 3 8" xfId="7183"/>
    <cellStyle name="Normale 5 7 3 8 2" xfId="14646"/>
    <cellStyle name="Normale 5 7 3 8 3" xfId="22054"/>
    <cellStyle name="Normale 5 7 3 8 4" xfId="24712"/>
    <cellStyle name="Normale 5 7 3 9" xfId="8137"/>
    <cellStyle name="Normale 5 7 4" xfId="759"/>
    <cellStyle name="Normale 5 7 4 10" xfId="15630"/>
    <cellStyle name="Normale 5 7 4 11" xfId="23834"/>
    <cellStyle name="Normale 5 7 4 12" xfId="30433"/>
    <cellStyle name="Normale 5 7 4 13" xfId="31374"/>
    <cellStyle name="Normale 5 7 4 14" xfId="32287"/>
    <cellStyle name="Normale 5 7 4 15" xfId="33204"/>
    <cellStyle name="Normale 5 7 4 16" xfId="34157"/>
    <cellStyle name="Normale 5 7 4 17" xfId="35089"/>
    <cellStyle name="Normale 5 7 4 18" xfId="36015"/>
    <cellStyle name="Normale 5 7 4 19" xfId="36940"/>
    <cellStyle name="Normale 5 7 4 2" xfId="1724"/>
    <cellStyle name="Normale 5 7 4 2 2" xfId="9187"/>
    <cellStyle name="Normale 5 7 4 2 3" xfId="16595"/>
    <cellStyle name="Normale 5 7 4 2 4" xfId="27274"/>
    <cellStyle name="Normale 5 7 4 20" xfId="37843"/>
    <cellStyle name="Normale 5 7 4 3" xfId="2657"/>
    <cellStyle name="Normale 5 7 4 3 2" xfId="10120"/>
    <cellStyle name="Normale 5 7 4 3 3" xfId="17528"/>
    <cellStyle name="Normale 5 7 4 3 4" xfId="25837"/>
    <cellStyle name="Normale 5 7 4 4" xfId="3573"/>
    <cellStyle name="Normale 5 7 4 4 2" xfId="11036"/>
    <cellStyle name="Normale 5 7 4 4 3" xfId="18444"/>
    <cellStyle name="Normale 5 7 4 4 4" xfId="29368"/>
    <cellStyle name="Normale 5 7 4 5" xfId="4512"/>
    <cellStyle name="Normale 5 7 4 5 2" xfId="11975"/>
    <cellStyle name="Normale 5 7 4 5 3" xfId="19383"/>
    <cellStyle name="Normale 5 7 4 5 4" xfId="28666"/>
    <cellStyle name="Normale 5 7 4 6" xfId="5428"/>
    <cellStyle name="Normale 5 7 4 6 2" xfId="12891"/>
    <cellStyle name="Normale 5 7 4 6 3" xfId="20299"/>
    <cellStyle name="Normale 5 7 4 6 4" xfId="27179"/>
    <cellStyle name="Normale 5 7 4 7" xfId="6361"/>
    <cellStyle name="Normale 5 7 4 7 2" xfId="13824"/>
    <cellStyle name="Normale 5 7 4 7 3" xfId="21232"/>
    <cellStyle name="Normale 5 7 4 7 4" xfId="25907"/>
    <cellStyle name="Normale 5 7 4 8" xfId="7265"/>
    <cellStyle name="Normale 5 7 4 8 2" xfId="14728"/>
    <cellStyle name="Normale 5 7 4 8 3" xfId="22136"/>
    <cellStyle name="Normale 5 7 4 8 4" xfId="22345"/>
    <cellStyle name="Normale 5 7 4 9" xfId="8222"/>
    <cellStyle name="Normale 5 7 5" xfId="830"/>
    <cellStyle name="Normale 5 7 5 10" xfId="15701"/>
    <cellStyle name="Normale 5 7 5 11" xfId="22699"/>
    <cellStyle name="Normale 5 7 5 12" xfId="30502"/>
    <cellStyle name="Normale 5 7 5 13" xfId="31445"/>
    <cellStyle name="Normale 5 7 5 14" xfId="32357"/>
    <cellStyle name="Normale 5 7 5 15" xfId="33273"/>
    <cellStyle name="Normale 5 7 5 16" xfId="34228"/>
    <cellStyle name="Normale 5 7 5 17" xfId="35160"/>
    <cellStyle name="Normale 5 7 5 18" xfId="36086"/>
    <cellStyle name="Normale 5 7 5 19" xfId="37011"/>
    <cellStyle name="Normale 5 7 5 2" xfId="1795"/>
    <cellStyle name="Normale 5 7 5 2 2" xfId="9258"/>
    <cellStyle name="Normale 5 7 5 2 3" xfId="16666"/>
    <cellStyle name="Normale 5 7 5 2 4" xfId="26541"/>
    <cellStyle name="Normale 5 7 5 20" xfId="37912"/>
    <cellStyle name="Normale 5 7 5 3" xfId="2728"/>
    <cellStyle name="Normale 5 7 5 3 2" xfId="10191"/>
    <cellStyle name="Normale 5 7 5 3 3" xfId="17599"/>
    <cellStyle name="Normale 5 7 5 3 4" xfId="24771"/>
    <cellStyle name="Normale 5 7 5 4" xfId="3643"/>
    <cellStyle name="Normale 5 7 5 4 2" xfId="11106"/>
    <cellStyle name="Normale 5 7 5 4 3" xfId="18514"/>
    <cellStyle name="Normale 5 7 5 4 4" xfId="23360"/>
    <cellStyle name="Normale 5 7 5 5" xfId="4583"/>
    <cellStyle name="Normale 5 7 5 5 2" xfId="12046"/>
    <cellStyle name="Normale 5 7 5 5 3" xfId="19454"/>
    <cellStyle name="Normale 5 7 5 5 4" xfId="27571"/>
    <cellStyle name="Normale 5 7 5 6" xfId="5498"/>
    <cellStyle name="Normale 5 7 5 6 2" xfId="12961"/>
    <cellStyle name="Normale 5 7 5 6 3" xfId="20369"/>
    <cellStyle name="Normale 5 7 5 6 4" xfId="27426"/>
    <cellStyle name="Normale 5 7 5 7" xfId="6432"/>
    <cellStyle name="Normale 5 7 5 7 2" xfId="13895"/>
    <cellStyle name="Normale 5 7 5 7 3" xfId="21303"/>
    <cellStyle name="Normale 5 7 5 7 4" xfId="24827"/>
    <cellStyle name="Normale 5 7 5 8" xfId="7334"/>
    <cellStyle name="Normale 5 7 5 8 2" xfId="14797"/>
    <cellStyle name="Normale 5 7 5 8 3" xfId="22205"/>
    <cellStyle name="Normale 5 7 5 8 4" xfId="25525"/>
    <cellStyle name="Normale 5 7 5 9" xfId="8293"/>
    <cellStyle name="Normale 5 7 6" xfId="901"/>
    <cellStyle name="Normale 5 7 6 10" xfId="15772"/>
    <cellStyle name="Normale 5 7 6 11" xfId="28026"/>
    <cellStyle name="Normale 5 7 6 12" xfId="30570"/>
    <cellStyle name="Normale 5 7 6 13" xfId="31516"/>
    <cellStyle name="Normale 5 7 6 14" xfId="32427"/>
    <cellStyle name="Normale 5 7 6 15" xfId="33339"/>
    <cellStyle name="Normale 5 7 6 16" xfId="34299"/>
    <cellStyle name="Normale 5 7 6 17" xfId="35231"/>
    <cellStyle name="Normale 5 7 6 18" xfId="36157"/>
    <cellStyle name="Normale 5 7 6 19" xfId="37082"/>
    <cellStyle name="Normale 5 7 6 2" xfId="1866"/>
    <cellStyle name="Normale 5 7 6 2 2" xfId="9329"/>
    <cellStyle name="Normale 5 7 6 2 3" xfId="16737"/>
    <cellStyle name="Normale 5 7 6 2 4" xfId="26360"/>
    <cellStyle name="Normale 5 7 6 20" xfId="37978"/>
    <cellStyle name="Normale 5 7 6 3" xfId="2799"/>
    <cellStyle name="Normale 5 7 6 3 2" xfId="10262"/>
    <cellStyle name="Normale 5 7 6 3 3" xfId="17670"/>
    <cellStyle name="Normale 5 7 6 3 4" xfId="25512"/>
    <cellStyle name="Normale 5 7 6 4" xfId="3713"/>
    <cellStyle name="Normale 5 7 6 4 2" xfId="11176"/>
    <cellStyle name="Normale 5 7 6 4 3" xfId="18584"/>
    <cellStyle name="Normale 5 7 6 4 4" xfId="25707"/>
    <cellStyle name="Normale 5 7 6 5" xfId="4654"/>
    <cellStyle name="Normale 5 7 6 5 2" xfId="12117"/>
    <cellStyle name="Normale 5 7 6 5 3" xfId="19525"/>
    <cellStyle name="Normale 5 7 6 5 4" xfId="28308"/>
    <cellStyle name="Normale 5 7 6 6" xfId="5568"/>
    <cellStyle name="Normale 5 7 6 6 2" xfId="13031"/>
    <cellStyle name="Normale 5 7 6 6 3" xfId="20439"/>
    <cellStyle name="Normale 5 7 6 6 4" xfId="28097"/>
    <cellStyle name="Normale 5 7 6 7" xfId="6503"/>
    <cellStyle name="Normale 5 7 6 7 2" xfId="13966"/>
    <cellStyle name="Normale 5 7 6 7 3" xfId="21374"/>
    <cellStyle name="Normale 5 7 6 7 4" xfId="25537"/>
    <cellStyle name="Normale 5 7 6 8" xfId="7400"/>
    <cellStyle name="Normale 5 7 6 8 2" xfId="14863"/>
    <cellStyle name="Normale 5 7 6 8 3" xfId="22271"/>
    <cellStyle name="Normale 5 7 6 8 4" xfId="22342"/>
    <cellStyle name="Normale 5 7 6 9" xfId="8364"/>
    <cellStyle name="Normale 5 7 7" xfId="963"/>
    <cellStyle name="Normale 5 7 7 10" xfId="15834"/>
    <cellStyle name="Normale 5 7 7 11" xfId="23685"/>
    <cellStyle name="Normale 5 7 7 12" xfId="30629"/>
    <cellStyle name="Normale 5 7 7 13" xfId="31577"/>
    <cellStyle name="Normale 5 7 7 14" xfId="32488"/>
    <cellStyle name="Normale 5 7 7 15" xfId="33398"/>
    <cellStyle name="Normale 5 7 7 16" xfId="34361"/>
    <cellStyle name="Normale 5 7 7 17" xfId="35293"/>
    <cellStyle name="Normale 5 7 7 18" xfId="36218"/>
    <cellStyle name="Normale 5 7 7 19" xfId="37144"/>
    <cellStyle name="Normale 5 7 7 2" xfId="1928"/>
    <cellStyle name="Normale 5 7 7 2 2" xfId="9391"/>
    <cellStyle name="Normale 5 7 7 2 3" xfId="16799"/>
    <cellStyle name="Normale 5 7 7 2 4" xfId="25028"/>
    <cellStyle name="Normale 5 7 7 20" xfId="38037"/>
    <cellStyle name="Normale 5 7 7 3" xfId="2860"/>
    <cellStyle name="Normale 5 7 7 3 2" xfId="10323"/>
    <cellStyle name="Normale 5 7 7 3 3" xfId="17731"/>
    <cellStyle name="Normale 5 7 7 3 4" xfId="27975"/>
    <cellStyle name="Normale 5 7 7 4" xfId="3775"/>
    <cellStyle name="Normale 5 7 7 4 2" xfId="11238"/>
    <cellStyle name="Normale 5 7 7 4 3" xfId="18646"/>
    <cellStyle name="Normale 5 7 7 4 4" xfId="27032"/>
    <cellStyle name="Normale 5 7 7 5" xfId="4716"/>
    <cellStyle name="Normale 5 7 7 5 2" xfId="12179"/>
    <cellStyle name="Normale 5 7 7 5 3" xfId="19587"/>
    <cellStyle name="Normale 5 7 7 5 4" xfId="29030"/>
    <cellStyle name="Normale 5 7 7 6" xfId="5630"/>
    <cellStyle name="Normale 5 7 7 6 2" xfId="13093"/>
    <cellStyle name="Normale 5 7 7 6 3" xfId="20501"/>
    <cellStyle name="Normale 5 7 7 6 4" xfId="26848"/>
    <cellStyle name="Normale 5 7 7 7" xfId="6565"/>
    <cellStyle name="Normale 5 7 7 7 2" xfId="14028"/>
    <cellStyle name="Normale 5 7 7 7 3" xfId="21436"/>
    <cellStyle name="Normale 5 7 7 7 4" xfId="26241"/>
    <cellStyle name="Normale 5 7 7 8" xfId="7459"/>
    <cellStyle name="Normale 5 7 7 8 2" xfId="14922"/>
    <cellStyle name="Normale 5 7 7 8 3" xfId="22330"/>
    <cellStyle name="Normale 5 7 7 8 4" xfId="15704"/>
    <cellStyle name="Normale 5 7 7 9" xfId="8426"/>
    <cellStyle name="Normale 5 7 8" xfId="1153"/>
    <cellStyle name="Normale 5 7 8 2" xfId="8616"/>
    <cellStyle name="Normale 5 7 8 3" xfId="16024"/>
    <cellStyle name="Normale 5 7 8 4" xfId="24536"/>
    <cellStyle name="Normale 5 7 9" xfId="2080"/>
    <cellStyle name="Normale 5 7 9 2" xfId="9543"/>
    <cellStyle name="Normale 5 7 9 3" xfId="16951"/>
    <cellStyle name="Normale 5 7 9 4" xfId="28591"/>
    <cellStyle name="Normale 5 8" xfId="347"/>
    <cellStyle name="Normale 5 8 10" xfId="15220"/>
    <cellStyle name="Normale 5 8 11" xfId="26206"/>
    <cellStyle name="Normale 5 8 12" xfId="30032"/>
    <cellStyle name="Normale 5 8 13" xfId="30964"/>
    <cellStyle name="Normale 5 8 14" xfId="31885"/>
    <cellStyle name="Normale 5 8 15" xfId="32810"/>
    <cellStyle name="Normale 5 8 16" xfId="33747"/>
    <cellStyle name="Normale 5 8 17" xfId="34677"/>
    <cellStyle name="Normale 5 8 18" xfId="35603"/>
    <cellStyle name="Normale 5 8 19" xfId="36529"/>
    <cellStyle name="Normale 5 8 2" xfId="1314"/>
    <cellStyle name="Normale 5 8 2 2" xfId="8777"/>
    <cellStyle name="Normale 5 8 2 3" xfId="16185"/>
    <cellStyle name="Normale 5 8 2 4" xfId="25032"/>
    <cellStyle name="Normale 5 8 20" xfId="37449"/>
    <cellStyle name="Normale 5 8 3" xfId="2245"/>
    <cellStyle name="Normale 5 8 3 2" xfId="9708"/>
    <cellStyle name="Normale 5 8 3 3" xfId="17116"/>
    <cellStyle name="Normale 5 8 3 4" xfId="28184"/>
    <cellStyle name="Normale 5 8 4" xfId="3167"/>
    <cellStyle name="Normale 5 8 4 2" xfId="10630"/>
    <cellStyle name="Normale 5 8 4 3" xfId="18038"/>
    <cellStyle name="Normale 5 8 4 4" xfId="23015"/>
    <cellStyle name="Normale 5 8 5" xfId="4100"/>
    <cellStyle name="Normale 5 8 5 2" xfId="11563"/>
    <cellStyle name="Normale 5 8 5 3" xfId="18971"/>
    <cellStyle name="Normale 5 8 5 4" xfId="22426"/>
    <cellStyle name="Normale 5 8 6" xfId="5023"/>
    <cellStyle name="Normale 5 8 6 2" xfId="12486"/>
    <cellStyle name="Normale 5 8 6 3" xfId="19894"/>
    <cellStyle name="Normale 5 8 6 4" xfId="27683"/>
    <cellStyle name="Normale 5 8 7" xfId="5951"/>
    <cellStyle name="Normale 5 8 7 2" xfId="13414"/>
    <cellStyle name="Normale 5 8 7 3" xfId="20822"/>
    <cellStyle name="Normale 5 8 7 4" xfId="26062"/>
    <cellStyle name="Normale 5 8 8" xfId="6871"/>
    <cellStyle name="Normale 5 8 8 2" xfId="14334"/>
    <cellStyle name="Normale 5 8 8 3" xfId="21742"/>
    <cellStyle name="Normale 5 8 8 4" xfId="23038"/>
    <cellStyle name="Normale 5 8 9" xfId="7810"/>
    <cellStyle name="Normale 5 9" xfId="435"/>
    <cellStyle name="Normale 5 9 10" xfId="15308"/>
    <cellStyle name="Normale 5 9 11" xfId="27564"/>
    <cellStyle name="Normale 5 9 12" xfId="30120"/>
    <cellStyle name="Normale 5 9 13" xfId="31052"/>
    <cellStyle name="Normale 5 9 14" xfId="31973"/>
    <cellStyle name="Normale 5 9 15" xfId="32897"/>
    <cellStyle name="Normale 5 9 16" xfId="33835"/>
    <cellStyle name="Normale 5 9 17" xfId="34765"/>
    <cellStyle name="Normale 5 9 18" xfId="35691"/>
    <cellStyle name="Normale 5 9 19" xfId="36617"/>
    <cellStyle name="Normale 5 9 2" xfId="1402"/>
    <cellStyle name="Normale 5 9 2 2" xfId="8865"/>
    <cellStyle name="Normale 5 9 2 3" xfId="16273"/>
    <cellStyle name="Normale 5 9 2 4" xfId="24842"/>
    <cellStyle name="Normale 5 9 20" xfId="37536"/>
    <cellStyle name="Normale 5 9 3" xfId="2333"/>
    <cellStyle name="Normale 5 9 3 2" xfId="9796"/>
    <cellStyle name="Normale 5 9 3 3" xfId="17204"/>
    <cellStyle name="Normale 5 9 3 4" xfId="29322"/>
    <cellStyle name="Normale 5 9 4" xfId="3255"/>
    <cellStyle name="Normale 5 9 4 2" xfId="10718"/>
    <cellStyle name="Normale 5 9 4 3" xfId="18126"/>
    <cellStyle name="Normale 5 9 4 4" xfId="27693"/>
    <cellStyle name="Normale 5 9 5" xfId="4188"/>
    <cellStyle name="Normale 5 9 5 2" xfId="11651"/>
    <cellStyle name="Normale 5 9 5 3" xfId="19059"/>
    <cellStyle name="Normale 5 9 5 4" xfId="28855"/>
    <cellStyle name="Normale 5 9 6" xfId="5111"/>
    <cellStyle name="Normale 5 9 6 2" xfId="12574"/>
    <cellStyle name="Normale 5 9 6 3" xfId="19982"/>
    <cellStyle name="Normale 5 9 6 4" xfId="27187"/>
    <cellStyle name="Normale 5 9 7" xfId="6039"/>
    <cellStyle name="Normale 5 9 7 2" xfId="13502"/>
    <cellStyle name="Normale 5 9 7 3" xfId="20910"/>
    <cellStyle name="Normale 5 9 7 4" xfId="27529"/>
    <cellStyle name="Normale 5 9 8" xfId="6958"/>
    <cellStyle name="Normale 5 9 8 2" xfId="14421"/>
    <cellStyle name="Normale 5 9 8 3" xfId="21829"/>
    <cellStyle name="Normale 5 9 8 4" xfId="28647"/>
    <cellStyle name="Normale 5 9 9" xfId="7898"/>
    <cellStyle name="Normale 6" xfId="181"/>
    <cellStyle name="Normale 6 2" xfId="182"/>
    <cellStyle name="Normale 6 3" xfId="606"/>
    <cellStyle name="Normale 6 4" xfId="677"/>
    <cellStyle name="Normale 7" xfId="183"/>
    <cellStyle name="Normale 7 10" xfId="539"/>
    <cellStyle name="Normale 7 10 10" xfId="15412"/>
    <cellStyle name="Normale 7 10 11" xfId="27852"/>
    <cellStyle name="Normale 7 10 12" xfId="30223"/>
    <cellStyle name="Normale 7 10 13" xfId="31156"/>
    <cellStyle name="Normale 7 10 14" xfId="32076"/>
    <cellStyle name="Normale 7 10 15" xfId="32998"/>
    <cellStyle name="Normale 7 10 16" xfId="33939"/>
    <cellStyle name="Normale 7 10 17" xfId="34869"/>
    <cellStyle name="Normale 7 10 18" xfId="35795"/>
    <cellStyle name="Normale 7 10 19" xfId="36721"/>
    <cellStyle name="Normale 7 10 2" xfId="1506"/>
    <cellStyle name="Normale 7 10 2 2" xfId="8969"/>
    <cellStyle name="Normale 7 10 2 3" xfId="16377"/>
    <cellStyle name="Normale 7 10 2 4" xfId="22899"/>
    <cellStyle name="Normale 7 10 20" xfId="37637"/>
    <cellStyle name="Normale 7 10 3" xfId="2437"/>
    <cellStyle name="Normale 7 10 3 2" xfId="9900"/>
    <cellStyle name="Normale 7 10 3 3" xfId="17308"/>
    <cellStyle name="Normale 7 10 3 4" xfId="29586"/>
    <cellStyle name="Normale 7 10 4" xfId="3358"/>
    <cellStyle name="Normale 7 10 4 2" xfId="10821"/>
    <cellStyle name="Normale 7 10 4 3" xfId="18229"/>
    <cellStyle name="Normale 7 10 4 4" xfId="28782"/>
    <cellStyle name="Normale 7 10 5" xfId="4292"/>
    <cellStyle name="Normale 7 10 5 2" xfId="11755"/>
    <cellStyle name="Normale 7 10 5 3" xfId="19163"/>
    <cellStyle name="Normale 7 10 5 4" xfId="27484"/>
    <cellStyle name="Normale 7 10 6" xfId="5214"/>
    <cellStyle name="Normale 7 10 6 2" xfId="12677"/>
    <cellStyle name="Normale 7 10 6 3" xfId="20085"/>
    <cellStyle name="Normale 7 10 6 4" xfId="26572"/>
    <cellStyle name="Normale 7 10 7" xfId="6143"/>
    <cellStyle name="Normale 7 10 7 2" xfId="13606"/>
    <cellStyle name="Normale 7 10 7 3" xfId="21014"/>
    <cellStyle name="Normale 7 10 7 4" xfId="27802"/>
    <cellStyle name="Normale 7 10 8" xfId="7059"/>
    <cellStyle name="Normale 7 10 8 2" xfId="14522"/>
    <cellStyle name="Normale 7 10 8 3" xfId="21930"/>
    <cellStyle name="Normale 7 10 8 4" xfId="23792"/>
    <cellStyle name="Normale 7 10 9" xfId="8002"/>
    <cellStyle name="Normale 7 11" xfId="593"/>
    <cellStyle name="Normale 7 11 10" xfId="15466"/>
    <cellStyle name="Normale 7 11 11" xfId="26548"/>
    <cellStyle name="Normale 7 11 12" xfId="30276"/>
    <cellStyle name="Normale 7 11 13" xfId="31210"/>
    <cellStyle name="Normale 7 11 14" xfId="32129"/>
    <cellStyle name="Normale 7 11 15" xfId="33050"/>
    <cellStyle name="Normale 7 11 16" xfId="33993"/>
    <cellStyle name="Normale 7 11 17" xfId="34923"/>
    <cellStyle name="Normale 7 11 18" xfId="35849"/>
    <cellStyle name="Normale 7 11 19" xfId="36775"/>
    <cellStyle name="Normale 7 11 2" xfId="1560"/>
    <cellStyle name="Normale 7 11 2 2" xfId="9023"/>
    <cellStyle name="Normale 7 11 2 3" xfId="16431"/>
    <cellStyle name="Normale 7 11 2 4" xfId="23606"/>
    <cellStyle name="Normale 7 11 20" xfId="37689"/>
    <cellStyle name="Normale 7 11 3" xfId="2491"/>
    <cellStyle name="Normale 7 11 3 2" xfId="9954"/>
    <cellStyle name="Normale 7 11 3 3" xfId="17362"/>
    <cellStyle name="Normale 7 11 3 4" xfId="23722"/>
    <cellStyle name="Normale 7 11 4" xfId="3411"/>
    <cellStyle name="Normale 7 11 4 2" xfId="10874"/>
    <cellStyle name="Normale 7 11 4 3" xfId="18282"/>
    <cellStyle name="Normale 7 11 4 4" xfId="23558"/>
    <cellStyle name="Normale 7 11 5" xfId="4346"/>
    <cellStyle name="Normale 7 11 5 2" xfId="11809"/>
    <cellStyle name="Normale 7 11 5 3" xfId="19217"/>
    <cellStyle name="Normale 7 11 5 4" xfId="28848"/>
    <cellStyle name="Normale 7 11 6" xfId="5267"/>
    <cellStyle name="Normale 7 11 6 2" xfId="12730"/>
    <cellStyle name="Normale 7 11 6 3" xfId="20138"/>
    <cellStyle name="Normale 7 11 6 4" xfId="28825"/>
    <cellStyle name="Normale 7 11 7" xfId="6197"/>
    <cellStyle name="Normale 7 11 7 2" xfId="13660"/>
    <cellStyle name="Normale 7 11 7 3" xfId="21068"/>
    <cellStyle name="Normale 7 11 7 4" xfId="29204"/>
    <cellStyle name="Normale 7 11 8" xfId="7111"/>
    <cellStyle name="Normale 7 11 8 2" xfId="14574"/>
    <cellStyle name="Normale 7 11 8 3" xfId="21982"/>
    <cellStyle name="Normale 7 11 8 4" xfId="15712"/>
    <cellStyle name="Normale 7 11 9" xfId="8056"/>
    <cellStyle name="Normale 7 12" xfId="651"/>
    <cellStyle name="Normale 7 12 10" xfId="15523"/>
    <cellStyle name="Normale 7 12 11" xfId="24546"/>
    <cellStyle name="Normale 7 12 12" xfId="30330"/>
    <cellStyle name="Normale 7 12 13" xfId="31267"/>
    <cellStyle name="Normale 7 12 14" xfId="32184"/>
    <cellStyle name="Normale 7 12 15" xfId="33103"/>
    <cellStyle name="Normale 7 12 16" xfId="34050"/>
    <cellStyle name="Normale 7 12 17" xfId="34981"/>
    <cellStyle name="Normale 7 12 18" xfId="35907"/>
    <cellStyle name="Normale 7 12 19" xfId="36832"/>
    <cellStyle name="Normale 7 12 2" xfId="1617"/>
    <cellStyle name="Normale 7 12 2 2" xfId="9080"/>
    <cellStyle name="Normale 7 12 2 3" xfId="16488"/>
    <cellStyle name="Normale 7 12 2 4" xfId="24105"/>
    <cellStyle name="Normale 7 12 20" xfId="37742"/>
    <cellStyle name="Normale 7 12 3" xfId="2549"/>
    <cellStyle name="Normale 7 12 3 2" xfId="10012"/>
    <cellStyle name="Normale 7 12 3 3" xfId="17420"/>
    <cellStyle name="Normale 7 12 3 4" xfId="28175"/>
    <cellStyle name="Normale 7 12 4" xfId="3467"/>
    <cellStyle name="Normale 7 12 4 2" xfId="10930"/>
    <cellStyle name="Normale 7 12 4 3" xfId="18338"/>
    <cellStyle name="Normale 7 12 4 4" xfId="23716"/>
    <cellStyle name="Normale 7 12 5" xfId="4404"/>
    <cellStyle name="Normale 7 12 5 2" xfId="11867"/>
    <cellStyle name="Normale 7 12 5 3" xfId="19275"/>
    <cellStyle name="Normale 7 12 5 4" xfId="27687"/>
    <cellStyle name="Normale 7 12 6" xfId="5322"/>
    <cellStyle name="Normale 7 12 6 2" xfId="12785"/>
    <cellStyle name="Normale 7 12 6 3" xfId="20193"/>
    <cellStyle name="Normale 7 12 6 4" xfId="23071"/>
    <cellStyle name="Normale 7 12 7" xfId="6255"/>
    <cellStyle name="Normale 7 12 7 2" xfId="13718"/>
    <cellStyle name="Normale 7 12 7 3" xfId="21126"/>
    <cellStyle name="Normale 7 12 7 4" xfId="26053"/>
    <cellStyle name="Normale 7 12 8" xfId="7164"/>
    <cellStyle name="Normale 7 12 8 2" xfId="14627"/>
    <cellStyle name="Normale 7 12 8 3" xfId="22035"/>
    <cellStyle name="Normale 7 12 8 4" xfId="23464"/>
    <cellStyle name="Normale 7 12 9" xfId="8114"/>
    <cellStyle name="Normale 7 13" xfId="731"/>
    <cellStyle name="Normale 7 13 10" xfId="15602"/>
    <cellStyle name="Normale 7 13 11" xfId="27711"/>
    <cellStyle name="Normale 7 13 12" xfId="30405"/>
    <cellStyle name="Normale 7 13 13" xfId="31346"/>
    <cellStyle name="Normale 7 13 14" xfId="32259"/>
    <cellStyle name="Normale 7 13 15" xfId="33177"/>
    <cellStyle name="Normale 7 13 16" xfId="34129"/>
    <cellStyle name="Normale 7 13 17" xfId="35061"/>
    <cellStyle name="Normale 7 13 18" xfId="35987"/>
    <cellStyle name="Normale 7 13 19" xfId="36912"/>
    <cellStyle name="Normale 7 13 2" xfId="1696"/>
    <cellStyle name="Normale 7 13 2 2" xfId="9159"/>
    <cellStyle name="Normale 7 13 2 3" xfId="16567"/>
    <cellStyle name="Normale 7 13 2 4" xfId="23602"/>
    <cellStyle name="Normale 7 13 20" xfId="37816"/>
    <cellStyle name="Normale 7 13 3" xfId="2629"/>
    <cellStyle name="Normale 7 13 3 2" xfId="10092"/>
    <cellStyle name="Normale 7 13 3 3" xfId="17500"/>
    <cellStyle name="Normale 7 13 3 4" xfId="29685"/>
    <cellStyle name="Normale 7 13 4" xfId="3545"/>
    <cellStyle name="Normale 7 13 4 2" xfId="11008"/>
    <cellStyle name="Normale 7 13 4 3" xfId="18416"/>
    <cellStyle name="Normale 7 13 4 4" xfId="25997"/>
    <cellStyle name="Normale 7 13 5" xfId="4484"/>
    <cellStyle name="Normale 7 13 5 2" xfId="11947"/>
    <cellStyle name="Normale 7 13 5 3" xfId="19355"/>
    <cellStyle name="Normale 7 13 5 4" xfId="22573"/>
    <cellStyle name="Normale 7 13 6" xfId="5400"/>
    <cellStyle name="Normale 7 13 6 2" xfId="12863"/>
    <cellStyle name="Normale 7 13 6 3" xfId="20271"/>
    <cellStyle name="Normale 7 13 6 4" xfId="23508"/>
    <cellStyle name="Normale 7 13 7" xfId="6333"/>
    <cellStyle name="Normale 7 13 7 2" xfId="13796"/>
    <cellStyle name="Normale 7 13 7 3" xfId="21204"/>
    <cellStyle name="Normale 7 13 7 4" xfId="27140"/>
    <cellStyle name="Normale 7 13 8" xfId="7238"/>
    <cellStyle name="Normale 7 13 8 2" xfId="14701"/>
    <cellStyle name="Normale 7 13 8 3" xfId="22109"/>
    <cellStyle name="Normale 7 13 8 4" xfId="24764"/>
    <cellStyle name="Normale 7 13 9" xfId="8194"/>
    <cellStyle name="Normale 7 14" xfId="803"/>
    <cellStyle name="Normale 7 14 10" xfId="15674"/>
    <cellStyle name="Normale 7 14 11" xfId="25971"/>
    <cellStyle name="Normale 7 14 12" xfId="30475"/>
    <cellStyle name="Normale 7 14 13" xfId="31418"/>
    <cellStyle name="Normale 7 14 14" xfId="32330"/>
    <cellStyle name="Normale 7 14 15" xfId="33246"/>
    <cellStyle name="Normale 7 14 16" xfId="34201"/>
    <cellStyle name="Normale 7 14 17" xfId="35133"/>
    <cellStyle name="Normale 7 14 18" xfId="36059"/>
    <cellStyle name="Normale 7 14 19" xfId="36984"/>
    <cellStyle name="Normale 7 14 2" xfId="1768"/>
    <cellStyle name="Normale 7 14 2 2" xfId="9231"/>
    <cellStyle name="Normale 7 14 2 3" xfId="16639"/>
    <cellStyle name="Normale 7 14 2 4" xfId="24885"/>
    <cellStyle name="Normale 7 14 20" xfId="37885"/>
    <cellStyle name="Normale 7 14 3" xfId="2701"/>
    <cellStyle name="Normale 7 14 3 2" xfId="10164"/>
    <cellStyle name="Normale 7 14 3 3" xfId="17572"/>
    <cellStyle name="Normale 7 14 3 4" xfId="27727"/>
    <cellStyle name="Normale 7 14 4" xfId="3616"/>
    <cellStyle name="Normale 7 14 4 2" xfId="11079"/>
    <cellStyle name="Normale 7 14 4 3" xfId="18487"/>
    <cellStyle name="Normale 7 14 4 4" xfId="26313"/>
    <cellStyle name="Normale 7 14 5" xfId="4556"/>
    <cellStyle name="Normale 7 14 5 2" xfId="12019"/>
    <cellStyle name="Normale 7 14 5 3" xfId="19427"/>
    <cellStyle name="Normale 7 14 5 4" xfId="23177"/>
    <cellStyle name="Normale 7 14 6" xfId="5471"/>
    <cellStyle name="Normale 7 14 6 2" xfId="12934"/>
    <cellStyle name="Normale 7 14 6 3" xfId="20342"/>
    <cellStyle name="Normale 7 14 6 4" xfId="25774"/>
    <cellStyle name="Normale 7 14 7" xfId="6405"/>
    <cellStyle name="Normale 7 14 7 2" xfId="13868"/>
    <cellStyle name="Normale 7 14 7 3" xfId="21276"/>
    <cellStyle name="Normale 7 14 7 4" xfId="27797"/>
    <cellStyle name="Normale 7 14 8" xfId="7307"/>
    <cellStyle name="Normale 7 14 8 2" xfId="14770"/>
    <cellStyle name="Normale 7 14 8 3" xfId="22178"/>
    <cellStyle name="Normale 7 14 8 4" xfId="28432"/>
    <cellStyle name="Normale 7 14 9" xfId="8266"/>
    <cellStyle name="Normale 7 15" xfId="874"/>
    <cellStyle name="Normale 7 15 10" xfId="15745"/>
    <cellStyle name="Normale 7 15 11" xfId="24904"/>
    <cellStyle name="Normale 7 15 12" xfId="30543"/>
    <cellStyle name="Normale 7 15 13" xfId="31489"/>
    <cellStyle name="Normale 7 15 14" xfId="32400"/>
    <cellStyle name="Normale 7 15 15" xfId="33313"/>
    <cellStyle name="Normale 7 15 16" xfId="34272"/>
    <cellStyle name="Normale 7 15 17" xfId="35204"/>
    <cellStyle name="Normale 7 15 18" xfId="36130"/>
    <cellStyle name="Normale 7 15 19" xfId="37055"/>
    <cellStyle name="Normale 7 15 2" xfId="1839"/>
    <cellStyle name="Normale 7 15 2 2" xfId="9302"/>
    <cellStyle name="Normale 7 15 2 3" xfId="16710"/>
    <cellStyle name="Normale 7 15 2 4" xfId="22481"/>
    <cellStyle name="Normale 7 15 20" xfId="37952"/>
    <cellStyle name="Normale 7 15 3" xfId="2772"/>
    <cellStyle name="Normale 7 15 3 2" xfId="10235"/>
    <cellStyle name="Normale 7 15 3 3" xfId="17643"/>
    <cellStyle name="Normale 7 15 3 4" xfId="28419"/>
    <cellStyle name="Normale 7 15 4" xfId="3686"/>
    <cellStyle name="Normale 7 15 4 2" xfId="11149"/>
    <cellStyle name="Normale 7 15 4 3" xfId="18557"/>
    <cellStyle name="Normale 7 15 4 4" xfId="28690"/>
    <cellStyle name="Normale 7 15 5" xfId="4627"/>
    <cellStyle name="Normale 7 15 5 2" xfId="12090"/>
    <cellStyle name="Normale 7 15 5 3" xfId="19498"/>
    <cellStyle name="Normale 7 15 5 4" xfId="23336"/>
    <cellStyle name="Normale 7 15 6" xfId="5541"/>
    <cellStyle name="Normale 7 15 6 2" xfId="13004"/>
    <cellStyle name="Normale 7 15 6 3" xfId="20412"/>
    <cellStyle name="Normale 7 15 6 4" xfId="23504"/>
    <cellStyle name="Normale 7 15 7" xfId="6476"/>
    <cellStyle name="Normale 7 15 7 2" xfId="13939"/>
    <cellStyle name="Normale 7 15 7 3" xfId="21347"/>
    <cellStyle name="Normale 7 15 7 4" xfId="28454"/>
    <cellStyle name="Normale 7 15 8" xfId="7374"/>
    <cellStyle name="Normale 7 15 8 2" xfId="14837"/>
    <cellStyle name="Normale 7 15 8 3" xfId="22245"/>
    <cellStyle name="Normale 7 15 8 4" xfId="24349"/>
    <cellStyle name="Normale 7 15 9" xfId="8337"/>
    <cellStyle name="Normale 7 16" xfId="944"/>
    <cellStyle name="Normale 7 16 10" xfId="15815"/>
    <cellStyle name="Normale 7 16 11" xfId="26546"/>
    <cellStyle name="Normale 7 16 12" xfId="30610"/>
    <cellStyle name="Normale 7 16 13" xfId="31558"/>
    <cellStyle name="Normale 7 16 14" xfId="32469"/>
    <cellStyle name="Normale 7 16 15" xfId="33379"/>
    <cellStyle name="Normale 7 16 16" xfId="34342"/>
    <cellStyle name="Normale 7 16 17" xfId="35274"/>
    <cellStyle name="Normale 7 16 18" xfId="36199"/>
    <cellStyle name="Normale 7 16 19" xfId="37125"/>
    <cellStyle name="Normale 7 16 2" xfId="1909"/>
    <cellStyle name="Normale 7 16 2 2" xfId="9372"/>
    <cellStyle name="Normale 7 16 2 3" xfId="16780"/>
    <cellStyle name="Normale 7 16 2 4" xfId="24884"/>
    <cellStyle name="Normale 7 16 20" xfId="38018"/>
    <cellStyle name="Normale 7 16 3" xfId="2841"/>
    <cellStyle name="Normale 7 16 3 2" xfId="10304"/>
    <cellStyle name="Normale 7 16 3 3" xfId="17712"/>
    <cellStyle name="Normale 7 16 3 4" xfId="23572"/>
    <cellStyle name="Normale 7 16 4" xfId="3756"/>
    <cellStyle name="Normale 7 16 4 2" xfId="11219"/>
    <cellStyle name="Normale 7 16 4 3" xfId="18627"/>
    <cellStyle name="Normale 7 16 4 4" xfId="28866"/>
    <cellStyle name="Normale 7 16 5" xfId="4697"/>
    <cellStyle name="Normale 7 16 5 2" xfId="12160"/>
    <cellStyle name="Normale 7 16 5 3" xfId="19568"/>
    <cellStyle name="Normale 7 16 5 4" xfId="25168"/>
    <cellStyle name="Normale 7 16 6" xfId="5611"/>
    <cellStyle name="Normale 7 16 6 2" xfId="13074"/>
    <cellStyle name="Normale 7 16 6 3" xfId="20482"/>
    <cellStyle name="Normale 7 16 6 4" xfId="26705"/>
    <cellStyle name="Normale 7 16 7" xfId="6546"/>
    <cellStyle name="Normale 7 16 7 2" xfId="14009"/>
    <cellStyle name="Normale 7 16 7 3" xfId="21417"/>
    <cellStyle name="Normale 7 16 7 4" xfId="22552"/>
    <cellStyle name="Normale 7 16 8" xfId="7440"/>
    <cellStyle name="Normale 7 16 8 2" xfId="14903"/>
    <cellStyle name="Normale 7 16 8 3" xfId="22311"/>
    <cellStyle name="Normale 7 16 8 4" xfId="23921"/>
    <cellStyle name="Normale 7 16 9" xfId="8407"/>
    <cellStyle name="Normale 7 17" xfId="1154"/>
    <cellStyle name="Normale 7 17 2" xfId="8617"/>
    <cellStyle name="Normale 7 17 3" xfId="16025"/>
    <cellStyle name="Normale 7 17 4" xfId="23616"/>
    <cellStyle name="Normale 7 18" xfId="2083"/>
    <cellStyle name="Normale 7 18 2" xfId="9546"/>
    <cellStyle name="Normale 7 18 3" xfId="16954"/>
    <cellStyle name="Normale 7 18 4" xfId="25829"/>
    <cellStyle name="Normale 7 19" xfId="3007"/>
    <cellStyle name="Normale 7 19 2" xfId="10470"/>
    <cellStyle name="Normale 7 19 3" xfId="17878"/>
    <cellStyle name="Normale 7 19 4" xfId="26001"/>
    <cellStyle name="Normale 7 2" xfId="184"/>
    <cellStyle name="Normale 7 2 10" xfId="732"/>
    <cellStyle name="Normale 7 2 10 10" xfId="15603"/>
    <cellStyle name="Normale 7 2 10 11" xfId="26808"/>
    <cellStyle name="Normale 7 2 10 12" xfId="30406"/>
    <cellStyle name="Normale 7 2 10 13" xfId="31347"/>
    <cellStyle name="Normale 7 2 10 14" xfId="32260"/>
    <cellStyle name="Normale 7 2 10 15" xfId="33178"/>
    <cellStyle name="Normale 7 2 10 16" xfId="34130"/>
    <cellStyle name="Normale 7 2 10 17" xfId="35062"/>
    <cellStyle name="Normale 7 2 10 18" xfId="35988"/>
    <cellStyle name="Normale 7 2 10 19" xfId="36913"/>
    <cellStyle name="Normale 7 2 10 2" xfId="1697"/>
    <cellStyle name="Normale 7 2 10 2 2" xfId="9160"/>
    <cellStyle name="Normale 7 2 10 2 3" xfId="16568"/>
    <cellStyle name="Normale 7 2 10 2 4" xfId="22488"/>
    <cellStyle name="Normale 7 2 10 20" xfId="37817"/>
    <cellStyle name="Normale 7 2 10 3" xfId="2630"/>
    <cellStyle name="Normale 7 2 10 3 2" xfId="10093"/>
    <cellStyle name="Normale 7 2 10 3 3" xfId="17501"/>
    <cellStyle name="Normale 7 2 10 3 4" xfId="28800"/>
    <cellStyle name="Normale 7 2 10 4" xfId="3546"/>
    <cellStyle name="Normale 7 2 10 4 2" xfId="11009"/>
    <cellStyle name="Normale 7 2 10 4 3" xfId="18417"/>
    <cellStyle name="Normale 7 2 10 4 4" xfId="25087"/>
    <cellStyle name="Normale 7 2 10 5" xfId="4485"/>
    <cellStyle name="Normale 7 2 10 5 2" xfId="11948"/>
    <cellStyle name="Normale 7 2 10 5 3" xfId="19356"/>
    <cellStyle name="Normale 7 2 10 5 4" xfId="29003"/>
    <cellStyle name="Normale 7 2 10 6" xfId="5401"/>
    <cellStyle name="Normale 7 2 10 6 2" xfId="12864"/>
    <cellStyle name="Normale 7 2 10 6 3" xfId="20272"/>
    <cellStyle name="Normale 7 2 10 6 4" xfId="22393"/>
    <cellStyle name="Normale 7 2 10 7" xfId="6334"/>
    <cellStyle name="Normale 7 2 10 7 2" xfId="13797"/>
    <cellStyle name="Normale 7 2 10 7 3" xfId="21205"/>
    <cellStyle name="Normale 7 2 10 7 4" xfId="26230"/>
    <cellStyle name="Normale 7 2 10 8" xfId="7239"/>
    <cellStyle name="Normale 7 2 10 8 2" xfId="14702"/>
    <cellStyle name="Normale 7 2 10 8 3" xfId="22110"/>
    <cellStyle name="Normale 7 2 10 8 4" xfId="23273"/>
    <cellStyle name="Normale 7 2 10 9" xfId="8195"/>
    <cellStyle name="Normale 7 2 11" xfId="804"/>
    <cellStyle name="Normale 7 2 11 10" xfId="15675"/>
    <cellStyle name="Normale 7 2 11 11" xfId="25062"/>
    <cellStyle name="Normale 7 2 11 12" xfId="30476"/>
    <cellStyle name="Normale 7 2 11 13" xfId="31419"/>
    <cellStyle name="Normale 7 2 11 14" xfId="32331"/>
    <cellStyle name="Normale 7 2 11 15" xfId="33247"/>
    <cellStyle name="Normale 7 2 11 16" xfId="34202"/>
    <cellStyle name="Normale 7 2 11 17" xfId="35134"/>
    <cellStyle name="Normale 7 2 11 18" xfId="36060"/>
    <cellStyle name="Normale 7 2 11 19" xfId="36985"/>
    <cellStyle name="Normale 7 2 11 2" xfId="1769"/>
    <cellStyle name="Normale 7 2 11 2 2" xfId="9232"/>
    <cellStyle name="Normale 7 2 11 2 3" xfId="16640"/>
    <cellStyle name="Normale 7 2 11 2 4" xfId="23960"/>
    <cellStyle name="Normale 7 2 11 20" xfId="37886"/>
    <cellStyle name="Normale 7 2 11 3" xfId="2702"/>
    <cellStyle name="Normale 7 2 11 3 2" xfId="10165"/>
    <cellStyle name="Normale 7 2 11 3 3" xfId="17573"/>
    <cellStyle name="Normale 7 2 11 3 4" xfId="26824"/>
    <cellStyle name="Normale 7 2 11 4" xfId="3617"/>
    <cellStyle name="Normale 7 2 11 4 2" xfId="11080"/>
    <cellStyle name="Normale 7 2 11 4 3" xfId="18488"/>
    <cellStyle name="Normale 7 2 11 4 4" xfId="25386"/>
    <cellStyle name="Normale 7 2 11 5" xfId="4557"/>
    <cellStyle name="Normale 7 2 11 5 2" xfId="12020"/>
    <cellStyle name="Normale 7 2 11 5 3" xfId="19428"/>
    <cellStyle name="Normale 7 2 11 5 4" xfId="29607"/>
    <cellStyle name="Normale 7 2 11 6" xfId="5472"/>
    <cellStyle name="Normale 7 2 11 6 2" xfId="12935"/>
    <cellStyle name="Normale 7 2 11 6 3" xfId="20343"/>
    <cellStyle name="Normale 7 2 11 6 4" xfId="24862"/>
    <cellStyle name="Normale 7 2 11 7" xfId="6406"/>
    <cellStyle name="Normale 7 2 11 7 2" xfId="13869"/>
    <cellStyle name="Normale 7 2 11 7 3" xfId="21277"/>
    <cellStyle name="Normale 7 2 11 7 4" xfId="26895"/>
    <cellStyle name="Normale 7 2 11 8" xfId="7308"/>
    <cellStyle name="Normale 7 2 11 8 2" xfId="14771"/>
    <cellStyle name="Normale 7 2 11 8 3" xfId="22179"/>
    <cellStyle name="Normale 7 2 11 8 4" xfId="27507"/>
    <cellStyle name="Normale 7 2 11 9" xfId="8267"/>
    <cellStyle name="Normale 7 2 12" xfId="875"/>
    <cellStyle name="Normale 7 2 12 10" xfId="15746"/>
    <cellStyle name="Normale 7 2 12 11" xfId="23979"/>
    <cellStyle name="Normale 7 2 12 12" xfId="30544"/>
    <cellStyle name="Normale 7 2 12 13" xfId="31490"/>
    <cellStyle name="Normale 7 2 12 14" xfId="32401"/>
    <cellStyle name="Normale 7 2 12 15" xfId="33314"/>
    <cellStyle name="Normale 7 2 12 16" xfId="34273"/>
    <cellStyle name="Normale 7 2 12 17" xfId="35205"/>
    <cellStyle name="Normale 7 2 12 18" xfId="36131"/>
    <cellStyle name="Normale 7 2 12 19" xfId="37056"/>
    <cellStyle name="Normale 7 2 12 2" xfId="1840"/>
    <cellStyle name="Normale 7 2 12 2 2" xfId="9303"/>
    <cellStyle name="Normale 7 2 12 2 3" xfId="16711"/>
    <cellStyle name="Normale 7 2 12 2 4" xfId="28912"/>
    <cellStyle name="Normale 7 2 12 20" xfId="37953"/>
    <cellStyle name="Normale 7 2 12 3" xfId="2773"/>
    <cellStyle name="Normale 7 2 12 3 2" xfId="10236"/>
    <cellStyle name="Normale 7 2 12 3 3" xfId="17644"/>
    <cellStyle name="Normale 7 2 12 3 4" xfId="27494"/>
    <cellStyle name="Normale 7 2 12 4" xfId="3687"/>
    <cellStyle name="Normale 7 2 12 4 2" xfId="11150"/>
    <cellStyle name="Normale 7 2 12 4 3" xfId="18558"/>
    <cellStyle name="Normale 7 2 12 4 4" xfId="27763"/>
    <cellStyle name="Normale 7 2 12 5" xfId="4628"/>
    <cellStyle name="Normale 7 2 12 5 2" xfId="12091"/>
    <cellStyle name="Normale 7 2 12 5 3" xfId="19499"/>
    <cellStyle name="Normale 7 2 12 5 4" xfId="22933"/>
    <cellStyle name="Normale 7 2 12 6" xfId="5542"/>
    <cellStyle name="Normale 7 2 12 6 2" xfId="13005"/>
    <cellStyle name="Normale 7 2 12 6 3" xfId="20413"/>
    <cellStyle name="Normale 7 2 12 6 4" xfId="22389"/>
    <cellStyle name="Normale 7 2 12 7" xfId="6477"/>
    <cellStyle name="Normale 7 2 12 7 2" xfId="13940"/>
    <cellStyle name="Normale 7 2 12 7 3" xfId="21348"/>
    <cellStyle name="Normale 7 2 12 7 4" xfId="27527"/>
    <cellStyle name="Normale 7 2 12 8" xfId="7375"/>
    <cellStyle name="Normale 7 2 12 8 2" xfId="14838"/>
    <cellStyle name="Normale 7 2 12 8 3" xfId="22246"/>
    <cellStyle name="Normale 7 2 12 8 4" xfId="23740"/>
    <cellStyle name="Normale 7 2 12 9" xfId="8338"/>
    <cellStyle name="Normale 7 2 13" xfId="945"/>
    <cellStyle name="Normale 7 2 13 10" xfId="15816"/>
    <cellStyle name="Normale 7 2 13 11" xfId="25617"/>
    <cellStyle name="Normale 7 2 13 12" xfId="30611"/>
    <cellStyle name="Normale 7 2 13 13" xfId="31559"/>
    <cellStyle name="Normale 7 2 13 14" xfId="32470"/>
    <cellStyle name="Normale 7 2 13 15" xfId="33380"/>
    <cellStyle name="Normale 7 2 13 16" xfId="34343"/>
    <cellStyle name="Normale 7 2 13 17" xfId="35275"/>
    <cellStyle name="Normale 7 2 13 18" xfId="36200"/>
    <cellStyle name="Normale 7 2 13 19" xfId="37126"/>
    <cellStyle name="Normale 7 2 13 2" xfId="1910"/>
    <cellStyle name="Normale 7 2 13 2 2" xfId="9373"/>
    <cellStyle name="Normale 7 2 13 2 3" xfId="16781"/>
    <cellStyle name="Normale 7 2 13 2 4" xfId="23959"/>
    <cellStyle name="Normale 7 2 13 20" xfId="38019"/>
    <cellStyle name="Normale 7 2 13 3" xfId="2842"/>
    <cellStyle name="Normale 7 2 13 3 2" xfId="10305"/>
    <cellStyle name="Normale 7 2 13 3 3" xfId="17713"/>
    <cellStyle name="Normale 7 2 13 3 4" xfId="28890"/>
    <cellStyle name="Normale 7 2 13 4" xfId="3757"/>
    <cellStyle name="Normale 7 2 13 4 2" xfId="11220"/>
    <cellStyle name="Normale 7 2 13 4 3" xfId="18628"/>
    <cellStyle name="Normale 7 2 13 4 4" xfId="27953"/>
    <cellStyle name="Normale 7 2 13 5" xfId="4698"/>
    <cellStyle name="Normale 7 2 13 5 2" xfId="12161"/>
    <cellStyle name="Normale 7 2 13 5 3" xfId="19569"/>
    <cellStyle name="Normale 7 2 13 5 4" xfId="24249"/>
    <cellStyle name="Normale 7 2 13 6" xfId="5612"/>
    <cellStyle name="Normale 7 2 13 6 2" xfId="13075"/>
    <cellStyle name="Normale 7 2 13 6 3" xfId="20483"/>
    <cellStyle name="Normale 7 2 13 6 4" xfId="25773"/>
    <cellStyle name="Normale 7 2 13 7" xfId="6547"/>
    <cellStyle name="Normale 7 2 13 7 2" xfId="14010"/>
    <cellStyle name="Normale 7 2 13 7 3" xfId="21418"/>
    <cellStyle name="Normale 7 2 13 7 4" xfId="28982"/>
    <cellStyle name="Normale 7 2 13 8" xfId="7441"/>
    <cellStyle name="Normale 7 2 13 8 2" xfId="14904"/>
    <cellStyle name="Normale 7 2 13 8 3" xfId="22312"/>
    <cellStyle name="Normale 7 2 13 8 4" xfId="7665"/>
    <cellStyle name="Normale 7 2 13 9" xfId="8408"/>
    <cellStyle name="Normale 7 2 14" xfId="1155"/>
    <cellStyle name="Normale 7 2 14 2" xfId="8618"/>
    <cellStyle name="Normale 7 2 14 3" xfId="16026"/>
    <cellStyle name="Normale 7 2 14 4" xfId="22502"/>
    <cellStyle name="Normale 7 2 15" xfId="2084"/>
    <cellStyle name="Normale 7 2 15 2" xfId="9547"/>
    <cellStyle name="Normale 7 2 15 3" xfId="16955"/>
    <cellStyle name="Normale 7 2 15 4" xfId="24917"/>
    <cellStyle name="Normale 7 2 16" xfId="3008"/>
    <cellStyle name="Normale 7 2 16 2" xfId="10471"/>
    <cellStyle name="Normale 7 2 16 3" xfId="17879"/>
    <cellStyle name="Normale 7 2 16 4" xfId="25091"/>
    <cellStyle name="Normale 7 2 17" xfId="3939"/>
    <cellStyle name="Normale 7 2 17 2" xfId="11402"/>
    <cellStyle name="Normale 7 2 17 3" xfId="18810"/>
    <cellStyle name="Normale 7 2 17 4" xfId="24124"/>
    <cellStyle name="Normale 7 2 18" xfId="4864"/>
    <cellStyle name="Normale 7 2 18 2" xfId="12327"/>
    <cellStyle name="Normale 7 2 18 3" xfId="19735"/>
    <cellStyle name="Normale 7 2 18 4" xfId="26087"/>
    <cellStyle name="Normale 7 2 19" xfId="5792"/>
    <cellStyle name="Normale 7 2 19 2" xfId="13255"/>
    <cellStyle name="Normale 7 2 19 3" xfId="20663"/>
    <cellStyle name="Normale 7 2 19 4" xfId="28593"/>
    <cellStyle name="Normale 7 2 2" xfId="185"/>
    <cellStyle name="Normale 7 2 2 10" xfId="6714"/>
    <cellStyle name="Normale 7 2 2 10 2" xfId="14177"/>
    <cellStyle name="Normale 7 2 2 10 3" xfId="21585"/>
    <cellStyle name="Normale 7 2 2 10 4" xfId="23185"/>
    <cellStyle name="Normale 7 2 2 11" xfId="7650"/>
    <cellStyle name="Normale 7 2 2 12" xfId="15059"/>
    <cellStyle name="Normale 7 2 2 13" xfId="23060"/>
    <cellStyle name="Normale 7 2 2 14" xfId="29874"/>
    <cellStyle name="Normale 7 2 2 15" xfId="30806"/>
    <cellStyle name="Normale 7 2 2 16" xfId="31727"/>
    <cellStyle name="Normale 7 2 2 17" xfId="32653"/>
    <cellStyle name="Normale 7 2 2 18" xfId="33589"/>
    <cellStyle name="Normale 7 2 2 19" xfId="34517"/>
    <cellStyle name="Normale 7 2 2 2" xfId="186"/>
    <cellStyle name="Normale 7 2 2 2 10" xfId="7651"/>
    <cellStyle name="Normale 7 2 2 2 11" xfId="15060"/>
    <cellStyle name="Normale 7 2 2 2 12" xfId="29489"/>
    <cellStyle name="Normale 7 2 2 2 13" xfId="29875"/>
    <cellStyle name="Normale 7 2 2 2 14" xfId="30807"/>
    <cellStyle name="Normale 7 2 2 2 15" xfId="31728"/>
    <cellStyle name="Normale 7 2 2 2 16" xfId="32654"/>
    <cellStyle name="Normale 7 2 2 2 17" xfId="33590"/>
    <cellStyle name="Normale 7 2 2 2 18" xfId="34518"/>
    <cellStyle name="Normale 7 2 2 2 19" xfId="35446"/>
    <cellStyle name="Normale 7 2 2 2 2" xfId="382"/>
    <cellStyle name="Normale 7 2 2 2 2 10" xfId="15255"/>
    <cellStyle name="Normale 7 2 2 2 2 11" xfId="23445"/>
    <cellStyle name="Normale 7 2 2 2 2 12" xfId="30067"/>
    <cellStyle name="Normale 7 2 2 2 2 13" xfId="30999"/>
    <cellStyle name="Normale 7 2 2 2 2 14" xfId="31920"/>
    <cellStyle name="Normale 7 2 2 2 2 15" xfId="32845"/>
    <cellStyle name="Normale 7 2 2 2 2 16" xfId="33782"/>
    <cellStyle name="Normale 7 2 2 2 2 17" xfId="34712"/>
    <cellStyle name="Normale 7 2 2 2 2 18" xfId="35638"/>
    <cellStyle name="Normale 7 2 2 2 2 19" xfId="36564"/>
    <cellStyle name="Normale 7 2 2 2 2 2" xfId="1349"/>
    <cellStyle name="Normale 7 2 2 2 2 2 2" xfId="8812"/>
    <cellStyle name="Normale 7 2 2 2 2 2 3" xfId="16220"/>
    <cellStyle name="Normale 7 2 2 2 2 2 4" xfId="27353"/>
    <cellStyle name="Normale 7 2 2 2 2 20" xfId="37484"/>
    <cellStyle name="Normale 7 2 2 2 2 3" xfId="2280"/>
    <cellStyle name="Normale 7 2 2 2 2 3 2" xfId="9743"/>
    <cellStyle name="Normale 7 2 2 2 2 3 3" xfId="17151"/>
    <cellStyle name="Normale 7 2 2 2 2 3 4" xfId="25424"/>
    <cellStyle name="Normale 7 2 2 2 2 4" xfId="3202"/>
    <cellStyle name="Normale 7 2 2 2 2 4 2" xfId="10665"/>
    <cellStyle name="Normale 7 2 2 2 2 4 3" xfId="18073"/>
    <cellStyle name="Normale 7 2 2 2 2 4 4" xfId="23014"/>
    <cellStyle name="Normale 7 2 2 2 2 5" xfId="4135"/>
    <cellStyle name="Normale 7 2 2 2 2 5 2" xfId="11598"/>
    <cellStyle name="Normale 7 2 2 2 2 5 3" xfId="19006"/>
    <cellStyle name="Normale 7 2 2 2 2 5 4" xfId="27618"/>
    <cellStyle name="Normale 7 2 2 2 2 6" xfId="5058"/>
    <cellStyle name="Normale 7 2 2 2 2 6 2" xfId="12521"/>
    <cellStyle name="Normale 7 2 2 2 2 6 3" xfId="19929"/>
    <cellStyle name="Normale 7 2 2 2 2 6 4" xfId="22574"/>
    <cellStyle name="Normale 7 2 2 2 2 7" xfId="5986"/>
    <cellStyle name="Normale 7 2 2 2 2 7 2" xfId="13449"/>
    <cellStyle name="Normale 7 2 2 2 2 7 3" xfId="20857"/>
    <cellStyle name="Normale 7 2 2 2 2 7 4" xfId="23302"/>
    <cellStyle name="Normale 7 2 2 2 2 8" xfId="6906"/>
    <cellStyle name="Normale 7 2 2 2 2 8 2" xfId="14369"/>
    <cellStyle name="Normale 7 2 2 2 2 8 3" xfId="21777"/>
    <cellStyle name="Normale 7 2 2 2 2 8 4" xfId="23051"/>
    <cellStyle name="Normale 7 2 2 2 2 9" xfId="7845"/>
    <cellStyle name="Normale 7 2 2 2 20" xfId="36372"/>
    <cellStyle name="Normale 7 2 2 2 21" xfId="37293"/>
    <cellStyle name="Normale 7 2 2 2 3" xfId="1157"/>
    <cellStyle name="Normale 7 2 2 2 3 2" xfId="8620"/>
    <cellStyle name="Normale 7 2 2 2 3 3" xfId="16028"/>
    <cellStyle name="Normale 7 2 2 2 3 4" xfId="28932"/>
    <cellStyle name="Normale 7 2 2 2 4" xfId="2086"/>
    <cellStyle name="Normale 7 2 2 2 4 2" xfId="9549"/>
    <cellStyle name="Normale 7 2 2 2 4 3" xfId="16957"/>
    <cellStyle name="Normale 7 2 2 2 4 4" xfId="22974"/>
    <cellStyle name="Normale 7 2 2 2 5" xfId="3010"/>
    <cellStyle name="Normale 7 2 2 2 5 2" xfId="10473"/>
    <cellStyle name="Normale 7 2 2 2 5 3" xfId="17881"/>
    <cellStyle name="Normale 7 2 2 2 5 4" xfId="23154"/>
    <cellStyle name="Normale 7 2 2 2 6" xfId="3941"/>
    <cellStyle name="Normale 7 2 2 2 6 2" xfId="11404"/>
    <cellStyle name="Normale 7 2 2 2 6 3" xfId="18812"/>
    <cellStyle name="Normale 7 2 2 2 6 4" xfId="29544"/>
    <cellStyle name="Normale 7 2 2 2 7" xfId="4866"/>
    <cellStyle name="Normale 7 2 2 2 7 2" xfId="12329"/>
    <cellStyle name="Normale 7 2 2 2 7 3" xfId="19737"/>
    <cellStyle name="Normale 7 2 2 2 7 4" xfId="24244"/>
    <cellStyle name="Normale 7 2 2 2 8" xfId="5794"/>
    <cellStyle name="Normale 7 2 2 2 8 2" xfId="13257"/>
    <cellStyle name="Normale 7 2 2 2 8 3" xfId="20665"/>
    <cellStyle name="Normale 7 2 2 2 8 4" xfId="26763"/>
    <cellStyle name="Normale 7 2 2 2 9" xfId="6715"/>
    <cellStyle name="Normale 7 2 2 2 9 2" xfId="14178"/>
    <cellStyle name="Normale 7 2 2 2 9 3" xfId="21586"/>
    <cellStyle name="Normale 7 2 2 2 9 4" xfId="29615"/>
    <cellStyle name="Normale 7 2 2 20" xfId="35445"/>
    <cellStyle name="Normale 7 2 2 21" xfId="36371"/>
    <cellStyle name="Normale 7 2 2 22" xfId="37292"/>
    <cellStyle name="Normale 7 2 2 3" xfId="381"/>
    <cellStyle name="Normale 7 2 2 3 10" xfId="15254"/>
    <cellStyle name="Normale 7 2 2 3 11" xfId="24362"/>
    <cellStyle name="Normale 7 2 2 3 12" xfId="30066"/>
    <cellStyle name="Normale 7 2 2 3 13" xfId="30998"/>
    <cellStyle name="Normale 7 2 2 3 14" xfId="31919"/>
    <cellStyle name="Normale 7 2 2 3 15" xfId="32844"/>
    <cellStyle name="Normale 7 2 2 3 16" xfId="33781"/>
    <cellStyle name="Normale 7 2 2 3 17" xfId="34711"/>
    <cellStyle name="Normale 7 2 2 3 18" xfId="35637"/>
    <cellStyle name="Normale 7 2 2 3 19" xfId="36563"/>
    <cellStyle name="Normale 7 2 2 3 2" xfId="1348"/>
    <cellStyle name="Normale 7 2 2 3 2 2" xfId="8811"/>
    <cellStyle name="Normale 7 2 2 3 2 3" xfId="16219"/>
    <cellStyle name="Normale 7 2 2 3 2 4" xfId="28277"/>
    <cellStyle name="Normale 7 2 2 3 20" xfId="37483"/>
    <cellStyle name="Normale 7 2 2 3 3" xfId="2279"/>
    <cellStyle name="Normale 7 2 2 3 3 2" xfId="9742"/>
    <cellStyle name="Normale 7 2 2 3 3 3" xfId="17150"/>
    <cellStyle name="Normale 7 2 2 3 3 4" xfId="26351"/>
    <cellStyle name="Normale 7 2 2 3 4" xfId="3201"/>
    <cellStyle name="Normale 7 2 2 3 4 2" xfId="10664"/>
    <cellStyle name="Normale 7 2 2 3 4 3" xfId="18072"/>
    <cellStyle name="Normale 7 2 2 3 4 4" xfId="24022"/>
    <cellStyle name="Normale 7 2 2 3 5" xfId="4134"/>
    <cellStyle name="Normale 7 2 2 3 5 2" xfId="11597"/>
    <cellStyle name="Normale 7 2 2 3 5 3" xfId="19005"/>
    <cellStyle name="Normale 7 2 2 3 5 4" xfId="28544"/>
    <cellStyle name="Normale 7 2 2 3 6" xfId="5057"/>
    <cellStyle name="Normale 7 2 2 3 6 2" xfId="12520"/>
    <cellStyle name="Normale 7 2 2 3 6 3" xfId="19928"/>
    <cellStyle name="Normale 7 2 2 3 6 4" xfId="23656"/>
    <cellStyle name="Normale 7 2 2 3 7" xfId="5985"/>
    <cellStyle name="Normale 7 2 2 3 7 2" xfId="13448"/>
    <cellStyle name="Normale 7 2 2 3 7 3" xfId="20856"/>
    <cellStyle name="Normale 7 2 2 3 7 4" xfId="24218"/>
    <cellStyle name="Normale 7 2 2 3 8" xfId="6905"/>
    <cellStyle name="Normale 7 2 2 3 8 2" xfId="14368"/>
    <cellStyle name="Normale 7 2 2 3 8 3" xfId="21776"/>
    <cellStyle name="Normale 7 2 2 3 8 4" xfId="24058"/>
    <cellStyle name="Normale 7 2 2 3 9" xfId="7844"/>
    <cellStyle name="Normale 7 2 2 4" xfId="1156"/>
    <cellStyle name="Normale 7 2 2 4 2" xfId="8619"/>
    <cellStyle name="Normale 7 2 2 4 3" xfId="16027"/>
    <cellStyle name="Normale 7 2 2 4 4" xfId="22501"/>
    <cellStyle name="Normale 7 2 2 5" xfId="2085"/>
    <cellStyle name="Normale 7 2 2 5 2" xfId="9548"/>
    <cellStyle name="Normale 7 2 2 5 3" xfId="16956"/>
    <cellStyle name="Normale 7 2 2 5 4" xfId="23992"/>
    <cellStyle name="Normale 7 2 2 6" xfId="3009"/>
    <cellStyle name="Normale 7 2 2 6 2" xfId="10472"/>
    <cellStyle name="Normale 7 2 2 6 3" xfId="17880"/>
    <cellStyle name="Normale 7 2 2 6 4" xfId="24166"/>
    <cellStyle name="Normale 7 2 2 7" xfId="3940"/>
    <cellStyle name="Normale 7 2 2 7 2" xfId="11403"/>
    <cellStyle name="Normale 7 2 2 7 3" xfId="18811"/>
    <cellStyle name="Normale 7 2 2 7 4" xfId="23115"/>
    <cellStyle name="Normale 7 2 2 8" xfId="4865"/>
    <cellStyle name="Normale 7 2 2 8 2" xfId="12328"/>
    <cellStyle name="Normale 7 2 2 8 3" xfId="19736"/>
    <cellStyle name="Normale 7 2 2 8 4" xfId="25163"/>
    <cellStyle name="Normale 7 2 2 9" xfId="5793"/>
    <cellStyle name="Normale 7 2 2 9 2" xfId="13256"/>
    <cellStyle name="Normale 7 2 2 9 3" xfId="20664"/>
    <cellStyle name="Normale 7 2 2 9 4" xfId="27667"/>
    <cellStyle name="Normale 7 2 20" xfId="6713"/>
    <cellStyle name="Normale 7 2 20 2" xfId="14176"/>
    <cellStyle name="Normale 7 2 20 3" xfId="21584"/>
    <cellStyle name="Normale 7 2 20 4" xfId="23282"/>
    <cellStyle name="Normale 7 2 21" xfId="7649"/>
    <cellStyle name="Normale 7 2 22" xfId="15058"/>
    <cellStyle name="Normale 7 2 23" xfId="24067"/>
    <cellStyle name="Normale 7 2 24" xfId="29873"/>
    <cellStyle name="Normale 7 2 25" xfId="30805"/>
    <cellStyle name="Normale 7 2 26" xfId="31726"/>
    <cellStyle name="Normale 7 2 27" xfId="32652"/>
    <cellStyle name="Normale 7 2 28" xfId="33588"/>
    <cellStyle name="Normale 7 2 29" xfId="34516"/>
    <cellStyle name="Normale 7 2 3" xfId="187"/>
    <cellStyle name="Normale 7 2 3 10" xfId="7652"/>
    <cellStyle name="Normale 7 2 3 11" xfId="15061"/>
    <cellStyle name="Normale 7 2 3 12" xfId="28596"/>
    <cellStyle name="Normale 7 2 3 13" xfId="29876"/>
    <cellStyle name="Normale 7 2 3 14" xfId="30808"/>
    <cellStyle name="Normale 7 2 3 15" xfId="31729"/>
    <cellStyle name="Normale 7 2 3 16" xfId="32655"/>
    <cellStyle name="Normale 7 2 3 17" xfId="33591"/>
    <cellStyle name="Normale 7 2 3 18" xfId="34519"/>
    <cellStyle name="Normale 7 2 3 19" xfId="35447"/>
    <cellStyle name="Normale 7 2 3 2" xfId="383"/>
    <cellStyle name="Normale 7 2 3 2 10" xfId="15256"/>
    <cellStyle name="Normale 7 2 3 2 11" xfId="22710"/>
    <cellStyle name="Normale 7 2 3 2 12" xfId="30068"/>
    <cellStyle name="Normale 7 2 3 2 13" xfId="31000"/>
    <cellStyle name="Normale 7 2 3 2 14" xfId="31921"/>
    <cellStyle name="Normale 7 2 3 2 15" xfId="32846"/>
    <cellStyle name="Normale 7 2 3 2 16" xfId="33783"/>
    <cellStyle name="Normale 7 2 3 2 17" xfId="34713"/>
    <cellStyle name="Normale 7 2 3 2 18" xfId="35639"/>
    <cellStyle name="Normale 7 2 3 2 19" xfId="36565"/>
    <cellStyle name="Normale 7 2 3 2 2" xfId="1350"/>
    <cellStyle name="Normale 7 2 3 2 2 2" xfId="8813"/>
    <cellStyle name="Normale 7 2 3 2 2 3" xfId="16221"/>
    <cellStyle name="Normale 7 2 3 2 2 4" xfId="26445"/>
    <cellStyle name="Normale 7 2 3 2 20" xfId="37485"/>
    <cellStyle name="Normale 7 2 3 2 3" xfId="2281"/>
    <cellStyle name="Normale 7 2 3 2 3 2" xfId="9744"/>
    <cellStyle name="Normale 7 2 3 2 3 3" xfId="17152"/>
    <cellStyle name="Normale 7 2 3 2 3 4" xfId="24508"/>
    <cellStyle name="Normale 7 2 3 2 4" xfId="3203"/>
    <cellStyle name="Normale 7 2 3 2 4 2" xfId="10666"/>
    <cellStyle name="Normale 7 2 3 2 4 3" xfId="18074"/>
    <cellStyle name="Normale 7 2 3 2 4 4" xfId="29443"/>
    <cellStyle name="Normale 7 2 3 2 5" xfId="4136"/>
    <cellStyle name="Normale 7 2 3 2 5 2" xfId="11599"/>
    <cellStyle name="Normale 7 2 3 2 5 3" xfId="19007"/>
    <cellStyle name="Normale 7 2 3 2 5 4" xfId="26714"/>
    <cellStyle name="Normale 7 2 3 2 6" xfId="5059"/>
    <cellStyle name="Normale 7 2 3 2 6 2" xfId="12522"/>
    <cellStyle name="Normale 7 2 3 2 6 3" xfId="19930"/>
    <cellStyle name="Normale 7 2 3 2 6 4" xfId="29004"/>
    <cellStyle name="Normale 7 2 3 2 7" xfId="5987"/>
    <cellStyle name="Normale 7 2 3 2 7 2" xfId="13450"/>
    <cellStyle name="Normale 7 2 3 2 7 3" xfId="20858"/>
    <cellStyle name="Normale 7 2 3 2 7 4" xfId="22568"/>
    <cellStyle name="Normale 7 2 3 2 8" xfId="6907"/>
    <cellStyle name="Normale 7 2 3 2 8 2" xfId="14370"/>
    <cellStyle name="Normale 7 2 3 2 8 3" xfId="21778"/>
    <cellStyle name="Normale 7 2 3 2 8 4" xfId="29480"/>
    <cellStyle name="Normale 7 2 3 2 9" xfId="7846"/>
    <cellStyle name="Normale 7 2 3 20" xfId="36373"/>
    <cellStyle name="Normale 7 2 3 21" xfId="37294"/>
    <cellStyle name="Normale 7 2 3 3" xfId="1158"/>
    <cellStyle name="Normale 7 2 3 3 2" xfId="8621"/>
    <cellStyle name="Normale 7 2 3 3 3" xfId="16029"/>
    <cellStyle name="Normale 7 2 3 3 4" xfId="28018"/>
    <cellStyle name="Normale 7 2 3 4" xfId="2087"/>
    <cellStyle name="Normale 7 2 3 4 2" xfId="9550"/>
    <cellStyle name="Normale 7 2 3 4 3" xfId="16958"/>
    <cellStyle name="Normale 7 2 3 4 4" xfId="29403"/>
    <cellStyle name="Normale 7 2 3 5" xfId="3011"/>
    <cellStyle name="Normale 7 2 3 5 2" xfId="10474"/>
    <cellStyle name="Normale 7 2 3 5 3" xfId="17882"/>
    <cellStyle name="Normale 7 2 3 5 4" xfId="29583"/>
    <cellStyle name="Normale 7 2 3 6" xfId="3942"/>
    <cellStyle name="Normale 7 2 3 6 2" xfId="11405"/>
    <cellStyle name="Normale 7 2 3 6 3" xfId="18813"/>
    <cellStyle name="Normale 7 2 3 6 4" xfId="28653"/>
    <cellStyle name="Normale 7 2 3 7" xfId="4867"/>
    <cellStyle name="Normale 7 2 3 7 2" xfId="12330"/>
    <cellStyle name="Normale 7 2 3 7 3" xfId="19738"/>
    <cellStyle name="Normale 7 2 3 7 4" xfId="23328"/>
    <cellStyle name="Normale 7 2 3 8" xfId="5795"/>
    <cellStyle name="Normale 7 2 3 8 2" xfId="13258"/>
    <cellStyle name="Normale 7 2 3 8 3" xfId="20666"/>
    <cellStyle name="Normale 7 2 3 8 4" xfId="25831"/>
    <cellStyle name="Normale 7 2 3 9" xfId="6716"/>
    <cellStyle name="Normale 7 2 3 9 2" xfId="14179"/>
    <cellStyle name="Normale 7 2 3 9 3" xfId="21587"/>
    <cellStyle name="Normale 7 2 3 9 4" xfId="28727"/>
    <cellStyle name="Normale 7 2 30" xfId="35444"/>
    <cellStyle name="Normale 7 2 31" xfId="36370"/>
    <cellStyle name="Normale 7 2 32" xfId="37291"/>
    <cellStyle name="Normale 7 2 4" xfId="380"/>
    <cellStyle name="Normale 7 2 4 10" xfId="15253"/>
    <cellStyle name="Normale 7 2 4 11" xfId="25280"/>
    <cellStyle name="Normale 7 2 4 12" xfId="30065"/>
    <cellStyle name="Normale 7 2 4 13" xfId="30997"/>
    <cellStyle name="Normale 7 2 4 14" xfId="31918"/>
    <cellStyle name="Normale 7 2 4 15" xfId="32843"/>
    <cellStyle name="Normale 7 2 4 16" xfId="33780"/>
    <cellStyle name="Normale 7 2 4 17" xfId="34710"/>
    <cellStyle name="Normale 7 2 4 18" xfId="35636"/>
    <cellStyle name="Normale 7 2 4 19" xfId="36562"/>
    <cellStyle name="Normale 7 2 4 2" xfId="1347"/>
    <cellStyle name="Normale 7 2 4 2 2" xfId="8810"/>
    <cellStyle name="Normale 7 2 4 2 3" xfId="16218"/>
    <cellStyle name="Normale 7 2 4 2 4" xfId="29185"/>
    <cellStyle name="Normale 7 2 4 20" xfId="37482"/>
    <cellStyle name="Normale 7 2 4 3" xfId="2278"/>
    <cellStyle name="Normale 7 2 4 3 2" xfId="9741"/>
    <cellStyle name="Normale 7 2 4 3 3" xfId="17149"/>
    <cellStyle name="Normale 7 2 4 3 4" xfId="27261"/>
    <cellStyle name="Normale 7 2 4 4" xfId="3200"/>
    <cellStyle name="Normale 7 2 4 4 2" xfId="10663"/>
    <cellStyle name="Normale 7 2 4 4 3" xfId="18071"/>
    <cellStyle name="Normale 7 2 4 4 4" xfId="24947"/>
    <cellStyle name="Normale 7 2 4 5" xfId="4133"/>
    <cellStyle name="Normale 7 2 4 5 2" xfId="11596"/>
    <cellStyle name="Normale 7 2 4 5 3" xfId="19004"/>
    <cellStyle name="Normale 7 2 4 5 4" xfId="29438"/>
    <cellStyle name="Normale 7 2 4 6" xfId="5056"/>
    <cellStyle name="Normale 7 2 4 6 2" xfId="12519"/>
    <cellStyle name="Normale 7 2 4 6 3" xfId="19927"/>
    <cellStyle name="Normale 7 2 4 6 4" xfId="24577"/>
    <cellStyle name="Normale 7 2 4 7" xfId="5984"/>
    <cellStyle name="Normale 7 2 4 7 2" xfId="13447"/>
    <cellStyle name="Normale 7 2 4 7 3" xfId="20855"/>
    <cellStyle name="Normale 7 2 4 7 4" xfId="25137"/>
    <cellStyle name="Normale 7 2 4 8" xfId="6904"/>
    <cellStyle name="Normale 7 2 4 8 2" xfId="14367"/>
    <cellStyle name="Normale 7 2 4 8 3" xfId="21775"/>
    <cellStyle name="Normale 7 2 4 8 4" xfId="24984"/>
    <cellStyle name="Normale 7 2 4 9" xfId="7843"/>
    <cellStyle name="Normale 7 2 5" xfId="446"/>
    <cellStyle name="Normale 7 2 5 10" xfId="15319"/>
    <cellStyle name="Normale 7 2 5 11" xfId="24759"/>
    <cellStyle name="Normale 7 2 5 12" xfId="30131"/>
    <cellStyle name="Normale 7 2 5 13" xfId="31063"/>
    <cellStyle name="Normale 7 2 5 14" xfId="31984"/>
    <cellStyle name="Normale 7 2 5 15" xfId="32908"/>
    <cellStyle name="Normale 7 2 5 16" xfId="33846"/>
    <cellStyle name="Normale 7 2 5 17" xfId="34776"/>
    <cellStyle name="Normale 7 2 5 18" xfId="35702"/>
    <cellStyle name="Normale 7 2 5 19" xfId="36628"/>
    <cellStyle name="Normale 7 2 5 2" xfId="1413"/>
    <cellStyle name="Normale 7 2 5 2 2" xfId="8876"/>
    <cellStyle name="Normale 7 2 5 2 3" xfId="16284"/>
    <cellStyle name="Normale 7 2 5 2 4" xfId="28926"/>
    <cellStyle name="Normale 7 2 5 20" xfId="37547"/>
    <cellStyle name="Normale 7 2 5 3" xfId="2344"/>
    <cellStyle name="Normale 7 2 5 3 2" xfId="9807"/>
    <cellStyle name="Normale 7 2 5 3 3" xfId="17215"/>
    <cellStyle name="Normale 7 2 5 3 4" xfId="26537"/>
    <cellStyle name="Normale 7 2 5 4" xfId="3266"/>
    <cellStyle name="Normale 7 2 5 4 2" xfId="10729"/>
    <cellStyle name="Normale 7 2 5 4 3" xfId="18137"/>
    <cellStyle name="Normale 7 2 5 4 4" xfId="24874"/>
    <cellStyle name="Normale 7 2 5 5" xfId="4199"/>
    <cellStyle name="Normale 7 2 5 5 2" xfId="11662"/>
    <cellStyle name="Normale 7 2 5 5 3" xfId="19070"/>
    <cellStyle name="Normale 7 2 5 5 4" xfId="26301"/>
    <cellStyle name="Normale 7 2 5 6" xfId="5122"/>
    <cellStyle name="Normale 7 2 5 6 2" xfId="12585"/>
    <cellStyle name="Normale 7 2 5 6 3" xfId="19993"/>
    <cellStyle name="Normale 7 2 5 6 4" xfId="23245"/>
    <cellStyle name="Normale 7 2 5 7" xfId="6050"/>
    <cellStyle name="Normale 7 2 5 7 2" xfId="13513"/>
    <cellStyle name="Normale 7 2 5 7 3" xfId="20921"/>
    <cellStyle name="Normale 7 2 5 7 4" xfId="24722"/>
    <cellStyle name="Normale 7 2 5 8" xfId="6969"/>
    <cellStyle name="Normale 7 2 5 8 2" xfId="14432"/>
    <cellStyle name="Normale 7 2 5 8 3" xfId="21840"/>
    <cellStyle name="Normale 7 2 5 8 4" xfId="25814"/>
    <cellStyle name="Normale 7 2 5 9" xfId="7909"/>
    <cellStyle name="Normale 7 2 6" xfId="494"/>
    <cellStyle name="Normale 7 2 6 10" xfId="15367"/>
    <cellStyle name="Normale 7 2 6 11" xfId="23630"/>
    <cellStyle name="Normale 7 2 6 12" xfId="30179"/>
    <cellStyle name="Normale 7 2 6 13" xfId="31111"/>
    <cellStyle name="Normale 7 2 6 14" xfId="32032"/>
    <cellStyle name="Normale 7 2 6 15" xfId="32955"/>
    <cellStyle name="Normale 7 2 6 16" xfId="33894"/>
    <cellStyle name="Normale 7 2 6 17" xfId="34824"/>
    <cellStyle name="Normale 7 2 6 18" xfId="35750"/>
    <cellStyle name="Normale 7 2 6 19" xfId="36676"/>
    <cellStyle name="Normale 7 2 6 2" xfId="1461"/>
    <cellStyle name="Normale 7 2 6 2 2" xfId="8924"/>
    <cellStyle name="Normale 7 2 6 2 3" xfId="16332"/>
    <cellStyle name="Normale 7 2 6 2 4" xfId="27522"/>
    <cellStyle name="Normale 7 2 6 20" xfId="37594"/>
    <cellStyle name="Normale 7 2 6 3" xfId="2392"/>
    <cellStyle name="Normale 7 2 6 3 2" xfId="9855"/>
    <cellStyle name="Normale 7 2 6 3 3" xfId="17263"/>
    <cellStyle name="Normale 7 2 6 3 4" xfId="26150"/>
    <cellStyle name="Normale 7 2 6 4" xfId="3314"/>
    <cellStyle name="Normale 7 2 6 4 2" xfId="10777"/>
    <cellStyle name="Normale 7 2 6 4 3" xfId="18185"/>
    <cellStyle name="Normale 7 2 6 4 4" xfId="26901"/>
    <cellStyle name="Normale 7 2 6 5" xfId="4247"/>
    <cellStyle name="Normale 7 2 6 5 2" xfId="11710"/>
    <cellStyle name="Normale 7 2 6 5 3" xfId="19118"/>
    <cellStyle name="Normale 7 2 6 5 4" xfId="27829"/>
    <cellStyle name="Normale 7 2 6 6" xfId="5170"/>
    <cellStyle name="Normale 7 2 6 6 2" xfId="12633"/>
    <cellStyle name="Normale 7 2 6 6 3" xfId="20041"/>
    <cellStyle name="Normale 7 2 6 6 4" xfId="22587"/>
    <cellStyle name="Normale 7 2 6 7" xfId="6098"/>
    <cellStyle name="Normale 7 2 6 7 2" xfId="13561"/>
    <cellStyle name="Normale 7 2 6 7 3" xfId="20969"/>
    <cellStyle name="Normale 7 2 6 7 4" xfId="23491"/>
    <cellStyle name="Normale 7 2 6 8" xfId="7016"/>
    <cellStyle name="Normale 7 2 6 8 2" xfId="14479"/>
    <cellStyle name="Normale 7 2 6 8 3" xfId="21887"/>
    <cellStyle name="Normale 7 2 6 8 4" xfId="26915"/>
    <cellStyle name="Normale 7 2 6 9" xfId="7957"/>
    <cellStyle name="Normale 7 2 7" xfId="540"/>
    <cellStyle name="Normale 7 2 7 10" xfId="15413"/>
    <cellStyle name="Normale 7 2 7 11" xfId="26949"/>
    <cellStyle name="Normale 7 2 7 12" xfId="30224"/>
    <cellStyle name="Normale 7 2 7 13" xfId="31157"/>
    <cellStyle name="Normale 7 2 7 14" xfId="32077"/>
    <cellStyle name="Normale 7 2 7 15" xfId="32999"/>
    <cellStyle name="Normale 7 2 7 16" xfId="33940"/>
    <cellStyle name="Normale 7 2 7 17" xfId="34870"/>
    <cellStyle name="Normale 7 2 7 18" xfId="35796"/>
    <cellStyle name="Normale 7 2 7 19" xfId="36722"/>
    <cellStyle name="Normale 7 2 7 2" xfId="1507"/>
    <cellStyle name="Normale 7 2 7 2 2" xfId="8970"/>
    <cellStyle name="Normale 7 2 7 2 3" xfId="16378"/>
    <cellStyle name="Normale 7 2 7 2 4" xfId="29328"/>
    <cellStyle name="Normale 7 2 7 20" xfId="37638"/>
    <cellStyle name="Normale 7 2 7 3" xfId="2438"/>
    <cellStyle name="Normale 7 2 7 3 2" xfId="9901"/>
    <cellStyle name="Normale 7 2 7 3 3" xfId="17309"/>
    <cellStyle name="Normale 7 2 7 3 4" xfId="28698"/>
    <cellStyle name="Normale 7 2 7 4" xfId="3359"/>
    <cellStyle name="Normale 7 2 7 4 2" xfId="10822"/>
    <cellStyle name="Normale 7 2 7 4 3" xfId="18230"/>
    <cellStyle name="Normale 7 2 7 4 4" xfId="27855"/>
    <cellStyle name="Normale 7 2 7 5" xfId="4293"/>
    <cellStyle name="Normale 7 2 7 5 2" xfId="11756"/>
    <cellStyle name="Normale 7 2 7 5 3" xfId="19164"/>
    <cellStyle name="Normale 7 2 7 5 4" xfId="26577"/>
    <cellStyle name="Normale 7 2 7 6" xfId="5215"/>
    <cellStyle name="Normale 7 2 7 6 2" xfId="12678"/>
    <cellStyle name="Normale 7 2 7 6 3" xfId="20086"/>
    <cellStyle name="Normale 7 2 7 6 4" xfId="25642"/>
    <cellStyle name="Normale 7 2 7 7" xfId="6144"/>
    <cellStyle name="Normale 7 2 7 7 2" xfId="13607"/>
    <cellStyle name="Normale 7 2 7 7 3" xfId="21015"/>
    <cellStyle name="Normale 7 2 7 7 4" xfId="26900"/>
    <cellStyle name="Normale 7 2 7 8" xfId="7060"/>
    <cellStyle name="Normale 7 2 7 8 2" xfId="14523"/>
    <cellStyle name="Normale 7 2 7 8 3" xfId="21931"/>
    <cellStyle name="Normale 7 2 7 8 4" xfId="22768"/>
    <cellStyle name="Normale 7 2 7 9" xfId="8003"/>
    <cellStyle name="Normale 7 2 8" xfId="594"/>
    <cellStyle name="Normale 7 2 8 10" xfId="15467"/>
    <cellStyle name="Normale 7 2 8 11" xfId="25619"/>
    <cellStyle name="Normale 7 2 8 12" xfId="30277"/>
    <cellStyle name="Normale 7 2 8 13" xfId="31211"/>
    <cellStyle name="Normale 7 2 8 14" xfId="32130"/>
    <cellStyle name="Normale 7 2 8 15" xfId="33051"/>
    <cellStyle name="Normale 7 2 8 16" xfId="33994"/>
    <cellStyle name="Normale 7 2 8 17" xfId="34924"/>
    <cellStyle name="Normale 7 2 8 18" xfId="35850"/>
    <cellStyle name="Normale 7 2 8 19" xfId="36776"/>
    <cellStyle name="Normale 7 2 8 2" xfId="1561"/>
    <cellStyle name="Normale 7 2 8 2 2" xfId="9024"/>
    <cellStyle name="Normale 7 2 8 2 3" xfId="16432"/>
    <cellStyle name="Normale 7 2 8 2 4" xfId="22492"/>
    <cellStyle name="Normale 7 2 8 20" xfId="37690"/>
    <cellStyle name="Normale 7 2 8 3" xfId="2492"/>
    <cellStyle name="Normale 7 2 8 3 2" xfId="9955"/>
    <cellStyle name="Normale 7 2 8 3 3" xfId="17363"/>
    <cellStyle name="Normale 7 2 8 3 4" xfId="22751"/>
    <cellStyle name="Normale 7 2 8 4" xfId="3412"/>
    <cellStyle name="Normale 7 2 8 4 2" xfId="10875"/>
    <cellStyle name="Normale 7 2 8 4 3" xfId="18283"/>
    <cellStyle name="Normale 7 2 8 4 4" xfId="28876"/>
    <cellStyle name="Normale 7 2 8 5" xfId="4347"/>
    <cellStyle name="Normale 7 2 8 5 2" xfId="11810"/>
    <cellStyle name="Normale 7 2 8 5 3" xfId="19218"/>
    <cellStyle name="Normale 7 2 8 5 4" xfId="27936"/>
    <cellStyle name="Normale 7 2 8 6" xfId="5268"/>
    <cellStyle name="Normale 7 2 8 6 2" xfId="12731"/>
    <cellStyle name="Normale 7 2 8 6 3" xfId="20139"/>
    <cellStyle name="Normale 7 2 8 6 4" xfId="27913"/>
    <cellStyle name="Normale 7 2 8 7" xfId="6198"/>
    <cellStyle name="Normale 7 2 8 7 2" xfId="13661"/>
    <cellStyle name="Normale 7 2 8 7 3" xfId="21069"/>
    <cellStyle name="Normale 7 2 8 7 4" xfId="28298"/>
    <cellStyle name="Normale 7 2 8 8" xfId="7112"/>
    <cellStyle name="Normale 7 2 8 8 2" xfId="14575"/>
    <cellStyle name="Normale 7 2 8 8 3" xfId="21983"/>
    <cellStyle name="Normale 7 2 8 8 4" xfId="15842"/>
    <cellStyle name="Normale 7 2 8 9" xfId="8057"/>
    <cellStyle name="Normale 7 2 9" xfId="652"/>
    <cellStyle name="Normale 7 2 9 10" xfId="15524"/>
    <cellStyle name="Normale 7 2 9 11" xfId="23625"/>
    <cellStyle name="Normale 7 2 9 12" xfId="30331"/>
    <cellStyle name="Normale 7 2 9 13" xfId="31268"/>
    <cellStyle name="Normale 7 2 9 14" xfId="32185"/>
    <cellStyle name="Normale 7 2 9 15" xfId="33104"/>
    <cellStyle name="Normale 7 2 9 16" xfId="34051"/>
    <cellStyle name="Normale 7 2 9 17" xfId="34982"/>
    <cellStyle name="Normale 7 2 9 18" xfId="35908"/>
    <cellStyle name="Normale 7 2 9 19" xfId="36833"/>
    <cellStyle name="Normale 7 2 9 2" xfId="1618"/>
    <cellStyle name="Normale 7 2 9 2 2" xfId="9081"/>
    <cellStyle name="Normale 7 2 9 2 3" xfId="16489"/>
    <cellStyle name="Normale 7 2 9 2 4" xfId="23094"/>
    <cellStyle name="Normale 7 2 9 20" xfId="37743"/>
    <cellStyle name="Normale 7 2 9 3" xfId="2550"/>
    <cellStyle name="Normale 7 2 9 3 2" xfId="10013"/>
    <cellStyle name="Normale 7 2 9 3 3" xfId="17421"/>
    <cellStyle name="Normale 7 2 9 3 4" xfId="27253"/>
    <cellStyle name="Normale 7 2 9 4" xfId="3468"/>
    <cellStyle name="Normale 7 2 9 4 2" xfId="10931"/>
    <cellStyle name="Normale 7 2 9 4 3" xfId="18339"/>
    <cellStyle name="Normale 7 2 9 4 4" xfId="22745"/>
    <cellStyle name="Normale 7 2 9 5" xfId="4405"/>
    <cellStyle name="Normale 7 2 9 5 2" xfId="11868"/>
    <cellStyle name="Normale 7 2 9 5 3" xfId="19276"/>
    <cellStyle name="Normale 7 2 9 5 4" xfId="26784"/>
    <cellStyle name="Normale 7 2 9 6" xfId="5323"/>
    <cellStyle name="Normale 7 2 9 6 2" xfId="12786"/>
    <cellStyle name="Normale 7 2 9 6 3" xfId="20194"/>
    <cellStyle name="Normale 7 2 9 6 4" xfId="29500"/>
    <cellStyle name="Normale 7 2 9 7" xfId="6256"/>
    <cellStyle name="Normale 7 2 9 7 2" xfId="13719"/>
    <cellStyle name="Normale 7 2 9 7 3" xfId="21127"/>
    <cellStyle name="Normale 7 2 9 7 4" xfId="24373"/>
    <cellStyle name="Normale 7 2 9 8" xfId="7165"/>
    <cellStyle name="Normale 7 2 9 8 2" xfId="14628"/>
    <cellStyle name="Normale 7 2 9 8 3" xfId="22036"/>
    <cellStyle name="Normale 7 2 9 8 4" xfId="22349"/>
    <cellStyle name="Normale 7 2 9 9" xfId="8115"/>
    <cellStyle name="Normale 7 20" xfId="3938"/>
    <cellStyle name="Normale 7 20 2" xfId="11401"/>
    <cellStyle name="Normale 7 20 3" xfId="18809"/>
    <cellStyle name="Normale 7 20 4" xfId="25050"/>
    <cellStyle name="Normale 7 21" xfId="4863"/>
    <cellStyle name="Normale 7 21 2" xfId="12326"/>
    <cellStyle name="Normale 7 21 3" xfId="19734"/>
    <cellStyle name="Normale 7 21 4" xfId="27005"/>
    <cellStyle name="Normale 7 22" xfId="5791"/>
    <cellStyle name="Normale 7 22 2" xfId="13254"/>
    <cellStyle name="Normale 7 22 3" xfId="20662"/>
    <cellStyle name="Normale 7 22 4" xfId="29486"/>
    <cellStyle name="Normale 7 23" xfId="6712"/>
    <cellStyle name="Normale 7 23 2" xfId="14175"/>
    <cellStyle name="Normale 7 23 3" xfId="21583"/>
    <cellStyle name="Normale 7 23 4" xfId="23257"/>
    <cellStyle name="Normale 7 24" xfId="7648"/>
    <cellStyle name="Normale 7 25" xfId="15057"/>
    <cellStyle name="Normale 7 26" xfId="24993"/>
    <cellStyle name="Normale 7 27" xfId="29872"/>
    <cellStyle name="Normale 7 28" xfId="30804"/>
    <cellStyle name="Normale 7 29" xfId="31725"/>
    <cellStyle name="Normale 7 3" xfId="188"/>
    <cellStyle name="Normale 7 3 10" xfId="733"/>
    <cellStyle name="Normale 7 3 10 10" xfId="15604"/>
    <cellStyle name="Normale 7 3 10 11" xfId="25875"/>
    <cellStyle name="Normale 7 3 10 12" xfId="30407"/>
    <cellStyle name="Normale 7 3 10 13" xfId="31348"/>
    <cellStyle name="Normale 7 3 10 14" xfId="32261"/>
    <cellStyle name="Normale 7 3 10 15" xfId="33179"/>
    <cellStyle name="Normale 7 3 10 16" xfId="34131"/>
    <cellStyle name="Normale 7 3 10 17" xfId="35063"/>
    <cellStyle name="Normale 7 3 10 18" xfId="35989"/>
    <cellStyle name="Normale 7 3 10 19" xfId="36914"/>
    <cellStyle name="Normale 7 3 10 2" xfId="1698"/>
    <cellStyle name="Normale 7 3 10 2 2" xfId="9161"/>
    <cellStyle name="Normale 7 3 10 2 3" xfId="16569"/>
    <cellStyle name="Normale 7 3 10 2 4" xfId="22485"/>
    <cellStyle name="Normale 7 3 10 20" xfId="37818"/>
    <cellStyle name="Normale 7 3 10 3" xfId="2631"/>
    <cellStyle name="Normale 7 3 10 3 2" xfId="10094"/>
    <cellStyle name="Normale 7 3 10 3 3" xfId="17502"/>
    <cellStyle name="Normale 7 3 10 3 4" xfId="27873"/>
    <cellStyle name="Normale 7 3 10 4" xfId="3547"/>
    <cellStyle name="Normale 7 3 10 4 2" xfId="11010"/>
    <cellStyle name="Normale 7 3 10 4 3" xfId="18418"/>
    <cellStyle name="Normale 7 3 10 4 4" xfId="24162"/>
    <cellStyle name="Normale 7 3 10 5" xfId="4486"/>
    <cellStyle name="Normale 7 3 10 5 2" xfId="11949"/>
    <cellStyle name="Normale 7 3 10 5 3" xfId="19357"/>
    <cellStyle name="Normale 7 3 10 5 4" xfId="28093"/>
    <cellStyle name="Normale 7 3 10 6" xfId="5402"/>
    <cellStyle name="Normale 7 3 10 6 2" xfId="12865"/>
    <cellStyle name="Normale 7 3 10 6 3" xfId="20273"/>
    <cellStyle name="Normale 7 3 10 6 4" xfId="22390"/>
    <cellStyle name="Normale 7 3 10 7" xfId="6335"/>
    <cellStyle name="Normale 7 3 10 7 2" xfId="13798"/>
    <cellStyle name="Normale 7 3 10 7 3" xfId="21206"/>
    <cellStyle name="Normale 7 3 10 7 4" xfId="25303"/>
    <cellStyle name="Normale 7 3 10 8" xfId="7240"/>
    <cellStyle name="Normale 7 3 10 8 2" xfId="14703"/>
    <cellStyle name="Normale 7 3 10 8 3" xfId="22111"/>
    <cellStyle name="Normale 7 3 10 8 4" xfId="23265"/>
    <cellStyle name="Normale 7 3 10 9" xfId="8196"/>
    <cellStyle name="Normale 7 3 11" xfId="805"/>
    <cellStyle name="Normale 7 3 11 10" xfId="15676"/>
    <cellStyle name="Normale 7 3 11 11" xfId="24136"/>
    <cellStyle name="Normale 7 3 11 12" xfId="30477"/>
    <cellStyle name="Normale 7 3 11 13" xfId="31420"/>
    <cellStyle name="Normale 7 3 11 14" xfId="32332"/>
    <cellStyle name="Normale 7 3 11 15" xfId="33248"/>
    <cellStyle name="Normale 7 3 11 16" xfId="34203"/>
    <cellStyle name="Normale 7 3 11 17" xfId="35135"/>
    <cellStyle name="Normale 7 3 11 18" xfId="36061"/>
    <cellStyle name="Normale 7 3 11 19" xfId="36986"/>
    <cellStyle name="Normale 7 3 11 2" xfId="1770"/>
    <cellStyle name="Normale 7 3 11 2 2" xfId="9233"/>
    <cellStyle name="Normale 7 3 11 2 3" xfId="16641"/>
    <cellStyle name="Normale 7 3 11 2 4" xfId="22480"/>
    <cellStyle name="Normale 7 3 11 20" xfId="37887"/>
    <cellStyle name="Normale 7 3 11 3" xfId="2703"/>
    <cellStyle name="Normale 7 3 11 3 2" xfId="10166"/>
    <cellStyle name="Normale 7 3 11 3 3" xfId="17574"/>
    <cellStyle name="Normale 7 3 11 3 4" xfId="25891"/>
    <cellStyle name="Normale 7 3 11 4" xfId="3618"/>
    <cellStyle name="Normale 7 3 11 4 2" xfId="11081"/>
    <cellStyle name="Normale 7 3 11 4 3" xfId="18489"/>
    <cellStyle name="Normale 7 3 11 4 4" xfId="24470"/>
    <cellStyle name="Normale 7 3 11 5" xfId="4558"/>
    <cellStyle name="Normale 7 3 11 5 2" xfId="12021"/>
    <cellStyle name="Normale 7 3 11 5 3" xfId="19429"/>
    <cellStyle name="Normale 7 3 11 5 4" xfId="28719"/>
    <cellStyle name="Normale 7 3 11 6" xfId="5473"/>
    <cellStyle name="Normale 7 3 11 6 2" xfId="12936"/>
    <cellStyle name="Normale 7 3 11 6 3" xfId="20344"/>
    <cellStyle name="Normale 7 3 11 6 4" xfId="23937"/>
    <cellStyle name="Normale 7 3 11 7" xfId="6407"/>
    <cellStyle name="Normale 7 3 11 7 2" xfId="13870"/>
    <cellStyle name="Normale 7 3 11 7 3" xfId="21278"/>
    <cellStyle name="Normale 7 3 11 7 4" xfId="25961"/>
    <cellStyle name="Normale 7 3 11 8" xfId="7309"/>
    <cellStyle name="Normale 7 3 11 8 2" xfId="14772"/>
    <cellStyle name="Normale 7 3 11 8 3" xfId="22180"/>
    <cellStyle name="Normale 7 3 11 8 4" xfId="26600"/>
    <cellStyle name="Normale 7 3 11 9" xfId="8268"/>
    <cellStyle name="Normale 7 3 12" xfId="876"/>
    <cellStyle name="Normale 7 3 12 10" xfId="15747"/>
    <cellStyle name="Normale 7 3 12 11" xfId="22965"/>
    <cellStyle name="Normale 7 3 12 12" xfId="30545"/>
    <cellStyle name="Normale 7 3 12 13" xfId="31491"/>
    <cellStyle name="Normale 7 3 12 14" xfId="32402"/>
    <cellStyle name="Normale 7 3 12 15" xfId="33315"/>
    <cellStyle name="Normale 7 3 12 16" xfId="34274"/>
    <cellStyle name="Normale 7 3 12 17" xfId="35206"/>
    <cellStyle name="Normale 7 3 12 18" xfId="36132"/>
    <cellStyle name="Normale 7 3 12 19" xfId="37057"/>
    <cellStyle name="Normale 7 3 12 2" xfId="1841"/>
    <cellStyle name="Normale 7 3 12 2 2" xfId="9304"/>
    <cellStyle name="Normale 7 3 12 2 3" xfId="16712"/>
    <cellStyle name="Normale 7 3 12 2 4" xfId="28000"/>
    <cellStyle name="Normale 7 3 12 20" xfId="37954"/>
    <cellStyle name="Normale 7 3 12 3" xfId="2774"/>
    <cellStyle name="Normale 7 3 12 3 2" xfId="10237"/>
    <cellStyle name="Normale 7 3 12 3 3" xfId="17645"/>
    <cellStyle name="Normale 7 3 12 3 4" xfId="26587"/>
    <cellStyle name="Normale 7 3 12 4" xfId="3688"/>
    <cellStyle name="Normale 7 3 12 4 2" xfId="11151"/>
    <cellStyle name="Normale 7 3 12 4 3" xfId="18559"/>
    <cellStyle name="Normale 7 3 12 4 4" xfId="26860"/>
    <cellStyle name="Normale 7 3 12 5" xfId="4629"/>
    <cellStyle name="Normale 7 3 12 5 2" xfId="12092"/>
    <cellStyle name="Normale 7 3 12 5 3" xfId="19500"/>
    <cellStyle name="Normale 7 3 12 5 4" xfId="29362"/>
    <cellStyle name="Normale 7 3 12 6" xfId="5543"/>
    <cellStyle name="Normale 7 3 12 6 2" xfId="13006"/>
    <cellStyle name="Normale 7 3 12 6 3" xfId="20414"/>
    <cellStyle name="Normale 7 3 12 6 4" xfId="22386"/>
    <cellStyle name="Normale 7 3 12 7" xfId="6478"/>
    <cellStyle name="Normale 7 3 12 7 2" xfId="13941"/>
    <cellStyle name="Normale 7 3 12 7 3" xfId="21349"/>
    <cellStyle name="Normale 7 3 12 7 4" xfId="26623"/>
    <cellStyle name="Normale 7 3 12 8" xfId="7376"/>
    <cellStyle name="Normale 7 3 12 8 2" xfId="14839"/>
    <cellStyle name="Normale 7 3 12 8 3" xfId="22247"/>
    <cellStyle name="Normale 7 3 12 8 4" xfId="23261"/>
    <cellStyle name="Normale 7 3 12 9" xfId="8339"/>
    <cellStyle name="Normale 7 3 13" xfId="946"/>
    <cellStyle name="Normale 7 3 13 10" xfId="15817"/>
    <cellStyle name="Normale 7 3 13 11" xfId="24702"/>
    <cellStyle name="Normale 7 3 13 12" xfId="30612"/>
    <cellStyle name="Normale 7 3 13 13" xfId="31560"/>
    <cellStyle name="Normale 7 3 13 14" xfId="32471"/>
    <cellStyle name="Normale 7 3 13 15" xfId="33381"/>
    <cellStyle name="Normale 7 3 13 16" xfId="34344"/>
    <cellStyle name="Normale 7 3 13 17" xfId="35276"/>
    <cellStyle name="Normale 7 3 13 18" xfId="36201"/>
    <cellStyle name="Normale 7 3 13 19" xfId="37127"/>
    <cellStyle name="Normale 7 3 13 2" xfId="1911"/>
    <cellStyle name="Normale 7 3 13 2 2" xfId="9374"/>
    <cellStyle name="Normale 7 3 13 2 3" xfId="16782"/>
    <cellStyle name="Normale 7 3 13 2 4" xfId="25238"/>
    <cellStyle name="Normale 7 3 13 20" xfId="38020"/>
    <cellStyle name="Normale 7 3 13 3" xfId="2843"/>
    <cellStyle name="Normale 7 3 13 3 2" xfId="10306"/>
    <cellStyle name="Normale 7 3 13 3 3" xfId="17714"/>
    <cellStyle name="Normale 7 3 13 3 4" xfId="27977"/>
    <cellStyle name="Normale 7 3 13 4" xfId="3758"/>
    <cellStyle name="Normale 7 3 13 4 2" xfId="11221"/>
    <cellStyle name="Normale 7 3 13 4 3" xfId="18629"/>
    <cellStyle name="Normale 7 3 13 4 4" xfId="27034"/>
    <cellStyle name="Normale 7 3 13 5" xfId="4699"/>
    <cellStyle name="Normale 7 3 13 5 2" xfId="12162"/>
    <cellStyle name="Normale 7 3 13 5 3" xfId="19570"/>
    <cellStyle name="Normale 7 3 13 5 4" xfId="23333"/>
    <cellStyle name="Normale 7 3 13 6" xfId="5613"/>
    <cellStyle name="Normale 7 3 13 6 2" xfId="13076"/>
    <cellStyle name="Normale 7 3 13 6 3" xfId="20484"/>
    <cellStyle name="Normale 7 3 13 6 4" xfId="24861"/>
    <cellStyle name="Normale 7 3 13 7" xfId="6548"/>
    <cellStyle name="Normale 7 3 13 7 2" xfId="14011"/>
    <cellStyle name="Normale 7 3 13 7 3" xfId="21419"/>
    <cellStyle name="Normale 7 3 13 7 4" xfId="28072"/>
    <cellStyle name="Normale 7 3 13 8" xfId="7442"/>
    <cellStyle name="Normale 7 3 13 8 2" xfId="14905"/>
    <cellStyle name="Normale 7 3 13 8 3" xfId="22313"/>
    <cellStyle name="Normale 7 3 13 8 4" xfId="15555"/>
    <cellStyle name="Normale 7 3 13 9" xfId="8409"/>
    <cellStyle name="Normale 7 3 14" xfId="1159"/>
    <cellStyle name="Normale 7 3 14 2" xfId="8622"/>
    <cellStyle name="Normale 7 3 14 3" xfId="16030"/>
    <cellStyle name="Normale 7 3 14 4" xfId="27099"/>
    <cellStyle name="Normale 7 3 15" xfId="2088"/>
    <cellStyle name="Normale 7 3 15 2" xfId="9551"/>
    <cellStyle name="Normale 7 3 15 3" xfId="16959"/>
    <cellStyle name="Normale 7 3 15 4" xfId="28507"/>
    <cellStyle name="Normale 7 3 16" xfId="3012"/>
    <cellStyle name="Normale 7 3 16 2" xfId="10475"/>
    <cellStyle name="Normale 7 3 16 3" xfId="17883"/>
    <cellStyle name="Normale 7 3 16 4" xfId="28695"/>
    <cellStyle name="Normale 7 3 17" xfId="3943"/>
    <cellStyle name="Normale 7 3 17 2" xfId="11406"/>
    <cellStyle name="Normale 7 3 17 3" xfId="18814"/>
    <cellStyle name="Normale 7 3 17 4" xfId="27726"/>
    <cellStyle name="Normale 7 3 18" xfId="4868"/>
    <cellStyle name="Normale 7 3 18 2" xfId="12331"/>
    <cellStyle name="Normale 7 3 18 3" xfId="19739"/>
    <cellStyle name="Normale 7 3 18 4" xfId="23207"/>
    <cellStyle name="Normale 7 3 19" xfId="5796"/>
    <cellStyle name="Normale 7 3 19 2" xfId="13259"/>
    <cellStyle name="Normale 7 3 19 3" xfId="20667"/>
    <cellStyle name="Normale 7 3 19 4" xfId="24919"/>
    <cellStyle name="Normale 7 3 2" xfId="189"/>
    <cellStyle name="Normale 7 3 2 10" xfId="6718"/>
    <cellStyle name="Normale 7 3 2 10 2" xfId="14181"/>
    <cellStyle name="Normale 7 3 2 10 3" xfId="21589"/>
    <cellStyle name="Normale 7 3 2 10 4" xfId="26898"/>
    <cellStyle name="Normale 7 3 2 11" xfId="7654"/>
    <cellStyle name="Normale 7 3 2 12" xfId="15063"/>
    <cellStyle name="Normale 7 3 2 13" xfId="26766"/>
    <cellStyle name="Normale 7 3 2 14" xfId="29878"/>
    <cellStyle name="Normale 7 3 2 15" xfId="30810"/>
    <cellStyle name="Normale 7 3 2 16" xfId="31731"/>
    <cellStyle name="Normale 7 3 2 17" xfId="32657"/>
    <cellStyle name="Normale 7 3 2 18" xfId="33593"/>
    <cellStyle name="Normale 7 3 2 19" xfId="34521"/>
    <cellStyle name="Normale 7 3 2 2" xfId="190"/>
    <cellStyle name="Normale 7 3 2 2 10" xfId="7655"/>
    <cellStyle name="Normale 7 3 2 2 11" xfId="15064"/>
    <cellStyle name="Normale 7 3 2 2 12" xfId="25834"/>
    <cellStyle name="Normale 7 3 2 2 13" xfId="29879"/>
    <cellStyle name="Normale 7 3 2 2 14" xfId="30811"/>
    <cellStyle name="Normale 7 3 2 2 15" xfId="31732"/>
    <cellStyle name="Normale 7 3 2 2 16" xfId="32658"/>
    <cellStyle name="Normale 7 3 2 2 17" xfId="33594"/>
    <cellStyle name="Normale 7 3 2 2 18" xfId="34522"/>
    <cellStyle name="Normale 7 3 2 2 19" xfId="35450"/>
    <cellStyle name="Normale 7 3 2 2 2" xfId="386"/>
    <cellStyle name="Normale 7 3 2 2 2 10" xfId="15259"/>
    <cellStyle name="Normale 7 3 2 2 2 11" xfId="27307"/>
    <cellStyle name="Normale 7 3 2 2 2 12" xfId="30071"/>
    <cellStyle name="Normale 7 3 2 2 2 13" xfId="31003"/>
    <cellStyle name="Normale 7 3 2 2 2 14" xfId="31924"/>
    <cellStyle name="Normale 7 3 2 2 2 15" xfId="32849"/>
    <cellStyle name="Normale 7 3 2 2 2 16" xfId="33786"/>
    <cellStyle name="Normale 7 3 2 2 2 17" xfId="34716"/>
    <cellStyle name="Normale 7 3 2 2 2 18" xfId="35642"/>
    <cellStyle name="Normale 7 3 2 2 2 19" xfId="36568"/>
    <cellStyle name="Normale 7 3 2 2 2 2" xfId="1353"/>
    <cellStyle name="Normale 7 3 2 2 2 2 2" xfId="8816"/>
    <cellStyle name="Normale 7 3 2 2 2 2 3" xfId="16224"/>
    <cellStyle name="Normale 7 3 2 2 2 2 4" xfId="23679"/>
    <cellStyle name="Normale 7 3 2 2 2 20" xfId="37488"/>
    <cellStyle name="Normale 7 3 2 2 2 3" xfId="2284"/>
    <cellStyle name="Normale 7 3 2 2 2 3 2" xfId="9747"/>
    <cellStyle name="Normale 7 3 2 2 2 3 3" xfId="17155"/>
    <cellStyle name="Normale 7 3 2 2 2 3 4" xfId="22473"/>
    <cellStyle name="Normale 7 3 2 2 2 4" xfId="3206"/>
    <cellStyle name="Normale 7 3 2 2 2 4 2" xfId="10669"/>
    <cellStyle name="Normale 7 3 2 2 2 4 3" xfId="18077"/>
    <cellStyle name="Normale 7 3 2 2 2 4 4" xfId="26719"/>
    <cellStyle name="Normale 7 3 2 2 2 5" xfId="4139"/>
    <cellStyle name="Normale 7 3 2 2 2 5 2" xfId="11602"/>
    <cellStyle name="Normale 7 3 2 2 2 5 3" xfId="19010"/>
    <cellStyle name="Normale 7 3 2 2 2 5 4" xfId="23945"/>
    <cellStyle name="Normale 7 3 2 2 2 6" xfId="5062"/>
    <cellStyle name="Normale 7 3 2 2 2 6 2" xfId="12525"/>
    <cellStyle name="Normale 7 3 2 2 2 6 3" xfId="19933"/>
    <cellStyle name="Normale 7 3 2 2 2 6 4" xfId="26262"/>
    <cellStyle name="Normale 7 3 2 2 2 7" xfId="5990"/>
    <cellStyle name="Normale 7 3 2 2 2 7 2" xfId="13453"/>
    <cellStyle name="Normale 7 3 2 2 2 7 3" xfId="20861"/>
    <cellStyle name="Normale 7 3 2 2 2 7 4" xfId="27166"/>
    <cellStyle name="Normale 7 3 2 2 2 8" xfId="6910"/>
    <cellStyle name="Normale 7 3 2 2 2 8 2" xfId="14373"/>
    <cellStyle name="Normale 7 3 2 2 2 8 3" xfId="21781"/>
    <cellStyle name="Normale 7 3 2 2 2 8 4" xfId="26757"/>
    <cellStyle name="Normale 7 3 2 2 2 9" xfId="7849"/>
    <cellStyle name="Normale 7 3 2 2 20" xfId="36376"/>
    <cellStyle name="Normale 7 3 2 2 21" xfId="37297"/>
    <cellStyle name="Normale 7 3 2 2 3" xfId="1161"/>
    <cellStyle name="Normale 7 3 2 2 3 2" xfId="8624"/>
    <cellStyle name="Normale 7 3 2 2 3 3" xfId="16032"/>
    <cellStyle name="Normale 7 3 2 2 3 4" xfId="25258"/>
    <cellStyle name="Normale 7 3 2 2 4" xfId="2090"/>
    <cellStyle name="Normale 7 3 2 2 4 2" xfId="9553"/>
    <cellStyle name="Normale 7 3 2 2 4 3" xfId="16961"/>
    <cellStyle name="Normale 7 3 2 2 4 4" xfId="26677"/>
    <cellStyle name="Normale 7 3 2 2 5" xfId="3014"/>
    <cellStyle name="Normale 7 3 2 2 5 2" xfId="10477"/>
    <cellStyle name="Normale 7 3 2 2 5 3" xfId="17885"/>
    <cellStyle name="Normale 7 3 2 2 5 4" xfId="26865"/>
    <cellStyle name="Normale 7 3 2 2 6" xfId="3945"/>
    <cellStyle name="Normale 7 3 2 2 6 2" xfId="11408"/>
    <cellStyle name="Normale 7 3 2 2 6 3" xfId="18816"/>
    <cellStyle name="Normale 7 3 2 2 6 4" xfId="25890"/>
    <cellStyle name="Normale 7 3 2 2 7" xfId="4870"/>
    <cellStyle name="Normale 7 3 2 2 7 2" xfId="12333"/>
    <cellStyle name="Normale 7 3 2 2 7 3" xfId="19741"/>
    <cellStyle name="Normale 7 3 2 2 7 4" xfId="28752"/>
    <cellStyle name="Normale 7 3 2 2 8" xfId="5798"/>
    <cellStyle name="Normale 7 3 2 2 8 2" xfId="13261"/>
    <cellStyle name="Normale 7 3 2 2 8 3" xfId="20669"/>
    <cellStyle name="Normale 7 3 2 2 8 4" xfId="22975"/>
    <cellStyle name="Normale 7 3 2 2 9" xfId="6719"/>
    <cellStyle name="Normale 7 3 2 2 9 2" xfId="14182"/>
    <cellStyle name="Normale 7 3 2 2 9 3" xfId="21590"/>
    <cellStyle name="Normale 7 3 2 2 9 4" xfId="25964"/>
    <cellStyle name="Normale 7 3 2 20" xfId="35449"/>
    <cellStyle name="Normale 7 3 2 21" xfId="36375"/>
    <cellStyle name="Normale 7 3 2 22" xfId="37296"/>
    <cellStyle name="Normale 7 3 2 3" xfId="385"/>
    <cellStyle name="Normale 7 3 2 3 10" xfId="15258"/>
    <cellStyle name="Normale 7 3 2 3 11" xfId="28231"/>
    <cellStyle name="Normale 7 3 2 3 12" xfId="30070"/>
    <cellStyle name="Normale 7 3 2 3 13" xfId="31002"/>
    <cellStyle name="Normale 7 3 2 3 14" xfId="31923"/>
    <cellStyle name="Normale 7 3 2 3 15" xfId="32848"/>
    <cellStyle name="Normale 7 3 2 3 16" xfId="33785"/>
    <cellStyle name="Normale 7 3 2 3 17" xfId="34715"/>
    <cellStyle name="Normale 7 3 2 3 18" xfId="35641"/>
    <cellStyle name="Normale 7 3 2 3 19" xfId="36567"/>
    <cellStyle name="Normale 7 3 2 3 2" xfId="1352"/>
    <cellStyle name="Normale 7 3 2 3 2 2" xfId="8815"/>
    <cellStyle name="Normale 7 3 2 3 2 3" xfId="16223"/>
    <cellStyle name="Normale 7 3 2 3 2 4" xfId="24600"/>
    <cellStyle name="Normale 7 3 2 3 20" xfId="37487"/>
    <cellStyle name="Normale 7 3 2 3 3" xfId="2283"/>
    <cellStyle name="Normale 7 3 2 3 3 2" xfId="9746"/>
    <cellStyle name="Normale 7 3 2 3 3 3" xfId="17154"/>
    <cellStyle name="Normale 7 3 2 3 3 4" xfId="22474"/>
    <cellStyle name="Normale 7 3 2 3 4" xfId="3205"/>
    <cellStyle name="Normale 7 3 2 3 4 2" xfId="10668"/>
    <cellStyle name="Normale 7 3 2 3 4 3" xfId="18076"/>
    <cellStyle name="Normale 7 3 2 3 4 4" xfId="27623"/>
    <cellStyle name="Normale 7 3 2 3 5" xfId="4138"/>
    <cellStyle name="Normale 7 3 2 3 5 2" xfId="11601"/>
    <cellStyle name="Normale 7 3 2 3 5 3" xfId="19009"/>
    <cellStyle name="Normale 7 3 2 3 5 4" xfId="24870"/>
    <cellStyle name="Normale 7 3 2 3 6" xfId="5061"/>
    <cellStyle name="Normale 7 3 2 3 6 2" xfId="12524"/>
    <cellStyle name="Normale 7 3 2 3 6 3" xfId="19932"/>
    <cellStyle name="Normale 7 3 2 3 6 4" xfId="27172"/>
    <cellStyle name="Normale 7 3 2 3 7" xfId="5989"/>
    <cellStyle name="Normale 7 3 2 3 7 2" xfId="13452"/>
    <cellStyle name="Normale 7 3 2 3 7 3" xfId="20860"/>
    <cellStyle name="Normale 7 3 2 3 7 4" xfId="28088"/>
    <cellStyle name="Normale 7 3 2 3 8" xfId="6909"/>
    <cellStyle name="Normale 7 3 2 3 8 2" xfId="14372"/>
    <cellStyle name="Normale 7 3 2 3 8 3" xfId="21780"/>
    <cellStyle name="Normale 7 3 2 3 8 4" xfId="27661"/>
    <cellStyle name="Normale 7 3 2 3 9" xfId="7848"/>
    <cellStyle name="Normale 7 3 2 4" xfId="1160"/>
    <cellStyle name="Normale 7 3 2 4 2" xfId="8623"/>
    <cellStyle name="Normale 7 3 2 4 3" xfId="16031"/>
    <cellStyle name="Normale 7 3 2 4 4" xfId="26181"/>
    <cellStyle name="Normale 7 3 2 5" xfId="2089"/>
    <cellStyle name="Normale 7 3 2 5 2" xfId="9552"/>
    <cellStyle name="Normale 7 3 2 5 3" xfId="16960"/>
    <cellStyle name="Normale 7 3 2 5 4" xfId="27582"/>
    <cellStyle name="Normale 7 3 2 6" xfId="3013"/>
    <cellStyle name="Normale 7 3 2 6 2" xfId="10476"/>
    <cellStyle name="Normale 7 3 2 6 3" xfId="17884"/>
    <cellStyle name="Normale 7 3 2 6 4" xfId="27768"/>
    <cellStyle name="Normale 7 3 2 7" xfId="3944"/>
    <cellStyle name="Normale 7 3 2 7 2" xfId="11407"/>
    <cellStyle name="Normale 7 3 2 7 3" xfId="18815"/>
    <cellStyle name="Normale 7 3 2 7 4" xfId="26823"/>
    <cellStyle name="Normale 7 3 2 8" xfId="4869"/>
    <cellStyle name="Normale 7 3 2 8 2" xfId="12332"/>
    <cellStyle name="Normale 7 3 2 8 3" xfId="19740"/>
    <cellStyle name="Normale 7 3 2 8 4" xfId="29637"/>
    <cellStyle name="Normale 7 3 2 9" xfId="5797"/>
    <cellStyle name="Normale 7 3 2 9 2" xfId="13260"/>
    <cellStyle name="Normale 7 3 2 9 3" xfId="20668"/>
    <cellStyle name="Normale 7 3 2 9 4" xfId="23994"/>
    <cellStyle name="Normale 7 3 20" xfId="6717"/>
    <cellStyle name="Normale 7 3 20 2" xfId="14180"/>
    <cellStyle name="Normale 7 3 20 3" xfId="21588"/>
    <cellStyle name="Normale 7 3 20 4" xfId="27800"/>
    <cellStyle name="Normale 7 3 21" xfId="7653"/>
    <cellStyle name="Normale 7 3 22" xfId="15062"/>
    <cellStyle name="Normale 7 3 23" xfId="27670"/>
    <cellStyle name="Normale 7 3 24" xfId="29877"/>
    <cellStyle name="Normale 7 3 25" xfId="30809"/>
    <cellStyle name="Normale 7 3 26" xfId="31730"/>
    <cellStyle name="Normale 7 3 27" xfId="32656"/>
    <cellStyle name="Normale 7 3 28" xfId="33592"/>
    <cellStyle name="Normale 7 3 29" xfId="34520"/>
    <cellStyle name="Normale 7 3 3" xfId="191"/>
    <cellStyle name="Normale 7 3 3 10" xfId="7656"/>
    <cellStyle name="Normale 7 3 3 11" xfId="15065"/>
    <cellStyle name="Normale 7 3 3 12" xfId="24922"/>
    <cellStyle name="Normale 7 3 3 13" xfId="29880"/>
    <cellStyle name="Normale 7 3 3 14" xfId="30812"/>
    <cellStyle name="Normale 7 3 3 15" xfId="31733"/>
    <cellStyle name="Normale 7 3 3 16" xfId="32659"/>
    <cellStyle name="Normale 7 3 3 17" xfId="33595"/>
    <cellStyle name="Normale 7 3 3 18" xfId="34523"/>
    <cellStyle name="Normale 7 3 3 19" xfId="35451"/>
    <cellStyle name="Normale 7 3 3 2" xfId="387"/>
    <cellStyle name="Normale 7 3 3 2 10" xfId="15260"/>
    <cellStyle name="Normale 7 3 3 2 11" xfId="26399"/>
    <cellStyle name="Normale 7 3 3 2 12" xfId="30072"/>
    <cellStyle name="Normale 7 3 3 2 13" xfId="31004"/>
    <cellStyle name="Normale 7 3 3 2 14" xfId="31925"/>
    <cellStyle name="Normale 7 3 3 2 15" xfId="32850"/>
    <cellStyle name="Normale 7 3 3 2 16" xfId="33787"/>
    <cellStyle name="Normale 7 3 3 2 17" xfId="34717"/>
    <cellStyle name="Normale 7 3 3 2 18" xfId="35643"/>
    <cellStyle name="Normale 7 3 3 2 19" xfId="36569"/>
    <cellStyle name="Normale 7 3 3 2 2" xfId="1354"/>
    <cellStyle name="Normale 7 3 3 2 2 2" xfId="8817"/>
    <cellStyle name="Normale 7 3 3 2 2 3" xfId="16225"/>
    <cellStyle name="Normale 7 3 3 2 2 4" xfId="22669"/>
    <cellStyle name="Normale 7 3 3 2 20" xfId="37489"/>
    <cellStyle name="Normale 7 3 3 2 3" xfId="2285"/>
    <cellStyle name="Normale 7 3 3 2 3 2" xfId="9748"/>
    <cellStyle name="Normale 7 3 3 2 3 3" xfId="17156"/>
    <cellStyle name="Normale 7 3 3 2 3 4" xfId="28904"/>
    <cellStyle name="Normale 7 3 3 2 4" xfId="3207"/>
    <cellStyle name="Normale 7 3 3 2 4 2" xfId="10670"/>
    <cellStyle name="Normale 7 3 3 2 4 3" xfId="18078"/>
    <cellStyle name="Normale 7 3 3 2 4 4" xfId="25787"/>
    <cellStyle name="Normale 7 3 3 2 5" xfId="4140"/>
    <cellStyle name="Normale 7 3 3 2 5 2" xfId="11603"/>
    <cellStyle name="Normale 7 3 3 2 5 3" xfId="19011"/>
    <cellStyle name="Normale 7 3 3 2 5 4" xfId="22936"/>
    <cellStyle name="Normale 7 3 3 2 6" xfId="5063"/>
    <cellStyle name="Normale 7 3 3 2 6 2" xfId="12526"/>
    <cellStyle name="Normale 7 3 3 2 6 3" xfId="19934"/>
    <cellStyle name="Normale 7 3 3 2 6 4" xfId="25335"/>
    <cellStyle name="Normale 7 3 3 2 7" xfId="5991"/>
    <cellStyle name="Normale 7 3 3 2 7 2" xfId="13454"/>
    <cellStyle name="Normale 7 3 3 2 7 3" xfId="20862"/>
    <cellStyle name="Normale 7 3 3 2 7 4" xfId="26256"/>
    <cellStyle name="Normale 7 3 3 2 8" xfId="6911"/>
    <cellStyle name="Normale 7 3 3 2 8 2" xfId="14374"/>
    <cellStyle name="Normale 7 3 3 2 8 3" xfId="21782"/>
    <cellStyle name="Normale 7 3 3 2 8 4" xfId="25825"/>
    <cellStyle name="Normale 7 3 3 2 9" xfId="7850"/>
    <cellStyle name="Normale 7 3 3 20" xfId="36377"/>
    <cellStyle name="Normale 7 3 3 21" xfId="37298"/>
    <cellStyle name="Normale 7 3 3 3" xfId="1162"/>
    <cellStyle name="Normale 7 3 3 3 2" xfId="8625"/>
    <cellStyle name="Normale 7 3 3 3 3" xfId="16033"/>
    <cellStyle name="Normale 7 3 3 3 4" xfId="24339"/>
    <cellStyle name="Normale 7 3 3 4" xfId="2091"/>
    <cellStyle name="Normale 7 3 3 4 2" xfId="9554"/>
    <cellStyle name="Normale 7 3 3 4 3" xfId="16962"/>
    <cellStyle name="Normale 7 3 3 4 4" xfId="25746"/>
    <cellStyle name="Normale 7 3 3 5" xfId="3015"/>
    <cellStyle name="Normale 7 3 3 5 2" xfId="10478"/>
    <cellStyle name="Normale 7 3 3 5 3" xfId="17886"/>
    <cellStyle name="Normale 7 3 3 5 4" xfId="25931"/>
    <cellStyle name="Normale 7 3 3 6" xfId="3946"/>
    <cellStyle name="Normale 7 3 3 6 2" xfId="11409"/>
    <cellStyle name="Normale 7 3 3 6 3" xfId="18817"/>
    <cellStyle name="Normale 7 3 3 6 4" xfId="24979"/>
    <cellStyle name="Normale 7 3 3 7" xfId="4871"/>
    <cellStyle name="Normale 7 3 3 7 2" xfId="12334"/>
    <cellStyle name="Normale 7 3 3 7 3" xfId="19742"/>
    <cellStyle name="Normale 7 3 3 7 4" xfId="27825"/>
    <cellStyle name="Normale 7 3 3 8" xfId="5799"/>
    <cellStyle name="Normale 7 3 3 8 2" xfId="13262"/>
    <cellStyle name="Normale 7 3 3 8 3" xfId="20670"/>
    <cellStyle name="Normale 7 3 3 8 4" xfId="29404"/>
    <cellStyle name="Normale 7 3 3 9" xfId="6720"/>
    <cellStyle name="Normale 7 3 3 9 2" xfId="14183"/>
    <cellStyle name="Normale 7 3 3 9 3" xfId="21591"/>
    <cellStyle name="Normale 7 3 3 9 4" xfId="25055"/>
    <cellStyle name="Normale 7 3 30" xfId="35448"/>
    <cellStyle name="Normale 7 3 31" xfId="36374"/>
    <cellStyle name="Normale 7 3 32" xfId="37295"/>
    <cellStyle name="Normale 7 3 4" xfId="384"/>
    <cellStyle name="Normale 7 3 4 10" xfId="15257"/>
    <cellStyle name="Normale 7 3 4 11" xfId="29141"/>
    <cellStyle name="Normale 7 3 4 12" xfId="30069"/>
    <cellStyle name="Normale 7 3 4 13" xfId="31001"/>
    <cellStyle name="Normale 7 3 4 14" xfId="31922"/>
    <cellStyle name="Normale 7 3 4 15" xfId="32847"/>
    <cellStyle name="Normale 7 3 4 16" xfId="33784"/>
    <cellStyle name="Normale 7 3 4 17" xfId="34714"/>
    <cellStyle name="Normale 7 3 4 18" xfId="35640"/>
    <cellStyle name="Normale 7 3 4 19" xfId="36566"/>
    <cellStyle name="Normale 7 3 4 2" xfId="1351"/>
    <cellStyle name="Normale 7 3 4 2 2" xfId="8814"/>
    <cellStyle name="Normale 7 3 4 2 3" xfId="16222"/>
    <cellStyle name="Normale 7 3 4 2 4" xfId="25517"/>
    <cellStyle name="Normale 7 3 4 20" xfId="37486"/>
    <cellStyle name="Normale 7 3 4 3" xfId="2282"/>
    <cellStyle name="Normale 7 3 4 3 2" xfId="9745"/>
    <cellStyle name="Normale 7 3 4 3 3" xfId="17153"/>
    <cellStyle name="Normale 7 3 4 3 4" xfId="23588"/>
    <cellStyle name="Normale 7 3 4 4" xfId="3204"/>
    <cellStyle name="Normale 7 3 4 4 2" xfId="10667"/>
    <cellStyle name="Normale 7 3 4 4 3" xfId="18075"/>
    <cellStyle name="Normale 7 3 4 4 4" xfId="28549"/>
    <cellStyle name="Normale 7 3 4 5" xfId="4137"/>
    <cellStyle name="Normale 7 3 4 5 2" xfId="11600"/>
    <cellStyle name="Normale 7 3 4 5 3" xfId="19008"/>
    <cellStyle name="Normale 7 3 4 5 4" xfId="25782"/>
    <cellStyle name="Normale 7 3 4 6" xfId="5060"/>
    <cellStyle name="Normale 7 3 4 6 2" xfId="12523"/>
    <cellStyle name="Normale 7 3 4 6 3" xfId="19931"/>
    <cellStyle name="Normale 7 3 4 6 4" xfId="28094"/>
    <cellStyle name="Normale 7 3 4 7" xfId="5988"/>
    <cellStyle name="Normale 7 3 4 7 2" xfId="13451"/>
    <cellStyle name="Normale 7 3 4 7 3" xfId="20859"/>
    <cellStyle name="Normale 7 3 4 7 4" xfId="28998"/>
    <cellStyle name="Normale 7 3 4 8" xfId="6908"/>
    <cellStyle name="Normale 7 3 4 8 2" xfId="14371"/>
    <cellStyle name="Normale 7 3 4 8 3" xfId="21779"/>
    <cellStyle name="Normale 7 3 4 8 4" xfId="28587"/>
    <cellStyle name="Normale 7 3 4 9" xfId="7847"/>
    <cellStyle name="Normale 7 3 5" xfId="447"/>
    <cellStyle name="Normale 7 3 5 10" xfId="15320"/>
    <cellStyle name="Normale 7 3 5 11" xfId="23836"/>
    <cellStyle name="Normale 7 3 5 12" xfId="30132"/>
    <cellStyle name="Normale 7 3 5 13" xfId="31064"/>
    <cellStyle name="Normale 7 3 5 14" xfId="31985"/>
    <cellStyle name="Normale 7 3 5 15" xfId="32909"/>
    <cellStyle name="Normale 7 3 5 16" xfId="33847"/>
    <cellStyle name="Normale 7 3 5 17" xfId="34777"/>
    <cellStyle name="Normale 7 3 5 18" xfId="35703"/>
    <cellStyle name="Normale 7 3 5 19" xfId="36629"/>
    <cellStyle name="Normale 7 3 5 2" xfId="1414"/>
    <cellStyle name="Normale 7 3 5 2 2" xfId="8877"/>
    <cellStyle name="Normale 7 3 5 2 3" xfId="16285"/>
    <cellStyle name="Normale 7 3 5 2 4" xfId="28013"/>
    <cellStyle name="Normale 7 3 5 20" xfId="37548"/>
    <cellStyle name="Normale 7 3 5 3" xfId="2345"/>
    <cellStyle name="Normale 7 3 5 3 2" xfId="9808"/>
    <cellStyle name="Normale 7 3 5 3 3" xfId="17216"/>
    <cellStyle name="Normale 7 3 5 3 4" xfId="25608"/>
    <cellStyle name="Normale 7 3 5 4" xfId="3267"/>
    <cellStyle name="Normale 7 3 5 4 2" xfId="10730"/>
    <cellStyle name="Normale 7 3 5 4 3" xfId="18138"/>
    <cellStyle name="Normale 7 3 5 4 4" xfId="23949"/>
    <cellStyle name="Normale 7 3 5 5" xfId="4200"/>
    <cellStyle name="Normale 7 3 5 5 2" xfId="11663"/>
    <cellStyle name="Normale 7 3 5 5 3" xfId="19071"/>
    <cellStyle name="Normale 7 3 5 5 4" xfId="25374"/>
    <cellStyle name="Normale 7 3 5 6" xfId="5123"/>
    <cellStyle name="Normale 7 3 5 6 2" xfId="12586"/>
    <cellStyle name="Normale 7 3 5 6 3" xfId="19994"/>
    <cellStyle name="Normale 7 3 5 6 4" xfId="29677"/>
    <cellStyle name="Normale 7 3 5 7" xfId="6051"/>
    <cellStyle name="Normale 7 3 5 7 2" xfId="13514"/>
    <cellStyle name="Normale 7 3 5 7 3" xfId="20922"/>
    <cellStyle name="Normale 7 3 5 7 4" xfId="23799"/>
    <cellStyle name="Normale 7 3 5 8" xfId="6970"/>
    <cellStyle name="Normale 7 3 5 8 2" xfId="14433"/>
    <cellStyle name="Normale 7 3 5 8 3" xfId="21841"/>
    <cellStyle name="Normale 7 3 5 8 4" xfId="24902"/>
    <cellStyle name="Normale 7 3 5 9" xfId="7910"/>
    <cellStyle name="Normale 7 3 6" xfId="495"/>
    <cellStyle name="Normale 7 3 6 10" xfId="15368"/>
    <cellStyle name="Normale 7 3 6 11" xfId="22517"/>
    <cellStyle name="Normale 7 3 6 12" xfId="30180"/>
    <cellStyle name="Normale 7 3 6 13" xfId="31112"/>
    <cellStyle name="Normale 7 3 6 14" xfId="32033"/>
    <cellStyle name="Normale 7 3 6 15" xfId="32956"/>
    <cellStyle name="Normale 7 3 6 16" xfId="33895"/>
    <cellStyle name="Normale 7 3 6 17" xfId="34825"/>
    <cellStyle name="Normale 7 3 6 18" xfId="35751"/>
    <cellStyle name="Normale 7 3 6 19" xfId="36677"/>
    <cellStyle name="Normale 7 3 6 2" xfId="1462"/>
    <cellStyle name="Normale 7 3 6 2 2" xfId="8925"/>
    <cellStyle name="Normale 7 3 6 2 3" xfId="16333"/>
    <cellStyle name="Normale 7 3 6 2 4" xfId="26617"/>
    <cellStyle name="Normale 7 3 6 20" xfId="37595"/>
    <cellStyle name="Normale 7 3 6 3" xfId="2393"/>
    <cellStyle name="Normale 7 3 6 3 2" xfId="9856"/>
    <cellStyle name="Normale 7 3 6 3 3" xfId="17264"/>
    <cellStyle name="Normale 7 3 6 3 4" xfId="25227"/>
    <cellStyle name="Normale 7 3 6 4" xfId="3315"/>
    <cellStyle name="Normale 7 3 6 4 2" xfId="10778"/>
    <cellStyle name="Normale 7 3 6 4 3" xfId="18186"/>
    <cellStyle name="Normale 7 3 6 4 4" xfId="25967"/>
    <cellStyle name="Normale 7 3 6 5" xfId="4248"/>
    <cellStyle name="Normale 7 3 6 5 2" xfId="11711"/>
    <cellStyle name="Normale 7 3 6 5 3" xfId="19119"/>
    <cellStyle name="Normale 7 3 6 5 4" xfId="26927"/>
    <cellStyle name="Normale 7 3 6 6" xfId="5171"/>
    <cellStyle name="Normale 7 3 6 6 2" xfId="12634"/>
    <cellStyle name="Normale 7 3 6 6 3" xfId="20042"/>
    <cellStyle name="Normale 7 3 6 6 4" xfId="29017"/>
    <cellStyle name="Normale 7 3 6 7" xfId="6099"/>
    <cellStyle name="Normale 7 3 6 7 2" xfId="13562"/>
    <cellStyle name="Normale 7 3 6 7 3" xfId="20970"/>
    <cellStyle name="Normale 7 3 6 7 4" xfId="22376"/>
    <cellStyle name="Normale 7 3 6 8" xfId="7017"/>
    <cellStyle name="Normale 7 3 6 8 2" xfId="14480"/>
    <cellStyle name="Normale 7 3 6 8 3" xfId="21888"/>
    <cellStyle name="Normale 7 3 6 8 4" xfId="25981"/>
    <cellStyle name="Normale 7 3 6 9" xfId="7958"/>
    <cellStyle name="Normale 7 3 7" xfId="541"/>
    <cellStyle name="Normale 7 3 7 10" xfId="15414"/>
    <cellStyle name="Normale 7 3 7 11" xfId="26016"/>
    <cellStyle name="Normale 7 3 7 12" xfId="30225"/>
    <cellStyle name="Normale 7 3 7 13" xfId="31158"/>
    <cellStyle name="Normale 7 3 7 14" xfId="32078"/>
    <cellStyle name="Normale 7 3 7 15" xfId="33000"/>
    <cellStyle name="Normale 7 3 7 16" xfId="33941"/>
    <cellStyle name="Normale 7 3 7 17" xfId="34871"/>
    <cellStyle name="Normale 7 3 7 18" xfId="35797"/>
    <cellStyle name="Normale 7 3 7 19" xfId="36723"/>
    <cellStyle name="Normale 7 3 7 2" xfId="1508"/>
    <cellStyle name="Normale 7 3 7 2 2" xfId="8971"/>
    <cellStyle name="Normale 7 3 7 2 3" xfId="16379"/>
    <cellStyle name="Normale 7 3 7 2 4" xfId="28427"/>
    <cellStyle name="Normale 7 3 7 20" xfId="37639"/>
    <cellStyle name="Normale 7 3 7 3" xfId="2439"/>
    <cellStyle name="Normale 7 3 7 3 2" xfId="9902"/>
    <cellStyle name="Normale 7 3 7 3 3" xfId="17310"/>
    <cellStyle name="Normale 7 3 7 3 4" xfId="27770"/>
    <cellStyle name="Normale 7 3 7 4" xfId="3360"/>
    <cellStyle name="Normale 7 3 7 4 2" xfId="10823"/>
    <cellStyle name="Normale 7 3 7 4 3" xfId="18231"/>
    <cellStyle name="Normale 7 3 7 4 4" xfId="26952"/>
    <cellStyle name="Normale 7 3 7 5" xfId="4294"/>
    <cellStyle name="Normale 7 3 7 5 2" xfId="11757"/>
    <cellStyle name="Normale 7 3 7 5 3" xfId="19165"/>
    <cellStyle name="Normale 7 3 7 5 4" xfId="25647"/>
    <cellStyle name="Normale 7 3 7 6" xfId="5216"/>
    <cellStyle name="Normale 7 3 7 6 2" xfId="12679"/>
    <cellStyle name="Normale 7 3 7 6 3" xfId="20087"/>
    <cellStyle name="Normale 7 3 7 6 4" xfId="24728"/>
    <cellStyle name="Normale 7 3 7 7" xfId="6145"/>
    <cellStyle name="Normale 7 3 7 7 2" xfId="13608"/>
    <cellStyle name="Normale 7 3 7 7 3" xfId="21016"/>
    <cellStyle name="Normale 7 3 7 7 4" xfId="25966"/>
    <cellStyle name="Normale 7 3 7 8" xfId="7061"/>
    <cellStyle name="Normale 7 3 7 8 2" xfId="14524"/>
    <cellStyle name="Normale 7 3 7 8 3" xfId="21932"/>
    <cellStyle name="Normale 7 3 7 8 4" xfId="29197"/>
    <cellStyle name="Normale 7 3 7 9" xfId="8004"/>
    <cellStyle name="Normale 7 3 8" xfId="595"/>
    <cellStyle name="Normale 7 3 8 10" xfId="15468"/>
    <cellStyle name="Normale 7 3 8 11" xfId="24704"/>
    <cellStyle name="Normale 7 3 8 12" xfId="30278"/>
    <cellStyle name="Normale 7 3 8 13" xfId="31212"/>
    <cellStyle name="Normale 7 3 8 14" xfId="32131"/>
    <cellStyle name="Normale 7 3 8 15" xfId="33052"/>
    <cellStyle name="Normale 7 3 8 16" xfId="33995"/>
    <cellStyle name="Normale 7 3 8 17" xfId="34925"/>
    <cellStyle name="Normale 7 3 8 18" xfId="35851"/>
    <cellStyle name="Normale 7 3 8 19" xfId="36777"/>
    <cellStyle name="Normale 7 3 8 2" xfId="1562"/>
    <cellStyle name="Normale 7 3 8 2 2" xfId="9025"/>
    <cellStyle name="Normale 7 3 8 2 3" xfId="16433"/>
    <cellStyle name="Normale 7 3 8 2 4" xfId="22489"/>
    <cellStyle name="Normale 7 3 8 20" xfId="37691"/>
    <cellStyle name="Normale 7 3 8 3" xfId="2493"/>
    <cellStyle name="Normale 7 3 8 3 2" xfId="9956"/>
    <cellStyle name="Normale 7 3 8 3 3" xfId="17364"/>
    <cellStyle name="Normale 7 3 8 3 4" xfId="29181"/>
    <cellStyle name="Normale 7 3 8 4" xfId="3413"/>
    <cellStyle name="Normale 7 3 8 4 2" xfId="10876"/>
    <cellStyle name="Normale 7 3 8 4 3" xfId="18284"/>
    <cellStyle name="Normale 7 3 8 4 4" xfId="27963"/>
    <cellStyle name="Normale 7 3 8 5" xfId="4348"/>
    <cellStyle name="Normale 7 3 8 5 2" xfId="11811"/>
    <cellStyle name="Normale 7 3 8 5 3" xfId="19219"/>
    <cellStyle name="Normale 7 3 8 5 4" xfId="27017"/>
    <cellStyle name="Normale 7 3 8 6" xfId="5269"/>
    <cellStyle name="Normale 7 3 8 6 2" xfId="12732"/>
    <cellStyle name="Normale 7 3 8 6 3" xfId="20140"/>
    <cellStyle name="Normale 7 3 8 6 4" xfId="26995"/>
    <cellStyle name="Normale 7 3 8 7" xfId="6199"/>
    <cellStyle name="Normale 7 3 8 7 2" xfId="13662"/>
    <cellStyle name="Normale 7 3 8 7 3" xfId="21070"/>
    <cellStyle name="Normale 7 3 8 7 4" xfId="27374"/>
    <cellStyle name="Normale 7 3 8 8" xfId="7113"/>
    <cellStyle name="Normale 7 3 8 8 2" xfId="14576"/>
    <cellStyle name="Normale 7 3 8 8 3" xfId="21984"/>
    <cellStyle name="Normale 7 3 8 8 4" xfId="15781"/>
    <cellStyle name="Normale 7 3 8 9" xfId="8058"/>
    <cellStyle name="Normale 7 3 9" xfId="653"/>
    <cellStyle name="Normale 7 3 9 10" xfId="15525"/>
    <cellStyle name="Normale 7 3 9 11" xfId="28943"/>
    <cellStyle name="Normale 7 3 9 12" xfId="30332"/>
    <cellStyle name="Normale 7 3 9 13" xfId="31269"/>
    <cellStyle name="Normale 7 3 9 14" xfId="32186"/>
    <cellStyle name="Normale 7 3 9 15" xfId="33105"/>
    <cellStyle name="Normale 7 3 9 16" xfId="34052"/>
    <cellStyle name="Normale 7 3 9 17" xfId="34983"/>
    <cellStyle name="Normale 7 3 9 18" xfId="35909"/>
    <cellStyle name="Normale 7 3 9 19" xfId="36834"/>
    <cellStyle name="Normale 7 3 9 2" xfId="1619"/>
    <cellStyle name="Normale 7 3 9 2 2" xfId="9082"/>
    <cellStyle name="Normale 7 3 9 2 3" xfId="16490"/>
    <cellStyle name="Normale 7 3 9 2 4" xfId="29523"/>
    <cellStyle name="Normale 7 3 9 20" xfId="37744"/>
    <cellStyle name="Normale 7 3 9 3" xfId="2551"/>
    <cellStyle name="Normale 7 3 9 3 2" xfId="10014"/>
    <cellStyle name="Normale 7 3 9 3 3" xfId="17422"/>
    <cellStyle name="Normale 7 3 9 3 4" xfId="26343"/>
    <cellStyle name="Normale 7 3 9 4" xfId="3469"/>
    <cellStyle name="Normale 7 3 9 4 2" xfId="10932"/>
    <cellStyle name="Normale 7 3 9 4 3" xfId="18340"/>
    <cellStyle name="Normale 7 3 9 4 4" xfId="29175"/>
    <cellStyle name="Normale 7 3 9 5" xfId="4406"/>
    <cellStyle name="Normale 7 3 9 5 2" xfId="11869"/>
    <cellStyle name="Normale 7 3 9 5 3" xfId="19277"/>
    <cellStyle name="Normale 7 3 9 5 4" xfId="25851"/>
    <cellStyle name="Normale 7 3 9 6" xfId="5324"/>
    <cellStyle name="Normale 7 3 9 6 2" xfId="12787"/>
    <cellStyle name="Normale 7 3 9 6 3" xfId="20195"/>
    <cellStyle name="Normale 7 3 9 6 4" xfId="28609"/>
    <cellStyle name="Normale 7 3 9 7" xfId="6257"/>
    <cellStyle name="Normale 7 3 9 7 2" xfId="13720"/>
    <cellStyle name="Normale 7 3 9 7 3" xfId="21128"/>
    <cellStyle name="Normale 7 3 9 7 4" xfId="24210"/>
    <cellStyle name="Normale 7 3 9 8" xfId="7166"/>
    <cellStyle name="Normale 7 3 9 8 2" xfId="14629"/>
    <cellStyle name="Normale 7 3 9 8 3" xfId="22037"/>
    <cellStyle name="Normale 7 3 9 8 4" xfId="22348"/>
    <cellStyle name="Normale 7 3 9 9" xfId="8116"/>
    <cellStyle name="Normale 7 30" xfId="32651"/>
    <cellStyle name="Normale 7 31" xfId="33587"/>
    <cellStyle name="Normale 7 32" xfId="34515"/>
    <cellStyle name="Normale 7 33" xfId="35443"/>
    <cellStyle name="Normale 7 34" xfId="36369"/>
    <cellStyle name="Normale 7 35" xfId="37290"/>
    <cellStyle name="Normale 7 4" xfId="192"/>
    <cellStyle name="Normale 7 4 10" xfId="734"/>
    <cellStyle name="Normale 7 4 10 10" xfId="15605"/>
    <cellStyle name="Normale 7 4 10 11" xfId="24964"/>
    <cellStyle name="Normale 7 4 10 12" xfId="30408"/>
    <cellStyle name="Normale 7 4 10 13" xfId="31349"/>
    <cellStyle name="Normale 7 4 10 14" xfId="32262"/>
    <cellStyle name="Normale 7 4 10 15" xfId="33180"/>
    <cellStyle name="Normale 7 4 10 16" xfId="34132"/>
    <cellStyle name="Normale 7 4 10 17" xfId="35064"/>
    <cellStyle name="Normale 7 4 10 18" xfId="35990"/>
    <cellStyle name="Normale 7 4 10 19" xfId="36915"/>
    <cellStyle name="Normale 7 4 10 2" xfId="1699"/>
    <cellStyle name="Normale 7 4 10 2 2" xfId="9162"/>
    <cellStyle name="Normale 7 4 10 2 3" xfId="16570"/>
    <cellStyle name="Normale 7 4 10 2 4" xfId="28916"/>
    <cellStyle name="Normale 7 4 10 20" xfId="37819"/>
    <cellStyle name="Normale 7 4 10 3" xfId="2632"/>
    <cellStyle name="Normale 7 4 10 3 2" xfId="10095"/>
    <cellStyle name="Normale 7 4 10 3 3" xfId="17503"/>
    <cellStyle name="Normale 7 4 10 3 4" xfId="26970"/>
    <cellStyle name="Normale 7 4 10 4" xfId="3548"/>
    <cellStyle name="Normale 7 4 10 4 2" xfId="11011"/>
    <cellStyle name="Normale 7 4 10 4 3" xfId="18419"/>
    <cellStyle name="Normale 7 4 10 4 4" xfId="23150"/>
    <cellStyle name="Normale 7 4 10 5" xfId="4487"/>
    <cellStyle name="Normale 7 4 10 5 2" xfId="11950"/>
    <cellStyle name="Normale 7 4 10 5 3" xfId="19358"/>
    <cellStyle name="Normale 7 4 10 5 4" xfId="27171"/>
    <cellStyle name="Normale 7 4 10 6" xfId="5403"/>
    <cellStyle name="Normale 7 4 10 6 2" xfId="12866"/>
    <cellStyle name="Normale 7 4 10 6 3" xfId="20274"/>
    <cellStyle name="Normale 7 4 10 6 4" xfId="28821"/>
    <cellStyle name="Normale 7 4 10 7" xfId="6336"/>
    <cellStyle name="Normale 7 4 10 7 2" xfId="13799"/>
    <cellStyle name="Normale 7 4 10 7 3" xfId="21207"/>
    <cellStyle name="Normale 7 4 10 7 4" xfId="24387"/>
    <cellStyle name="Normale 7 4 10 8" xfId="7241"/>
    <cellStyle name="Normale 7 4 10 8 2" xfId="14704"/>
    <cellStyle name="Normale 7 4 10 8 3" xfId="22112"/>
    <cellStyle name="Normale 7 4 10 8 4" xfId="22534"/>
    <cellStyle name="Normale 7 4 10 9" xfId="8197"/>
    <cellStyle name="Normale 7 4 11" xfId="806"/>
    <cellStyle name="Normale 7 4 11 10" xfId="15677"/>
    <cellStyle name="Normale 7 4 11 11" xfId="23127"/>
    <cellStyle name="Normale 7 4 11 12" xfId="30478"/>
    <cellStyle name="Normale 7 4 11 13" xfId="31421"/>
    <cellStyle name="Normale 7 4 11 14" xfId="32333"/>
    <cellStyle name="Normale 7 4 11 15" xfId="33249"/>
    <cellStyle name="Normale 7 4 11 16" xfId="34204"/>
    <cellStyle name="Normale 7 4 11 17" xfId="35136"/>
    <cellStyle name="Normale 7 4 11 18" xfId="36062"/>
    <cellStyle name="Normale 7 4 11 19" xfId="36987"/>
    <cellStyle name="Normale 7 4 11 2" xfId="1771"/>
    <cellStyle name="Normale 7 4 11 2 2" xfId="9234"/>
    <cellStyle name="Normale 7 4 11 2 3" xfId="16642"/>
    <cellStyle name="Normale 7 4 11 2 4" xfId="28911"/>
    <cellStyle name="Normale 7 4 11 20" xfId="37888"/>
    <cellStyle name="Normale 7 4 11 3" xfId="2704"/>
    <cellStyle name="Normale 7 4 11 3 2" xfId="10167"/>
    <cellStyle name="Normale 7 4 11 3 3" xfId="17575"/>
    <cellStyle name="Normale 7 4 11 3 4" xfId="24980"/>
    <cellStyle name="Normale 7 4 11 4" xfId="3619"/>
    <cellStyle name="Normale 7 4 11 4 2" xfId="11082"/>
    <cellStyle name="Normale 7 4 11 4 3" xfId="18490"/>
    <cellStyle name="Normale 7 4 11 4 4" xfId="23550"/>
    <cellStyle name="Normale 7 4 11 5" xfId="4559"/>
    <cellStyle name="Normale 7 4 11 5 2" xfId="12022"/>
    <cellStyle name="Normale 7 4 11 5 3" xfId="19430"/>
    <cellStyle name="Normale 7 4 11 5 4" xfId="27792"/>
    <cellStyle name="Normale 7 4 11 6" xfId="5474"/>
    <cellStyle name="Normale 7 4 11 6 2" xfId="12937"/>
    <cellStyle name="Normale 7 4 11 6 3" xfId="20345"/>
    <cellStyle name="Normale 7 4 11 6 4" xfId="22385"/>
    <cellStyle name="Normale 7 4 11 7" xfId="6408"/>
    <cellStyle name="Normale 7 4 11 7 2" xfId="13871"/>
    <cellStyle name="Normale 7 4 11 7 3" xfId="21279"/>
    <cellStyle name="Normale 7 4 11 7 4" xfId="25052"/>
    <cellStyle name="Normale 7 4 11 8" xfId="7310"/>
    <cellStyle name="Normale 7 4 11 8 2" xfId="14773"/>
    <cellStyle name="Normale 7 4 11 8 3" xfId="22181"/>
    <cellStyle name="Normale 7 4 11 8 4" xfId="25670"/>
    <cellStyle name="Normale 7 4 11 9" xfId="8269"/>
    <cellStyle name="Normale 7 4 12" xfId="877"/>
    <cellStyle name="Normale 7 4 12 10" xfId="15748"/>
    <cellStyle name="Normale 7 4 12 11" xfId="29394"/>
    <cellStyle name="Normale 7 4 12 12" xfId="30546"/>
    <cellStyle name="Normale 7 4 12 13" xfId="31492"/>
    <cellStyle name="Normale 7 4 12 14" xfId="32403"/>
    <cellStyle name="Normale 7 4 12 15" xfId="33316"/>
    <cellStyle name="Normale 7 4 12 16" xfId="34275"/>
    <cellStyle name="Normale 7 4 12 17" xfId="35207"/>
    <cellStyle name="Normale 7 4 12 18" xfId="36133"/>
    <cellStyle name="Normale 7 4 12 19" xfId="37058"/>
    <cellStyle name="Normale 7 4 12 2" xfId="1842"/>
    <cellStyle name="Normale 7 4 12 2 2" xfId="9305"/>
    <cellStyle name="Normale 7 4 12 2 3" xfId="16713"/>
    <cellStyle name="Normale 7 4 12 2 4" xfId="27081"/>
    <cellStyle name="Normale 7 4 12 20" xfId="37955"/>
    <cellStyle name="Normale 7 4 12 3" xfId="2775"/>
    <cellStyle name="Normale 7 4 12 3 2" xfId="10238"/>
    <cellStyle name="Normale 7 4 12 3 3" xfId="17646"/>
    <cellStyle name="Normale 7 4 12 3 4" xfId="25657"/>
    <cellStyle name="Normale 7 4 12 4" xfId="3689"/>
    <cellStyle name="Normale 7 4 12 4 2" xfId="11152"/>
    <cellStyle name="Normale 7 4 12 4 3" xfId="18560"/>
    <cellStyle name="Normale 7 4 12 4 4" xfId="25926"/>
    <cellStyle name="Normale 7 4 12 5" xfId="4630"/>
    <cellStyle name="Normale 7 4 12 5 2" xfId="12093"/>
    <cellStyle name="Normale 7 4 12 5 3" xfId="19501"/>
    <cellStyle name="Normale 7 4 12 5 4" xfId="28465"/>
    <cellStyle name="Normale 7 4 12 6" xfId="5544"/>
    <cellStyle name="Normale 7 4 12 6 2" xfId="13007"/>
    <cellStyle name="Normale 7 4 12 6 3" xfId="20415"/>
    <cellStyle name="Normale 7 4 12 6 4" xfId="28817"/>
    <cellStyle name="Normale 7 4 12 7" xfId="6479"/>
    <cellStyle name="Normale 7 4 12 7 2" xfId="13942"/>
    <cellStyle name="Normale 7 4 12 7 3" xfId="21350"/>
    <cellStyle name="Normale 7 4 12 7 4" xfId="25691"/>
    <cellStyle name="Normale 7 4 12 8" xfId="7377"/>
    <cellStyle name="Normale 7 4 12 8 2" xfId="14840"/>
    <cellStyle name="Normale 7 4 12 8 3" xfId="22248"/>
    <cellStyle name="Normale 7 4 12 8 4" xfId="22530"/>
    <cellStyle name="Normale 7 4 12 9" xfId="8340"/>
    <cellStyle name="Normale 7 4 13" xfId="947"/>
    <cellStyle name="Normale 7 4 13 10" xfId="15818"/>
    <cellStyle name="Normale 7 4 13 11" xfId="23779"/>
    <cellStyle name="Normale 7 4 13 12" xfId="30613"/>
    <cellStyle name="Normale 7 4 13 13" xfId="31561"/>
    <cellStyle name="Normale 7 4 13 14" xfId="32472"/>
    <cellStyle name="Normale 7 4 13 15" xfId="33382"/>
    <cellStyle name="Normale 7 4 13 16" xfId="34345"/>
    <cellStyle name="Normale 7 4 13 17" xfId="35277"/>
    <cellStyle name="Normale 7 4 13 18" xfId="36202"/>
    <cellStyle name="Normale 7 4 13 19" xfId="37128"/>
    <cellStyle name="Normale 7 4 13 2" xfId="1912"/>
    <cellStyle name="Normale 7 4 13 2 2" xfId="9375"/>
    <cellStyle name="Normale 7 4 13 2 3" xfId="16783"/>
    <cellStyle name="Normale 7 4 13 2 4" xfId="24319"/>
    <cellStyle name="Normale 7 4 13 20" xfId="38021"/>
    <cellStyle name="Normale 7 4 13 3" xfId="2844"/>
    <cellStyle name="Normale 7 4 13 3 2" xfId="10307"/>
    <cellStyle name="Normale 7 4 13 3 3" xfId="17715"/>
    <cellStyle name="Normale 7 4 13 3 4" xfId="27058"/>
    <cellStyle name="Normale 7 4 13 4" xfId="3759"/>
    <cellStyle name="Normale 7 4 13 4 2" xfId="11222"/>
    <cellStyle name="Normale 7 4 13 4 3" xfId="18630"/>
    <cellStyle name="Normale 7 4 13 4 4" xfId="26116"/>
    <cellStyle name="Normale 7 4 13 5" xfId="4700"/>
    <cellStyle name="Normale 7 4 13 5 2" xfId="12163"/>
    <cellStyle name="Normale 7 4 13 5 3" xfId="19571"/>
    <cellStyle name="Normale 7 4 13 5 4" xfId="22599"/>
    <cellStyle name="Normale 7 4 13 6" xfId="5614"/>
    <cellStyle name="Normale 7 4 13 6 2" xfId="13077"/>
    <cellStyle name="Normale 7 4 13 6 3" xfId="20485"/>
    <cellStyle name="Normale 7 4 13 6 4" xfId="23936"/>
    <cellStyle name="Normale 7 4 13 7" xfId="6549"/>
    <cellStyle name="Normale 7 4 13 7 2" xfId="14012"/>
    <cellStyle name="Normale 7 4 13 7 3" xfId="21420"/>
    <cellStyle name="Normale 7 4 13 7 4" xfId="27150"/>
    <cellStyle name="Normale 7 4 13 8" xfId="7443"/>
    <cellStyle name="Normale 7 4 13 8 2" xfId="14906"/>
    <cellStyle name="Normale 7 4 13 8 3" xfId="22314"/>
    <cellStyle name="Normale 7 4 13 8 4" xfId="15470"/>
    <cellStyle name="Normale 7 4 13 9" xfId="8410"/>
    <cellStyle name="Normale 7 4 14" xfId="1163"/>
    <cellStyle name="Normale 7 4 14 2" xfId="8626"/>
    <cellStyle name="Normale 7 4 14 3" xfId="16034"/>
    <cellStyle name="Normale 7 4 14 4" xfId="23423"/>
    <cellStyle name="Normale 7 4 15" xfId="2092"/>
    <cellStyle name="Normale 7 4 15 2" xfId="9555"/>
    <cellStyle name="Normale 7 4 15 3" xfId="16963"/>
    <cellStyle name="Normale 7 4 15 4" xfId="24834"/>
    <cellStyle name="Normale 7 4 16" xfId="3016"/>
    <cellStyle name="Normale 7 4 16 2" xfId="10479"/>
    <cellStyle name="Normale 7 4 16 3" xfId="17887"/>
    <cellStyle name="Normale 7 4 16 4" xfId="25022"/>
    <cellStyle name="Normale 7 4 17" xfId="3947"/>
    <cellStyle name="Normale 7 4 17 2" xfId="11410"/>
    <cellStyle name="Normale 7 4 17 3" xfId="18818"/>
    <cellStyle name="Normale 7 4 17 4" xfId="24053"/>
    <cellStyle name="Normale 7 4 18" xfId="4872"/>
    <cellStyle name="Normale 7 4 18 2" xfId="12335"/>
    <cellStyle name="Normale 7 4 18 3" xfId="19743"/>
    <cellStyle name="Normale 7 4 18 4" xfId="26923"/>
    <cellStyle name="Normale 7 4 19" xfId="5800"/>
    <cellStyle name="Normale 7 4 19 2" xfId="13263"/>
    <cellStyle name="Normale 7 4 19 3" xfId="20671"/>
    <cellStyle name="Normale 7 4 19 4" xfId="28509"/>
    <cellStyle name="Normale 7 4 2" xfId="193"/>
    <cellStyle name="Normale 7 4 2 10" xfId="6722"/>
    <cellStyle name="Normale 7 4 2 10 2" xfId="14185"/>
    <cellStyle name="Normale 7 4 2 10 3" xfId="21593"/>
    <cellStyle name="Normale 7 4 2 10 4" xfId="23029"/>
    <cellStyle name="Normale 7 4 2 11" xfId="7658"/>
    <cellStyle name="Normale 7 4 2 12" xfId="15067"/>
    <cellStyle name="Normale 7 4 2 13" xfId="22978"/>
    <cellStyle name="Normale 7 4 2 14" xfId="29882"/>
    <cellStyle name="Normale 7 4 2 15" xfId="30814"/>
    <cellStyle name="Normale 7 4 2 16" xfId="31735"/>
    <cellStyle name="Normale 7 4 2 17" xfId="32661"/>
    <cellStyle name="Normale 7 4 2 18" xfId="33597"/>
    <cellStyle name="Normale 7 4 2 19" xfId="34525"/>
    <cellStyle name="Normale 7 4 2 2" xfId="194"/>
    <cellStyle name="Normale 7 4 2 2 10" xfId="7659"/>
    <cellStyle name="Normale 7 4 2 2 11" xfId="15068"/>
    <cellStyle name="Normale 7 4 2 2 12" xfId="29407"/>
    <cellStyle name="Normale 7 4 2 2 13" xfId="29883"/>
    <cellStyle name="Normale 7 4 2 2 14" xfId="30815"/>
    <cellStyle name="Normale 7 4 2 2 15" xfId="31736"/>
    <cellStyle name="Normale 7 4 2 2 16" xfId="32662"/>
    <cellStyle name="Normale 7 4 2 2 17" xfId="33598"/>
    <cellStyle name="Normale 7 4 2 2 18" xfId="34526"/>
    <cellStyle name="Normale 7 4 2 2 19" xfId="35454"/>
    <cellStyle name="Normale 7 4 2 2 2" xfId="390"/>
    <cellStyle name="Normale 7 4 2 2 2 10" xfId="15263"/>
    <cellStyle name="Normale 7 4 2 2 2 11" xfId="23633"/>
    <cellStyle name="Normale 7 4 2 2 2 12" xfId="30075"/>
    <cellStyle name="Normale 7 4 2 2 2 13" xfId="31007"/>
    <cellStyle name="Normale 7 4 2 2 2 14" xfId="31928"/>
    <cellStyle name="Normale 7 4 2 2 2 15" xfId="32853"/>
    <cellStyle name="Normale 7 4 2 2 2 16" xfId="33790"/>
    <cellStyle name="Normale 7 4 2 2 2 17" xfId="34720"/>
    <cellStyle name="Normale 7 4 2 2 2 18" xfId="35646"/>
    <cellStyle name="Normale 7 4 2 2 2 19" xfId="36572"/>
    <cellStyle name="Normale 7 4 2 2 2 2" xfId="1357"/>
    <cellStyle name="Normale 7 4 2 2 2 2 2" xfId="8820"/>
    <cellStyle name="Normale 7 4 2 2 2 2 3" xfId="16228"/>
    <cellStyle name="Normale 7 4 2 2 2 2 4" xfId="27267"/>
    <cellStyle name="Normale 7 4 2 2 2 20" xfId="37492"/>
    <cellStyle name="Normale 7 4 2 2 2 3" xfId="2288"/>
    <cellStyle name="Normale 7 4 2 2 2 3 2" xfId="9751"/>
    <cellStyle name="Normale 7 4 2 2 2 3 3" xfId="17159"/>
    <cellStyle name="Normale 7 4 2 2 2 3 4" xfId="26153"/>
    <cellStyle name="Normale 7 4 2 2 2 4" xfId="3210"/>
    <cellStyle name="Normale 7 4 2 2 2 4 2" xfId="10673"/>
    <cellStyle name="Normale 7 4 2 2 2 4 3" xfId="18081"/>
    <cellStyle name="Normale 7 4 2 2 2 4 4" xfId="22942"/>
    <cellStyle name="Normale 7 4 2 2 2 5" xfId="4143"/>
    <cellStyle name="Normale 7 4 2 2 2 5 2" xfId="11606"/>
    <cellStyle name="Normale 7 4 2 2 2 5 3" xfId="19014"/>
    <cellStyle name="Normale 7 4 2 2 2 5 4" xfId="27541"/>
    <cellStyle name="Normale 7 4 2 2 2 6" xfId="5066"/>
    <cellStyle name="Normale 7 4 2 2 2 6 2" xfId="12529"/>
    <cellStyle name="Normale 7 4 2 2 2 6 3" xfId="19937"/>
    <cellStyle name="Normale 7 4 2 2 2 6 4" xfId="24239"/>
    <cellStyle name="Normale 7 4 2 2 2 7" xfId="5994"/>
    <cellStyle name="Normale 7 4 2 2 2 7 2" xfId="13457"/>
    <cellStyle name="Normale 7 4 2 2 2 7 3" xfId="20865"/>
    <cellStyle name="Normale 7 4 2 2 2 7 4" xfId="23494"/>
    <cellStyle name="Normale 7 4 2 2 2 8" xfId="6914"/>
    <cellStyle name="Normale 7 4 2 2 2 8 2" xfId="14377"/>
    <cellStyle name="Normale 7 4 2 2 2 8 3" xfId="21785"/>
    <cellStyle name="Normale 7 4 2 2 2 8 4" xfId="22991"/>
    <cellStyle name="Normale 7 4 2 2 2 9" xfId="7853"/>
    <cellStyle name="Normale 7 4 2 2 20" xfId="36380"/>
    <cellStyle name="Normale 7 4 2 2 21" xfId="37301"/>
    <cellStyle name="Normale 7 4 2 2 3" xfId="1165"/>
    <cellStyle name="Normale 7 4 2 2 3 2" xfId="8628"/>
    <cellStyle name="Normale 7 4 2 2 3 3" xfId="16036"/>
    <cellStyle name="Normale 7 4 2 2 3 4" xfId="29660"/>
    <cellStyle name="Normale 7 4 2 2 4" xfId="2094"/>
    <cellStyle name="Normale 7 4 2 2 4 2" xfId="9557"/>
    <cellStyle name="Normale 7 4 2 2 4 3" xfId="16965"/>
    <cellStyle name="Normale 7 4 2 2 4 4" xfId="22667"/>
    <cellStyle name="Normale 7 4 2 2 5" xfId="3018"/>
    <cellStyle name="Normale 7 4 2 2 5 2" xfId="10481"/>
    <cellStyle name="Normale 7 4 2 2 5 3" xfId="17889"/>
    <cellStyle name="Normale 7 4 2 2 5 4" xfId="23085"/>
    <cellStyle name="Normale 7 4 2 2 6" xfId="3949"/>
    <cellStyle name="Normale 7 4 2 2 6 2" xfId="11412"/>
    <cellStyle name="Normale 7 4 2 2 6 3" xfId="18820"/>
    <cellStyle name="Normale 7 4 2 2 6 4" xfId="29475"/>
    <cellStyle name="Normale 7 4 2 2 7" xfId="4874"/>
    <cellStyle name="Normale 7 4 2 2 7 2" xfId="12337"/>
    <cellStyle name="Normale 7 4 2 2 7 3" xfId="19745"/>
    <cellStyle name="Normale 7 4 2 2 7 4" xfId="25079"/>
    <cellStyle name="Normale 7 4 2 2 8" xfId="5802"/>
    <cellStyle name="Normale 7 4 2 2 8 2" xfId="13265"/>
    <cellStyle name="Normale 7 4 2 2 8 3" xfId="20673"/>
    <cellStyle name="Normale 7 4 2 2 8 4" xfId="26679"/>
    <cellStyle name="Normale 7 4 2 2 9" xfId="6723"/>
    <cellStyle name="Normale 7 4 2 2 9 2" xfId="14186"/>
    <cellStyle name="Normale 7 4 2 2 9 3" xfId="21594"/>
    <cellStyle name="Normale 7 4 2 2 9 4" xfId="29458"/>
    <cellStyle name="Normale 7 4 2 20" xfId="35453"/>
    <cellStyle name="Normale 7 4 2 21" xfId="36379"/>
    <cellStyle name="Normale 7 4 2 22" xfId="37300"/>
    <cellStyle name="Normale 7 4 2 3" xfId="389"/>
    <cellStyle name="Normale 7 4 2 3 10" xfId="15262"/>
    <cellStyle name="Normale 7 4 2 3 11" xfId="24555"/>
    <cellStyle name="Normale 7 4 2 3 12" xfId="30074"/>
    <cellStyle name="Normale 7 4 2 3 13" xfId="31006"/>
    <cellStyle name="Normale 7 4 2 3 14" xfId="31927"/>
    <cellStyle name="Normale 7 4 2 3 15" xfId="32852"/>
    <cellStyle name="Normale 7 4 2 3 16" xfId="33789"/>
    <cellStyle name="Normale 7 4 2 3 17" xfId="34719"/>
    <cellStyle name="Normale 7 4 2 3 18" xfId="35645"/>
    <cellStyle name="Normale 7 4 2 3 19" xfId="36571"/>
    <cellStyle name="Normale 7 4 2 3 2" xfId="1356"/>
    <cellStyle name="Normale 7 4 2 3 2 2" xfId="8819"/>
    <cellStyle name="Normale 7 4 2 3 2 3" xfId="16227"/>
    <cellStyle name="Normale 7 4 2 3 2 4" xfId="28189"/>
    <cellStyle name="Normale 7 4 2 3 20" xfId="37491"/>
    <cellStyle name="Normale 7 4 2 3 3" xfId="2287"/>
    <cellStyle name="Normale 7 4 2 3 3 2" xfId="9750"/>
    <cellStyle name="Normale 7 4 2 3 3 3" xfId="17158"/>
    <cellStyle name="Normale 7 4 2 3 3 4" xfId="27071"/>
    <cellStyle name="Normale 7 4 2 3 4" xfId="3209"/>
    <cellStyle name="Normale 7 4 2 3 4 2" xfId="10672"/>
    <cellStyle name="Normale 7 4 2 3 4 3" xfId="18080"/>
    <cellStyle name="Normale 7 4 2 3 4 4" xfId="23950"/>
    <cellStyle name="Normale 7 4 2 3 5" xfId="4142"/>
    <cellStyle name="Normale 7 4 2 3 5 2" xfId="11605"/>
    <cellStyle name="Normale 7 4 2 3 5 3" xfId="19013"/>
    <cellStyle name="Normale 7 4 2 3 5 4" xfId="28468"/>
    <cellStyle name="Normale 7 4 2 3 6" xfId="5065"/>
    <cellStyle name="Normale 7 4 2 3 6 2" xfId="12528"/>
    <cellStyle name="Normale 7 4 2 3 6 3" xfId="19936"/>
    <cellStyle name="Normale 7 4 2 3 6 4" xfId="23500"/>
    <cellStyle name="Normale 7 4 2 3 7" xfId="5993"/>
    <cellStyle name="Normale 7 4 2 3 7 2" xfId="13456"/>
    <cellStyle name="Normale 7 4 2 3 7 3" xfId="20864"/>
    <cellStyle name="Normale 7 4 2 3 7 4" xfId="24413"/>
    <cellStyle name="Normale 7 4 2 3 8" xfId="6913"/>
    <cellStyle name="Normale 7 4 2 3 8 2" xfId="14376"/>
    <cellStyle name="Normale 7 4 2 3 8 3" xfId="21784"/>
    <cellStyle name="Normale 7 4 2 3 8 4" xfId="23988"/>
    <cellStyle name="Normale 7 4 2 3 9" xfId="7852"/>
    <cellStyle name="Normale 7 4 2 4" xfId="1164"/>
    <cellStyle name="Normale 7 4 2 4 2" xfId="8627"/>
    <cellStyle name="Normale 7 4 2 4 3" xfId="16035"/>
    <cellStyle name="Normale 7 4 2 4 4" xfId="23230"/>
    <cellStyle name="Normale 7 4 2 5" xfId="2093"/>
    <cellStyle name="Normale 7 4 2 5 2" xfId="9556"/>
    <cellStyle name="Normale 7 4 2 5 3" xfId="16964"/>
    <cellStyle name="Normale 7 4 2 5 4" xfId="23910"/>
    <cellStyle name="Normale 7 4 2 6" xfId="3017"/>
    <cellStyle name="Normale 7 4 2 6 2" xfId="10480"/>
    <cellStyle name="Normale 7 4 2 6 3" xfId="17888"/>
    <cellStyle name="Normale 7 4 2 6 4" xfId="24096"/>
    <cellStyle name="Normale 7 4 2 7" xfId="3948"/>
    <cellStyle name="Normale 7 4 2 7 2" xfId="11411"/>
    <cellStyle name="Normale 7 4 2 7 3" xfId="18819"/>
    <cellStyle name="Normale 7 4 2 7 4" xfId="23046"/>
    <cellStyle name="Normale 7 4 2 8" xfId="4873"/>
    <cellStyle name="Normale 7 4 2 8 2" xfId="12336"/>
    <cellStyle name="Normale 7 4 2 8 3" xfId="19744"/>
    <cellStyle name="Normale 7 4 2 8 4" xfId="25989"/>
    <cellStyle name="Normale 7 4 2 9" xfId="5801"/>
    <cellStyle name="Normale 7 4 2 9 2" xfId="13264"/>
    <cellStyle name="Normale 7 4 2 9 3" xfId="20672"/>
    <cellStyle name="Normale 7 4 2 9 4" xfId="27583"/>
    <cellStyle name="Normale 7 4 20" xfId="6721"/>
    <cellStyle name="Normale 7 4 20 2" xfId="14184"/>
    <cellStyle name="Normale 7 4 20 3" xfId="21592"/>
    <cellStyle name="Normale 7 4 20 4" xfId="24129"/>
    <cellStyle name="Normale 7 4 21" xfId="7657"/>
    <cellStyle name="Normale 7 4 22" xfId="15066"/>
    <cellStyle name="Normale 7 4 23" xfId="23997"/>
    <cellStyle name="Normale 7 4 24" xfId="29881"/>
    <cellStyle name="Normale 7 4 25" xfId="30813"/>
    <cellStyle name="Normale 7 4 26" xfId="31734"/>
    <cellStyle name="Normale 7 4 27" xfId="32660"/>
    <cellStyle name="Normale 7 4 28" xfId="33596"/>
    <cellStyle name="Normale 7 4 29" xfId="34524"/>
    <cellStyle name="Normale 7 4 3" xfId="195"/>
    <cellStyle name="Normale 7 4 3 10" xfId="7660"/>
    <cellStyle name="Normale 7 4 3 11" xfId="15069"/>
    <cellStyle name="Normale 7 4 3 12" xfId="28512"/>
    <cellStyle name="Normale 7 4 3 13" xfId="29884"/>
    <cellStyle name="Normale 7 4 3 14" xfId="30816"/>
    <cellStyle name="Normale 7 4 3 15" xfId="31737"/>
    <cellStyle name="Normale 7 4 3 16" xfId="32663"/>
    <cellStyle name="Normale 7 4 3 17" xfId="33599"/>
    <cellStyle name="Normale 7 4 3 18" xfId="34527"/>
    <cellStyle name="Normale 7 4 3 19" xfId="35455"/>
    <cellStyle name="Normale 7 4 3 2" xfId="391"/>
    <cellStyle name="Normale 7 4 3 2 10" xfId="15264"/>
    <cellStyle name="Normale 7 4 3 2 11" xfId="22520"/>
    <cellStyle name="Normale 7 4 3 2 12" xfId="30076"/>
    <cellStyle name="Normale 7 4 3 2 13" xfId="31008"/>
    <cellStyle name="Normale 7 4 3 2 14" xfId="31929"/>
    <cellStyle name="Normale 7 4 3 2 15" xfId="32854"/>
    <cellStyle name="Normale 7 4 3 2 16" xfId="33791"/>
    <cellStyle name="Normale 7 4 3 2 17" xfId="34721"/>
    <cellStyle name="Normale 7 4 3 2 18" xfId="35647"/>
    <cellStyle name="Normale 7 4 3 2 19" xfId="36573"/>
    <cellStyle name="Normale 7 4 3 2 2" xfId="1358"/>
    <cellStyle name="Normale 7 4 3 2 2 2" xfId="8821"/>
    <cellStyle name="Normale 7 4 3 2 2 3" xfId="16229"/>
    <cellStyle name="Normale 7 4 3 2 2 4" xfId="26357"/>
    <cellStyle name="Normale 7 4 3 2 20" xfId="37493"/>
    <cellStyle name="Normale 7 4 3 2 3" xfId="2289"/>
    <cellStyle name="Normale 7 4 3 2 3 2" xfId="9752"/>
    <cellStyle name="Normale 7 4 3 2 3 3" xfId="17160"/>
    <cellStyle name="Normale 7 4 3 2 3 4" xfId="25230"/>
    <cellStyle name="Normale 7 4 3 2 4" xfId="3211"/>
    <cellStyle name="Normale 7 4 3 2 4 2" xfId="10674"/>
    <cellStyle name="Normale 7 4 3 2 4 3" xfId="18082"/>
    <cellStyle name="Normale 7 4 3 2 4 4" xfId="29371"/>
    <cellStyle name="Normale 7 4 3 2 5" xfId="4144"/>
    <cellStyle name="Normale 7 4 3 2 5 2" xfId="11607"/>
    <cellStyle name="Normale 7 4 3 2 5 3" xfId="19015"/>
    <cellStyle name="Normale 7 4 3 2 5 4" xfId="26637"/>
    <cellStyle name="Normale 7 4 3 2 6" xfId="5067"/>
    <cellStyle name="Normale 7 4 3 2 6 2" xfId="12530"/>
    <cellStyle name="Normale 7 4 3 2 6 3" xfId="19938"/>
    <cellStyle name="Normale 7 4 3 2 6 4" xfId="23323"/>
    <cellStyle name="Normale 7 4 3 2 7" xfId="5995"/>
    <cellStyle name="Normale 7 4 3 2 7 2" xfId="13458"/>
    <cellStyle name="Normale 7 4 3 2 7 3" xfId="20866"/>
    <cellStyle name="Normale 7 4 3 2 7 4" xfId="22379"/>
    <cellStyle name="Normale 7 4 3 2 8" xfId="6915"/>
    <cellStyle name="Normale 7 4 3 2 8 2" xfId="14378"/>
    <cellStyle name="Normale 7 4 3 2 8 3" xfId="21786"/>
    <cellStyle name="Normale 7 4 3 2 8 4" xfId="29420"/>
    <cellStyle name="Normale 7 4 3 2 9" xfId="7854"/>
    <cellStyle name="Normale 7 4 3 20" xfId="36381"/>
    <cellStyle name="Normale 7 4 3 21" xfId="37302"/>
    <cellStyle name="Normale 7 4 3 3" xfId="1166"/>
    <cellStyle name="Normale 7 4 3 3 2" xfId="8629"/>
    <cellStyle name="Normale 7 4 3 3 3" xfId="16037"/>
    <cellStyle name="Normale 7 4 3 3 4" xfId="28775"/>
    <cellStyle name="Normale 7 4 3 4" xfId="2095"/>
    <cellStyle name="Normale 7 4 3 4 2" xfId="9558"/>
    <cellStyle name="Normale 7 4 3 4 3" xfId="16966"/>
    <cellStyle name="Normale 7 4 3 4 4" xfId="29097"/>
    <cellStyle name="Normale 7 4 3 5" xfId="3019"/>
    <cellStyle name="Normale 7 4 3 5 2" xfId="10482"/>
    <cellStyle name="Normale 7 4 3 5 3" xfId="17890"/>
    <cellStyle name="Normale 7 4 3 5 4" xfId="29514"/>
    <cellStyle name="Normale 7 4 3 6" xfId="3950"/>
    <cellStyle name="Normale 7 4 3 6 2" xfId="11413"/>
    <cellStyle name="Normale 7 4 3 6 3" xfId="18821"/>
    <cellStyle name="Normale 7 4 3 6 4" xfId="28582"/>
    <cellStyle name="Normale 7 4 3 7" xfId="4875"/>
    <cellStyle name="Normale 7 4 3 7 2" xfId="12338"/>
    <cellStyle name="Normale 7 4 3 7 3" xfId="19746"/>
    <cellStyle name="Normale 7 4 3 7 4" xfId="24154"/>
    <cellStyle name="Normale 7 4 3 8" xfId="5803"/>
    <cellStyle name="Normale 7 4 3 8 2" xfId="13266"/>
    <cellStyle name="Normale 7 4 3 8 3" xfId="20674"/>
    <cellStyle name="Normale 7 4 3 8 4" xfId="25747"/>
    <cellStyle name="Normale 7 4 3 9" xfId="6724"/>
    <cellStyle name="Normale 7 4 3 9 2" xfId="14187"/>
    <cellStyle name="Normale 7 4 3 9 3" xfId="21595"/>
    <cellStyle name="Normale 7 4 3 9 4" xfId="28564"/>
    <cellStyle name="Normale 7 4 30" xfId="35452"/>
    <cellStyle name="Normale 7 4 31" xfId="36378"/>
    <cellStyle name="Normale 7 4 32" xfId="37299"/>
    <cellStyle name="Normale 7 4 4" xfId="388"/>
    <cellStyle name="Normale 7 4 4 10" xfId="15261"/>
    <cellStyle name="Normale 7 4 4 11" xfId="25472"/>
    <cellStyle name="Normale 7 4 4 12" xfId="30073"/>
    <cellStyle name="Normale 7 4 4 13" xfId="31005"/>
    <cellStyle name="Normale 7 4 4 14" xfId="31926"/>
    <cellStyle name="Normale 7 4 4 15" xfId="32851"/>
    <cellStyle name="Normale 7 4 4 16" xfId="33788"/>
    <cellStyle name="Normale 7 4 4 17" xfId="34718"/>
    <cellStyle name="Normale 7 4 4 18" xfId="35644"/>
    <cellStyle name="Normale 7 4 4 19" xfId="36570"/>
    <cellStyle name="Normale 7 4 4 2" xfId="1355"/>
    <cellStyle name="Normale 7 4 4 2 2" xfId="8818"/>
    <cellStyle name="Normale 7 4 4 2 3" xfId="16226"/>
    <cellStyle name="Normale 7 4 4 2 4" xfId="29099"/>
    <cellStyle name="Normale 7 4 4 20" xfId="37490"/>
    <cellStyle name="Normale 7 4 4 3" xfId="2286"/>
    <cellStyle name="Normale 7 4 4 3 2" xfId="9749"/>
    <cellStyle name="Normale 7 4 4 3 3" xfId="17157"/>
    <cellStyle name="Normale 7 4 4 3 4" xfId="27990"/>
    <cellStyle name="Normale 7 4 4 4" xfId="3208"/>
    <cellStyle name="Normale 7 4 4 4 2" xfId="10671"/>
    <cellStyle name="Normale 7 4 4 4 3" xfId="18079"/>
    <cellStyle name="Normale 7 4 4 4 4" xfId="24875"/>
    <cellStyle name="Normale 7 4 4 5" xfId="4141"/>
    <cellStyle name="Normale 7 4 4 5 2" xfId="11604"/>
    <cellStyle name="Normale 7 4 4 5 3" xfId="19012"/>
    <cellStyle name="Normale 7 4 4 5 4" xfId="29365"/>
    <cellStyle name="Normale 7 4 4 6" xfId="5064"/>
    <cellStyle name="Normale 7 4 4 6 2" xfId="12527"/>
    <cellStyle name="Normale 7 4 4 6 3" xfId="19935"/>
    <cellStyle name="Normale 7 4 4 6 4" xfId="24419"/>
    <cellStyle name="Normale 7 4 4 7" xfId="5992"/>
    <cellStyle name="Normale 7 4 4 7 2" xfId="13455"/>
    <cellStyle name="Normale 7 4 4 7 3" xfId="20863"/>
    <cellStyle name="Normale 7 4 4 7 4" xfId="25329"/>
    <cellStyle name="Normale 7 4 4 8" xfId="6912"/>
    <cellStyle name="Normale 7 4 4 8 2" xfId="14375"/>
    <cellStyle name="Normale 7 4 4 8 3" xfId="21783"/>
    <cellStyle name="Normale 7 4 4 8 4" xfId="24913"/>
    <cellStyle name="Normale 7 4 4 9" xfId="7851"/>
    <cellStyle name="Normale 7 4 5" xfId="448"/>
    <cellStyle name="Normale 7 4 5 10" xfId="15321"/>
    <cellStyle name="Normale 7 4 5 11" xfId="22855"/>
    <cellStyle name="Normale 7 4 5 12" xfId="30133"/>
    <cellStyle name="Normale 7 4 5 13" xfId="31065"/>
    <cellStyle name="Normale 7 4 5 14" xfId="31986"/>
    <cellStyle name="Normale 7 4 5 15" xfId="32910"/>
    <cellStyle name="Normale 7 4 5 16" xfId="33848"/>
    <cellStyle name="Normale 7 4 5 17" xfId="34778"/>
    <cellStyle name="Normale 7 4 5 18" xfId="35704"/>
    <cellStyle name="Normale 7 4 5 19" xfId="36630"/>
    <cellStyle name="Normale 7 4 5 2" xfId="1415"/>
    <cellStyle name="Normale 7 4 5 2 2" xfId="8878"/>
    <cellStyle name="Normale 7 4 5 2 3" xfId="16286"/>
    <cellStyle name="Normale 7 4 5 2 4" xfId="27094"/>
    <cellStyle name="Normale 7 4 5 20" xfId="37549"/>
    <cellStyle name="Normale 7 4 5 3" xfId="2346"/>
    <cellStyle name="Normale 7 4 5 3 2" xfId="9809"/>
    <cellStyle name="Normale 7 4 5 3 3" xfId="17217"/>
    <cellStyle name="Normale 7 4 5 3 4" xfId="24693"/>
    <cellStyle name="Normale 7 4 5 4" xfId="3268"/>
    <cellStyle name="Normale 7 4 5 4 2" xfId="10731"/>
    <cellStyle name="Normale 7 4 5 4 3" xfId="18139"/>
    <cellStyle name="Normale 7 4 5 4 4" xfId="22941"/>
    <cellStyle name="Normale 7 4 5 5" xfId="4201"/>
    <cellStyle name="Normale 7 4 5 5 2" xfId="11664"/>
    <cellStyle name="Normale 7 4 5 5 3" xfId="19072"/>
    <cellStyle name="Normale 7 4 5 5 4" xfId="24458"/>
    <cellStyle name="Normale 7 4 5 6" xfId="5124"/>
    <cellStyle name="Normale 7 4 5 6 2" xfId="12587"/>
    <cellStyle name="Normale 7 4 5 6 3" xfId="19995"/>
    <cellStyle name="Normale 7 4 5 6 4" xfId="28792"/>
    <cellStyle name="Normale 7 4 5 7" xfId="6052"/>
    <cellStyle name="Normale 7 4 5 7 2" xfId="13515"/>
    <cellStyle name="Normale 7 4 5 7 3" xfId="20923"/>
    <cellStyle name="Normale 7 4 5 7 4" xfId="22820"/>
    <cellStyle name="Normale 7 4 5 8" xfId="6971"/>
    <cellStyle name="Normale 7 4 5 8 2" xfId="14434"/>
    <cellStyle name="Normale 7 4 5 8 3" xfId="21842"/>
    <cellStyle name="Normale 7 4 5 8 4" xfId="23977"/>
    <cellStyle name="Normale 7 4 5 9" xfId="7911"/>
    <cellStyle name="Normale 7 4 6" xfId="496"/>
    <cellStyle name="Normale 7 4 6 10" xfId="15369"/>
    <cellStyle name="Normale 7 4 6 11" xfId="22514"/>
    <cellStyle name="Normale 7 4 6 12" xfId="30181"/>
    <cellStyle name="Normale 7 4 6 13" xfId="31113"/>
    <cellStyle name="Normale 7 4 6 14" xfId="32034"/>
    <cellStyle name="Normale 7 4 6 15" xfId="32957"/>
    <cellStyle name="Normale 7 4 6 16" xfId="33896"/>
    <cellStyle name="Normale 7 4 6 17" xfId="34826"/>
    <cellStyle name="Normale 7 4 6 18" xfId="35752"/>
    <cellStyle name="Normale 7 4 6 19" xfId="36678"/>
    <cellStyle name="Normale 7 4 6 2" xfId="1463"/>
    <cellStyle name="Normale 7 4 6 2 2" xfId="8926"/>
    <cellStyle name="Normale 7 4 6 2 3" xfId="16334"/>
    <cellStyle name="Normale 7 4 6 2 4" xfId="25685"/>
    <cellStyle name="Normale 7 4 6 20" xfId="37596"/>
    <cellStyle name="Normale 7 4 6 3" xfId="2394"/>
    <cellStyle name="Normale 7 4 6 3 2" xfId="9857"/>
    <cellStyle name="Normale 7 4 6 3 3" xfId="17265"/>
    <cellStyle name="Normale 7 4 6 3 4" xfId="24308"/>
    <cellStyle name="Normale 7 4 6 4" xfId="3316"/>
    <cellStyle name="Normale 7 4 6 4 2" xfId="10779"/>
    <cellStyle name="Normale 7 4 6 4 3" xfId="18187"/>
    <cellStyle name="Normale 7 4 6 4 4" xfId="25058"/>
    <cellStyle name="Normale 7 4 6 5" xfId="4249"/>
    <cellStyle name="Normale 7 4 6 5 2" xfId="11712"/>
    <cellStyle name="Normale 7 4 6 5 3" xfId="19120"/>
    <cellStyle name="Normale 7 4 6 5 4" xfId="25993"/>
    <cellStyle name="Normale 7 4 6 6" xfId="5172"/>
    <cellStyle name="Normale 7 4 6 6 2" xfId="12635"/>
    <cellStyle name="Normale 7 4 6 6 3" xfId="20043"/>
    <cellStyle name="Normale 7 4 6 6 4" xfId="28107"/>
    <cellStyle name="Normale 7 4 6 7" xfId="6100"/>
    <cellStyle name="Normale 7 4 6 7 2" xfId="13563"/>
    <cellStyle name="Normale 7 4 6 7 3" xfId="20971"/>
    <cellStyle name="Normale 7 4 6 7 4" xfId="22373"/>
    <cellStyle name="Normale 7 4 6 8" xfId="7018"/>
    <cellStyle name="Normale 7 4 6 8 2" xfId="14481"/>
    <cellStyle name="Normale 7 4 6 8 3" xfId="21889"/>
    <cellStyle name="Normale 7 4 6 8 4" xfId="25072"/>
    <cellStyle name="Normale 7 4 6 9" xfId="7959"/>
    <cellStyle name="Normale 7 4 7" xfId="542"/>
    <cellStyle name="Normale 7 4 7 10" xfId="15415"/>
    <cellStyle name="Normale 7 4 7 11" xfId="25106"/>
    <cellStyle name="Normale 7 4 7 12" xfId="30226"/>
    <cellStyle name="Normale 7 4 7 13" xfId="31159"/>
    <cellStyle name="Normale 7 4 7 14" xfId="32079"/>
    <cellStyle name="Normale 7 4 7 15" xfId="33001"/>
    <cellStyle name="Normale 7 4 7 16" xfId="33942"/>
    <cellStyle name="Normale 7 4 7 17" xfId="34872"/>
    <cellStyle name="Normale 7 4 7 18" xfId="35798"/>
    <cellStyle name="Normale 7 4 7 19" xfId="36724"/>
    <cellStyle name="Normale 7 4 7 2" xfId="1509"/>
    <cellStyle name="Normale 7 4 7 2 2" xfId="8972"/>
    <cellStyle name="Normale 7 4 7 2 3" xfId="16380"/>
    <cellStyle name="Normale 7 4 7 2 4" xfId="27502"/>
    <cellStyle name="Normale 7 4 7 20" xfId="37640"/>
    <cellStyle name="Normale 7 4 7 3" xfId="2440"/>
    <cellStyle name="Normale 7 4 7 3 2" xfId="9903"/>
    <cellStyle name="Normale 7 4 7 3 3" xfId="17311"/>
    <cellStyle name="Normale 7 4 7 3 4" xfId="26868"/>
    <cellStyle name="Normale 7 4 7 4" xfId="3361"/>
    <cellStyle name="Normale 7 4 7 4 2" xfId="10824"/>
    <cellStyle name="Normale 7 4 7 4 3" xfId="18232"/>
    <cellStyle name="Normale 7 4 7 4 4" xfId="26019"/>
    <cellStyle name="Normale 7 4 7 5" xfId="4295"/>
    <cellStyle name="Normale 7 4 7 5 2" xfId="11758"/>
    <cellStyle name="Normale 7 4 7 5 3" xfId="19166"/>
    <cellStyle name="Normale 7 4 7 5 4" xfId="24733"/>
    <cellStyle name="Normale 7 4 7 6" xfId="5217"/>
    <cellStyle name="Normale 7 4 7 6 2" xfId="12680"/>
    <cellStyle name="Normale 7 4 7 6 3" xfId="20088"/>
    <cellStyle name="Normale 7 4 7 6 4" xfId="23805"/>
    <cellStyle name="Normale 7 4 7 7" xfId="6146"/>
    <cellStyle name="Normale 7 4 7 7 2" xfId="13609"/>
    <cellStyle name="Normale 7 4 7 7 3" xfId="21017"/>
    <cellStyle name="Normale 7 4 7 7 4" xfId="25057"/>
    <cellStyle name="Normale 7 4 7 8" xfId="7062"/>
    <cellStyle name="Normale 7 4 7 8 2" xfId="14525"/>
    <cellStyle name="Normale 7 4 7 8 3" xfId="21933"/>
    <cellStyle name="Normale 7 4 7 8 4" xfId="28291"/>
    <cellStyle name="Normale 7 4 7 9" xfId="8005"/>
    <cellStyle name="Normale 7 4 8" xfId="596"/>
    <cellStyle name="Normale 7 4 8 10" xfId="15469"/>
    <cellStyle name="Normale 7 4 8 11" xfId="23781"/>
    <cellStyle name="Normale 7 4 8 12" xfId="30279"/>
    <cellStyle name="Normale 7 4 8 13" xfId="31213"/>
    <cellStyle name="Normale 7 4 8 14" xfId="32132"/>
    <cellStyle name="Normale 7 4 8 15" xfId="33053"/>
    <cellStyle name="Normale 7 4 8 16" xfId="33996"/>
    <cellStyle name="Normale 7 4 8 17" xfId="34926"/>
    <cellStyle name="Normale 7 4 8 18" xfId="35852"/>
    <cellStyle name="Normale 7 4 8 19" xfId="36778"/>
    <cellStyle name="Normale 7 4 8 2" xfId="1563"/>
    <cellStyle name="Normale 7 4 8 2 2" xfId="9026"/>
    <cellStyle name="Normale 7 4 8 2 3" xfId="16434"/>
    <cellStyle name="Normale 7 4 8 2 4" xfId="28920"/>
    <cellStyle name="Normale 7 4 8 20" xfId="37692"/>
    <cellStyle name="Normale 7 4 8 3" xfId="2494"/>
    <cellStyle name="Normale 7 4 8 3 2" xfId="9957"/>
    <cellStyle name="Normale 7 4 8 3 3" xfId="17365"/>
    <cellStyle name="Normale 7 4 8 3 4" xfId="28273"/>
    <cellStyle name="Normale 7 4 8 4" xfId="3414"/>
    <cellStyle name="Normale 7 4 8 4 2" xfId="10877"/>
    <cellStyle name="Normale 7 4 8 4 3" xfId="18285"/>
    <cellStyle name="Normale 7 4 8 4 4" xfId="27044"/>
    <cellStyle name="Normale 7 4 8 5" xfId="4349"/>
    <cellStyle name="Normale 7 4 8 5 2" xfId="11812"/>
    <cellStyle name="Normale 7 4 8 5 3" xfId="19220"/>
    <cellStyle name="Normale 7 4 8 5 4" xfId="26099"/>
    <cellStyle name="Normale 7 4 8 6" xfId="5270"/>
    <cellStyle name="Normale 7 4 8 6 2" xfId="12733"/>
    <cellStyle name="Normale 7 4 8 6 3" xfId="20141"/>
    <cellStyle name="Normale 7 4 8 6 4" xfId="26077"/>
    <cellStyle name="Normale 7 4 8 7" xfId="6200"/>
    <cellStyle name="Normale 7 4 8 7 2" xfId="13663"/>
    <cellStyle name="Normale 7 4 8 7 3" xfId="21071"/>
    <cellStyle name="Normale 7 4 8 7 4" xfId="26466"/>
    <cellStyle name="Normale 7 4 8 8" xfId="7114"/>
    <cellStyle name="Normale 7 4 8 8 2" xfId="14577"/>
    <cellStyle name="Normale 7 4 8 8 3" xfId="21985"/>
    <cellStyle name="Normale 7 4 8 8 4" xfId="15710"/>
    <cellStyle name="Normale 7 4 8 9" xfId="8059"/>
    <cellStyle name="Normale 7 4 9" xfId="654"/>
    <cellStyle name="Normale 7 4 9 10" xfId="15526"/>
    <cellStyle name="Normale 7 4 9 11" xfId="28031"/>
    <cellStyle name="Normale 7 4 9 12" xfId="30333"/>
    <cellStyle name="Normale 7 4 9 13" xfId="31270"/>
    <cellStyle name="Normale 7 4 9 14" xfId="32187"/>
    <cellStyle name="Normale 7 4 9 15" xfId="33106"/>
    <cellStyle name="Normale 7 4 9 16" xfId="34053"/>
    <cellStyle name="Normale 7 4 9 17" xfId="34984"/>
    <cellStyle name="Normale 7 4 9 18" xfId="35910"/>
    <cellStyle name="Normale 7 4 9 19" xfId="36835"/>
    <cellStyle name="Normale 7 4 9 2" xfId="1620"/>
    <cellStyle name="Normale 7 4 9 2 2" xfId="9083"/>
    <cellStyle name="Normale 7 4 9 2 3" xfId="16491"/>
    <cellStyle name="Normale 7 4 9 2 4" xfId="28632"/>
    <cellStyle name="Normale 7 4 9 20" xfId="37745"/>
    <cellStyle name="Normale 7 4 9 3" xfId="2552"/>
    <cellStyle name="Normale 7 4 9 3 2" xfId="10015"/>
    <cellStyle name="Normale 7 4 9 3 3" xfId="17423"/>
    <cellStyle name="Normale 7 4 9 3 4" xfId="25416"/>
    <cellStyle name="Normale 7 4 9 4" xfId="3470"/>
    <cellStyle name="Normale 7 4 9 4 2" xfId="10933"/>
    <cellStyle name="Normale 7 4 9 4 3" xfId="18341"/>
    <cellStyle name="Normale 7 4 9 4 4" xfId="28267"/>
    <cellStyle name="Normale 7 4 9 5" xfId="4407"/>
    <cellStyle name="Normale 7 4 9 5 2" xfId="11870"/>
    <cellStyle name="Normale 7 4 9 5 3" xfId="19278"/>
    <cellStyle name="Normale 7 4 9 5 4" xfId="24940"/>
    <cellStyle name="Normale 7 4 9 6" xfId="5325"/>
    <cellStyle name="Normale 7 4 9 6 2" xfId="12788"/>
    <cellStyle name="Normale 7 4 9 6 3" xfId="20196"/>
    <cellStyle name="Normale 7 4 9 6 4" xfId="27682"/>
    <cellStyle name="Normale 7 4 9 7" xfId="6258"/>
    <cellStyle name="Normale 7 4 9 7 2" xfId="13721"/>
    <cellStyle name="Normale 7 4 9 7 3" xfId="21129"/>
    <cellStyle name="Normale 7 4 9 7 4" xfId="23294"/>
    <cellStyle name="Normale 7 4 9 8" xfId="7167"/>
    <cellStyle name="Normale 7 4 9 8 2" xfId="14630"/>
    <cellStyle name="Normale 7 4 9 8 3" xfId="22038"/>
    <cellStyle name="Normale 7 4 9 8 4" xfId="28450"/>
    <cellStyle name="Normale 7 4 9 9" xfId="8117"/>
    <cellStyle name="Normale 7 5" xfId="196"/>
    <cellStyle name="Normale 7 5 10" xfId="1167"/>
    <cellStyle name="Normale 7 5 10 2" xfId="8630"/>
    <cellStyle name="Normale 7 5 10 3" xfId="16038"/>
    <cellStyle name="Normale 7 5 10 4" xfId="27848"/>
    <cellStyle name="Normale 7 5 11" xfId="2096"/>
    <cellStyle name="Normale 7 5 11 2" xfId="9559"/>
    <cellStyle name="Normale 7 5 11 3" xfId="16967"/>
    <cellStyle name="Normale 7 5 11 4" xfId="28187"/>
    <cellStyle name="Normale 7 5 12" xfId="3020"/>
    <cellStyle name="Normale 7 5 12 2" xfId="10483"/>
    <cellStyle name="Normale 7 5 12 3" xfId="17891"/>
    <cellStyle name="Normale 7 5 12 4" xfId="28623"/>
    <cellStyle name="Normale 7 5 13" xfId="3951"/>
    <cellStyle name="Normale 7 5 13 2" xfId="11414"/>
    <cellStyle name="Normale 7 5 13 3" xfId="18822"/>
    <cellStyle name="Normale 7 5 13 4" xfId="27656"/>
    <cellStyle name="Normale 7 5 14" xfId="4876"/>
    <cellStyle name="Normale 7 5 14 2" xfId="12339"/>
    <cellStyle name="Normale 7 5 14 3" xfId="19747"/>
    <cellStyle name="Normale 7 5 14 4" xfId="23142"/>
    <cellStyle name="Normale 7 5 15" xfId="5804"/>
    <cellStyle name="Normale 7 5 15 2" xfId="13267"/>
    <cellStyle name="Normale 7 5 15 3" xfId="20675"/>
    <cellStyle name="Normale 7 5 15 4" xfId="24836"/>
    <cellStyle name="Normale 7 5 16" xfId="6725"/>
    <cellStyle name="Normale 7 5 16 2" xfId="14188"/>
    <cellStyle name="Normale 7 5 16 3" xfId="21596"/>
    <cellStyle name="Normale 7 5 16 4" xfId="27638"/>
    <cellStyle name="Normale 7 5 17" xfId="7661"/>
    <cellStyle name="Normale 7 5 18" xfId="15070"/>
    <cellStyle name="Normale 7 5 19" xfId="27586"/>
    <cellStyle name="Normale 7 5 2" xfId="197"/>
    <cellStyle name="Normale 7 5 2 10" xfId="7662"/>
    <cellStyle name="Normale 7 5 2 11" xfId="15071"/>
    <cellStyle name="Normale 7 5 2 12" xfId="26682"/>
    <cellStyle name="Normale 7 5 2 13" xfId="29886"/>
    <cellStyle name="Normale 7 5 2 14" xfId="30818"/>
    <cellStyle name="Normale 7 5 2 15" xfId="31739"/>
    <cellStyle name="Normale 7 5 2 16" xfId="32665"/>
    <cellStyle name="Normale 7 5 2 17" xfId="33601"/>
    <cellStyle name="Normale 7 5 2 18" xfId="34529"/>
    <cellStyle name="Normale 7 5 2 19" xfId="35457"/>
    <cellStyle name="Normale 7 5 2 2" xfId="393"/>
    <cellStyle name="Normale 7 5 2 2 10" xfId="15266"/>
    <cellStyle name="Normale 7 5 2 2 11" xfId="28949"/>
    <cellStyle name="Normale 7 5 2 2 12" xfId="30078"/>
    <cellStyle name="Normale 7 5 2 2 13" xfId="31010"/>
    <cellStyle name="Normale 7 5 2 2 14" xfId="31931"/>
    <cellStyle name="Normale 7 5 2 2 15" xfId="32856"/>
    <cellStyle name="Normale 7 5 2 2 16" xfId="33793"/>
    <cellStyle name="Normale 7 5 2 2 17" xfId="34723"/>
    <cellStyle name="Normale 7 5 2 2 18" xfId="35649"/>
    <cellStyle name="Normale 7 5 2 2 19" xfId="36575"/>
    <cellStyle name="Normale 7 5 2 2 2" xfId="1360"/>
    <cellStyle name="Normale 7 5 2 2 2 2" xfId="8823"/>
    <cellStyle name="Normale 7 5 2 2 2 3" xfId="16231"/>
    <cellStyle name="Normale 7 5 2 2 2 4" xfId="24514"/>
    <cellStyle name="Normale 7 5 2 2 20" xfId="37495"/>
    <cellStyle name="Normale 7 5 2 2 3" xfId="2291"/>
    <cellStyle name="Normale 7 5 2 2 3 2" xfId="9754"/>
    <cellStyle name="Normale 7 5 2 2 3 3" xfId="17162"/>
    <cellStyle name="Normale 7 5 2 2 3 4" xfId="23395"/>
    <cellStyle name="Normale 7 5 2 2 4" xfId="3213"/>
    <cellStyle name="Normale 7 5 2 2 4 2" xfId="10676"/>
    <cellStyle name="Normale 7 5 2 2 4 3" xfId="18084"/>
    <cellStyle name="Normale 7 5 2 2 4 4" xfId="27547"/>
    <cellStyle name="Normale 7 5 2 2 5" xfId="4146"/>
    <cellStyle name="Normale 7 5 2 2 5 2" xfId="11609"/>
    <cellStyle name="Normale 7 5 2 2 5 3" xfId="19017"/>
    <cellStyle name="Normale 7 5 2 2 5 4" xfId="24793"/>
    <cellStyle name="Normale 7 5 2 2 6" xfId="5069"/>
    <cellStyle name="Normale 7 5 2 2 6 2" xfId="12532"/>
    <cellStyle name="Normale 7 5 2 2 6 3" xfId="19940"/>
    <cellStyle name="Normale 7 5 2 2 6 4" xfId="29688"/>
    <cellStyle name="Normale 7 5 2 2 7" xfId="5997"/>
    <cellStyle name="Normale 7 5 2 2 7 2" xfId="13460"/>
    <cellStyle name="Normale 7 5 2 2 7 3" xfId="20868"/>
    <cellStyle name="Normale 7 5 2 2 7 4" xfId="28809"/>
    <cellStyle name="Normale 7 5 2 2 8" xfId="6917"/>
    <cellStyle name="Normale 7 5 2 2 8 2" xfId="14380"/>
    <cellStyle name="Normale 7 5 2 2 8 3" xfId="21788"/>
    <cellStyle name="Normale 7 5 2 2 8 4" xfId="27600"/>
    <cellStyle name="Normale 7 5 2 2 9" xfId="7856"/>
    <cellStyle name="Normale 7 5 2 20" xfId="36383"/>
    <cellStyle name="Normale 7 5 2 21" xfId="37304"/>
    <cellStyle name="Normale 7 5 2 3" xfId="1168"/>
    <cellStyle name="Normale 7 5 2 3 2" xfId="8631"/>
    <cellStyle name="Normale 7 5 2 3 3" xfId="16039"/>
    <cellStyle name="Normale 7 5 2 3 4" xfId="26945"/>
    <cellStyle name="Normale 7 5 2 4" xfId="2097"/>
    <cellStyle name="Normale 7 5 2 4 2" xfId="9560"/>
    <cellStyle name="Normale 7 5 2 4 3" xfId="16968"/>
    <cellStyle name="Normale 7 5 2 4 4" xfId="27265"/>
    <cellStyle name="Normale 7 5 2 5" xfId="3021"/>
    <cellStyle name="Normale 7 5 2 5 2" xfId="10484"/>
    <cellStyle name="Normale 7 5 2 5 3" xfId="17892"/>
    <cellStyle name="Normale 7 5 2 5 4" xfId="27696"/>
    <cellStyle name="Normale 7 5 2 6" xfId="3952"/>
    <cellStyle name="Normale 7 5 2 6 2" xfId="11415"/>
    <cellStyle name="Normale 7 5 2 6 3" xfId="18823"/>
    <cellStyle name="Normale 7 5 2 6 4" xfId="26752"/>
    <cellStyle name="Normale 7 5 2 7" xfId="4877"/>
    <cellStyle name="Normale 7 5 2 7 2" xfId="12340"/>
    <cellStyle name="Normale 7 5 2 7 3" xfId="19748"/>
    <cellStyle name="Normale 7 5 2 7 4" xfId="29571"/>
    <cellStyle name="Normale 7 5 2 8" xfId="5805"/>
    <cellStyle name="Normale 7 5 2 8 2" xfId="13268"/>
    <cellStyle name="Normale 7 5 2 8 3" xfId="20676"/>
    <cellStyle name="Normale 7 5 2 8 4" xfId="23911"/>
    <cellStyle name="Normale 7 5 2 9" xfId="6726"/>
    <cellStyle name="Normale 7 5 2 9 2" xfId="14189"/>
    <cellStyle name="Normale 7 5 2 9 3" xfId="21597"/>
    <cellStyle name="Normale 7 5 2 9 4" xfId="26734"/>
    <cellStyle name="Normale 7 5 20" xfId="29885"/>
    <cellStyle name="Normale 7 5 21" xfId="30817"/>
    <cellStyle name="Normale 7 5 22" xfId="31738"/>
    <cellStyle name="Normale 7 5 23" xfId="32664"/>
    <cellStyle name="Normale 7 5 24" xfId="33600"/>
    <cellStyle name="Normale 7 5 25" xfId="34528"/>
    <cellStyle name="Normale 7 5 26" xfId="35456"/>
    <cellStyle name="Normale 7 5 27" xfId="36382"/>
    <cellStyle name="Normale 7 5 28" xfId="37303"/>
    <cellStyle name="Normale 7 5 3" xfId="392"/>
    <cellStyle name="Normale 7 5 3 10" xfId="15265"/>
    <cellStyle name="Normale 7 5 3 11" xfId="22519"/>
    <cellStyle name="Normale 7 5 3 12" xfId="30077"/>
    <cellStyle name="Normale 7 5 3 13" xfId="31009"/>
    <cellStyle name="Normale 7 5 3 14" xfId="31930"/>
    <cellStyle name="Normale 7 5 3 15" xfId="32855"/>
    <cellStyle name="Normale 7 5 3 16" xfId="33792"/>
    <cellStyle name="Normale 7 5 3 17" xfId="34722"/>
    <cellStyle name="Normale 7 5 3 18" xfId="35648"/>
    <cellStyle name="Normale 7 5 3 19" xfId="36574"/>
    <cellStyle name="Normale 7 5 3 2" xfId="1359"/>
    <cellStyle name="Normale 7 5 3 2 2" xfId="8822"/>
    <cellStyle name="Normale 7 5 3 2 3" xfId="16230"/>
    <cellStyle name="Normale 7 5 3 2 4" xfId="25430"/>
    <cellStyle name="Normale 7 5 3 20" xfId="37494"/>
    <cellStyle name="Normale 7 5 3 3" xfId="2290"/>
    <cellStyle name="Normale 7 5 3 3 2" xfId="9753"/>
    <cellStyle name="Normale 7 5 3 3 3" xfId="17161"/>
    <cellStyle name="Normale 7 5 3 3 4" xfId="24311"/>
    <cellStyle name="Normale 7 5 3 4" xfId="3212"/>
    <cellStyle name="Normale 7 5 3 4 2" xfId="10675"/>
    <cellStyle name="Normale 7 5 3 4 3" xfId="18083"/>
    <cellStyle name="Normale 7 5 3 4 4" xfId="28474"/>
    <cellStyle name="Normale 7 5 3 5" xfId="4145"/>
    <cellStyle name="Normale 7 5 3 5 2" xfId="11608"/>
    <cellStyle name="Normale 7 5 3 5 3" xfId="19016"/>
    <cellStyle name="Normale 7 5 3 5 4" xfId="25705"/>
    <cellStyle name="Normale 7 5 3 6" xfId="5068"/>
    <cellStyle name="Normale 7 5 3 6 2" xfId="12531"/>
    <cellStyle name="Normale 7 5 3 6 3" xfId="19939"/>
    <cellStyle name="Normale 7 5 3 6 4" xfId="23256"/>
    <cellStyle name="Normale 7 5 3 7" xfId="5996"/>
    <cellStyle name="Normale 7 5 3 7 2" xfId="13459"/>
    <cellStyle name="Normale 7 5 3 7 3" xfId="20867"/>
    <cellStyle name="Normale 7 5 3 7 4" xfId="22378"/>
    <cellStyle name="Normale 7 5 3 8" xfId="6916"/>
    <cellStyle name="Normale 7 5 3 8 2" xfId="14379"/>
    <cellStyle name="Normale 7 5 3 8 3" xfId="21787"/>
    <cellStyle name="Normale 7 5 3 8 4" xfId="28526"/>
    <cellStyle name="Normale 7 5 3 9" xfId="7855"/>
    <cellStyle name="Normale 7 5 4" xfId="605"/>
    <cellStyle name="Normale 7 5 4 10" xfId="15478"/>
    <cellStyle name="Normale 7 5 4 11" xfId="22765"/>
    <cellStyle name="Normale 7 5 4 12" xfId="30287"/>
    <cellStyle name="Normale 7 5 4 13" xfId="31222"/>
    <cellStyle name="Normale 7 5 4 14" xfId="32140"/>
    <cellStyle name="Normale 7 5 4 15" xfId="33060"/>
    <cellStyle name="Normale 7 5 4 16" xfId="34005"/>
    <cellStyle name="Normale 7 5 4 17" xfId="34935"/>
    <cellStyle name="Normale 7 5 4 18" xfId="35861"/>
    <cellStyle name="Normale 7 5 4 19" xfId="36787"/>
    <cellStyle name="Normale 7 5 4 2" xfId="1572"/>
    <cellStyle name="Normale 7 5 4 2 2" xfId="9035"/>
    <cellStyle name="Normale 7 5 4 2 3" xfId="16443"/>
    <cellStyle name="Normale 7 5 4 2 4" xfId="28199"/>
    <cellStyle name="Normale 7 5 4 20" xfId="37699"/>
    <cellStyle name="Normale 7 5 4 3" xfId="2503"/>
    <cellStyle name="Normale 7 5 4 3 2" xfId="9966"/>
    <cellStyle name="Normale 7 5 4 3 3" xfId="17374"/>
    <cellStyle name="Normale 7 5 4 3 4" xfId="27251"/>
    <cellStyle name="Normale 7 5 4 4" xfId="3422"/>
    <cellStyle name="Normale 7 5 4 4 2" xfId="10885"/>
    <cellStyle name="Normale 7 5 4 4 3" xfId="18293"/>
    <cellStyle name="Normale 7 5 4 4 4" xfId="27232"/>
    <cellStyle name="Normale 7 5 4 5" xfId="4358"/>
    <cellStyle name="Normale 7 5 4 5 2" xfId="11821"/>
    <cellStyle name="Normale 7 5 4 5 3" xfId="19229"/>
    <cellStyle name="Normale 7 5 4 5 4" xfId="25368"/>
    <cellStyle name="Normale 7 5 4 6" xfId="5278"/>
    <cellStyle name="Normale 7 5 4 6 2" xfId="12741"/>
    <cellStyle name="Normale 7 5 4 6 3" xfId="20149"/>
    <cellStyle name="Normale 7 5 4 6 4" xfId="26272"/>
    <cellStyle name="Normale 7 5 4 7" xfId="6209"/>
    <cellStyle name="Normale 7 5 4 7 2" xfId="13672"/>
    <cellStyle name="Normale 7 5 4 7 3" xfId="21080"/>
    <cellStyle name="Normale 7 5 4 7 4" xfId="25490"/>
    <cellStyle name="Normale 7 5 4 8" xfId="7121"/>
    <cellStyle name="Normale 7 5 4 8 2" xfId="14584"/>
    <cellStyle name="Normale 7 5 4 8 3" xfId="21992"/>
    <cellStyle name="Normale 7 5 4 8 4" xfId="23272"/>
    <cellStyle name="Normale 7 5 4 9" xfId="8068"/>
    <cellStyle name="Normale 7 5 5" xfId="661"/>
    <cellStyle name="Normale 7 5 5 10" xfId="15533"/>
    <cellStyle name="Normale 7 5 5 11" xfId="29133"/>
    <cellStyle name="Normale 7 5 5 12" xfId="30340"/>
    <cellStyle name="Normale 7 5 5 13" xfId="31277"/>
    <cellStyle name="Normale 7 5 5 14" xfId="32194"/>
    <cellStyle name="Normale 7 5 5 15" xfId="33113"/>
    <cellStyle name="Normale 7 5 5 16" xfId="34060"/>
    <cellStyle name="Normale 7 5 5 17" xfId="34991"/>
    <cellStyle name="Normale 7 5 5 18" xfId="35917"/>
    <cellStyle name="Normale 7 5 5 19" xfId="36842"/>
    <cellStyle name="Normale 7 5 5 2" xfId="1627"/>
    <cellStyle name="Normale 7 5 5 2 2" xfId="9090"/>
    <cellStyle name="Normale 7 5 5 2 3" xfId="16498"/>
    <cellStyle name="Normale 7 5 5 2 4" xfId="29454"/>
    <cellStyle name="Normale 7 5 5 20" xfId="37752"/>
    <cellStyle name="Normale 7 5 5 3" xfId="2559"/>
    <cellStyle name="Normale 7 5 5 3 2" xfId="10022"/>
    <cellStyle name="Normale 7 5 5 3 3" xfId="17430"/>
    <cellStyle name="Normale 7 5 5 3 4" xfId="27063"/>
    <cellStyle name="Normale 7 5 5 4" xfId="3477"/>
    <cellStyle name="Normale 7 5 5 4 2" xfId="10940"/>
    <cellStyle name="Normale 7 5 5 4 3" xfId="18348"/>
    <cellStyle name="Normale 7 5 5 4 4" xfId="29059"/>
    <cellStyle name="Normale 7 5 5 5" xfId="4414"/>
    <cellStyle name="Normale 7 5 5 5 2" xfId="11877"/>
    <cellStyle name="Normale 7 5 5 5 3" xfId="19285"/>
    <cellStyle name="Normale 7 5 5 5 4" xfId="25780"/>
    <cellStyle name="Normale 7 5 5 6" xfId="5332"/>
    <cellStyle name="Normale 7 5 5 6 2" xfId="12795"/>
    <cellStyle name="Normale 7 5 5 6 3" xfId="20203"/>
    <cellStyle name="Normale 7 5 5 6 4" xfId="28537"/>
    <cellStyle name="Normale 7 5 5 7" xfId="6265"/>
    <cellStyle name="Normale 7 5 5 7 2" xfId="13728"/>
    <cellStyle name="Normale 7 5 5 7 3" xfId="21136"/>
    <cellStyle name="Normale 7 5 5 7 4" xfId="24405"/>
    <cellStyle name="Normale 7 5 5 8" xfId="7174"/>
    <cellStyle name="Normale 7 5 5 8 2" xfId="14637"/>
    <cellStyle name="Normale 7 5 5 8 3" xfId="22045"/>
    <cellStyle name="Normale 7 5 5 8 4" xfId="25669"/>
    <cellStyle name="Normale 7 5 5 9" xfId="8124"/>
    <cellStyle name="Normale 7 5 6" xfId="745"/>
    <cellStyle name="Normale 7 5 6 10" xfId="15616"/>
    <cellStyle name="Normale 7 5 6 11" xfId="29386"/>
    <cellStyle name="Normale 7 5 6 12" xfId="30419"/>
    <cellStyle name="Normale 7 5 6 13" xfId="31360"/>
    <cellStyle name="Normale 7 5 6 14" xfId="32273"/>
    <cellStyle name="Normale 7 5 6 15" xfId="33190"/>
    <cellStyle name="Normale 7 5 6 16" xfId="34143"/>
    <cellStyle name="Normale 7 5 6 17" xfId="35075"/>
    <cellStyle name="Normale 7 5 6 18" xfId="36001"/>
    <cellStyle name="Normale 7 5 6 19" xfId="36926"/>
    <cellStyle name="Normale 7 5 6 2" xfId="1710"/>
    <cellStyle name="Normale 7 5 6 2 2" xfId="9173"/>
    <cellStyle name="Normale 7 5 6 2 3" xfId="16581"/>
    <cellStyle name="Normale 7 5 6 2 4" xfId="26363"/>
    <cellStyle name="Normale 7 5 6 20" xfId="37829"/>
    <cellStyle name="Normale 7 5 6 3" xfId="2643"/>
    <cellStyle name="Normale 7 5 6 3 2" xfId="10106"/>
    <cellStyle name="Normale 7 5 6 3 3" xfId="17514"/>
    <cellStyle name="Normale 7 5 6 3 4" xfId="24141"/>
    <cellStyle name="Normale 7 5 6 4" xfId="3559"/>
    <cellStyle name="Normale 7 5 6 4 2" xfId="11022"/>
    <cellStyle name="Normale 7 5 6 4 3" xfId="18430"/>
    <cellStyle name="Normale 7 5 6 4 4" xfId="27692"/>
    <cellStyle name="Normale 7 5 6 5" xfId="4498"/>
    <cellStyle name="Normale 7 5 6 5 2" xfId="11961"/>
    <cellStyle name="Normale 7 5 6 5 3" xfId="19369"/>
    <cellStyle name="Normale 7 5 6 5 4" xfId="26967"/>
    <cellStyle name="Normale 7 5 6 6" xfId="5414"/>
    <cellStyle name="Normale 7 5 6 6 2" xfId="12877"/>
    <cellStyle name="Normale 7 5 6 6 3" xfId="20285"/>
    <cellStyle name="Normale 7 5 6 6 4" xfId="26268"/>
    <cellStyle name="Normale 7 5 6 7" xfId="6347"/>
    <cellStyle name="Normale 7 5 6 7 2" xfId="13810"/>
    <cellStyle name="Normale 7 5 6 7 3" xfId="21218"/>
    <cellStyle name="Normale 7 5 6 7 4" xfId="24202"/>
    <cellStyle name="Normale 7 5 6 8" xfId="7251"/>
    <cellStyle name="Normale 7 5 6 8 2" xfId="14714"/>
    <cellStyle name="Normale 7 5 6 8 3" xfId="22122"/>
    <cellStyle name="Normale 7 5 6 8 4" xfId="26552"/>
    <cellStyle name="Normale 7 5 6 9" xfId="8208"/>
    <cellStyle name="Normale 7 5 7" xfId="816"/>
    <cellStyle name="Normale 7 5 7 10" xfId="15687"/>
    <cellStyle name="Normale 7 5 7 11" xfId="28594"/>
    <cellStyle name="Normale 7 5 7 12" xfId="30488"/>
    <cellStyle name="Normale 7 5 7 13" xfId="31431"/>
    <cellStyle name="Normale 7 5 7 14" xfId="32343"/>
    <cellStyle name="Normale 7 5 7 15" xfId="33259"/>
    <cellStyle name="Normale 7 5 7 16" xfId="34214"/>
    <cellStyle name="Normale 7 5 7 17" xfId="35146"/>
    <cellStyle name="Normale 7 5 7 18" xfId="36072"/>
    <cellStyle name="Normale 7 5 7 19" xfId="36997"/>
    <cellStyle name="Normale 7 5 7 2" xfId="1781"/>
    <cellStyle name="Normale 7 5 7 2 2" xfId="9244"/>
    <cellStyle name="Normale 7 5 7 2 3" xfId="16652"/>
    <cellStyle name="Normale 7 5 7 2 4" xfId="24808"/>
    <cellStyle name="Normale 7 5 7 20" xfId="37898"/>
    <cellStyle name="Normale 7 5 7 3" xfId="2714"/>
    <cellStyle name="Normale 7 5 7 3 2" xfId="10177"/>
    <cellStyle name="Normale 7 5 7 3 3" xfId="17585"/>
    <cellStyle name="Normale 7 5 7 3 4" xfId="22969"/>
    <cellStyle name="Normale 7 5 7 4" xfId="3629"/>
    <cellStyle name="Normale 7 5 7 4 2" xfId="11092"/>
    <cellStyle name="Normale 7 5 7 4 3" xfId="18500"/>
    <cellStyle name="Normale 7 5 7 4 4" xfId="28148"/>
    <cellStyle name="Normale 7 5 7 5" xfId="4569"/>
    <cellStyle name="Normale 7 5 7 5 2" xfId="12032"/>
    <cellStyle name="Normale 7 5 7 5 3" xfId="19440"/>
    <cellStyle name="Normale 7 5 7 5 4" xfId="25887"/>
    <cellStyle name="Normale 7 5 7 6" xfId="5484"/>
    <cellStyle name="Normale 7 5 7 6 2" xfId="12947"/>
    <cellStyle name="Normale 7 5 7 6 3" xfId="20355"/>
    <cellStyle name="Normale 7 5 7 6 4" xfId="25697"/>
    <cellStyle name="Normale 7 5 7 7" xfId="6418"/>
    <cellStyle name="Normale 7 5 7 7 2" xfId="13881"/>
    <cellStyle name="Normale 7 5 7 7 3" xfId="21289"/>
    <cellStyle name="Normale 7 5 7 7 4" xfId="23048"/>
    <cellStyle name="Normale 7 5 7 8" xfId="7320"/>
    <cellStyle name="Normale 7 5 7 8 2" xfId="14783"/>
    <cellStyle name="Normale 7 5 7 8 3" xfId="22191"/>
    <cellStyle name="Normale 7 5 7 8 4" xfId="23788"/>
    <cellStyle name="Normale 7 5 7 9" xfId="8279"/>
    <cellStyle name="Normale 7 5 8" xfId="887"/>
    <cellStyle name="Normale 7 5 8 10" xfId="15758"/>
    <cellStyle name="Normale 7 5 8 11" xfId="27516"/>
    <cellStyle name="Normale 7 5 8 12" xfId="30556"/>
    <cellStyle name="Normale 7 5 8 13" xfId="31502"/>
    <cellStyle name="Normale 7 5 8 14" xfId="32413"/>
    <cellStyle name="Normale 7 5 8 15" xfId="33325"/>
    <cellStyle name="Normale 7 5 8 16" xfId="34285"/>
    <cellStyle name="Normale 7 5 8 17" xfId="35217"/>
    <cellStyle name="Normale 7 5 8 18" xfId="36143"/>
    <cellStyle name="Normale 7 5 8 19" xfId="37068"/>
    <cellStyle name="Normale 7 5 8 2" xfId="1852"/>
    <cellStyle name="Normale 7 5 8 2 2" xfId="9315"/>
    <cellStyle name="Normale 7 5 8 2 3" xfId="16723"/>
    <cellStyle name="Normale 7 5 8 2 4" xfId="25432"/>
    <cellStyle name="Normale 7 5 8 20" xfId="37964"/>
    <cellStyle name="Normale 7 5 8 3" xfId="2785"/>
    <cellStyle name="Normale 7 5 8 3 2" xfId="10248"/>
    <cellStyle name="Normale 7 5 8 3 3" xfId="17656"/>
    <cellStyle name="Normale 7 5 8 3 4" xfId="23768"/>
    <cellStyle name="Normale 7 5 8 4" xfId="3699"/>
    <cellStyle name="Normale 7 5 8 4 2" xfId="11162"/>
    <cellStyle name="Normale 7 5 8 4 3" xfId="18570"/>
    <cellStyle name="Normale 7 5 8 4 4" xfId="24019"/>
    <cellStyle name="Normale 7 5 8 5" xfId="4640"/>
    <cellStyle name="Normale 7 5 8 5 2" xfId="12103"/>
    <cellStyle name="Normale 7 5 8 5 3" xfId="19511"/>
    <cellStyle name="Normale 7 5 8 5 4" xfId="26575"/>
    <cellStyle name="Normale 7 5 8 6" xfId="5554"/>
    <cellStyle name="Normale 7 5 8 6 2" xfId="13017"/>
    <cellStyle name="Normale 7 5 8 6 3" xfId="20425"/>
    <cellStyle name="Normale 7 5 8 6 4" xfId="27174"/>
    <cellStyle name="Normale 7 5 8 7" xfId="6489"/>
    <cellStyle name="Normale 7 5 8 7 2" xfId="13952"/>
    <cellStyle name="Normale 7 5 8 7 3" xfId="21360"/>
    <cellStyle name="Normale 7 5 8 7 4" xfId="23797"/>
    <cellStyle name="Normale 7 5 8 8" xfId="7386"/>
    <cellStyle name="Normale 7 5 8 8 2" xfId="14849"/>
    <cellStyle name="Normale 7 5 8 8 3" xfId="22257"/>
    <cellStyle name="Normale 7 5 8 8 4" xfId="27879"/>
    <cellStyle name="Normale 7 5 8 9" xfId="8350"/>
    <cellStyle name="Normale 7 5 9" xfId="954"/>
    <cellStyle name="Normale 7 5 9 10" xfId="15825"/>
    <cellStyle name="Normale 7 5 9 11" xfId="24654"/>
    <cellStyle name="Normale 7 5 9 12" xfId="30620"/>
    <cellStyle name="Normale 7 5 9 13" xfId="31568"/>
    <cellStyle name="Normale 7 5 9 14" xfId="32479"/>
    <cellStyle name="Normale 7 5 9 15" xfId="33389"/>
    <cellStyle name="Normale 7 5 9 16" xfId="34352"/>
    <cellStyle name="Normale 7 5 9 17" xfId="35284"/>
    <cellStyle name="Normale 7 5 9 18" xfId="36209"/>
    <cellStyle name="Normale 7 5 9 19" xfId="37135"/>
    <cellStyle name="Normale 7 5 9 2" xfId="1919"/>
    <cellStyle name="Normale 7 5 9 2 2" xfId="9382"/>
    <cellStyle name="Normale 7 5 9 2 3" xfId="16790"/>
    <cellStyle name="Normale 7 5 9 2 4" xfId="26007"/>
    <cellStyle name="Normale 7 5 9 20" xfId="38028"/>
    <cellStyle name="Normale 7 5 9 3" xfId="2851"/>
    <cellStyle name="Normale 7 5 9 3 2" xfId="10314"/>
    <cellStyle name="Normale 7 5 9 3 3" xfId="17722"/>
    <cellStyle name="Normale 7 5 9 3 4" xfId="28168"/>
    <cellStyle name="Normale 7 5 9 4" xfId="3766"/>
    <cellStyle name="Normale 7 5 9 4 2" xfId="11229"/>
    <cellStyle name="Normale 7 5 9 4 3" xfId="18637"/>
    <cellStyle name="Normale 7 5 9 4 4" xfId="27222"/>
    <cellStyle name="Normale 7 5 9 5" xfId="4707"/>
    <cellStyle name="Normale 7 5 9 5 2" xfId="12170"/>
    <cellStyle name="Normale 7 5 9 5 3" xfId="19578"/>
    <cellStyle name="Normale 7 5 9 5 4" xfId="23525"/>
    <cellStyle name="Normale 7 5 9 6" xfId="5621"/>
    <cellStyle name="Normale 7 5 9 6 2" xfId="13084"/>
    <cellStyle name="Normale 7 5 9 6 3" xfId="20492"/>
    <cellStyle name="Normale 7 5 9 6 4" xfId="27715"/>
    <cellStyle name="Normale 7 5 9 7" xfId="6556"/>
    <cellStyle name="Normale 7 5 9 7 2" xfId="14019"/>
    <cellStyle name="Normale 7 5 9 7 3" xfId="21427"/>
    <cellStyle name="Normale 7 5 9 7 4" xfId="25910"/>
    <cellStyle name="Normale 7 5 9 8" xfId="7450"/>
    <cellStyle name="Normale 7 5 9 8 2" xfId="14913"/>
    <cellStyle name="Normale 7 5 9 8 3" xfId="22321"/>
    <cellStyle name="Normale 7 5 9 8 4" xfId="8069"/>
    <cellStyle name="Normale 7 5 9 9" xfId="8417"/>
    <cellStyle name="Normale 7 6" xfId="198"/>
    <cellStyle name="Normale 7 6 10" xfId="3022"/>
    <cellStyle name="Normale 7 6 10 2" xfId="10485"/>
    <cellStyle name="Normale 7 6 10 3" xfId="17893"/>
    <cellStyle name="Normale 7 6 10 4" xfId="26793"/>
    <cellStyle name="Normale 7 6 11" xfId="3953"/>
    <cellStyle name="Normale 7 6 11 2" xfId="11416"/>
    <cellStyle name="Normale 7 6 11 3" xfId="18824"/>
    <cellStyle name="Normale 7 6 11 4" xfId="25820"/>
    <cellStyle name="Normale 7 6 12" xfId="4878"/>
    <cellStyle name="Normale 7 6 12 2" xfId="12341"/>
    <cellStyle name="Normale 7 6 12 3" xfId="19749"/>
    <cellStyle name="Normale 7 6 12 4" xfId="28684"/>
    <cellStyle name="Normale 7 6 13" xfId="5806"/>
    <cellStyle name="Normale 7 6 13 2" xfId="13269"/>
    <cellStyle name="Normale 7 6 13 3" xfId="20677"/>
    <cellStyle name="Normale 7 6 13 4" xfId="22572"/>
    <cellStyle name="Normale 7 6 14" xfId="6727"/>
    <cellStyle name="Normale 7 6 14 2" xfId="14190"/>
    <cellStyle name="Normale 7 6 14 3" xfId="21598"/>
    <cellStyle name="Normale 7 6 14 4" xfId="25802"/>
    <cellStyle name="Normale 7 6 15" xfId="7663"/>
    <cellStyle name="Normale 7 6 16" xfId="15072"/>
    <cellStyle name="Normale 7 6 17" xfId="25750"/>
    <cellStyle name="Normale 7 6 18" xfId="29887"/>
    <cellStyle name="Normale 7 6 19" xfId="30819"/>
    <cellStyle name="Normale 7 6 2" xfId="394"/>
    <cellStyle name="Normale 7 6 2 10" xfId="15267"/>
    <cellStyle name="Normale 7 6 2 11" xfId="28037"/>
    <cellStyle name="Normale 7 6 2 12" xfId="30079"/>
    <cellStyle name="Normale 7 6 2 13" xfId="31011"/>
    <cellStyle name="Normale 7 6 2 14" xfId="31932"/>
    <cellStyle name="Normale 7 6 2 15" xfId="32857"/>
    <cellStyle name="Normale 7 6 2 16" xfId="33794"/>
    <cellStyle name="Normale 7 6 2 17" xfId="34724"/>
    <cellStyle name="Normale 7 6 2 18" xfId="35650"/>
    <cellStyle name="Normale 7 6 2 19" xfId="36576"/>
    <cellStyle name="Normale 7 6 2 2" xfId="1361"/>
    <cellStyle name="Normale 7 6 2 2 2" xfId="8824"/>
    <cellStyle name="Normale 7 6 2 2 3" xfId="16232"/>
    <cellStyle name="Normale 7 6 2 2 4" xfId="23594"/>
    <cellStyle name="Normale 7 6 2 20" xfId="37496"/>
    <cellStyle name="Normale 7 6 2 3" xfId="2292"/>
    <cellStyle name="Normale 7 6 2 3 2" xfId="9755"/>
    <cellStyle name="Normale 7 6 2 3 3" xfId="17163"/>
    <cellStyle name="Normale 7 6 2 3 4" xfId="23223"/>
    <cellStyle name="Normale 7 6 2 4" xfId="3214"/>
    <cellStyle name="Normale 7 6 2 4 2" xfId="10677"/>
    <cellStyle name="Normale 7 6 2 4 3" xfId="18085"/>
    <cellStyle name="Normale 7 6 2 4 4" xfId="26643"/>
    <cellStyle name="Normale 7 6 2 5" xfId="4147"/>
    <cellStyle name="Normale 7 6 2 5 2" xfId="11610"/>
    <cellStyle name="Normale 7 6 2 5 3" xfId="19018"/>
    <cellStyle name="Normale 7 6 2 5 4" xfId="23869"/>
    <cellStyle name="Normale 7 6 2 6" xfId="5070"/>
    <cellStyle name="Normale 7 6 2 6 2" xfId="12533"/>
    <cellStyle name="Normale 7 6 2 6 3" xfId="19941"/>
    <cellStyle name="Normale 7 6 2 6 4" xfId="28803"/>
    <cellStyle name="Normale 7 6 2 7" xfId="5998"/>
    <cellStyle name="Normale 7 6 2 7 2" xfId="13461"/>
    <cellStyle name="Normale 7 6 2 7 3" xfId="20869"/>
    <cellStyle name="Normale 7 6 2 7 4" xfId="27895"/>
    <cellStyle name="Normale 7 6 2 8" xfId="6918"/>
    <cellStyle name="Normale 7 6 2 8 2" xfId="14381"/>
    <cellStyle name="Normale 7 6 2 8 3" xfId="21789"/>
    <cellStyle name="Normale 7 6 2 8 4" xfId="26696"/>
    <cellStyle name="Normale 7 6 2 9" xfId="7857"/>
    <cellStyle name="Normale 7 6 20" xfId="31740"/>
    <cellStyle name="Normale 7 6 21" xfId="32666"/>
    <cellStyle name="Normale 7 6 22" xfId="33602"/>
    <cellStyle name="Normale 7 6 23" xfId="34530"/>
    <cellStyle name="Normale 7 6 24" xfId="35458"/>
    <cellStyle name="Normale 7 6 25" xfId="36384"/>
    <cellStyle name="Normale 7 6 26" xfId="37305"/>
    <cellStyle name="Normale 7 6 3" xfId="676"/>
    <cellStyle name="Normale 7 6 3 10" xfId="15548"/>
    <cellStyle name="Normale 7 6 3 11" xfId="23435"/>
    <cellStyle name="Normale 7 6 3 12" xfId="30351"/>
    <cellStyle name="Normale 7 6 3 13" xfId="31292"/>
    <cellStyle name="Normale 7 6 3 14" xfId="32206"/>
    <cellStyle name="Normale 7 6 3 15" xfId="33124"/>
    <cellStyle name="Normale 7 6 3 16" xfId="34075"/>
    <cellStyle name="Normale 7 6 3 17" xfId="35006"/>
    <cellStyle name="Normale 7 6 3 18" xfId="35932"/>
    <cellStyle name="Normale 7 6 3 19" xfId="36857"/>
    <cellStyle name="Normale 7 6 3 2" xfId="1642"/>
    <cellStyle name="Normale 7 6 3 2 2" xfId="9105"/>
    <cellStyle name="Normale 7 6 3 2 3" xfId="16513"/>
    <cellStyle name="Normale 7 6 3 2 4" xfId="22898"/>
    <cellStyle name="Normale 7 6 3 20" xfId="37763"/>
    <cellStyle name="Normale 7 6 3 3" xfId="2574"/>
    <cellStyle name="Normale 7 6 3 3 2" xfId="10037"/>
    <cellStyle name="Normale 7 6 3 3 3" xfId="17445"/>
    <cellStyle name="Normale 7 6 3 3 4" xfId="28697"/>
    <cellStyle name="Normale 7 6 3 4" xfId="3491"/>
    <cellStyle name="Normale 7 6 3 4 2" xfId="10954"/>
    <cellStyle name="Normale 7 6 3 4 3" xfId="18362"/>
    <cellStyle name="Normale 7 6 3 4 4" xfId="22632"/>
    <cellStyle name="Normale 7 6 3 5" xfId="4429"/>
    <cellStyle name="Normale 7 6 3 5 2" xfId="11892"/>
    <cellStyle name="Normale 7 6 3 5 3" xfId="19300"/>
    <cellStyle name="Normale 7 6 3 5 4" xfId="29573"/>
    <cellStyle name="Normale 7 6 3 6" xfId="5346"/>
    <cellStyle name="Normale 7 6 3 6 2" xfId="12809"/>
    <cellStyle name="Normale 7 6 3 6 3" xfId="20217"/>
    <cellStyle name="Normale 7 6 3 6 4" xfId="22875"/>
    <cellStyle name="Normale 7 6 3 7" xfId="6279"/>
    <cellStyle name="Normale 7 6 3 7 2" xfId="13742"/>
    <cellStyle name="Normale 7 6 3 7 3" xfId="21150"/>
    <cellStyle name="Normale 7 6 3 7 4" xfId="27749"/>
    <cellStyle name="Normale 7 6 3 8" xfId="7185"/>
    <cellStyle name="Normale 7 6 3 8 2" xfId="14648"/>
    <cellStyle name="Normale 7 6 3 8 3" xfId="22056"/>
    <cellStyle name="Normale 7 6 3 8 4" xfId="22808"/>
    <cellStyle name="Normale 7 6 3 9" xfId="8139"/>
    <cellStyle name="Normale 7 6 4" xfId="761"/>
    <cellStyle name="Normale 7 6 4 10" xfId="15632"/>
    <cellStyle name="Normale 7 6 4 11" xfId="29284"/>
    <cellStyle name="Normale 7 6 4 12" xfId="30435"/>
    <cellStyle name="Normale 7 6 4 13" xfId="31376"/>
    <cellStyle name="Normale 7 6 4 14" xfId="32289"/>
    <cellStyle name="Normale 7 6 4 15" xfId="33206"/>
    <cellStyle name="Normale 7 6 4 16" xfId="34159"/>
    <cellStyle name="Normale 7 6 4 17" xfId="35091"/>
    <cellStyle name="Normale 7 6 4 18" xfId="36017"/>
    <cellStyle name="Normale 7 6 4 19" xfId="36942"/>
    <cellStyle name="Normale 7 6 4 2" xfId="1726"/>
    <cellStyle name="Normale 7 6 4 2 2" xfId="9189"/>
    <cellStyle name="Normale 7 6 4 2 3" xfId="16597"/>
    <cellStyle name="Normale 7 6 4 2 4" xfId="25437"/>
    <cellStyle name="Normale 7 6 4 20" xfId="37845"/>
    <cellStyle name="Normale 7 6 4 3" xfId="2659"/>
    <cellStyle name="Normale 7 6 4 3 2" xfId="10122"/>
    <cellStyle name="Normale 7 6 4 3 3" xfId="17530"/>
    <cellStyle name="Normale 7 6 4 3 4" xfId="24000"/>
    <cellStyle name="Normale 7 6 4 4" xfId="3575"/>
    <cellStyle name="Normale 7 6 4 4 2" xfId="11038"/>
    <cellStyle name="Normale 7 6 4 4 3" xfId="18446"/>
    <cellStyle name="Normale 7 6 4 4 4" xfId="27544"/>
    <cellStyle name="Normale 7 6 4 5" xfId="4514"/>
    <cellStyle name="Normale 7 6 4 5 2" xfId="11977"/>
    <cellStyle name="Normale 7 6 4 5 3" xfId="19385"/>
    <cellStyle name="Normale 7 6 4 5 4" xfId="26836"/>
    <cellStyle name="Normale 7 6 4 6" xfId="5430"/>
    <cellStyle name="Normale 7 6 4 6 2" xfId="12893"/>
    <cellStyle name="Normale 7 6 4 6 3" xfId="20301"/>
    <cellStyle name="Normale 7 6 4 6 4" xfId="25342"/>
    <cellStyle name="Normale 7 6 4 7" xfId="6363"/>
    <cellStyle name="Normale 7 6 4 7 2" xfId="13826"/>
    <cellStyle name="Normale 7 6 4 7 3" xfId="21234"/>
    <cellStyle name="Normale 7 6 4 7 4" xfId="24071"/>
    <cellStyle name="Normale 7 6 4 8" xfId="7267"/>
    <cellStyle name="Normale 7 6 4 8 2" xfId="14730"/>
    <cellStyle name="Normale 7 6 4 8 3" xfId="22138"/>
    <cellStyle name="Normale 7 6 4 8 4" xfId="27880"/>
    <cellStyle name="Normale 7 6 4 9" xfId="8224"/>
    <cellStyle name="Normale 7 6 5" xfId="832"/>
    <cellStyle name="Normale 7 6 5 10" xfId="15703"/>
    <cellStyle name="Normale 7 6 5 11" xfId="28219"/>
    <cellStyle name="Normale 7 6 5 12" xfId="30504"/>
    <cellStyle name="Normale 7 6 5 13" xfId="31447"/>
    <cellStyle name="Normale 7 6 5 14" xfId="32359"/>
    <cellStyle name="Normale 7 6 5 15" xfId="33275"/>
    <cellStyle name="Normale 7 6 5 16" xfId="34230"/>
    <cellStyle name="Normale 7 6 5 17" xfId="35162"/>
    <cellStyle name="Normale 7 6 5 18" xfId="36088"/>
    <cellStyle name="Normale 7 6 5 19" xfId="37013"/>
    <cellStyle name="Normale 7 6 5 2" xfId="1797"/>
    <cellStyle name="Normale 7 6 5 2 2" xfId="9260"/>
    <cellStyle name="Normale 7 6 5 2 3" xfId="16668"/>
    <cellStyle name="Normale 7 6 5 2 4" xfId="24697"/>
    <cellStyle name="Normale 7 6 5 20" xfId="37914"/>
    <cellStyle name="Normale 7 6 5 3" xfId="2730"/>
    <cellStyle name="Normale 7 6 5 3 2" xfId="10193"/>
    <cellStyle name="Normale 7 6 5 3 3" xfId="17601"/>
    <cellStyle name="Normale 7 6 5 3 4" xfId="22650"/>
    <cellStyle name="Normale 7 6 5 4" xfId="3645"/>
    <cellStyle name="Normale 7 6 5 4 2" xfId="11108"/>
    <cellStyle name="Normale 7 6 5 4 3" xfId="18516"/>
    <cellStyle name="Normale 7 6 5 4 4" xfId="29056"/>
    <cellStyle name="Normale 7 6 5 5" xfId="4585"/>
    <cellStyle name="Normale 7 6 5 5 2" xfId="12048"/>
    <cellStyle name="Normale 7 6 5 5 3" xfId="19456"/>
    <cellStyle name="Normale 7 6 5 5 4" xfId="25735"/>
    <cellStyle name="Normale 7 6 5 6" xfId="5500"/>
    <cellStyle name="Normale 7 6 5 6 2" xfId="12963"/>
    <cellStyle name="Normale 7 6 5 6 3" xfId="20371"/>
    <cellStyle name="Normale 7 6 5 6 4" xfId="25589"/>
    <cellStyle name="Normale 7 6 5 7" xfId="6434"/>
    <cellStyle name="Normale 7 6 5 7 2" xfId="13897"/>
    <cellStyle name="Normale 7 6 5 7 3" xfId="21305"/>
    <cellStyle name="Normale 7 6 5 7 4" xfId="22917"/>
    <cellStyle name="Normale 7 6 5 8" xfId="7336"/>
    <cellStyle name="Normale 7 6 5 8 2" xfId="14799"/>
    <cellStyle name="Normale 7 6 5 8 3" xfId="22207"/>
    <cellStyle name="Normale 7 6 5 8 4" xfId="23687"/>
    <cellStyle name="Normale 7 6 5 9" xfId="8295"/>
    <cellStyle name="Normale 7 6 6" xfId="903"/>
    <cellStyle name="Normale 7 6 6 10" xfId="15774"/>
    <cellStyle name="Normale 7 6 6 11" xfId="26190"/>
    <cellStyle name="Normale 7 6 6 12" xfId="30572"/>
    <cellStyle name="Normale 7 6 6 13" xfId="31518"/>
    <cellStyle name="Normale 7 6 6 14" xfId="32429"/>
    <cellStyle name="Normale 7 6 6 15" xfId="33341"/>
    <cellStyle name="Normale 7 6 6 16" xfId="34301"/>
    <cellStyle name="Normale 7 6 6 17" xfId="35233"/>
    <cellStyle name="Normale 7 6 6 18" xfId="36159"/>
    <cellStyle name="Normale 7 6 6 19" xfId="37084"/>
    <cellStyle name="Normale 7 6 6 2" xfId="1868"/>
    <cellStyle name="Normale 7 6 6 2 2" xfId="9331"/>
    <cellStyle name="Normale 7 6 6 2 3" xfId="16739"/>
    <cellStyle name="Normale 7 6 6 2 4" xfId="24517"/>
    <cellStyle name="Normale 7 6 6 20" xfId="37980"/>
    <cellStyle name="Normale 7 6 6 3" xfId="2801"/>
    <cellStyle name="Normale 7 6 6 3 2" xfId="10264"/>
    <cellStyle name="Normale 7 6 6 3 3" xfId="17672"/>
    <cellStyle name="Normale 7 6 6 3 4" xfId="23674"/>
    <cellStyle name="Normale 7 6 6 4" xfId="3715"/>
    <cellStyle name="Normale 7 6 6 4 2" xfId="11178"/>
    <cellStyle name="Normale 7 6 6 4 3" xfId="18586"/>
    <cellStyle name="Normale 7 6 6 4 4" xfId="23871"/>
    <cellStyle name="Normale 7 6 6 5" xfId="4656"/>
    <cellStyle name="Normale 7 6 6 5 2" xfId="12119"/>
    <cellStyle name="Normale 7 6 6 5 3" xfId="19527"/>
    <cellStyle name="Normale 7 6 6 5 4" xfId="26476"/>
    <cellStyle name="Normale 7 6 6 6" xfId="5570"/>
    <cellStyle name="Normale 7 6 6 6 2" xfId="13033"/>
    <cellStyle name="Normale 7 6 6 6 3" xfId="20441"/>
    <cellStyle name="Normale 7 6 6 6 4" xfId="26265"/>
    <cellStyle name="Normale 7 6 6 7" xfId="6505"/>
    <cellStyle name="Normale 7 6 6 7 2" xfId="13968"/>
    <cellStyle name="Normale 7 6 6 7 3" xfId="21376"/>
    <cellStyle name="Normale 7 6 6 7 4" xfId="23698"/>
    <cellStyle name="Normale 7 6 6 8" xfId="7402"/>
    <cellStyle name="Normale 7 6 6 8 2" xfId="14865"/>
    <cellStyle name="Normale 7 6 6 8 3" xfId="22273"/>
    <cellStyle name="Normale 7 6 6 8 4" xfId="28675"/>
    <cellStyle name="Normale 7 6 6 9" xfId="8366"/>
    <cellStyle name="Normale 7 6 7" xfId="965"/>
    <cellStyle name="Normale 7 6 7 10" xfId="15836"/>
    <cellStyle name="Normale 7 6 7 11" xfId="29123"/>
    <cellStyle name="Normale 7 6 7 12" xfId="30631"/>
    <cellStyle name="Normale 7 6 7 13" xfId="31579"/>
    <cellStyle name="Normale 7 6 7 14" xfId="32490"/>
    <cellStyle name="Normale 7 6 7 15" xfId="33400"/>
    <cellStyle name="Normale 7 6 7 16" xfId="34363"/>
    <cellStyle name="Normale 7 6 7 17" xfId="35295"/>
    <cellStyle name="Normale 7 6 7 18" xfId="36220"/>
    <cellStyle name="Normale 7 6 7 19" xfId="37146"/>
    <cellStyle name="Normale 7 6 7 2" xfId="1930"/>
    <cellStyle name="Normale 7 6 7 2 2" xfId="9393"/>
    <cellStyle name="Normale 7 6 7 2 3" xfId="16801"/>
    <cellStyle name="Normale 7 6 7 2 4" xfId="23091"/>
    <cellStyle name="Normale 7 6 7 20" xfId="38039"/>
    <cellStyle name="Normale 7 6 7 3" xfId="2862"/>
    <cellStyle name="Normale 7 6 7 3 2" xfId="10325"/>
    <cellStyle name="Normale 7 6 7 3 3" xfId="17733"/>
    <cellStyle name="Normale 7 6 7 3 4" xfId="26138"/>
    <cellStyle name="Normale 7 6 7 4" xfId="3777"/>
    <cellStyle name="Normale 7 6 7 4 2" xfId="11240"/>
    <cellStyle name="Normale 7 6 7 4 3" xfId="18648"/>
    <cellStyle name="Normale 7 6 7 4 4" xfId="25191"/>
    <cellStyle name="Normale 7 6 7 5" xfId="4718"/>
    <cellStyle name="Normale 7 6 7 5 2" xfId="12181"/>
    <cellStyle name="Normale 7 6 7 5 3" xfId="19589"/>
    <cellStyle name="Normale 7 6 7 5 4" xfId="27198"/>
    <cellStyle name="Normale 7 6 7 6" xfId="5632"/>
    <cellStyle name="Normale 7 6 7 6 2" xfId="13095"/>
    <cellStyle name="Normale 7 6 7 6 3" xfId="20503"/>
    <cellStyle name="Normale 7 6 7 6 4" xfId="25005"/>
    <cellStyle name="Normale 7 6 7 7" xfId="6567"/>
    <cellStyle name="Normale 7 6 7 7 2" xfId="14030"/>
    <cellStyle name="Normale 7 6 7 7 3" xfId="21438"/>
    <cellStyle name="Normale 7 6 7 7 4" xfId="24398"/>
    <cellStyle name="Normale 7 6 7 8" xfId="7461"/>
    <cellStyle name="Normale 7 6 7 8 2" xfId="14924"/>
    <cellStyle name="Normale 7 6 7 8 3" xfId="22332"/>
    <cellStyle name="Normale 7 6 7 8 4" xfId="29689"/>
    <cellStyle name="Normale 7 6 7 9" xfId="8428"/>
    <cellStyle name="Normale 7 6 8" xfId="1169"/>
    <cellStyle name="Normale 7 6 8 2" xfId="8632"/>
    <cellStyle name="Normale 7 6 8 3" xfId="16040"/>
    <cellStyle name="Normale 7 6 8 4" xfId="26012"/>
    <cellStyle name="Normale 7 6 9" xfId="2098"/>
    <cellStyle name="Normale 7 6 9 2" xfId="9561"/>
    <cellStyle name="Normale 7 6 9 3" xfId="16969"/>
    <cellStyle name="Normale 7 6 9 4" xfId="26355"/>
    <cellStyle name="Normale 7 7" xfId="379"/>
    <cellStyle name="Normale 7 7 10" xfId="15252"/>
    <cellStyle name="Normale 7 7 11" xfId="26205"/>
    <cellStyle name="Normale 7 7 12" xfId="30064"/>
    <cellStyle name="Normale 7 7 13" xfId="30996"/>
    <cellStyle name="Normale 7 7 14" xfId="31917"/>
    <cellStyle name="Normale 7 7 15" xfId="32842"/>
    <cellStyle name="Normale 7 7 16" xfId="33779"/>
    <cellStyle name="Normale 7 7 17" xfId="34709"/>
    <cellStyle name="Normale 7 7 18" xfId="35635"/>
    <cellStyle name="Normale 7 7 19" xfId="36561"/>
    <cellStyle name="Normale 7 7 2" xfId="1346"/>
    <cellStyle name="Normale 7 7 2 2" xfId="8809"/>
    <cellStyle name="Normale 7 7 2 3" xfId="16217"/>
    <cellStyle name="Normale 7 7 2 4" xfId="22755"/>
    <cellStyle name="Normale 7 7 20" xfId="37481"/>
    <cellStyle name="Normale 7 7 3" xfId="2277"/>
    <cellStyle name="Normale 7 7 3 2" xfId="9740"/>
    <cellStyle name="Normale 7 7 3 3" xfId="17148"/>
    <cellStyle name="Normale 7 7 3 4" xfId="28183"/>
    <cellStyle name="Normale 7 7 4" xfId="3199"/>
    <cellStyle name="Normale 7 7 4 2" xfId="10662"/>
    <cellStyle name="Normale 7 7 4 3" xfId="18070"/>
    <cellStyle name="Normale 7 7 4 4" xfId="25858"/>
    <cellStyle name="Normale 7 7 5" xfId="4132"/>
    <cellStyle name="Normale 7 7 5 2" xfId="11595"/>
    <cellStyle name="Normale 7 7 5 3" xfId="19003"/>
    <cellStyle name="Normale 7 7 5 4" xfId="23009"/>
    <cellStyle name="Normale 7 7 6" xfId="5055"/>
    <cellStyle name="Normale 7 7 6 2" xfId="12518"/>
    <cellStyle name="Normale 7 7 6 3" xfId="19926"/>
    <cellStyle name="Normale 7 7 6 4" xfId="25494"/>
    <cellStyle name="Normale 7 7 7" xfId="5983"/>
    <cellStyle name="Normale 7 7 7 2" xfId="13446"/>
    <cellStyle name="Normale 7 7 7 3" xfId="20854"/>
    <cellStyle name="Normale 7 7 7 4" xfId="26061"/>
    <cellStyle name="Normale 7 7 8" xfId="6903"/>
    <cellStyle name="Normale 7 7 8 2" xfId="14366"/>
    <cellStyle name="Normale 7 7 8 3" xfId="21774"/>
    <cellStyle name="Normale 7 7 8 4" xfId="25895"/>
    <cellStyle name="Normale 7 7 9" xfId="7842"/>
    <cellStyle name="Normale 7 8" xfId="445"/>
    <cellStyle name="Normale 7 8 10" xfId="15318"/>
    <cellStyle name="Normale 7 8 11" xfId="25673"/>
    <cellStyle name="Normale 7 8 12" xfId="30130"/>
    <cellStyle name="Normale 7 8 13" xfId="31062"/>
    <cellStyle name="Normale 7 8 14" xfId="31983"/>
    <cellStyle name="Normale 7 8 15" xfId="32907"/>
    <cellStyle name="Normale 7 8 16" xfId="33845"/>
    <cellStyle name="Normale 7 8 17" xfId="34775"/>
    <cellStyle name="Normale 7 8 18" xfId="35701"/>
    <cellStyle name="Normale 7 8 19" xfId="36627"/>
    <cellStyle name="Normale 7 8 2" xfId="1412"/>
    <cellStyle name="Normale 7 8 2 2" xfId="8875"/>
    <cellStyle name="Normale 7 8 2 3" xfId="16283"/>
    <cellStyle name="Normale 7 8 2 4" xfId="22495"/>
    <cellStyle name="Normale 7 8 20" xfId="37546"/>
    <cellStyle name="Normale 7 8 3" xfId="2343"/>
    <cellStyle name="Normale 7 8 3 2" xfId="9806"/>
    <cellStyle name="Normale 7 8 3 3" xfId="17214"/>
    <cellStyle name="Normale 7 8 3 4" xfId="27445"/>
    <cellStyle name="Normale 7 8 4" xfId="3265"/>
    <cellStyle name="Normale 7 8 4 2" xfId="10728"/>
    <cellStyle name="Normale 7 8 4 3" xfId="18136"/>
    <cellStyle name="Normale 7 8 4 4" xfId="25786"/>
    <cellStyle name="Normale 7 8 5" xfId="4198"/>
    <cellStyle name="Normale 7 8 5 2" xfId="11661"/>
    <cellStyle name="Normale 7 8 5 3" xfId="19069"/>
    <cellStyle name="Normale 7 8 5 4" xfId="27211"/>
    <cellStyle name="Normale 7 8 6" xfId="5121"/>
    <cellStyle name="Normale 7 8 6 2" xfId="12584"/>
    <cellStyle name="Normale 7 8 6 3" xfId="19992"/>
    <cellStyle name="Normale 7 8 6 4" xfId="25158"/>
    <cellStyle name="Normale 7 8 7" xfId="6049"/>
    <cellStyle name="Normale 7 8 7 2" xfId="13512"/>
    <cellStyle name="Normale 7 8 7 3" xfId="20920"/>
    <cellStyle name="Normale 7 8 7 4" xfId="25636"/>
    <cellStyle name="Normale 7 8 8" xfId="6968"/>
    <cellStyle name="Normale 7 8 8 2" xfId="14431"/>
    <cellStyle name="Normale 7 8 8 3" xfId="21839"/>
    <cellStyle name="Normale 7 8 8 4" xfId="26746"/>
    <cellStyle name="Normale 7 8 9" xfId="7908"/>
    <cellStyle name="Normale 7 9" xfId="493"/>
    <cellStyle name="Normale 7 9 10" xfId="15366"/>
    <cellStyle name="Normale 7 9 11" xfId="24552"/>
    <cellStyle name="Normale 7 9 12" xfId="30178"/>
    <cellStyle name="Normale 7 9 13" xfId="31110"/>
    <cellStyle name="Normale 7 9 14" xfId="32031"/>
    <cellStyle name="Normale 7 9 15" xfId="32954"/>
    <cellStyle name="Normale 7 9 16" xfId="33893"/>
    <cellStyle name="Normale 7 9 17" xfId="34823"/>
    <cellStyle name="Normale 7 9 18" xfId="35749"/>
    <cellStyle name="Normale 7 9 19" xfId="36675"/>
    <cellStyle name="Normale 7 9 2" xfId="1460"/>
    <cellStyle name="Normale 7 9 2 2" xfId="8923"/>
    <cellStyle name="Normale 7 9 2 3" xfId="16331"/>
    <cellStyle name="Normale 7 9 2 4" xfId="28448"/>
    <cellStyle name="Normale 7 9 20" xfId="37593"/>
    <cellStyle name="Normale 7 9 3" xfId="2391"/>
    <cellStyle name="Normale 7 9 3 2" xfId="9854"/>
    <cellStyle name="Normale 7 9 3 3" xfId="17262"/>
    <cellStyle name="Normale 7 9 3 4" xfId="27068"/>
    <cellStyle name="Normale 7 9 4" xfId="3313"/>
    <cellStyle name="Normale 7 9 4 2" xfId="10776"/>
    <cellStyle name="Normale 7 9 4 3" xfId="18184"/>
    <cellStyle name="Normale 7 9 4 4" xfId="27803"/>
    <cellStyle name="Normale 7 9 5" xfId="4246"/>
    <cellStyle name="Normale 7 9 5 2" xfId="11709"/>
    <cellStyle name="Normale 7 9 5 3" xfId="19117"/>
    <cellStyle name="Normale 7 9 5 4" xfId="28756"/>
    <cellStyle name="Normale 7 9 6" xfId="5169"/>
    <cellStyle name="Normale 7 9 6 2" xfId="12632"/>
    <cellStyle name="Normale 7 9 6 3" xfId="20040"/>
    <cellStyle name="Normale 7 9 6 4" xfId="23850"/>
    <cellStyle name="Normale 7 9 7" xfId="6097"/>
    <cellStyle name="Normale 7 9 7 2" xfId="13560"/>
    <cellStyle name="Normale 7 9 7 3" xfId="20968"/>
    <cellStyle name="Normale 7 9 7 4" xfId="24410"/>
    <cellStyle name="Normale 7 9 8" xfId="7015"/>
    <cellStyle name="Normale 7 9 8 2" xfId="14478"/>
    <cellStyle name="Normale 7 9 8 3" xfId="21886"/>
    <cellStyle name="Normale 7 9 8 4" xfId="27817"/>
    <cellStyle name="Normale 7 9 9" xfId="7956"/>
    <cellStyle name="Normale 8" xfId="199"/>
    <cellStyle name="Normale 8 2" xfId="200"/>
    <cellStyle name="Normale 9" xfId="201"/>
    <cellStyle name="Normale 9 10" xfId="655"/>
    <cellStyle name="Normale 9 10 10" xfId="15527"/>
    <cellStyle name="Normale 9 10 11" xfId="27110"/>
    <cellStyle name="Normale 9 10 12" xfId="30334"/>
    <cellStyle name="Normale 9 10 13" xfId="31271"/>
    <cellStyle name="Normale 9 10 14" xfId="32188"/>
    <cellStyle name="Normale 9 10 15" xfId="33107"/>
    <cellStyle name="Normale 9 10 16" xfId="34054"/>
    <cellStyle name="Normale 9 10 17" xfId="34985"/>
    <cellStyle name="Normale 9 10 18" xfId="35911"/>
    <cellStyle name="Normale 9 10 19" xfId="36836"/>
    <cellStyle name="Normale 9 10 2" xfId="1621"/>
    <cellStyle name="Normale 9 10 2 2" xfId="9084"/>
    <cellStyle name="Normale 9 10 2 3" xfId="16492"/>
    <cellStyle name="Normale 9 10 2 4" xfId="27705"/>
    <cellStyle name="Normale 9 10 20" xfId="37746"/>
    <cellStyle name="Normale 9 10 3" xfId="2553"/>
    <cellStyle name="Normale 9 10 3 2" xfId="10016"/>
    <cellStyle name="Normale 9 10 3 3" xfId="17424"/>
    <cellStyle name="Normale 9 10 3 4" xfId="24500"/>
    <cellStyle name="Normale 9 10 4" xfId="3471"/>
    <cellStyle name="Normale 9 10 4 2" xfId="10934"/>
    <cellStyle name="Normale 9 10 4 3" xfId="18342"/>
    <cellStyle name="Normale 9 10 4 4" xfId="27343"/>
    <cellStyle name="Normale 9 10 5" xfId="4408"/>
    <cellStyle name="Normale 9 10 5 2" xfId="11871"/>
    <cellStyle name="Normale 9 10 5 3" xfId="19279"/>
    <cellStyle name="Normale 9 10 5 4" xfId="24015"/>
    <cellStyle name="Normale 9 10 6" xfId="5326"/>
    <cellStyle name="Normale 9 10 6 2" xfId="12789"/>
    <cellStyle name="Normale 9 10 6 3" xfId="20197"/>
    <cellStyle name="Normale 9 10 6 4" xfId="26779"/>
    <cellStyle name="Normale 9 10 7" xfId="6259"/>
    <cellStyle name="Normale 9 10 7 2" xfId="13722"/>
    <cellStyle name="Normale 9 10 7 3" xfId="21130"/>
    <cellStyle name="Normale 9 10 7 4" xfId="22560"/>
    <cellStyle name="Normale 9 10 8" xfId="7168"/>
    <cellStyle name="Normale 9 10 8 2" xfId="14631"/>
    <cellStyle name="Normale 9 10 8 3" xfId="22039"/>
    <cellStyle name="Normale 9 10 8 4" xfId="7485"/>
    <cellStyle name="Normale 9 10 9" xfId="8118"/>
    <cellStyle name="Normale 9 11" xfId="737"/>
    <cellStyle name="Normale 9 11 10" xfId="15608"/>
    <cellStyle name="Normale 9 11 11" xfId="29460"/>
    <cellStyle name="Normale 9 11 12" xfId="30411"/>
    <cellStyle name="Normale 9 11 13" xfId="31352"/>
    <cellStyle name="Normale 9 11 14" xfId="32265"/>
    <cellStyle name="Normale 9 11 15" xfId="33182"/>
    <cellStyle name="Normale 9 11 16" xfId="34135"/>
    <cellStyle name="Normale 9 11 17" xfId="35067"/>
    <cellStyle name="Normale 9 11 18" xfId="35993"/>
    <cellStyle name="Normale 9 11 19" xfId="36918"/>
    <cellStyle name="Normale 9 11 2" xfId="1702"/>
    <cellStyle name="Normale 9 11 2 2" xfId="9165"/>
    <cellStyle name="Normale 9 11 2 3" xfId="16573"/>
    <cellStyle name="Normale 9 11 2 4" xfId="26167"/>
    <cellStyle name="Normale 9 11 20" xfId="37821"/>
    <cellStyle name="Normale 9 11 3" xfId="2635"/>
    <cellStyle name="Normale 9 11 3 2" xfId="10098"/>
    <cellStyle name="Normale 9 11 3 3" xfId="17506"/>
    <cellStyle name="Normale 9 11 3 4" xfId="24201"/>
    <cellStyle name="Normale 9 11 4" xfId="3551"/>
    <cellStyle name="Normale 9 11 4 2" xfId="11014"/>
    <cellStyle name="Normale 9 11 4 3" xfId="18422"/>
    <cellStyle name="Normale 9 11 4 4" xfId="27764"/>
    <cellStyle name="Normale 9 11 5" xfId="4490"/>
    <cellStyle name="Normale 9 11 5 2" xfId="11953"/>
    <cellStyle name="Normale 9 11 5 3" xfId="19361"/>
    <cellStyle name="Normale 9 11 5 4" xfId="24418"/>
    <cellStyle name="Normale 9 11 6" xfId="5406"/>
    <cellStyle name="Normale 9 11 6 2" xfId="12869"/>
    <cellStyle name="Normale 9 11 6 3" xfId="20277"/>
    <cellStyle name="Normale 9 11 6 4" xfId="26073"/>
    <cellStyle name="Normale 9 11 7" xfId="6339"/>
    <cellStyle name="Normale 9 11 7 2" xfId="13802"/>
    <cellStyle name="Normale 9 11 7 3" xfId="21210"/>
    <cellStyle name="Normale 9 11 7 4" xfId="23291"/>
    <cellStyle name="Normale 9 11 8" xfId="7243"/>
    <cellStyle name="Normale 9 11 8 2" xfId="14706"/>
    <cellStyle name="Normale 9 11 8 3" xfId="22114"/>
    <cellStyle name="Normale 9 11 8 4" xfId="28054"/>
    <cellStyle name="Normale 9 11 9" xfId="8200"/>
    <cellStyle name="Normale 9 12" xfId="808"/>
    <cellStyle name="Normale 9 12 10" xfId="15679"/>
    <cellStyle name="Normale 9 12 11" xfId="28665"/>
    <cellStyle name="Normale 9 12 12" xfId="30480"/>
    <cellStyle name="Normale 9 12 13" xfId="31423"/>
    <cellStyle name="Normale 9 12 14" xfId="32335"/>
    <cellStyle name="Normale 9 12 15" xfId="33251"/>
    <cellStyle name="Normale 9 12 16" xfId="34206"/>
    <cellStyle name="Normale 9 12 17" xfId="35138"/>
    <cellStyle name="Normale 9 12 18" xfId="36064"/>
    <cellStyle name="Normale 9 12 19" xfId="36989"/>
    <cellStyle name="Normale 9 12 2" xfId="1773"/>
    <cellStyle name="Normale 9 12 2 2" xfId="9236"/>
    <cellStyle name="Normale 9 12 2 3" xfId="16644"/>
    <cellStyle name="Normale 9 12 2 4" xfId="27079"/>
    <cellStyle name="Normale 9 12 20" xfId="37890"/>
    <cellStyle name="Normale 9 12 3" xfId="2706"/>
    <cellStyle name="Normale 9 12 3 2" xfId="10169"/>
    <cellStyle name="Normale 9 12 3 3" xfId="17577"/>
    <cellStyle name="Normale 9 12 3 4" xfId="23047"/>
    <cellStyle name="Normale 9 12 4" xfId="3621"/>
    <cellStyle name="Normale 9 12 4 2" xfId="11084"/>
    <cellStyle name="Normale 9 12 4 3" xfId="18492"/>
    <cellStyle name="Normale 9 12 4 4" xfId="27957"/>
    <cellStyle name="Normale 9 12 5" xfId="4561"/>
    <cellStyle name="Normale 9 12 5 2" xfId="12024"/>
    <cellStyle name="Normale 9 12 5 3" xfId="19432"/>
    <cellStyle name="Normale 9 12 5 4" xfId="25956"/>
    <cellStyle name="Normale 9 12 6" xfId="5476"/>
    <cellStyle name="Normale 9 12 6 2" xfId="12939"/>
    <cellStyle name="Normale 9 12 6 3" xfId="20347"/>
    <cellStyle name="Normale 9 12 6 4" xfId="27903"/>
    <cellStyle name="Normale 9 12 7" xfId="6410"/>
    <cellStyle name="Normale 9 12 7 2" xfId="13873"/>
    <cellStyle name="Normale 9 12 7 3" xfId="21281"/>
    <cellStyle name="Normale 9 12 7 4" xfId="23117"/>
    <cellStyle name="Normale 9 12 8" xfId="7312"/>
    <cellStyle name="Normale 9 12 8 2" xfId="14775"/>
    <cellStyle name="Normale 9 12 8 3" xfId="22183"/>
    <cellStyle name="Normale 9 12 8 4" xfId="23833"/>
    <cellStyle name="Normale 9 12 9" xfId="8271"/>
    <cellStyle name="Normale 9 13" xfId="879"/>
    <cellStyle name="Normale 9 13 10" xfId="15750"/>
    <cellStyle name="Normale 9 13 11" xfId="27570"/>
    <cellStyle name="Normale 9 13 12" xfId="30548"/>
    <cellStyle name="Normale 9 13 13" xfId="31494"/>
    <cellStyle name="Normale 9 13 14" xfId="32405"/>
    <cellStyle name="Normale 9 13 15" xfId="33317"/>
    <cellStyle name="Normale 9 13 16" xfId="34277"/>
    <cellStyle name="Normale 9 13 17" xfId="35209"/>
    <cellStyle name="Normale 9 13 18" xfId="36135"/>
    <cellStyle name="Normale 9 13 19" xfId="37060"/>
    <cellStyle name="Normale 9 13 2" xfId="1844"/>
    <cellStyle name="Normale 9 13 2 2" xfId="9307"/>
    <cellStyle name="Normale 9 13 2 3" xfId="16715"/>
    <cellStyle name="Normale 9 13 2 4" xfId="25240"/>
    <cellStyle name="Normale 9 13 20" xfId="37956"/>
    <cellStyle name="Normale 9 13 3" xfId="2777"/>
    <cellStyle name="Normale 9 13 3 2" xfId="10240"/>
    <cellStyle name="Normale 9 13 3 3" xfId="17648"/>
    <cellStyle name="Normale 9 13 3 4" xfId="23820"/>
    <cellStyle name="Normale 9 13 4" xfId="3691"/>
    <cellStyle name="Normale 9 13 4 2" xfId="11154"/>
    <cellStyle name="Normale 9 13 4 3" xfId="18562"/>
    <cellStyle name="Normale 9 13 4 4" xfId="24091"/>
    <cellStyle name="Normale 9 13 5" xfId="4632"/>
    <cellStyle name="Normale 9 13 5 2" xfId="12095"/>
    <cellStyle name="Normale 9 13 5 3" xfId="19503"/>
    <cellStyle name="Normale 9 13 5 4" xfId="26634"/>
    <cellStyle name="Normale 9 13 6" xfId="5546"/>
    <cellStyle name="Normale 9 13 6 2" xfId="13009"/>
    <cellStyle name="Normale 9 13 6 3" xfId="20417"/>
    <cellStyle name="Normale 9 13 6 4" xfId="26987"/>
    <cellStyle name="Normale 9 13 7" xfId="6481"/>
    <cellStyle name="Normale 9 13 7 2" xfId="13944"/>
    <cellStyle name="Normale 9 13 7 3" xfId="21352"/>
    <cellStyle name="Normale 9 13 7 4" xfId="23855"/>
    <cellStyle name="Normale 9 13 8" xfId="7378"/>
    <cellStyle name="Normale 9 13 8 2" xfId="14841"/>
    <cellStyle name="Normale 9 13 8 3" xfId="22249"/>
    <cellStyle name="Normale 9 13 8 4" xfId="28960"/>
    <cellStyle name="Normale 9 13 9" xfId="8342"/>
    <cellStyle name="Normale 9 14" xfId="948"/>
    <cellStyle name="Normale 9 14 10" xfId="15819"/>
    <cellStyle name="Normale 9 14 11" xfId="22807"/>
    <cellStyle name="Normale 9 14 12" xfId="30614"/>
    <cellStyle name="Normale 9 14 13" xfId="31562"/>
    <cellStyle name="Normale 9 14 14" xfId="32473"/>
    <cellStyle name="Normale 9 14 15" xfId="33383"/>
    <cellStyle name="Normale 9 14 16" xfId="34346"/>
    <cellStyle name="Normale 9 14 17" xfId="35278"/>
    <cellStyle name="Normale 9 14 18" xfId="36203"/>
    <cellStyle name="Normale 9 14 19" xfId="37129"/>
    <cellStyle name="Normale 9 14 2" xfId="1913"/>
    <cellStyle name="Normale 9 14 2 2" xfId="9376"/>
    <cellStyle name="Normale 9 14 2 3" xfId="16784"/>
    <cellStyle name="Normale 9 14 2 4" xfId="23403"/>
    <cellStyle name="Normale 9 14 20" xfId="38022"/>
    <cellStyle name="Normale 9 14 3" xfId="2845"/>
    <cellStyle name="Normale 9 14 3 2" xfId="10308"/>
    <cellStyle name="Normale 9 14 3 3" xfId="17716"/>
    <cellStyle name="Normale 9 14 3 4" xfId="26140"/>
    <cellStyle name="Normale 9 14 4" xfId="3760"/>
    <cellStyle name="Normale 9 14 4 2" xfId="11223"/>
    <cellStyle name="Normale 9 14 4 3" xfId="18631"/>
    <cellStyle name="Normale 9 14 4 4" xfId="25193"/>
    <cellStyle name="Normale 9 14 5" xfId="4701"/>
    <cellStyle name="Normale 9 14 5 2" xfId="12164"/>
    <cellStyle name="Normale 9 14 5 3" xfId="19572"/>
    <cellStyle name="Normale 9 14 5 4" xfId="29029"/>
    <cellStyle name="Normale 9 14 6" xfId="5615"/>
    <cellStyle name="Normale 9 14 6 2" xfId="13078"/>
    <cellStyle name="Normale 9 14 6 3" xfId="20486"/>
    <cellStyle name="Normale 9 14 6 4" xfId="25143"/>
    <cellStyle name="Normale 9 14 7" xfId="6550"/>
    <cellStyle name="Normale 9 14 7 2" xfId="14013"/>
    <cellStyle name="Normale 9 14 7 3" xfId="21421"/>
    <cellStyle name="Normale 9 14 7 4" xfId="26240"/>
    <cellStyle name="Normale 9 14 8" xfId="7444"/>
    <cellStyle name="Normale 9 14 8 2" xfId="14907"/>
    <cellStyle name="Normale 9 14 8 3" xfId="22315"/>
    <cellStyle name="Normale 9 14 8 4" xfId="15419"/>
    <cellStyle name="Normale 9 14 9" xfId="8411"/>
    <cellStyle name="Normale 9 15" xfId="1170"/>
    <cellStyle name="Normale 9 15 2" xfId="8633"/>
    <cellStyle name="Normale 9 15 3" xfId="16041"/>
    <cellStyle name="Normale 9 15 4" xfId="25102"/>
    <cellStyle name="Normale 9 16" xfId="2101"/>
    <cellStyle name="Normale 9 16 2" xfId="9564"/>
    <cellStyle name="Normale 9 16 3" xfId="16972"/>
    <cellStyle name="Normale 9 16 4" xfId="23592"/>
    <cellStyle name="Normale 9 17" xfId="3023"/>
    <cellStyle name="Normale 9 17 2" xfId="10486"/>
    <cellStyle name="Normale 9 17 3" xfId="17894"/>
    <cellStyle name="Normale 9 17 4" xfId="25860"/>
    <cellStyle name="Normale 9 18" xfId="3956"/>
    <cellStyle name="Normale 9 18 2" xfId="11419"/>
    <cellStyle name="Normale 9 18 3" xfId="18827"/>
    <cellStyle name="Normale 9 18 4" xfId="22968"/>
    <cellStyle name="Normale 9 19" xfId="4879"/>
    <cellStyle name="Normale 9 19 2" xfId="12342"/>
    <cellStyle name="Normale 9 19 3" xfId="19750"/>
    <cellStyle name="Normale 9 19 4" xfId="27756"/>
    <cellStyle name="Normale 9 2" xfId="202"/>
    <cellStyle name="Normale 9 20" xfId="5807"/>
    <cellStyle name="Normale 9 20 2" xfId="13270"/>
    <cellStyle name="Normale 9 20 3" xfId="20678"/>
    <cellStyle name="Normale 9 20 4" xfId="29002"/>
    <cellStyle name="Normale 9 21" xfId="6728"/>
    <cellStyle name="Normale 9 21 2" xfId="14191"/>
    <cellStyle name="Normale 9 21 3" xfId="21599"/>
    <cellStyle name="Normale 9 21 4" xfId="24890"/>
    <cellStyle name="Normale 9 22" xfId="7666"/>
    <cellStyle name="Normale 9 23" xfId="15075"/>
    <cellStyle name="Normale 9 24" xfId="22714"/>
    <cellStyle name="Normale 9 25" xfId="29888"/>
    <cellStyle name="Normale 9 26" xfId="30820"/>
    <cellStyle name="Normale 9 27" xfId="31741"/>
    <cellStyle name="Normale 9 28" xfId="32667"/>
    <cellStyle name="Normale 9 29" xfId="33603"/>
    <cellStyle name="Normale 9 3" xfId="203"/>
    <cellStyle name="Normale 9 3 10" xfId="6729"/>
    <cellStyle name="Normale 9 3 10 2" xfId="14192"/>
    <cellStyle name="Normale 9 3 10 3" xfId="21600"/>
    <cellStyle name="Normale 9 3 10 4" xfId="23965"/>
    <cellStyle name="Normale 9 3 11" xfId="7667"/>
    <cellStyle name="Normale 9 3 12" xfId="15077"/>
    <cellStyle name="Normale 9 3 13" xfId="28235"/>
    <cellStyle name="Normale 9 3 14" xfId="29889"/>
    <cellStyle name="Normale 9 3 15" xfId="30821"/>
    <cellStyle name="Normale 9 3 16" xfId="31742"/>
    <cellStyle name="Normale 9 3 17" xfId="32668"/>
    <cellStyle name="Normale 9 3 18" xfId="33604"/>
    <cellStyle name="Normale 9 3 19" xfId="34534"/>
    <cellStyle name="Normale 9 3 2" xfId="204"/>
    <cellStyle name="Normale 9 3 2 10" xfId="7668"/>
    <cellStyle name="Normale 9 3 2 11" xfId="15078"/>
    <cellStyle name="Normale 9 3 2 12" xfId="27311"/>
    <cellStyle name="Normale 9 3 2 13" xfId="29890"/>
    <cellStyle name="Normale 9 3 2 14" xfId="30822"/>
    <cellStyle name="Normale 9 3 2 15" xfId="31743"/>
    <cellStyle name="Normale 9 3 2 16" xfId="32669"/>
    <cellStyle name="Normale 9 3 2 17" xfId="33605"/>
    <cellStyle name="Normale 9 3 2 18" xfId="34535"/>
    <cellStyle name="Normale 9 3 2 19" xfId="35461"/>
    <cellStyle name="Normale 9 3 2 2" xfId="397"/>
    <cellStyle name="Normale 9 3 2 2 10" xfId="15270"/>
    <cellStyle name="Normale 9 3 2 2 11" xfId="25278"/>
    <cellStyle name="Normale 9 3 2 2 12" xfId="30082"/>
    <cellStyle name="Normale 9 3 2 2 13" xfId="31014"/>
    <cellStyle name="Normale 9 3 2 2 14" xfId="31935"/>
    <cellStyle name="Normale 9 3 2 2 15" xfId="32860"/>
    <cellStyle name="Normale 9 3 2 2 16" xfId="33797"/>
    <cellStyle name="Normale 9 3 2 2 17" xfId="34727"/>
    <cellStyle name="Normale 9 3 2 2 18" xfId="35653"/>
    <cellStyle name="Normale 9 3 2 2 19" xfId="36579"/>
    <cellStyle name="Normale 9 3 2 2 2" xfId="1364"/>
    <cellStyle name="Normale 9 3 2 2 2 2" xfId="8827"/>
    <cellStyle name="Normale 9 3 2 2 2 3" xfId="16235"/>
    <cellStyle name="Normale 9 3 2 2 2 4" xfId="23255"/>
    <cellStyle name="Normale 9 3 2 2 20" xfId="37499"/>
    <cellStyle name="Normale 9 3 2 2 3" xfId="2295"/>
    <cellStyle name="Normale 9 3 2 2 3 2" xfId="9758"/>
    <cellStyle name="Normale 9 3 2 2 3 3" xfId="17166"/>
    <cellStyle name="Normale 9 3 2 2 3 4" xfId="27841"/>
    <cellStyle name="Normale 9 3 2 2 4" xfId="3217"/>
    <cellStyle name="Normale 9 3 2 2 4 2" xfId="10680"/>
    <cellStyle name="Normale 9 3 2 2 4 3" xfId="18088"/>
    <cellStyle name="Normale 9 3 2 2 4 4" xfId="23875"/>
    <cellStyle name="Normale 9 3 2 2 5" xfId="4150"/>
    <cellStyle name="Normale 9 3 2 2 5 2" xfId="11613"/>
    <cellStyle name="Normale 9 3 2 2 5 3" xfId="19021"/>
    <cellStyle name="Normale 9 3 2 2 5 4" xfId="28410"/>
    <cellStyle name="Normale 9 3 2 2 6" xfId="5073"/>
    <cellStyle name="Normale 9 3 2 2 6 2" xfId="12536"/>
    <cellStyle name="Normale 9 3 2 2 6 3" xfId="19944"/>
    <cellStyle name="Normale 9 3 2 2 6 4" xfId="26040"/>
    <cellStyle name="Normale 9 3 2 2 7" xfId="6001"/>
    <cellStyle name="Normale 9 3 2 2 7 2" xfId="13464"/>
    <cellStyle name="Normale 9 3 2 2 7 3" xfId="20872"/>
    <cellStyle name="Normale 9 3 2 2 7 4" xfId="25135"/>
    <cellStyle name="Normale 9 3 2 2 8" xfId="6921"/>
    <cellStyle name="Normale 9 3 2 2 8 2" xfId="14384"/>
    <cellStyle name="Normale 9 3 2 2 8 3" xfId="21792"/>
    <cellStyle name="Normale 9 3 2 2 8 4" xfId="23927"/>
    <cellStyle name="Normale 9 3 2 2 9" xfId="7860"/>
    <cellStyle name="Normale 9 3 2 20" xfId="36387"/>
    <cellStyle name="Normale 9 3 2 21" xfId="37308"/>
    <cellStyle name="Normale 9 3 2 3" xfId="1172"/>
    <cellStyle name="Normale 9 3 2 3 2" xfId="8635"/>
    <cellStyle name="Normale 9 3 2 3 3" xfId="16043"/>
    <cellStyle name="Normale 9 3 2 3 4" xfId="23165"/>
    <cellStyle name="Normale 9 3 2 4" xfId="2103"/>
    <cellStyle name="Normale 9 3 2 4 2" xfId="9566"/>
    <cellStyle name="Normale 9 3 2 4 3" xfId="16974"/>
    <cellStyle name="Normale 9 3 2 4 4" xfId="28909"/>
    <cellStyle name="Normale 9 3 2 5" xfId="3025"/>
    <cellStyle name="Normale 9 3 2 5 2" xfId="10488"/>
    <cellStyle name="Normale 9 3 2 5 3" xfId="17896"/>
    <cellStyle name="Normale 9 3 2 5 4" xfId="24024"/>
    <cellStyle name="Normale 9 3 2 6" xfId="3958"/>
    <cellStyle name="Normale 9 3 2 6 2" xfId="11421"/>
    <cellStyle name="Normale 9 3 2 6 3" xfId="18829"/>
    <cellStyle name="Normale 9 3 2 6 4" xfId="28499"/>
    <cellStyle name="Normale 9 3 2 7" xfId="4881"/>
    <cellStyle name="Normale 9 3 2 7 2" xfId="12344"/>
    <cellStyle name="Normale 9 3 2 7 3" xfId="19752"/>
    <cellStyle name="Normale 9 3 2 7 4" xfId="25919"/>
    <cellStyle name="Normale 9 3 2 8" xfId="5809"/>
    <cellStyle name="Normale 9 3 2 8 2" xfId="13272"/>
    <cellStyle name="Normale 9 3 2 8 3" xfId="20680"/>
    <cellStyle name="Normale 9 3 2 8 4" xfId="27170"/>
    <cellStyle name="Normale 9 3 2 9" xfId="6730"/>
    <cellStyle name="Normale 9 3 2 9 2" xfId="14193"/>
    <cellStyle name="Normale 9 3 2 9 3" xfId="21601"/>
    <cellStyle name="Normale 9 3 2 9 4" xfId="22988"/>
    <cellStyle name="Normale 9 3 20" xfId="35460"/>
    <cellStyle name="Normale 9 3 21" xfId="36386"/>
    <cellStyle name="Normale 9 3 22" xfId="37307"/>
    <cellStyle name="Normale 9 3 3" xfId="396"/>
    <cellStyle name="Normale 9 3 3 10" xfId="15269"/>
    <cellStyle name="Normale 9 3 3 11" xfId="26203"/>
    <cellStyle name="Normale 9 3 3 12" xfId="30081"/>
    <cellStyle name="Normale 9 3 3 13" xfId="31013"/>
    <cellStyle name="Normale 9 3 3 14" xfId="31934"/>
    <cellStyle name="Normale 9 3 3 15" xfId="32859"/>
    <cellStyle name="Normale 9 3 3 16" xfId="33796"/>
    <cellStyle name="Normale 9 3 3 17" xfId="34726"/>
    <cellStyle name="Normale 9 3 3 18" xfId="35652"/>
    <cellStyle name="Normale 9 3 3 19" xfId="36578"/>
    <cellStyle name="Normale 9 3 3 2" xfId="1363"/>
    <cellStyle name="Normale 9 3 3 2 2" xfId="8826"/>
    <cellStyle name="Normale 9 3 3 2 3" xfId="16234"/>
    <cellStyle name="Normale 9 3 3 2 4" xfId="23418"/>
    <cellStyle name="Normale 9 3 3 20" xfId="37498"/>
    <cellStyle name="Normale 9 3 3 3" xfId="2294"/>
    <cellStyle name="Normale 9 3 3 3 2" xfId="9757"/>
    <cellStyle name="Normale 9 3 3 3 3" xfId="17165"/>
    <cellStyle name="Normale 9 3 3 3 4" xfId="28768"/>
    <cellStyle name="Normale 9 3 3 4" xfId="3216"/>
    <cellStyle name="Normale 9 3 3 4 2" xfId="10679"/>
    <cellStyle name="Normale 9 3 3 4 3" xfId="18087"/>
    <cellStyle name="Normale 9 3 3 4 4" xfId="24799"/>
    <cellStyle name="Normale 9 3 3 5" xfId="4149"/>
    <cellStyle name="Normale 9 3 3 5 2" xfId="11612"/>
    <cellStyle name="Normale 9 3 3 5 3" xfId="19020"/>
    <cellStyle name="Normale 9 3 3 5 4" xfId="29311"/>
    <cellStyle name="Normale 9 3 3 6" xfId="5072"/>
    <cellStyle name="Normale 9 3 3 6 2" xfId="12535"/>
    <cellStyle name="Normale 9 3 3 6 3" xfId="19943"/>
    <cellStyle name="Normale 9 3 3 6 4" xfId="26973"/>
    <cellStyle name="Normale 9 3 3 7" xfId="6000"/>
    <cellStyle name="Normale 9 3 3 7 2" xfId="13463"/>
    <cellStyle name="Normale 9 3 3 7 3" xfId="20871"/>
    <cellStyle name="Normale 9 3 3 7 4" xfId="26059"/>
    <cellStyle name="Normale 9 3 3 8" xfId="6920"/>
    <cellStyle name="Normale 9 3 3 8 2" xfId="14383"/>
    <cellStyle name="Normale 9 3 3 8 3" xfId="21791"/>
    <cellStyle name="Normale 9 3 3 8 4" xfId="24852"/>
    <cellStyle name="Normale 9 3 3 9" xfId="7859"/>
    <cellStyle name="Normale 9 3 4" xfId="1171"/>
    <cellStyle name="Normale 9 3 4 2" xfId="8634"/>
    <cellStyle name="Normale 9 3 4 3" xfId="16042"/>
    <cellStyle name="Normale 9 3 4 4" xfId="24177"/>
    <cellStyle name="Normale 9 3 5" xfId="2102"/>
    <cellStyle name="Normale 9 3 5 2" xfId="9565"/>
    <cellStyle name="Normale 9 3 5 3" xfId="16973"/>
    <cellStyle name="Normale 9 3 5 4" xfId="22478"/>
    <cellStyle name="Normale 9 3 6" xfId="3024"/>
    <cellStyle name="Normale 9 3 6 2" xfId="10487"/>
    <cellStyle name="Normale 9 3 6 3" xfId="17895"/>
    <cellStyle name="Normale 9 3 6 4" xfId="24949"/>
    <cellStyle name="Normale 9 3 7" xfId="3957"/>
    <cellStyle name="Normale 9 3 7 2" xfId="11420"/>
    <cellStyle name="Normale 9 3 7 3" xfId="18828"/>
    <cellStyle name="Normale 9 3 7 4" xfId="29397"/>
    <cellStyle name="Normale 9 3 8" xfId="4880"/>
    <cellStyle name="Normale 9 3 8 2" xfId="12343"/>
    <cellStyle name="Normale 9 3 8 3" xfId="19751"/>
    <cellStyle name="Normale 9 3 8 4" xfId="26853"/>
    <cellStyle name="Normale 9 3 9" xfId="5808"/>
    <cellStyle name="Normale 9 3 9 2" xfId="13271"/>
    <cellStyle name="Normale 9 3 9 3" xfId="20679"/>
    <cellStyle name="Normale 9 3 9 4" xfId="28092"/>
    <cellStyle name="Normale 9 30" xfId="34533"/>
    <cellStyle name="Normale 9 31" xfId="35459"/>
    <cellStyle name="Normale 9 32" xfId="36385"/>
    <cellStyle name="Normale 9 33" xfId="37306"/>
    <cellStyle name="Normale 9 4" xfId="205"/>
    <cellStyle name="Normale 9 4 10" xfId="7669"/>
    <cellStyle name="Normale 9 4 11" xfId="15079"/>
    <cellStyle name="Normale 9 4 12" xfId="26403"/>
    <cellStyle name="Normale 9 4 13" xfId="29891"/>
    <cellStyle name="Normale 9 4 14" xfId="30823"/>
    <cellStyle name="Normale 9 4 15" xfId="31744"/>
    <cellStyle name="Normale 9 4 16" xfId="32670"/>
    <cellStyle name="Normale 9 4 17" xfId="33606"/>
    <cellStyle name="Normale 9 4 18" xfId="34536"/>
    <cellStyle name="Normale 9 4 19" xfId="35462"/>
    <cellStyle name="Normale 9 4 2" xfId="398"/>
    <cellStyle name="Normale 9 4 2 10" xfId="15271"/>
    <cellStyle name="Normale 9 4 2 11" xfId="24360"/>
    <cellStyle name="Normale 9 4 2 12" xfId="30083"/>
    <cellStyle name="Normale 9 4 2 13" xfId="31015"/>
    <cellStyle name="Normale 9 4 2 14" xfId="31936"/>
    <cellStyle name="Normale 9 4 2 15" xfId="32861"/>
    <cellStyle name="Normale 9 4 2 16" xfId="33798"/>
    <cellStyle name="Normale 9 4 2 17" xfId="34728"/>
    <cellStyle name="Normale 9 4 2 18" xfId="35654"/>
    <cellStyle name="Normale 9 4 2 19" xfId="36580"/>
    <cellStyle name="Normale 9 4 2 2" xfId="1365"/>
    <cellStyle name="Normale 9 4 2 2 2" xfId="8828"/>
    <cellStyle name="Normale 9 4 2 2 3" xfId="16236"/>
    <cellStyle name="Normale 9 4 2 2 4" xfId="29687"/>
    <cellStyle name="Normale 9 4 2 20" xfId="37500"/>
    <cellStyle name="Normale 9 4 2 3" xfId="2296"/>
    <cellStyle name="Normale 9 4 2 3 2" xfId="9759"/>
    <cellStyle name="Normale 9 4 2 3 3" xfId="17167"/>
    <cellStyle name="Normale 9 4 2 3 4" xfId="26938"/>
    <cellStyle name="Normale 9 4 2 4" xfId="3218"/>
    <cellStyle name="Normale 9 4 2 4 2" xfId="10681"/>
    <cellStyle name="Normale 9 4 2 4 3" xfId="18089"/>
    <cellStyle name="Normale 9 4 2 4 4" xfId="22888"/>
    <cellStyle name="Normale 9 4 2 5" xfId="4151"/>
    <cellStyle name="Normale 9 4 2 5 2" xfId="11614"/>
    <cellStyle name="Normale 9 4 2 5 3" xfId="19022"/>
    <cellStyle name="Normale 9 4 2 5 4" xfId="27485"/>
    <cellStyle name="Normale 9 4 2 6" xfId="5074"/>
    <cellStyle name="Normale 9 4 2 6 2" xfId="12537"/>
    <cellStyle name="Normale 9 4 2 6 3" xfId="19945"/>
    <cellStyle name="Normale 9 4 2 6 4" xfId="25130"/>
    <cellStyle name="Normale 9 4 2 7" xfId="6002"/>
    <cellStyle name="Normale 9 4 2 7 2" xfId="13465"/>
    <cellStyle name="Normale 9 4 2 7 3" xfId="20873"/>
    <cellStyle name="Normale 9 4 2 7 4" xfId="24216"/>
    <cellStyle name="Normale 9 4 2 8" xfId="6922"/>
    <cellStyle name="Normale 9 4 2 8 2" xfId="14385"/>
    <cellStyle name="Normale 9 4 2 8 3" xfId="21793"/>
    <cellStyle name="Normale 9 4 2 8 4" xfId="22858"/>
    <cellStyle name="Normale 9 4 2 9" xfId="7861"/>
    <cellStyle name="Normale 9 4 20" xfId="36388"/>
    <cellStyle name="Normale 9 4 21" xfId="37309"/>
    <cellStyle name="Normale 9 4 3" xfId="1173"/>
    <cellStyle name="Normale 9 4 3 2" xfId="8636"/>
    <cellStyle name="Normale 9 4 3 3" xfId="16044"/>
    <cellStyle name="Normale 9 4 3 4" xfId="29594"/>
    <cellStyle name="Normale 9 4 4" xfId="2104"/>
    <cellStyle name="Normale 9 4 4 2" xfId="9567"/>
    <cellStyle name="Normale 9 4 4 3" xfId="16975"/>
    <cellStyle name="Normale 9 4 4 4" xfId="27996"/>
    <cellStyle name="Normale 9 4 5" xfId="3026"/>
    <cellStyle name="Normale 9 4 5 2" xfId="10489"/>
    <cellStyle name="Normale 9 4 5 3" xfId="17897"/>
    <cellStyle name="Normale 9 4 5 4" xfId="23016"/>
    <cellStyle name="Normale 9 4 6" xfId="3959"/>
    <cellStyle name="Normale 9 4 6 2" xfId="11422"/>
    <cellStyle name="Normale 9 4 6 3" xfId="18830"/>
    <cellStyle name="Normale 9 4 6 4" xfId="27573"/>
    <cellStyle name="Normale 9 4 7" xfId="4882"/>
    <cellStyle name="Normale 9 4 7 2" xfId="12345"/>
    <cellStyle name="Normale 9 4 7 3" xfId="19753"/>
    <cellStyle name="Normale 9 4 7 4" xfId="25010"/>
    <cellStyle name="Normale 9 4 8" xfId="5810"/>
    <cellStyle name="Normale 9 4 8 2" xfId="13273"/>
    <cellStyle name="Normale 9 4 8 3" xfId="20681"/>
    <cellStyle name="Normale 9 4 8 4" xfId="26260"/>
    <cellStyle name="Normale 9 4 9" xfId="6731"/>
    <cellStyle name="Normale 9 4 9 2" xfId="14194"/>
    <cellStyle name="Normale 9 4 9 3" xfId="21602"/>
    <cellStyle name="Normale 9 4 9 4" xfId="29417"/>
    <cellStyle name="Normale 9 5" xfId="395"/>
    <cellStyle name="Normale 9 5 10" xfId="15268"/>
    <cellStyle name="Normale 9 5 11" xfId="27115"/>
    <cellStyle name="Normale 9 5 12" xfId="30080"/>
    <cellStyle name="Normale 9 5 13" xfId="31012"/>
    <cellStyle name="Normale 9 5 14" xfId="31933"/>
    <cellStyle name="Normale 9 5 15" xfId="32858"/>
    <cellStyle name="Normale 9 5 16" xfId="33795"/>
    <cellStyle name="Normale 9 5 17" xfId="34725"/>
    <cellStyle name="Normale 9 5 18" xfId="35651"/>
    <cellStyle name="Normale 9 5 19" xfId="36577"/>
    <cellStyle name="Normale 9 5 2" xfId="1362"/>
    <cellStyle name="Normale 9 5 2 2" xfId="8825"/>
    <cellStyle name="Normale 9 5 2 3" xfId="16233"/>
    <cellStyle name="Normale 9 5 2 4" xfId="24334"/>
    <cellStyle name="Normale 9 5 20" xfId="37497"/>
    <cellStyle name="Normale 9 5 3" xfId="2293"/>
    <cellStyle name="Normale 9 5 3 2" xfId="9756"/>
    <cellStyle name="Normale 9 5 3 3" xfId="17164"/>
    <cellStyle name="Normale 9 5 3 4" xfId="29653"/>
    <cellStyle name="Normale 9 5 4" xfId="3215"/>
    <cellStyle name="Normale 9 5 4 2" xfId="10678"/>
    <cellStyle name="Normale 9 5 4 3" xfId="18086"/>
    <cellStyle name="Normale 9 5 4 4" xfId="25711"/>
    <cellStyle name="Normale 9 5 5" xfId="4148"/>
    <cellStyle name="Normale 9 5 5 2" xfId="11611"/>
    <cellStyle name="Normale 9 5 5 3" xfId="19019"/>
    <cellStyle name="Normale 9 5 5 4" xfId="22882"/>
    <cellStyle name="Normale 9 5 6" xfId="5071"/>
    <cellStyle name="Normale 9 5 6 2" xfId="12534"/>
    <cellStyle name="Normale 9 5 6 3" xfId="19942"/>
    <cellStyle name="Normale 9 5 6 4" xfId="27876"/>
    <cellStyle name="Normale 9 5 7" xfId="5999"/>
    <cellStyle name="Normale 9 5 7 2" xfId="13462"/>
    <cellStyle name="Normale 9 5 7 3" xfId="20870"/>
    <cellStyle name="Normale 9 5 7 4" xfId="26977"/>
    <cellStyle name="Normale 9 5 8" xfId="6919"/>
    <cellStyle name="Normale 9 5 8 2" xfId="14382"/>
    <cellStyle name="Normale 9 5 8 3" xfId="21790"/>
    <cellStyle name="Normale 9 5 8 4" xfId="25764"/>
    <cellStyle name="Normale 9 5 9" xfId="7858"/>
    <cellStyle name="Normale 9 6" xfId="451"/>
    <cellStyle name="Normale 9 6 10" xfId="15324"/>
    <cellStyle name="Normale 9 6 11" xfId="27457"/>
    <cellStyle name="Normale 9 6 12" xfId="30136"/>
    <cellStyle name="Normale 9 6 13" xfId="31068"/>
    <cellStyle name="Normale 9 6 14" xfId="31989"/>
    <cellStyle name="Normale 9 6 15" xfId="32912"/>
    <cellStyle name="Normale 9 6 16" xfId="33851"/>
    <cellStyle name="Normale 9 6 17" xfId="34781"/>
    <cellStyle name="Normale 9 6 18" xfId="35707"/>
    <cellStyle name="Normale 9 6 19" xfId="36633"/>
    <cellStyle name="Normale 9 6 2" xfId="1418"/>
    <cellStyle name="Normale 9 6 2 2" xfId="8881"/>
    <cellStyle name="Normale 9 6 2 3" xfId="16289"/>
    <cellStyle name="Normale 9 6 2 4" xfId="23244"/>
    <cellStyle name="Normale 9 6 20" xfId="37551"/>
    <cellStyle name="Normale 9 6 3" xfId="2349"/>
    <cellStyle name="Normale 9 6 3 2" xfId="9812"/>
    <cellStyle name="Normale 9 6 3 3" xfId="17220"/>
    <cellStyle name="Normale 9 6 3 4" xfId="29228"/>
    <cellStyle name="Normale 9 6 4" xfId="3271"/>
    <cellStyle name="Normale 9 6 4 2" xfId="10734"/>
    <cellStyle name="Normale 9 6 4 3" xfId="18142"/>
    <cellStyle name="Normale 9 6 4 4" xfId="27546"/>
    <cellStyle name="Normale 9 6 5" xfId="4204"/>
    <cellStyle name="Normale 9 6 5 2" xfId="11667"/>
    <cellStyle name="Normale 9 6 5 3" xfId="19075"/>
    <cellStyle name="Normale 9 6 5 4" xfId="22421"/>
    <cellStyle name="Normale 9 6 6" xfId="5127"/>
    <cellStyle name="Normale 9 6 6 2" xfId="12590"/>
    <cellStyle name="Normale 9 6 6 3" xfId="19998"/>
    <cellStyle name="Normale 9 6 6 4" xfId="26029"/>
    <cellStyle name="Normale 9 6 7" xfId="6055"/>
    <cellStyle name="Normale 9 6 7 2" xfId="13518"/>
    <cellStyle name="Normale 9 6 7 3" xfId="20926"/>
    <cellStyle name="Normale 9 6 7 4" xfId="27422"/>
    <cellStyle name="Normale 9 6 8" xfId="6973"/>
    <cellStyle name="Normale 9 6 8 2" xfId="14436"/>
    <cellStyle name="Normale 9 6 8 3" xfId="21844"/>
    <cellStyle name="Normale 9 6 8 4" xfId="29419"/>
    <cellStyle name="Normale 9 6 9" xfId="7914"/>
    <cellStyle name="Normale 9 7" xfId="498"/>
    <cellStyle name="Normale 9 7 10" xfId="15371"/>
    <cellStyle name="Normale 9 7 11" xfId="28034"/>
    <cellStyle name="Normale 9 7 12" xfId="30183"/>
    <cellStyle name="Normale 9 7 13" xfId="31115"/>
    <cellStyle name="Normale 9 7 14" xfId="32036"/>
    <cellStyle name="Normale 9 7 15" xfId="32958"/>
    <cellStyle name="Normale 9 7 16" xfId="33898"/>
    <cellStyle name="Normale 9 7 17" xfId="34828"/>
    <cellStyle name="Normale 9 7 18" xfId="35754"/>
    <cellStyle name="Normale 9 7 19" xfId="36680"/>
    <cellStyle name="Normale 9 7 2" xfId="1465"/>
    <cellStyle name="Normale 9 7 2 2" xfId="8928"/>
    <cellStyle name="Normale 9 7 2 3" xfId="16336"/>
    <cellStyle name="Normale 9 7 2 4" xfId="23849"/>
    <cellStyle name="Normale 9 7 20" xfId="37597"/>
    <cellStyle name="Normale 9 7 3" xfId="2396"/>
    <cellStyle name="Normale 9 7 3 2" xfId="9859"/>
    <cellStyle name="Normale 9 7 3 3" xfId="17267"/>
    <cellStyle name="Normale 9 7 3 4" xfId="22658"/>
    <cellStyle name="Normale 9 7 4" xfId="3318"/>
    <cellStyle name="Normale 9 7 4 2" xfId="10781"/>
    <cellStyle name="Normale 9 7 4 3" xfId="18189"/>
    <cellStyle name="Normale 9 7 4 4" xfId="23123"/>
    <cellStyle name="Normale 9 7 5" xfId="4251"/>
    <cellStyle name="Normale 9 7 5 2" xfId="11714"/>
    <cellStyle name="Normale 9 7 5 3" xfId="19122"/>
    <cellStyle name="Normale 9 7 5 4" xfId="24158"/>
    <cellStyle name="Normale 9 7 6" xfId="5174"/>
    <cellStyle name="Normale 9 7 6 2" xfId="12637"/>
    <cellStyle name="Normale 9 7 6 3" xfId="20045"/>
    <cellStyle name="Normale 9 7 6 4" xfId="26275"/>
    <cellStyle name="Normale 9 7 7" xfId="6102"/>
    <cellStyle name="Normale 9 7 7 2" xfId="13565"/>
    <cellStyle name="Normale 9 7 7 3" xfId="20973"/>
    <cellStyle name="Normale 9 7 7 4" xfId="27892"/>
    <cellStyle name="Normale 9 7 8" xfId="7019"/>
    <cellStyle name="Normale 9 7 8 2" xfId="14482"/>
    <cellStyle name="Normale 9 7 8 3" xfId="21890"/>
    <cellStyle name="Normale 9 7 8 4" xfId="24146"/>
    <cellStyle name="Normale 9 7 9" xfId="7961"/>
    <cellStyle name="Normale 9 8" xfId="543"/>
    <cellStyle name="Normale 9 8 10" xfId="15416"/>
    <cellStyle name="Normale 9 8 11" xfId="24180"/>
    <cellStyle name="Normale 9 8 12" xfId="30227"/>
    <cellStyle name="Normale 9 8 13" xfId="31160"/>
    <cellStyle name="Normale 9 8 14" xfId="32080"/>
    <cellStyle name="Normale 9 8 15" xfId="33002"/>
    <cellStyle name="Normale 9 8 16" xfId="33943"/>
    <cellStyle name="Normale 9 8 17" xfId="34873"/>
    <cellStyle name="Normale 9 8 18" xfId="35799"/>
    <cellStyle name="Normale 9 8 19" xfId="36725"/>
    <cellStyle name="Normale 9 8 2" xfId="1510"/>
    <cellStyle name="Normale 9 8 2 2" xfId="8973"/>
    <cellStyle name="Normale 9 8 2 3" xfId="16381"/>
    <cellStyle name="Normale 9 8 2 4" xfId="26595"/>
    <cellStyle name="Normale 9 8 20" xfId="37641"/>
    <cellStyle name="Normale 9 8 3" xfId="2441"/>
    <cellStyle name="Normale 9 8 3 2" xfId="9904"/>
    <cellStyle name="Normale 9 8 3 3" xfId="17312"/>
    <cellStyle name="Normale 9 8 3 4" xfId="25934"/>
    <cellStyle name="Normale 9 8 4" xfId="3362"/>
    <cellStyle name="Normale 9 8 4 2" xfId="10825"/>
    <cellStyle name="Normale 9 8 4 3" xfId="18233"/>
    <cellStyle name="Normale 9 8 4 4" xfId="25109"/>
    <cellStyle name="Normale 9 8 5" xfId="4296"/>
    <cellStyle name="Normale 9 8 5 2" xfId="11759"/>
    <cellStyle name="Normale 9 8 5 3" xfId="19167"/>
    <cellStyle name="Normale 9 8 5 4" xfId="23810"/>
    <cellStyle name="Normale 9 8 6" xfId="5218"/>
    <cellStyle name="Normale 9 8 6 2" xfId="12681"/>
    <cellStyle name="Normale 9 8 6 3" xfId="20089"/>
    <cellStyle name="Normale 9 8 6 4" xfId="22826"/>
    <cellStyle name="Normale 9 8 7" xfId="6147"/>
    <cellStyle name="Normale 9 8 7 2" xfId="13610"/>
    <cellStyle name="Normale 9 8 7 3" xfId="21018"/>
    <cellStyle name="Normale 9 8 7 4" xfId="24131"/>
    <cellStyle name="Normale 9 8 8" xfId="7063"/>
    <cellStyle name="Normale 9 8 8 2" xfId="14526"/>
    <cellStyle name="Normale 9 8 8 3" xfId="21934"/>
    <cellStyle name="Normale 9 8 8 4" xfId="27367"/>
    <cellStyle name="Normale 9 8 9" xfId="8006"/>
    <cellStyle name="Normale 9 9" xfId="598"/>
    <cellStyle name="Normale 9 9 10" xfId="15471"/>
    <cellStyle name="Normale 9 9 11" xfId="29241"/>
    <cellStyle name="Normale 9 9 12" xfId="30281"/>
    <cellStyle name="Normale 9 9 13" xfId="31215"/>
    <cellStyle name="Normale 9 9 14" xfId="32134"/>
    <cellStyle name="Normale 9 9 15" xfId="33054"/>
    <cellStyle name="Normale 9 9 16" xfId="33998"/>
    <cellStyle name="Normale 9 9 17" xfId="34928"/>
    <cellStyle name="Normale 9 9 18" xfId="35854"/>
    <cellStyle name="Normale 9 9 19" xfId="36780"/>
    <cellStyle name="Normale 9 9 2" xfId="1565"/>
    <cellStyle name="Normale 9 9 2 2" xfId="9028"/>
    <cellStyle name="Normale 9 9 2 3" xfId="16436"/>
    <cellStyle name="Normale 9 9 2 4" xfId="27089"/>
    <cellStyle name="Normale 9 9 20" xfId="37693"/>
    <cellStyle name="Normale 9 9 3" xfId="2496"/>
    <cellStyle name="Normale 9 9 3 2" xfId="9959"/>
    <cellStyle name="Normale 9 9 3 3" xfId="17367"/>
    <cellStyle name="Normale 9 9 3 4" xfId="26441"/>
    <cellStyle name="Normale 9 9 4" xfId="3416"/>
    <cellStyle name="Normale 9 9 4 2" xfId="10879"/>
    <cellStyle name="Normale 9 9 4 3" xfId="18287"/>
    <cellStyle name="Normale 9 9 4 4" xfId="25203"/>
    <cellStyle name="Normale 9 9 5" xfId="4351"/>
    <cellStyle name="Normale 9 9 5 2" xfId="11814"/>
    <cellStyle name="Normale 9 9 5 3" xfId="19222"/>
    <cellStyle name="Normale 9 9 5 4" xfId="24257"/>
    <cellStyle name="Normale 9 9 6" xfId="5272"/>
    <cellStyle name="Normale 9 9 6 2" xfId="12735"/>
    <cellStyle name="Normale 9 9 6 3" xfId="20143"/>
    <cellStyle name="Normale 9 9 6 4" xfId="24234"/>
    <cellStyle name="Normale 9 9 7" xfId="6202"/>
    <cellStyle name="Normale 9 9 7 2" xfId="13665"/>
    <cellStyle name="Normale 9 9 7 3" xfId="21073"/>
    <cellStyle name="Normale 9 9 7 4" xfId="24621"/>
    <cellStyle name="Normale 9 9 8" xfId="7115"/>
    <cellStyle name="Normale 9 9 8 2" xfId="14578"/>
    <cellStyle name="Normale 9 9 8 3" xfId="21986"/>
    <cellStyle name="Normale 9 9 8 4" xfId="15639"/>
    <cellStyle name="Normale 9 9 9" xfId="8061"/>
    <cellStyle name="Normale_Foglio1" xfId="206"/>
  </cellStyles>
  <dxfs count="146"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B7B7"/>
        </patternFill>
      </fill>
    </dxf>
    <dxf>
      <fill>
        <patternFill>
          <bgColor rgb="FFFFB7B7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4F4F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4F4F"/>
        </patternFill>
      </fill>
    </dxf>
    <dxf>
      <fill>
        <patternFill>
          <bgColor rgb="FFFFB7B7"/>
        </patternFill>
      </fill>
    </dxf>
  </dxfs>
  <tableStyles count="0" defaultTableStyle="TableStyleMedium9" defaultPivotStyle="PivotStyleLight16"/>
</styleSheet>
</file>

<file path=xl/xmlMaps.xml><?xml version="1.0" encoding="utf-8"?>
<MapInfo xmlns="http://schemas.openxmlformats.org/spreadsheetml/2006/main" SelectionNamespaces="xmlns:ns1='http://www.gesmes.org/xml/2002-08-01' xmlns:ns2='http://www.ecb.int/vocabulary/2002-08-01/eurofxref'">
  <Schema ID="Schema1" Namespace="http://www.ecb.int/vocabulary/2002-08-01/eurofxref">
    <xsd:schema xmlns:xsd="http://www.w3.org/2001/XMLSchema" xmlns:ns0="http://www.ecb.int/vocabulary/2002-08-01/eurofxref" xmlns="" targetNamespace="http://www.ecb.int/vocabulary/2002-08-01/eurofxref">
      <xsd:element nillable="true" name="Cube">
        <xsd:complexType>
          <xsd:sequence minOccurs="0">
            <xsd:element minOccurs="0" nillable="true" name="Cube" form="qualified">
              <xsd:complexType>
                <xsd:sequence minOccurs="0">
                  <xsd:element minOccurs="0" maxOccurs="unbounded" nillable="true" name="Cube" form="qualified">
                    <xsd:complexType>
                      <xsd:attribute name="currency" form="unqualified" type="xsd:string"/>
                      <xsd:attribute name="rate" form="unqualified" type="xsd:double"/>
                    </xsd:complexType>
                  </xsd:element>
                </xsd:sequence>
                <xsd:attribute name="time" form="unqualified" type="xsd:date"/>
              </xsd:complexType>
            </xsd:element>
          </xsd:sequence>
        </xsd:complexType>
      </xsd:element>
    </xsd:schema>
  </Schema>
  <Schema ID="Schema2" SchemaRef="Schema1" Namespace="http://www.gesmes.org/xml/2002-08-01">
    <xsd:schema xmlns:xsd="http://www.w3.org/2001/XMLSchema" xmlns:ns0="http://www.gesmes.org/xml/2002-08-01" xmlns:ns1="http://www.ecb.int/vocabulary/2002-08-01/eurofxref" xmlns="" targetNamespace="http://www.gesmes.org/xml/2002-08-01">
      <xsd:import namespace="http://www.ecb.int/vocabulary/2002-08-01/eurofxref"/>
      <xsd:element nillable="true" name="Envelope">
        <xsd:complexType>
          <xsd:sequence minOccurs="0">
            <xsd:element minOccurs="0" nillable="true" type="xsd:string" name="subject" form="qualified"/>
            <xsd:element minOccurs="0" nillable="true" name="Sender" form="qualified">
              <xsd:complexType>
                <xsd:sequence minOccurs="0">
                  <xsd:element minOccurs="0" nillable="true" type="xsd:string" name="name" form="qualified"/>
                </xsd:sequence>
              </xsd:complexType>
            </xsd:element>
            <xsd:element minOccurs="0" ref="ns1:Cube"/>
          </xsd:sequence>
        </xsd:complexType>
      </xsd:element>
    </xsd:schema>
  </Schema>
  <Schema ID="Schema3" Namespace="http://www.ecb.int/vocabulary/2002-08-01/eurofxref">
    <xsd:schema xmlns:xsd="http://www.w3.org/2001/XMLSchema" xmlns:ns0="http://www.ecb.int/vocabulary/2002-08-01/eurofxref" xmlns="" targetNamespace="http://www.ecb.int/vocabulary/2002-08-01/eurofxref">
      <xsd:element nillable="true" name="Cube">
        <xsd:complexType>
          <xsd:sequence minOccurs="0">
            <xsd:element minOccurs="0" nillable="true" name="Cube" form="qualified">
              <xsd:complexType>
                <xsd:sequence minOccurs="0">
                  <xsd:element minOccurs="0" maxOccurs="unbounded" nillable="true" name="Cube" form="qualified">
                    <xsd:complexType>
                      <xsd:attribute name="currency" form="unqualified" type="xsd:string"/>
                      <xsd:attribute name="rate" form="unqualified" type="xsd:double"/>
                    </xsd:complexType>
                  </xsd:element>
                </xsd:sequence>
                <xsd:attribute name="time" form="unqualified" type="xsd:date"/>
              </xsd:complexType>
            </xsd:element>
          </xsd:sequence>
        </xsd:complexType>
      </xsd:element>
    </xsd:schema>
  </Schema>
  <Schema ID="Schema4" SchemaRef="Schema3" Namespace="http://www.gesmes.org/xml/2002-08-01">
    <xsd:schema xmlns:xsd="http://www.w3.org/2001/XMLSchema" xmlns:ns0="http://www.gesmes.org/xml/2002-08-01" xmlns:ns1="http://www.ecb.int/vocabulary/2002-08-01/eurofxref" xmlns="" targetNamespace="http://www.gesmes.org/xml/2002-08-01">
      <xsd:import namespace="http://www.ecb.int/vocabulary/2002-08-01/eurofxref"/>
      <xsd:element nillable="true" name="Envelope">
        <xsd:complexType>
          <xsd:sequence minOccurs="0">
            <xsd:element minOccurs="0" nillable="true" type="xsd:string" name="subject" form="qualified"/>
            <xsd:element minOccurs="0" nillable="true" name="Sender" form="qualified">
              <xsd:complexType>
                <xsd:sequence minOccurs="0">
                  <xsd:element minOccurs="0" nillable="true" type="xsd:string" name="name" form="qualified"/>
                </xsd:sequence>
              </xsd:complexType>
            </xsd:element>
            <xsd:element minOccurs="0" ref="ns1:Cube"/>
          </xsd:sequence>
        </xsd:complexType>
      </xsd:element>
    </xsd:schema>
  </Schema>
  <Map ID="1" Name="Envelope_mapping" RootElement="Envelope" SchemaID="Schema2" ShowImportExportValidationErrors="false" AutoFit="true" Append="false" PreserveSortAFLayout="true" PreserveFormat="true">
    <DataBinding FileBinding="true" ConnectionID="2" DataBindingLoadMode="1"/>
  </Map>
  <Map ID="2" Name="Envelope_mapping1" RootElement="Envelope" SchemaID="Schema4" ShowImportExportValidationErrors="false" AutoFit="true" Append="false" PreserveSortAFLayout="true" PreserveFormat="true">
    <DataBinding FileBinding="true" ConnectionID="3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10" Type="http://schemas.openxmlformats.org/officeDocument/2006/relationships/xmlMaps" Target="xmlMaps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i/Users/Luca/AppData/Roaming/Microsoft/Excel/Scadenziere_mamma_9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ocumenti/Scadenziere_mamma_119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per"/>
      <sheetName val="Patrim"/>
      <sheetName val="ISP"/>
      <sheetName val="Allianz Cairoli"/>
      <sheetName val="Allianz Antonelli"/>
      <sheetName val="DB"/>
      <sheetName val="Riepilogo obblig"/>
      <sheetName val="Grafici"/>
      <sheetName val="Storico"/>
      <sheetName val="Cedole"/>
      <sheetName val="Watch"/>
      <sheetName val="IBAN CONTI"/>
      <sheetName val="Query fondi"/>
      <sheetName val="CAMBI"/>
      <sheetName val="CheBan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Coper"/>
      <sheetName val="Patrim"/>
      <sheetName val="ISP"/>
      <sheetName val="Allianz Antonelli"/>
      <sheetName val="Allianz Cairoli"/>
      <sheetName val="DB"/>
      <sheetName val="Riepilogo obblig"/>
      <sheetName val="Grafici"/>
      <sheetName val="Storico"/>
      <sheetName val="Cedole"/>
      <sheetName val="CEDOLE NUOVO"/>
      <sheetName val="CED"/>
      <sheetName val="COMPARA RENDIM"/>
      <sheetName val="WATCHLIST"/>
      <sheetName val="Prezzi"/>
      <sheetName val="Query fondi"/>
      <sheetName val="CAMBI"/>
      <sheetName val="STORICO PER BANCA"/>
      <sheetName val="IBAN CON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2">
          <cell r="A2" t="str">
            <v>IT0005436172</v>
          </cell>
          <cell r="B2" t="str">
            <v>O</v>
          </cell>
          <cell r="C2" t="str">
            <v>Borgosesia Tf 5,5% Mz26 Call</v>
          </cell>
          <cell r="D2" t="str">
            <v>M</v>
          </cell>
          <cell r="E2">
            <v>99</v>
          </cell>
          <cell r="F2" t="str">
            <v>13/11/24 14:40</v>
          </cell>
          <cell r="G2">
            <v>99.209999084472656</v>
          </cell>
          <cell r="H2">
            <v>99.5</v>
          </cell>
          <cell r="I2">
            <v>99</v>
          </cell>
          <cell r="J2">
            <v>2.75</v>
          </cell>
          <cell r="K2">
            <v>46090</v>
          </cell>
          <cell r="L2">
            <v>96.5</v>
          </cell>
          <cell r="M2">
            <v>100</v>
          </cell>
          <cell r="N2">
            <v>1000</v>
          </cell>
          <cell r="O2">
            <v>2000</v>
          </cell>
          <cell r="P2">
            <v>11880</v>
          </cell>
          <cell r="R2">
            <v>99.354999542236328</v>
          </cell>
        </row>
        <row r="3">
          <cell r="A3" t="str">
            <v>IT0006756438</v>
          </cell>
          <cell r="B3" t="str">
            <v>T</v>
          </cell>
          <cell r="C3" t="str">
            <v>Carraro Fin Fx 7.75% Nov28 Call</v>
          </cell>
          <cell r="D3" t="str">
            <v>T</v>
          </cell>
          <cell r="F3" t="str">
            <v xml:space="preserve"> (n.d.)</v>
          </cell>
          <cell r="G3">
            <v>105.51000213623047</v>
          </cell>
          <cell r="H3">
            <v>106.30000305175781</v>
          </cell>
          <cell r="I3">
            <v>105.94999694824219</v>
          </cell>
          <cell r="K3">
            <v>47063</v>
          </cell>
          <cell r="L3">
            <v>102.5</v>
          </cell>
          <cell r="M3">
            <v>107.40000152587891</v>
          </cell>
          <cell r="N3">
            <v>1000</v>
          </cell>
          <cell r="O3">
            <v>0</v>
          </cell>
          <cell r="P3">
            <v>0</v>
          </cell>
          <cell r="R3">
            <v>105.90500259399414</v>
          </cell>
        </row>
        <row r="4">
          <cell r="A4" t="str">
            <v>IT0005474330</v>
          </cell>
          <cell r="B4" t="str">
            <v>O</v>
          </cell>
          <cell r="C4" t="str">
            <v>Btp Tf 0% Dc24</v>
          </cell>
          <cell r="D4" t="str">
            <v>M</v>
          </cell>
          <cell r="E4">
            <v>99.844001770019531</v>
          </cell>
          <cell r="F4" t="str">
            <v>13/11/24 15:33</v>
          </cell>
          <cell r="G4">
            <v>99.842002868652344</v>
          </cell>
          <cell r="H4">
            <v>99.849998474121094</v>
          </cell>
          <cell r="I4">
            <v>99.83599853515625</v>
          </cell>
          <cell r="J4">
            <v>45641</v>
          </cell>
          <cell r="K4">
            <v>45641</v>
          </cell>
          <cell r="L4">
            <v>96.900001525878906</v>
          </cell>
          <cell r="M4">
            <v>99.885002136230469</v>
          </cell>
          <cell r="N4">
            <v>1000</v>
          </cell>
          <cell r="O4">
            <v>28000</v>
          </cell>
          <cell r="P4">
            <v>9984276</v>
          </cell>
          <cell r="R4">
            <v>99.846000671386719</v>
          </cell>
        </row>
        <row r="5">
          <cell r="A5" t="str">
            <v>FR0013477254</v>
          </cell>
          <cell r="B5" t="str">
            <v>T</v>
          </cell>
          <cell r="C5" t="str">
            <v>Air France Klm - 1.875% Call 16ge25</v>
          </cell>
          <cell r="D5" t="str">
            <v>T</v>
          </cell>
          <cell r="F5" t="str">
            <v xml:space="preserve"> (n.d.)</v>
          </cell>
          <cell r="G5">
            <v>99.519996643066406</v>
          </cell>
          <cell r="H5">
            <v>99.879997253417969</v>
          </cell>
          <cell r="I5">
            <v>99.629997253417969</v>
          </cell>
          <cell r="J5">
            <v>45673</v>
          </cell>
          <cell r="K5">
            <v>45673</v>
          </cell>
          <cell r="L5">
            <v>96.199996948242187</v>
          </cell>
          <cell r="M5">
            <v>99.239997863769531</v>
          </cell>
          <cell r="N5">
            <v>100000</v>
          </cell>
          <cell r="O5">
            <v>0</v>
          </cell>
          <cell r="P5">
            <v>0</v>
          </cell>
          <cell r="R5">
            <v>99.699996948242188</v>
          </cell>
        </row>
        <row r="6">
          <cell r="A6" t="str">
            <v>IT0005597874</v>
          </cell>
          <cell r="B6" t="str">
            <v>O</v>
          </cell>
          <cell r="C6" t="str">
            <v>Kme Fx 5.75% Aug29 Call</v>
          </cell>
          <cell r="D6" t="str">
            <v>M</v>
          </cell>
          <cell r="E6">
            <v>100.40000152587891</v>
          </cell>
          <cell r="F6" t="str">
            <v>13/11/24 15:27</v>
          </cell>
          <cell r="G6">
            <v>100.40000152587891</v>
          </cell>
          <cell r="H6">
            <v>100.44999694824219</v>
          </cell>
          <cell r="I6">
            <v>100.3948974609375</v>
          </cell>
          <cell r="J6">
            <v>5.75</v>
          </cell>
          <cell r="K6">
            <v>47332</v>
          </cell>
          <cell r="L6">
            <v>99.739997863769531</v>
          </cell>
          <cell r="M6">
            <v>101.83999633789062</v>
          </cell>
          <cell r="N6">
            <v>1</v>
          </cell>
          <cell r="O6">
            <v>3500</v>
          </cell>
          <cell r="P6">
            <v>471509</v>
          </cell>
          <cell r="R6">
            <v>100.42499923706055</v>
          </cell>
        </row>
        <row r="7">
          <cell r="A7" t="str">
            <v>IT0005415291</v>
          </cell>
          <cell r="B7" t="str">
            <v>O</v>
          </cell>
          <cell r="C7" t="str">
            <v>Btp Futura Lg30</v>
          </cell>
          <cell r="D7" t="str">
            <v>M</v>
          </cell>
          <cell r="E7">
            <v>90.029998779296875</v>
          </cell>
          <cell r="F7" t="str">
            <v>13/11/24 15:28</v>
          </cell>
          <cell r="G7">
            <v>90.040000915527344</v>
          </cell>
          <cell r="H7">
            <v>90.089996337890625</v>
          </cell>
          <cell r="I7">
            <v>90.124099731445313</v>
          </cell>
          <cell r="J7">
            <v>0.64999997615814209</v>
          </cell>
          <cell r="K7">
            <v>47678</v>
          </cell>
          <cell r="L7">
            <v>85.800003051757812</v>
          </cell>
          <cell r="M7">
            <v>91.80999755859375</v>
          </cell>
          <cell r="N7">
            <v>1000</v>
          </cell>
          <cell r="O7">
            <v>5000</v>
          </cell>
          <cell r="P7">
            <v>1209328</v>
          </cell>
          <cell r="R7">
            <v>90.064998626708984</v>
          </cell>
        </row>
        <row r="8">
          <cell r="A8" t="str">
            <v>XS2178833773</v>
          </cell>
          <cell r="B8" t="str">
            <v>T</v>
          </cell>
          <cell r="C8" t="str">
            <v>Stellantis 3.875% Call 05ge26</v>
          </cell>
          <cell r="D8" t="str">
            <v>T</v>
          </cell>
          <cell r="F8" t="str">
            <v xml:space="preserve"> (n.d.)</v>
          </cell>
          <cell r="G8">
            <v>100.54000091552734</v>
          </cell>
          <cell r="H8">
            <v>100.88999938964844</v>
          </cell>
          <cell r="I8">
            <v>100.73000335693359</v>
          </cell>
          <cell r="J8">
            <v>46027</v>
          </cell>
          <cell r="K8">
            <v>46027</v>
          </cell>
          <cell r="L8">
            <v>26.5</v>
          </cell>
          <cell r="M8">
            <v>53</v>
          </cell>
          <cell r="N8">
            <v>100000</v>
          </cell>
          <cell r="O8">
            <v>0</v>
          </cell>
          <cell r="P8">
            <v>0</v>
          </cell>
          <cell r="R8">
            <v>100.71500015258789</v>
          </cell>
        </row>
        <row r="9">
          <cell r="A9" t="str">
            <v>XS1140860534</v>
          </cell>
          <cell r="B9" t="str">
            <v>T</v>
          </cell>
          <cell r="C9" t="str">
            <v>Generali-fixfloat Sub Perpetual Call</v>
          </cell>
          <cell r="D9" t="str">
            <v>T</v>
          </cell>
          <cell r="F9" t="str">
            <v xml:space="preserve"> (n.d.)</v>
          </cell>
          <cell r="G9">
            <v>100.61000061035156</v>
          </cell>
          <cell r="H9">
            <v>101.23999786376953</v>
          </cell>
          <cell r="I9">
            <v>101.04000091552734</v>
          </cell>
          <cell r="L9">
            <v>99.980003356933594</v>
          </cell>
          <cell r="M9">
            <v>99.980003356933594</v>
          </cell>
          <cell r="N9">
            <v>100000</v>
          </cell>
          <cell r="O9">
            <v>0</v>
          </cell>
          <cell r="P9">
            <v>0</v>
          </cell>
          <cell r="R9">
            <v>100.92499923706055</v>
          </cell>
        </row>
        <row r="10">
          <cell r="A10" t="str">
            <v>XS2280845145</v>
          </cell>
          <cell r="B10" t="str">
            <v>T</v>
          </cell>
          <cell r="C10" t="str">
            <v>Bmw Finance 0.2% 11ge33</v>
          </cell>
          <cell r="D10" t="str">
            <v>T</v>
          </cell>
          <cell r="F10" t="str">
            <v xml:space="preserve"> (n.d.)</v>
          </cell>
          <cell r="G10">
            <v>78.660003662109375</v>
          </cell>
          <cell r="H10">
            <v>79.370002746582031</v>
          </cell>
          <cell r="I10">
            <v>78.94000244140625</v>
          </cell>
          <cell r="J10">
            <v>48590</v>
          </cell>
          <cell r="K10">
            <v>48590</v>
          </cell>
          <cell r="L10">
            <v>89.230003356933594</v>
          </cell>
          <cell r="M10">
            <v>89.230003356933594</v>
          </cell>
          <cell r="N10">
            <v>1000</v>
          </cell>
          <cell r="O10">
            <v>0</v>
          </cell>
          <cell r="P10">
            <v>0</v>
          </cell>
          <cell r="R10">
            <v>79.015003204345703</v>
          </cell>
        </row>
        <row r="11">
          <cell r="A11" t="str">
            <v>DE000VV3RWF8</v>
          </cell>
          <cell r="B11" t="str">
            <v>W</v>
          </cell>
          <cell r="C11" t="str">
            <v>Von Exp Free-mcm/kinross/anglo 60 160625</v>
          </cell>
          <cell r="D11" t="str">
            <v>M</v>
          </cell>
          <cell r="F11" t="str">
            <v xml:space="preserve"> (n.d.)</v>
          </cell>
          <cell r="G11">
            <v>83.800003051757813</v>
          </cell>
          <cell r="H11">
            <v>0</v>
          </cell>
          <cell r="I11">
            <v>90.599998474121094</v>
          </cell>
          <cell r="K11">
            <v>65.550003051757813</v>
          </cell>
          <cell r="L11">
            <v>65.550003051757813</v>
          </cell>
          <cell r="M11">
            <v>94.699996948242188</v>
          </cell>
          <cell r="N11">
            <v>1</v>
          </cell>
          <cell r="O11">
            <v>0</v>
          </cell>
          <cell r="P11">
            <v>0</v>
          </cell>
          <cell r="R11">
            <v>83.800003051757813</v>
          </cell>
        </row>
        <row r="12">
          <cell r="A12" t="str">
            <v>XS1733289406</v>
          </cell>
          <cell r="B12" t="str">
            <v>T</v>
          </cell>
          <cell r="C12" t="str">
            <v>Cattolica-fix Float Call Sub 14dc47</v>
          </cell>
          <cell r="D12" t="str">
            <v>T</v>
          </cell>
          <cell r="E12">
            <v>101.5</v>
          </cell>
          <cell r="F12" t="str">
            <v>13/11/24 14:31</v>
          </cell>
          <cell r="G12">
            <v>101.40000152587891</v>
          </cell>
          <cell r="H12">
            <v>102.09999847412109</v>
          </cell>
          <cell r="I12">
            <v>101.58999633789062</v>
          </cell>
          <cell r="J12">
            <v>54040</v>
          </cell>
          <cell r="K12">
            <v>54040</v>
          </cell>
          <cell r="L12">
            <v>101.16000366210937</v>
          </cell>
          <cell r="M12">
            <v>102.02999877929687</v>
          </cell>
          <cell r="N12">
            <v>100000</v>
          </cell>
          <cell r="O12">
            <v>100000</v>
          </cell>
          <cell r="P12">
            <v>711220</v>
          </cell>
          <cell r="R12">
            <v>101.75</v>
          </cell>
        </row>
        <row r="13">
          <cell r="A13" t="str">
            <v>XS1419869885</v>
          </cell>
          <cell r="B13" t="str">
            <v>T</v>
          </cell>
          <cell r="C13" t="str">
            <v>Telecom Italia 3.625% 25mg26</v>
          </cell>
          <cell r="D13" t="str">
            <v>T</v>
          </cell>
          <cell r="F13" t="str">
            <v xml:space="preserve"> (n.d.)</v>
          </cell>
          <cell r="G13">
            <v>101.05999755859375</v>
          </cell>
          <cell r="H13">
            <v>101.51999664306641</v>
          </cell>
          <cell r="I13">
            <v>101.30000305175781</v>
          </cell>
          <cell r="J13">
            <v>46167</v>
          </cell>
          <cell r="K13">
            <v>46167</v>
          </cell>
          <cell r="L13">
            <v>97.650001525878906</v>
          </cell>
          <cell r="M13">
            <v>100</v>
          </cell>
          <cell r="N13">
            <v>100000</v>
          </cell>
          <cell r="O13">
            <v>0</v>
          </cell>
          <cell r="P13">
            <v>0</v>
          </cell>
          <cell r="R13">
            <v>101.28999710083008</v>
          </cell>
        </row>
        <row r="14">
          <cell r="A14" t="str">
            <v>IT0005274805</v>
          </cell>
          <cell r="B14" t="str">
            <v>O</v>
          </cell>
          <cell r="C14" t="str">
            <v>Btp Tf 2,05% Ag27</v>
          </cell>
          <cell r="D14" t="str">
            <v>M</v>
          </cell>
          <cell r="E14">
            <v>98.629997253417969</v>
          </cell>
          <cell r="F14" t="str">
            <v>13/11/24 15:34</v>
          </cell>
          <cell r="G14">
            <v>98.620002746582031</v>
          </cell>
          <cell r="H14">
            <v>98.629997253417969</v>
          </cell>
          <cell r="I14">
            <v>98.616302490234375</v>
          </cell>
          <cell r="J14">
            <v>1.0249999761581421</v>
          </cell>
          <cell r="K14">
            <v>46600</v>
          </cell>
          <cell r="L14">
            <v>95.629997253417969</v>
          </cell>
          <cell r="M14">
            <v>99.230003356933594</v>
          </cell>
          <cell r="N14">
            <v>1000</v>
          </cell>
          <cell r="O14">
            <v>30000</v>
          </cell>
          <cell r="P14">
            <v>1071155</v>
          </cell>
          <cell r="R14">
            <v>98.629997253417969</v>
          </cell>
        </row>
        <row r="15">
          <cell r="A15" t="str">
            <v>XS2636745882</v>
          </cell>
          <cell r="B15" t="str">
            <v>T</v>
          </cell>
          <cell r="C15" t="str">
            <v>Autostrade Sdg Link Tf5,125% Gn33call</v>
          </cell>
          <cell r="D15" t="str">
            <v>T</v>
          </cell>
          <cell r="F15" t="str">
            <v xml:space="preserve"> (n.d.)</v>
          </cell>
          <cell r="G15">
            <v>108.37000274658203</v>
          </cell>
          <cell r="H15">
            <v>109.01999664306641</v>
          </cell>
          <cell r="I15">
            <v>108.90000152587891</v>
          </cell>
          <cell r="J15">
            <v>48744</v>
          </cell>
          <cell r="K15">
            <v>48744</v>
          </cell>
          <cell r="L15">
            <v>100.19999694824219</v>
          </cell>
          <cell r="M15">
            <v>104.58999633789062</v>
          </cell>
          <cell r="N15">
            <v>100000</v>
          </cell>
          <cell r="O15">
            <v>0</v>
          </cell>
          <cell r="P15">
            <v>0</v>
          </cell>
          <cell r="R15">
            <v>108.69499969482422</v>
          </cell>
        </row>
        <row r="16">
          <cell r="A16" t="str">
            <v>XS2049317808</v>
          </cell>
          <cell r="B16" t="str">
            <v>O</v>
          </cell>
          <cell r="C16" t="str">
            <v>Ivs Group Tf 3% Ot26 Call</v>
          </cell>
          <cell r="D16" t="str">
            <v>M</v>
          </cell>
          <cell r="E16">
            <v>98.370002746582031</v>
          </cell>
          <cell r="F16" t="str">
            <v>13/11/24 15:20</v>
          </cell>
          <cell r="G16">
            <v>98.379997253417969</v>
          </cell>
          <cell r="H16">
            <v>98.459999084472656</v>
          </cell>
          <cell r="I16">
            <v>98.261703491210938</v>
          </cell>
          <cell r="J16">
            <v>46313</v>
          </cell>
          <cell r="K16">
            <v>46313</v>
          </cell>
          <cell r="L16">
            <v>95.580001831054688</v>
          </cell>
          <cell r="M16">
            <v>99</v>
          </cell>
          <cell r="N16">
            <v>1000</v>
          </cell>
          <cell r="O16">
            <v>15000</v>
          </cell>
          <cell r="P16">
            <v>270460</v>
          </cell>
          <cell r="R16">
            <v>98.419998168945313</v>
          </cell>
        </row>
        <row r="17">
          <cell r="A17" t="str">
            <v>XS2892988192</v>
          </cell>
          <cell r="B17" t="str">
            <v>T</v>
          </cell>
          <cell r="C17" t="str">
            <v>Deutscheluft Fx 4.125% Sep32 Call</v>
          </cell>
          <cell r="D17" t="str">
            <v>T</v>
          </cell>
          <cell r="E17">
            <v>101.69999694824219</v>
          </cell>
          <cell r="F17" t="str">
            <v>13/11/24 11:09</v>
          </cell>
          <cell r="G17">
            <v>101.45999908447266</v>
          </cell>
          <cell r="H17">
            <v>101.80000305175781</v>
          </cell>
          <cell r="I17">
            <v>101.72000122070312</v>
          </cell>
          <cell r="J17">
            <v>46581</v>
          </cell>
          <cell r="K17">
            <v>48460</v>
          </cell>
          <cell r="L17">
            <v>101</v>
          </cell>
          <cell r="M17">
            <v>101.69999694824219</v>
          </cell>
          <cell r="N17">
            <v>1000</v>
          </cell>
          <cell r="O17">
            <v>8000</v>
          </cell>
          <cell r="P17">
            <v>38587</v>
          </cell>
          <cell r="R17">
            <v>101.69999694824219</v>
          </cell>
        </row>
        <row r="18">
          <cell r="A18" t="str">
            <v>XS2332590475</v>
          </cell>
          <cell r="B18" t="str">
            <v>T</v>
          </cell>
          <cell r="C18" t="str">
            <v>Nexi Tf 2,125% Ap29 Call</v>
          </cell>
          <cell r="D18" t="str">
            <v>T</v>
          </cell>
          <cell r="E18">
            <v>94</v>
          </cell>
          <cell r="F18" t="str">
            <v>13/11/24 14:41</v>
          </cell>
          <cell r="G18">
            <v>93.919998168945313</v>
          </cell>
          <cell r="H18">
            <v>94.129997253417969</v>
          </cell>
          <cell r="I18">
            <v>94.080001831054687</v>
          </cell>
          <cell r="J18">
            <v>47238</v>
          </cell>
          <cell r="K18">
            <v>47238</v>
          </cell>
          <cell r="L18">
            <v>89</v>
          </cell>
          <cell r="M18">
            <v>94</v>
          </cell>
          <cell r="N18">
            <v>100000</v>
          </cell>
          <cell r="O18">
            <v>100000</v>
          </cell>
          <cell r="P18">
            <v>188000</v>
          </cell>
          <cell r="R18">
            <v>94.024997711181641</v>
          </cell>
        </row>
        <row r="19">
          <cell r="A19" t="str">
            <v>IT0005596207</v>
          </cell>
          <cell r="B19" t="str">
            <v>T</v>
          </cell>
          <cell r="C19" t="str">
            <v>Unipolsai Fx 4.9% May34 T2 Call</v>
          </cell>
          <cell r="D19" t="str">
            <v>T</v>
          </cell>
          <cell r="F19" t="str">
            <v xml:space="preserve"> (n.d.)</v>
          </cell>
          <cell r="G19">
            <v>102.83999633789062</v>
          </cell>
          <cell r="H19">
            <v>103.59999847412109</v>
          </cell>
          <cell r="I19">
            <v>103.26999664306641</v>
          </cell>
          <cell r="J19">
            <v>49087</v>
          </cell>
          <cell r="K19">
            <v>49087</v>
          </cell>
          <cell r="L19">
            <v>97.509002685546875</v>
          </cell>
          <cell r="M19">
            <v>103.29900360107422</v>
          </cell>
          <cell r="N19">
            <v>100000</v>
          </cell>
          <cell r="O19">
            <v>0</v>
          </cell>
          <cell r="P19">
            <v>0</v>
          </cell>
          <cell r="R19">
            <v>103.21999740600586</v>
          </cell>
        </row>
        <row r="20">
          <cell r="A20" t="str">
            <v>IT0005425761</v>
          </cell>
          <cell r="B20" t="str">
            <v>O</v>
          </cell>
          <cell r="C20" t="str">
            <v>Btp Futura Nv28</v>
          </cell>
          <cell r="D20" t="str">
            <v>M</v>
          </cell>
          <cell r="E20">
            <v>91.800003051757813</v>
          </cell>
          <cell r="F20" t="str">
            <v>13/11/24 15:25</v>
          </cell>
          <cell r="G20">
            <v>91.80999755859375</v>
          </cell>
          <cell r="H20">
            <v>91.879997253417969</v>
          </cell>
          <cell r="I20">
            <v>91.931396484375</v>
          </cell>
          <cell r="J20">
            <v>0.30000001192092896</v>
          </cell>
          <cell r="K20">
            <v>47074</v>
          </cell>
          <cell r="L20">
            <v>87.519996643066406</v>
          </cell>
          <cell r="M20">
            <v>92.55999755859375</v>
          </cell>
          <cell r="N20">
            <v>1000</v>
          </cell>
          <cell r="O20">
            <v>7000</v>
          </cell>
          <cell r="P20">
            <v>3345257</v>
          </cell>
          <cell r="R20">
            <v>91.844997406005859</v>
          </cell>
        </row>
        <row r="21">
          <cell r="A21" t="str">
            <v>XS1211044075</v>
          </cell>
          <cell r="B21" t="str">
            <v>T</v>
          </cell>
          <cell r="C21" t="str">
            <v>Teva Pharma Fin Ii 1.875% Call 31mz27</v>
          </cell>
          <cell r="D21" t="str">
            <v>T</v>
          </cell>
          <cell r="F21" t="str">
            <v xml:space="preserve"> (n.d.)</v>
          </cell>
          <cell r="G21">
            <v>95.75</v>
          </cell>
          <cell r="H21">
            <v>96.120002746582031</v>
          </cell>
          <cell r="I21">
            <v>95.849998474121094</v>
          </cell>
          <cell r="J21">
            <v>46477</v>
          </cell>
          <cell r="K21">
            <v>46477</v>
          </cell>
          <cell r="L21">
            <v>90.099998474121094</v>
          </cell>
          <cell r="M21">
            <v>90.400001525878906</v>
          </cell>
          <cell r="N21">
            <v>100000</v>
          </cell>
          <cell r="O21">
            <v>0</v>
          </cell>
          <cell r="P21">
            <v>0</v>
          </cell>
          <cell r="R21">
            <v>95.935001373291016</v>
          </cell>
        </row>
        <row r="22">
          <cell r="A22" t="str">
            <v>XS2586944147</v>
          </cell>
          <cell r="B22" t="str">
            <v>O</v>
          </cell>
          <cell r="C22" t="str">
            <v>Poland Tf 4,25% Fb43</v>
          </cell>
          <cell r="D22" t="str">
            <v>M</v>
          </cell>
          <cell r="E22">
            <v>102.88999938964844</v>
          </cell>
          <cell r="F22" t="str">
            <v>13/11/24 11:50</v>
          </cell>
          <cell r="G22">
            <v>102.75</v>
          </cell>
          <cell r="H22">
            <v>102.98000335693359</v>
          </cell>
          <cell r="I22">
            <v>102.94640350341797</v>
          </cell>
          <cell r="J22">
            <v>4.25</v>
          </cell>
          <cell r="K22">
            <v>52276</v>
          </cell>
          <cell r="L22">
            <v>100.63999938964844</v>
          </cell>
          <cell r="M22">
            <v>105.72000122070312</v>
          </cell>
          <cell r="N22">
            <v>1000</v>
          </cell>
          <cell r="O22">
            <v>2000</v>
          </cell>
          <cell r="P22">
            <v>2058</v>
          </cell>
          <cell r="R22">
            <v>102.88999938964844</v>
          </cell>
        </row>
        <row r="23">
          <cell r="A23" t="str">
            <v>IT0005517195</v>
          </cell>
          <cell r="B23" t="str">
            <v>O</v>
          </cell>
          <cell r="C23" t="str">
            <v>Btp Italia Nv28</v>
          </cell>
          <cell r="D23" t="str">
            <v>M</v>
          </cell>
          <cell r="E23">
            <v>98.05999755859375</v>
          </cell>
          <cell r="F23" t="str">
            <v>13/11/24 15:29</v>
          </cell>
          <cell r="G23">
            <v>98.080001831054687</v>
          </cell>
          <cell r="H23">
            <v>98.180000305175781</v>
          </cell>
          <cell r="I23">
            <v>98.120697021484375</v>
          </cell>
          <cell r="J23">
            <v>0.80000001192092896</v>
          </cell>
          <cell r="K23">
            <v>47079</v>
          </cell>
          <cell r="L23">
            <v>96.040000915527344</v>
          </cell>
          <cell r="M23">
            <v>98.989997863769531</v>
          </cell>
          <cell r="N23">
            <v>1000</v>
          </cell>
          <cell r="O23">
            <v>5000</v>
          </cell>
          <cell r="P23">
            <v>2523651</v>
          </cell>
          <cell r="R23">
            <v>98.130001068115234</v>
          </cell>
        </row>
        <row r="24">
          <cell r="A24" t="str">
            <v>XS2377768366</v>
          </cell>
          <cell r="B24" t="str">
            <v>O</v>
          </cell>
          <cell r="C24" t="str">
            <v>Wiit Tf 2,375% Ot26 Call</v>
          </cell>
          <cell r="D24" t="str">
            <v>M</v>
          </cell>
          <cell r="E24">
            <v>97.449996948242188</v>
          </cell>
          <cell r="F24" t="str">
            <v>13/11/24 14:09</v>
          </cell>
          <cell r="G24">
            <v>97.449996948242188</v>
          </cell>
          <cell r="H24">
            <v>97.589996337890625</v>
          </cell>
          <cell r="I24">
            <v>97.562797546386719</v>
          </cell>
          <cell r="J24">
            <v>2.375</v>
          </cell>
          <cell r="K24">
            <v>46302</v>
          </cell>
          <cell r="L24">
            <v>94.5</v>
          </cell>
          <cell r="M24">
            <v>98.44000244140625</v>
          </cell>
          <cell r="N24">
            <v>1000</v>
          </cell>
          <cell r="O24">
            <v>9000</v>
          </cell>
          <cell r="P24">
            <v>114129</v>
          </cell>
          <cell r="R24">
            <v>97.519996643066406</v>
          </cell>
        </row>
        <row r="25">
          <cell r="A25" t="str">
            <v>XS2081018629</v>
          </cell>
          <cell r="B25" t="str">
            <v>T</v>
          </cell>
          <cell r="C25" t="str">
            <v>Isp 1.00% 19nv26</v>
          </cell>
          <cell r="D25" t="str">
            <v>T</v>
          </cell>
          <cell r="E25">
            <v>96.599998474121094</v>
          </cell>
          <cell r="F25" t="str">
            <v>13/11/24 14:38</v>
          </cell>
          <cell r="G25">
            <v>96.569999694824219</v>
          </cell>
          <cell r="H25">
            <v>96.699996948242188</v>
          </cell>
          <cell r="I25">
            <v>96.650001525878906</v>
          </cell>
          <cell r="J25">
            <v>46345</v>
          </cell>
          <cell r="K25">
            <v>46345</v>
          </cell>
          <cell r="L25">
            <v>96.599998474121094</v>
          </cell>
          <cell r="M25">
            <v>97.529998779296875</v>
          </cell>
          <cell r="N25">
            <v>100000</v>
          </cell>
          <cell r="O25">
            <v>100000</v>
          </cell>
          <cell r="P25">
            <v>96600</v>
          </cell>
          <cell r="R25">
            <v>96.634998321533203</v>
          </cell>
        </row>
        <row r="26">
          <cell r="A26" t="str">
            <v>IT0005497000</v>
          </cell>
          <cell r="B26" t="str">
            <v>O</v>
          </cell>
          <cell r="C26" t="str">
            <v>Btp Italia Gn30</v>
          </cell>
          <cell r="D26" t="str">
            <v>M</v>
          </cell>
          <cell r="E26">
            <v>96.75</v>
          </cell>
          <cell r="F26" t="str">
            <v>13/11/24 15:38</v>
          </cell>
          <cell r="G26">
            <v>96.739997863769531</v>
          </cell>
          <cell r="H26">
            <v>96.80999755859375</v>
          </cell>
          <cell r="I26">
            <v>96.803802490234375</v>
          </cell>
          <cell r="J26">
            <v>0.80000001192092896</v>
          </cell>
          <cell r="K26">
            <v>47662</v>
          </cell>
          <cell r="L26">
            <v>94.290000915527344</v>
          </cell>
          <cell r="M26">
            <v>98</v>
          </cell>
          <cell r="N26">
            <v>1000</v>
          </cell>
          <cell r="O26">
            <v>28000</v>
          </cell>
          <cell r="P26">
            <v>3128030</v>
          </cell>
          <cell r="R26">
            <v>96.774997711181641</v>
          </cell>
        </row>
        <row r="27">
          <cell r="A27" t="str">
            <v>IT0005595373</v>
          </cell>
          <cell r="B27" t="str">
            <v>O</v>
          </cell>
          <cell r="C27" t="str">
            <v>Alperia Green Fx 4.75% Jun29 Call</v>
          </cell>
          <cell r="D27" t="str">
            <v>M</v>
          </cell>
          <cell r="E27">
            <v>103.91000366210937</v>
          </cell>
          <cell r="F27" t="str">
            <v>13/11/24 15:31</v>
          </cell>
          <cell r="G27">
            <v>103.55999755859375</v>
          </cell>
          <cell r="H27">
            <v>103.69999694824219</v>
          </cell>
          <cell r="I27">
            <v>103.29840087890625</v>
          </cell>
          <cell r="J27">
            <v>2.375</v>
          </cell>
          <cell r="K27">
            <v>47274</v>
          </cell>
          <cell r="L27">
            <v>100.5</v>
          </cell>
          <cell r="M27">
            <v>104.98999786376953</v>
          </cell>
          <cell r="N27">
            <v>1000</v>
          </cell>
          <cell r="O27">
            <v>37000</v>
          </cell>
          <cell r="P27">
            <v>190808</v>
          </cell>
          <cell r="R27">
            <v>103.91000366210937</v>
          </cell>
        </row>
        <row r="28">
          <cell r="A28" t="str">
            <v>XS1711584430</v>
          </cell>
          <cell r="B28" t="str">
            <v>T</v>
          </cell>
          <cell r="C28" t="str">
            <v>Saipem Finance Int 2.625% Call 07ge25</v>
          </cell>
          <cell r="D28" t="str">
            <v>T</v>
          </cell>
          <cell r="F28" t="str">
            <v xml:space="preserve"> (n.d.)</v>
          </cell>
          <cell r="G28">
            <v>99.75</v>
          </cell>
          <cell r="H28">
            <v>99.849998474121094</v>
          </cell>
          <cell r="I28">
            <v>99.889999389648438</v>
          </cell>
          <cell r="J28">
            <v>45664</v>
          </cell>
          <cell r="K28">
            <v>45664</v>
          </cell>
          <cell r="L28">
            <v>97.419998168945313</v>
          </cell>
          <cell r="M28">
            <v>99.495002746582031</v>
          </cell>
          <cell r="N28">
            <v>100000</v>
          </cell>
          <cell r="O28">
            <v>0</v>
          </cell>
          <cell r="P28">
            <v>0</v>
          </cell>
          <cell r="R28">
            <v>99.799999237060547</v>
          </cell>
        </row>
        <row r="29">
          <cell r="A29" t="str">
            <v>XS2102392276</v>
          </cell>
          <cell r="B29" t="str">
            <v>T</v>
          </cell>
          <cell r="C29" t="str">
            <v>Webuild 3.625% Call 28ge27</v>
          </cell>
          <cell r="D29" t="str">
            <v>T</v>
          </cell>
          <cell r="F29" t="str">
            <v xml:space="preserve"> (n.d.)</v>
          </cell>
          <cell r="G29">
            <v>99.80999755859375</v>
          </cell>
          <cell r="H29">
            <v>100.19000244140625</v>
          </cell>
          <cell r="I29">
            <v>100.01999664306641</v>
          </cell>
          <cell r="J29">
            <v>46415</v>
          </cell>
          <cell r="K29">
            <v>46415</v>
          </cell>
          <cell r="L29">
            <v>94.040000915527344</v>
          </cell>
          <cell r="M29">
            <v>100.09999847412109</v>
          </cell>
          <cell r="N29">
            <v>100000</v>
          </cell>
          <cell r="O29">
            <v>0</v>
          </cell>
          <cell r="P29">
            <v>0</v>
          </cell>
          <cell r="R29">
            <v>100</v>
          </cell>
        </row>
        <row r="30">
          <cell r="A30" t="str">
            <v>XS2781204149</v>
          </cell>
          <cell r="B30" t="str">
            <v>T</v>
          </cell>
          <cell r="C30" t="str">
            <v>Societegener Fx 4.1% May34 Call</v>
          </cell>
          <cell r="D30" t="str">
            <v>T</v>
          </cell>
          <cell r="F30" t="str">
            <v xml:space="preserve"> (n.d.)</v>
          </cell>
          <cell r="G30">
            <v>100</v>
          </cell>
          <cell r="H30">
            <v>105</v>
          </cell>
          <cell r="I30">
            <v>101.88999938964844</v>
          </cell>
          <cell r="J30">
            <v>46280</v>
          </cell>
          <cell r="K30">
            <v>49072</v>
          </cell>
          <cell r="L30">
            <v>83</v>
          </cell>
          <cell r="M30">
            <v>92.467002868652344</v>
          </cell>
          <cell r="N30">
            <v>1000</v>
          </cell>
          <cell r="O30">
            <v>0</v>
          </cell>
          <cell r="P30">
            <v>0</v>
          </cell>
          <cell r="R30">
            <v>102.5</v>
          </cell>
        </row>
        <row r="31">
          <cell r="A31" t="str">
            <v>XS2493296730</v>
          </cell>
          <cell r="B31" t="str">
            <v>T</v>
          </cell>
          <cell r="C31" t="str">
            <v>Mediobanca Tf 3% Lg26</v>
          </cell>
          <cell r="D31" t="str">
            <v>T</v>
          </cell>
          <cell r="E31">
            <v>99.94000244140625</v>
          </cell>
          <cell r="F31" t="str">
            <v>13/11/24 15:16</v>
          </cell>
          <cell r="G31">
            <v>99.930000305175781</v>
          </cell>
          <cell r="H31">
            <v>100.11000061035156</v>
          </cell>
          <cell r="I31">
            <v>100.12999725341797</v>
          </cell>
          <cell r="J31">
            <v>46216</v>
          </cell>
          <cell r="K31">
            <v>46216</v>
          </cell>
          <cell r="L31">
            <v>99.830001831054688</v>
          </cell>
          <cell r="M31">
            <v>100</v>
          </cell>
          <cell r="N31">
            <v>1000</v>
          </cell>
          <cell r="O31">
            <v>10000</v>
          </cell>
          <cell r="P31">
            <v>9994</v>
          </cell>
          <cell r="R31">
            <v>100.02000045776367</v>
          </cell>
        </row>
        <row r="32">
          <cell r="A32" t="str">
            <v>IT0005442097</v>
          </cell>
          <cell r="B32" t="str">
            <v>O</v>
          </cell>
          <cell r="C32" t="str">
            <v>Btp Futura Ap37</v>
          </cell>
          <cell r="D32" t="str">
            <v>M</v>
          </cell>
          <cell r="E32">
            <v>76.410003662109375</v>
          </cell>
          <cell r="F32" t="str">
            <v>13/11/24 15:37</v>
          </cell>
          <cell r="G32">
            <v>76.330001831054687</v>
          </cell>
          <cell r="H32">
            <v>76.370002746582031</v>
          </cell>
          <cell r="I32">
            <v>76.423202514648437</v>
          </cell>
          <cell r="J32">
            <v>0.375</v>
          </cell>
          <cell r="K32">
            <v>50157</v>
          </cell>
          <cell r="L32">
            <v>70.449996948242188</v>
          </cell>
          <cell r="M32">
            <v>77.980003356933594</v>
          </cell>
          <cell r="N32">
            <v>1000</v>
          </cell>
          <cell r="O32">
            <v>10000</v>
          </cell>
          <cell r="P32">
            <v>1287293</v>
          </cell>
          <cell r="R32">
            <v>76.410003662109375</v>
          </cell>
        </row>
        <row r="33">
          <cell r="A33" t="str">
            <v>XS2633317701</v>
          </cell>
          <cell r="B33" t="str">
            <v>T</v>
          </cell>
          <cell r="C33" t="str">
            <v>Italgas Tf 4,125% Gn32</v>
          </cell>
          <cell r="D33" t="str">
            <v>T</v>
          </cell>
          <cell r="F33" t="str">
            <v xml:space="preserve"> (n.d.)</v>
          </cell>
          <cell r="G33">
            <v>103.08000183105469</v>
          </cell>
          <cell r="H33">
            <v>104.44000244140625</v>
          </cell>
          <cell r="I33">
            <v>103.97000122070312</v>
          </cell>
          <cell r="J33">
            <v>48373</v>
          </cell>
          <cell r="K33">
            <v>48373</v>
          </cell>
          <cell r="L33">
            <v>100.19999694824219</v>
          </cell>
          <cell r="M33">
            <v>104.58999633789062</v>
          </cell>
          <cell r="N33">
            <v>100000</v>
          </cell>
          <cell r="O33">
            <v>0</v>
          </cell>
          <cell r="P33">
            <v>0</v>
          </cell>
          <cell r="R33">
            <v>103.76000213623047</v>
          </cell>
        </row>
        <row r="34">
          <cell r="A34" t="str">
            <v>XS1725580622</v>
          </cell>
          <cell r="B34" t="str">
            <v>T</v>
          </cell>
          <cell r="C34" t="str">
            <v>Unipol Gruppo 3.5% Call 29nv27</v>
          </cell>
          <cell r="D34" t="str">
            <v>T</v>
          </cell>
          <cell r="E34">
            <v>101.5</v>
          </cell>
          <cell r="F34" t="str">
            <v>13/11/24 14:43</v>
          </cell>
          <cell r="G34">
            <v>101.11000061035156</v>
          </cell>
          <cell r="H34">
            <v>101.56999969482422</v>
          </cell>
          <cell r="I34">
            <v>101.41999816894531</v>
          </cell>
          <cell r="J34">
            <v>46720</v>
          </cell>
          <cell r="K34">
            <v>46720</v>
          </cell>
          <cell r="L34">
            <v>98.099998474121094</v>
          </cell>
          <cell r="M34">
            <v>101.5</v>
          </cell>
          <cell r="N34">
            <v>100000</v>
          </cell>
          <cell r="O34">
            <v>100000</v>
          </cell>
          <cell r="P34">
            <v>101500</v>
          </cell>
          <cell r="R34">
            <v>101.5</v>
          </cell>
        </row>
        <row r="35">
          <cell r="A35" t="str">
            <v>XS2289795465</v>
          </cell>
          <cell r="B35" t="str">
            <v>O</v>
          </cell>
          <cell r="C35" t="str">
            <v>Newlat Food Tf 2,625% Fb27 Call</v>
          </cell>
          <cell r="D35" t="str">
            <v>M</v>
          </cell>
          <cell r="E35">
            <v>98.25</v>
          </cell>
          <cell r="F35" t="str">
            <v>13/11/24 15:26</v>
          </cell>
          <cell r="G35">
            <v>98.25</v>
          </cell>
          <cell r="H35">
            <v>98.400001525878906</v>
          </cell>
          <cell r="I35">
            <v>97.888298034667969</v>
          </cell>
          <cell r="J35">
            <v>2.625</v>
          </cell>
          <cell r="K35">
            <v>46437</v>
          </cell>
          <cell r="L35">
            <v>94.25</v>
          </cell>
          <cell r="M35">
            <v>98.779998779296875</v>
          </cell>
          <cell r="N35">
            <v>1000</v>
          </cell>
          <cell r="O35">
            <v>22000</v>
          </cell>
          <cell r="P35">
            <v>145611</v>
          </cell>
          <cell r="R35">
            <v>98.325000762939453</v>
          </cell>
        </row>
        <row r="36">
          <cell r="A36" t="str">
            <v>FR001400CRG6</v>
          </cell>
          <cell r="B36" t="str">
            <v>T</v>
          </cell>
          <cell r="C36" t="str">
            <v>Rci Banque Tf 4,875% St28 Call</v>
          </cell>
          <cell r="D36" t="str">
            <v>T</v>
          </cell>
          <cell r="E36">
            <v>104.91999816894531</v>
          </cell>
          <cell r="F36" t="str">
            <v>13/11/24 14:39</v>
          </cell>
          <cell r="G36">
            <v>104.91000366210937</v>
          </cell>
          <cell r="H36">
            <v>105.18000030517578</v>
          </cell>
          <cell r="I36">
            <v>105.08000183105469</v>
          </cell>
          <cell r="J36">
            <v>47017</v>
          </cell>
          <cell r="K36">
            <v>47017</v>
          </cell>
          <cell r="L36">
            <v>102.01000213623047</v>
          </cell>
          <cell r="M36">
            <v>105.06999969482422</v>
          </cell>
          <cell r="N36">
            <v>1000</v>
          </cell>
          <cell r="O36">
            <v>10000</v>
          </cell>
          <cell r="P36">
            <v>52492</v>
          </cell>
          <cell r="R36">
            <v>105.04500198364258</v>
          </cell>
        </row>
        <row r="37">
          <cell r="A37" t="str">
            <v>IT0005394884</v>
          </cell>
          <cell r="B37" t="str">
            <v>O</v>
          </cell>
          <cell r="C37" t="str">
            <v>Kme Group Tf 4,5% Fb25 Call</v>
          </cell>
          <cell r="D37" t="str">
            <v>M</v>
          </cell>
          <cell r="E37">
            <v>99.9010009765625</v>
          </cell>
          <cell r="F37" t="str">
            <v>13/11/24 15:20</v>
          </cell>
          <cell r="G37">
            <v>99.9010009765625</v>
          </cell>
          <cell r="H37">
            <v>99.970001220703125</v>
          </cell>
          <cell r="I37">
            <v>99.895103454589844</v>
          </cell>
          <cell r="J37">
            <v>4.5</v>
          </cell>
          <cell r="K37">
            <v>45706</v>
          </cell>
          <cell r="L37">
            <v>98.300003051757813</v>
          </cell>
          <cell r="M37">
            <v>100.48000335693359</v>
          </cell>
          <cell r="N37">
            <v>108</v>
          </cell>
          <cell r="O37">
            <v>5400</v>
          </cell>
          <cell r="P37">
            <v>112305</v>
          </cell>
          <cell r="R37">
            <v>99.935501098632813</v>
          </cell>
        </row>
        <row r="38">
          <cell r="A38" t="str">
            <v>XS2395580892</v>
          </cell>
          <cell r="B38" t="str">
            <v>O</v>
          </cell>
          <cell r="C38" t="str">
            <v>Alerion Green Tf 2,25% Nv27 Call</v>
          </cell>
          <cell r="D38" t="str">
            <v>M</v>
          </cell>
          <cell r="E38">
            <v>95.25</v>
          </cell>
          <cell r="F38" t="str">
            <v>13/11/24 15:37</v>
          </cell>
          <cell r="G38">
            <v>95.169998168945313</v>
          </cell>
          <cell r="H38">
            <v>95.25</v>
          </cell>
          <cell r="I38">
            <v>95.990097045898437</v>
          </cell>
          <cell r="J38">
            <v>46694</v>
          </cell>
          <cell r="K38">
            <v>46694</v>
          </cell>
          <cell r="L38">
            <v>92.790000915527344</v>
          </cell>
          <cell r="M38">
            <v>96.239997863769531</v>
          </cell>
          <cell r="N38">
            <v>1000</v>
          </cell>
          <cell r="O38">
            <v>5000</v>
          </cell>
          <cell r="P38">
            <v>888961</v>
          </cell>
          <cell r="R38">
            <v>95.25</v>
          </cell>
        </row>
        <row r="39">
          <cell r="A39" t="str">
            <v>XS2696224315</v>
          </cell>
          <cell r="B39" t="str">
            <v>T</v>
          </cell>
          <cell r="C39" t="str">
            <v>Piaggio &amp; C Fx 6.5% Oct30 Call</v>
          </cell>
          <cell r="D39" t="str">
            <v>T</v>
          </cell>
          <cell r="F39" t="str">
            <v xml:space="preserve"> (n.d.)</v>
          </cell>
          <cell r="G39">
            <v>106.11000061035156</v>
          </cell>
          <cell r="H39">
            <v>107</v>
          </cell>
          <cell r="I39">
            <v>106.55999755859375</v>
          </cell>
          <cell r="J39">
            <v>47761</v>
          </cell>
          <cell r="K39">
            <v>47761</v>
          </cell>
          <cell r="L39">
            <v>103</v>
          </cell>
          <cell r="M39">
            <v>105.76000213623047</v>
          </cell>
          <cell r="N39">
            <v>100000</v>
          </cell>
          <cell r="O39">
            <v>0</v>
          </cell>
          <cell r="P39">
            <v>0</v>
          </cell>
          <cell r="R39">
            <v>106.55500030517578</v>
          </cell>
        </row>
        <row r="40">
          <cell r="A40" t="str">
            <v>XS2625196352</v>
          </cell>
          <cell r="B40" t="str">
            <v>T</v>
          </cell>
          <cell r="C40" t="str">
            <v>Intsanpaolo Green Tf 4,875% Mg30</v>
          </cell>
          <cell r="D40" t="str">
            <v>T</v>
          </cell>
          <cell r="F40" t="str">
            <v xml:space="preserve"> (n.d.)</v>
          </cell>
          <cell r="G40">
            <v>107.91999816894531</v>
          </cell>
          <cell r="H40">
            <v>108.12000274658203</v>
          </cell>
          <cell r="I40">
            <v>108.30000305175781</v>
          </cell>
          <cell r="J40">
            <v>47622</v>
          </cell>
          <cell r="K40">
            <v>47622</v>
          </cell>
          <cell r="L40">
            <v>101.01000213623047</v>
          </cell>
          <cell r="M40">
            <v>101.01000213623047</v>
          </cell>
          <cell r="N40">
            <v>100000</v>
          </cell>
          <cell r="O40">
            <v>0</v>
          </cell>
          <cell r="P40">
            <v>0</v>
          </cell>
          <cell r="R40">
            <v>108.02000045776367</v>
          </cell>
        </row>
        <row r="41">
          <cell r="A41" t="str">
            <v>XS2630112014</v>
          </cell>
          <cell r="B41" t="str">
            <v>T</v>
          </cell>
          <cell r="C41" t="str">
            <v>Bayer Tf 4,25% Ag29 Call</v>
          </cell>
          <cell r="D41" t="str">
            <v>T</v>
          </cell>
          <cell r="E41">
            <v>103.55999755859375</v>
          </cell>
          <cell r="F41" t="str">
            <v>13/11/24 14:02</v>
          </cell>
          <cell r="G41">
            <v>103.66000366210937</v>
          </cell>
          <cell r="H41">
            <v>104.22000122070312</v>
          </cell>
          <cell r="I41">
            <v>104.48999786376953</v>
          </cell>
          <cell r="J41">
            <v>47356</v>
          </cell>
          <cell r="K41">
            <v>47356</v>
          </cell>
          <cell r="L41">
            <v>100.19999694824219</v>
          </cell>
          <cell r="M41">
            <v>104.58999633789062</v>
          </cell>
          <cell r="N41">
            <v>1000</v>
          </cell>
          <cell r="O41">
            <v>20000</v>
          </cell>
          <cell r="P41">
            <v>20712</v>
          </cell>
          <cell r="R41">
            <v>103.94000244140625</v>
          </cell>
        </row>
        <row r="42">
          <cell r="A42" t="str">
            <v>XS2202907510</v>
          </cell>
          <cell r="B42" t="str">
            <v>T</v>
          </cell>
          <cell r="C42" t="str">
            <v>Saipem Finance Int 3.375% Call 15lg26</v>
          </cell>
          <cell r="D42" t="str">
            <v>T</v>
          </cell>
          <cell r="F42" t="str">
            <v xml:space="preserve"> (n.d.)</v>
          </cell>
          <cell r="G42">
            <v>100.01000213623047</v>
          </cell>
          <cell r="H42">
            <v>100.31999969482422</v>
          </cell>
          <cell r="I42">
            <v>100.05000305175781</v>
          </cell>
          <cell r="J42">
            <v>46218</v>
          </cell>
          <cell r="K42">
            <v>46218</v>
          </cell>
          <cell r="L42">
            <v>98.94000244140625</v>
          </cell>
          <cell r="M42">
            <v>99.833999633789063</v>
          </cell>
          <cell r="N42">
            <v>100000</v>
          </cell>
          <cell r="O42">
            <v>0</v>
          </cell>
          <cell r="P42">
            <v>0</v>
          </cell>
          <cell r="R42">
            <v>100.16500091552734</v>
          </cell>
        </row>
        <row r="43">
          <cell r="A43" t="str">
            <v>IT0000072618</v>
          </cell>
          <cell r="B43" t="str">
            <v>A</v>
          </cell>
          <cell r="C43" t="str">
            <v>Azione Intesa Sanpaolo</v>
          </cell>
          <cell r="D43" t="str">
            <v>M</v>
          </cell>
          <cell r="E43">
            <v>3.8564999103546143</v>
          </cell>
          <cell r="F43" t="str">
            <v>13/11/24 15:39</v>
          </cell>
          <cell r="G43">
            <v>3.8505001068115234</v>
          </cell>
          <cell r="H43">
            <v>3.8510000705718994</v>
          </cell>
          <cell r="I43">
            <v>3.8364999294281006</v>
          </cell>
          <cell r="K43">
            <v>2.6494998931884766</v>
          </cell>
          <cell r="L43">
            <v>2.6494998931884766</v>
          </cell>
          <cell r="M43">
            <v>4.1395001411437988</v>
          </cell>
          <cell r="N43">
            <v>1</v>
          </cell>
          <cell r="O43">
            <v>4192</v>
          </cell>
          <cell r="P43">
            <v>133356864</v>
          </cell>
          <cell r="R43">
            <v>3.8564999103546143</v>
          </cell>
        </row>
        <row r="44">
          <cell r="A44" t="str">
            <v>IT0005332835</v>
          </cell>
          <cell r="B44" t="str">
            <v>O</v>
          </cell>
          <cell r="C44" t="str">
            <v>Btp Italia Mg26</v>
          </cell>
          <cell r="D44" t="str">
            <v>M</v>
          </cell>
          <cell r="E44">
            <v>98.400001525878906</v>
          </cell>
          <cell r="F44" t="str">
            <v>13/11/24 15:25</v>
          </cell>
          <cell r="G44">
            <v>98.410003662109375</v>
          </cell>
          <cell r="H44">
            <v>98.430000305175781</v>
          </cell>
          <cell r="I44">
            <v>98.361503601074219</v>
          </cell>
          <cell r="J44">
            <v>0.27500000596046448</v>
          </cell>
          <cell r="K44">
            <v>46163</v>
          </cell>
          <cell r="L44">
            <v>96</v>
          </cell>
          <cell r="M44">
            <v>98.5</v>
          </cell>
          <cell r="N44">
            <v>1000</v>
          </cell>
          <cell r="O44">
            <v>21000</v>
          </cell>
          <cell r="P44">
            <v>2510421</v>
          </cell>
          <cell r="R44">
            <v>98.420001983642578</v>
          </cell>
        </row>
        <row r="45">
          <cell r="A45" t="str">
            <v>AT0000A2HLC4</v>
          </cell>
          <cell r="B45" t="str">
            <v>O</v>
          </cell>
          <cell r="C45" t="str">
            <v>Austria Tf 0,85% Gn2120</v>
          </cell>
          <cell r="D45" t="str">
            <v>M</v>
          </cell>
          <cell r="E45">
            <v>44.240001678466797</v>
          </cell>
          <cell r="F45" t="str">
            <v>13/11/24 15:38</v>
          </cell>
          <cell r="G45">
            <v>44.25</v>
          </cell>
          <cell r="H45">
            <v>44.369998931884766</v>
          </cell>
          <cell r="I45">
            <v>44.516101837158203</v>
          </cell>
          <cell r="J45">
            <v>0.85000002384185791</v>
          </cell>
          <cell r="K45">
            <v>80536</v>
          </cell>
          <cell r="L45">
            <v>41.659999847412109</v>
          </cell>
          <cell r="M45">
            <v>49</v>
          </cell>
          <cell r="N45">
            <v>1000</v>
          </cell>
          <cell r="O45">
            <v>14000</v>
          </cell>
          <cell r="P45">
            <v>1400008</v>
          </cell>
          <cell r="R45">
            <v>44.309999465942383</v>
          </cell>
        </row>
        <row r="46">
          <cell r="A46" t="str">
            <v>IT0005321325</v>
          </cell>
          <cell r="B46" t="str">
            <v>O</v>
          </cell>
          <cell r="C46" t="str">
            <v>Btp Tf 2,95% St38</v>
          </cell>
          <cell r="D46" t="str">
            <v>M</v>
          </cell>
          <cell r="E46">
            <v>91.209999084472656</v>
          </cell>
          <cell r="F46" t="str">
            <v>13/11/24 15:37</v>
          </cell>
          <cell r="G46">
            <v>91.410003662109375</v>
          </cell>
          <cell r="H46">
            <v>91.480003356933594</v>
          </cell>
          <cell r="I46">
            <v>91.27490234375</v>
          </cell>
          <cell r="J46">
            <v>1.4750000238418579</v>
          </cell>
          <cell r="K46">
            <v>50649</v>
          </cell>
          <cell r="L46">
            <v>85.339996337890625</v>
          </cell>
          <cell r="M46">
            <v>93.449996948242188</v>
          </cell>
          <cell r="N46">
            <v>1000</v>
          </cell>
          <cell r="O46">
            <v>10000</v>
          </cell>
          <cell r="P46">
            <v>2865740</v>
          </cell>
          <cell r="R46">
            <v>91.445003509521484</v>
          </cell>
        </row>
        <row r="47">
          <cell r="A47" t="str">
            <v>IT0005188351</v>
          </cell>
          <cell r="B47" t="str">
            <v>O</v>
          </cell>
          <cell r="C47" t="str">
            <v>Mediobanca Opera Tf 3,75% Gn26 Sub Tier2</v>
          </cell>
          <cell r="D47" t="str">
            <v>M</v>
          </cell>
          <cell r="E47">
            <v>100.87000274658203</v>
          </cell>
          <cell r="F47" t="str">
            <v>13/11/24 12:28</v>
          </cell>
          <cell r="G47">
            <v>100.80000305175781</v>
          </cell>
          <cell r="H47">
            <v>100.91999816894531</v>
          </cell>
          <cell r="I47">
            <v>100.83219909667969</v>
          </cell>
          <cell r="J47">
            <v>3.75</v>
          </cell>
          <cell r="K47">
            <v>46189</v>
          </cell>
          <cell r="L47">
            <v>99</v>
          </cell>
          <cell r="M47">
            <v>101.86000061035156</v>
          </cell>
          <cell r="N47">
            <v>1000</v>
          </cell>
          <cell r="O47">
            <v>7000</v>
          </cell>
          <cell r="P47">
            <v>83692</v>
          </cell>
          <cell r="R47">
            <v>100.87000274658203</v>
          </cell>
        </row>
        <row r="48">
          <cell r="A48" t="str">
            <v>XS2581393134</v>
          </cell>
          <cell r="B48" t="str">
            <v>T</v>
          </cell>
          <cell r="C48" t="str">
            <v>Telecom It Tf 6,875% Fb28 Call</v>
          </cell>
          <cell r="D48" t="str">
            <v>T</v>
          </cell>
          <cell r="F48" t="str">
            <v xml:space="preserve"> (n.d.)</v>
          </cell>
          <cell r="G48">
            <v>108.76000213623047</v>
          </cell>
          <cell r="H48">
            <v>108.98999786376953</v>
          </cell>
          <cell r="I48">
            <v>109.05999755859375</v>
          </cell>
          <cell r="J48">
            <v>46798</v>
          </cell>
          <cell r="K48">
            <v>46798</v>
          </cell>
          <cell r="L48">
            <v>103.40000152587891</v>
          </cell>
          <cell r="M48">
            <v>107.80999755859375</v>
          </cell>
          <cell r="N48">
            <v>100000</v>
          </cell>
          <cell r="O48">
            <v>0</v>
          </cell>
          <cell r="P48">
            <v>0</v>
          </cell>
          <cell r="R48">
            <v>108.875</v>
          </cell>
        </row>
        <row r="49">
          <cell r="A49" t="str">
            <v>XS2393520734</v>
          </cell>
          <cell r="B49" t="str">
            <v>O</v>
          </cell>
          <cell r="C49" t="str">
            <v>Ovs Slb Tf 2,25% Nv27 Call</v>
          </cell>
          <cell r="D49" t="str">
            <v>M</v>
          </cell>
          <cell r="E49">
            <v>95.94000244140625</v>
          </cell>
          <cell r="F49" t="str">
            <v>13/11/24 15:14</v>
          </cell>
          <cell r="G49">
            <v>95.730003356933594</v>
          </cell>
          <cell r="H49">
            <v>95.94000244140625</v>
          </cell>
          <cell r="I49">
            <v>95.64520263671875</v>
          </cell>
          <cell r="J49">
            <v>2.25</v>
          </cell>
          <cell r="K49">
            <v>46701</v>
          </cell>
          <cell r="L49">
            <v>92.129997253417969</v>
          </cell>
          <cell r="M49">
            <v>97.989997863769531</v>
          </cell>
          <cell r="N49">
            <v>1000</v>
          </cell>
          <cell r="O49">
            <v>5000</v>
          </cell>
          <cell r="P49">
            <v>42197</v>
          </cell>
          <cell r="R49">
            <v>95.94000244140625</v>
          </cell>
        </row>
        <row r="50">
          <cell r="A50" t="str">
            <v>XS1167667283</v>
          </cell>
          <cell r="B50" t="str">
            <v>T</v>
          </cell>
          <cell r="C50" t="str">
            <v>Volkswagen Int Fin 1.625% 16ge30</v>
          </cell>
          <cell r="D50" t="str">
            <v>T</v>
          </cell>
          <cell r="E50">
            <v>91.040000915527344</v>
          </cell>
          <cell r="F50" t="str">
            <v>13/11/24 15:02</v>
          </cell>
          <cell r="G50">
            <v>91.019996643066406</v>
          </cell>
          <cell r="H50">
            <v>91.19000244140625</v>
          </cell>
          <cell r="I50">
            <v>91.349998474121094</v>
          </cell>
          <cell r="J50">
            <v>48485</v>
          </cell>
          <cell r="K50">
            <v>47499</v>
          </cell>
          <cell r="L50">
            <v>85.830001831054688</v>
          </cell>
          <cell r="M50">
            <v>93</v>
          </cell>
          <cell r="N50">
            <v>1000</v>
          </cell>
          <cell r="O50">
            <v>50000</v>
          </cell>
          <cell r="P50">
            <v>50081</v>
          </cell>
          <cell r="R50">
            <v>91.104999542236328</v>
          </cell>
        </row>
        <row r="51">
          <cell r="A51" t="str">
            <v>XS2084827935</v>
          </cell>
          <cell r="B51" t="str">
            <v>T</v>
          </cell>
          <cell r="C51" t="str">
            <v>Iccrea Banca- Fix To Cms Call Sub 28nv29</v>
          </cell>
          <cell r="D51" t="str">
            <v>T</v>
          </cell>
          <cell r="F51" t="str">
            <v xml:space="preserve"> (n.d.)</v>
          </cell>
          <cell r="G51">
            <v>100.01999664306641</v>
          </cell>
          <cell r="H51">
            <v>100.04000091552734</v>
          </cell>
          <cell r="I51">
            <v>100.02999877929687</v>
          </cell>
          <cell r="J51">
            <v>47450</v>
          </cell>
          <cell r="K51">
            <v>47450</v>
          </cell>
          <cell r="L51">
            <v>96.400001525878906</v>
          </cell>
          <cell r="M51">
            <v>99.400001525878906</v>
          </cell>
          <cell r="N51">
            <v>100000</v>
          </cell>
          <cell r="O51">
            <v>0</v>
          </cell>
          <cell r="P51">
            <v>0</v>
          </cell>
          <cell r="R51">
            <v>100.02999877929687</v>
          </cell>
        </row>
        <row r="52">
          <cell r="A52" t="str">
            <v>XS2536817211</v>
          </cell>
          <cell r="B52" t="str">
            <v>O</v>
          </cell>
          <cell r="C52" t="str">
            <v>Bulgaria Tf 4,125% St29</v>
          </cell>
          <cell r="D52" t="str">
            <v>M</v>
          </cell>
          <cell r="E52">
            <v>104.91999816894531</v>
          </cell>
          <cell r="F52" t="str">
            <v>13/11/24 09:11</v>
          </cell>
          <cell r="G52">
            <v>104.94000244140625</v>
          </cell>
          <cell r="H52">
            <v>105.55999755859375</v>
          </cell>
          <cell r="I52">
            <v>104.76999664306641</v>
          </cell>
          <cell r="J52">
            <v>4.125</v>
          </cell>
          <cell r="K52">
            <v>47384</v>
          </cell>
          <cell r="L52">
            <v>102.20999908447266</v>
          </cell>
          <cell r="M52">
            <v>105.70999908447266</v>
          </cell>
          <cell r="N52">
            <v>1000</v>
          </cell>
          <cell r="O52">
            <v>5000</v>
          </cell>
          <cell r="P52">
            <v>5246</v>
          </cell>
          <cell r="R52">
            <v>105.25</v>
          </cell>
        </row>
        <row r="53">
          <cell r="A53" t="str">
            <v>IT0005024234</v>
          </cell>
          <cell r="B53" t="str">
            <v>O</v>
          </cell>
          <cell r="C53" t="str">
            <v>Btp Tf 3,50% Mz30</v>
          </cell>
          <cell r="D53" t="str">
            <v>M</v>
          </cell>
          <cell r="E53">
            <v>102.69999694824219</v>
          </cell>
          <cell r="F53" t="str">
            <v>13/11/24 15:35</v>
          </cell>
          <cell r="G53">
            <v>102.73000335693359</v>
          </cell>
          <cell r="H53">
            <v>102.76999664306641</v>
          </cell>
          <cell r="I53">
            <v>102.82859802246094</v>
          </cell>
          <cell r="J53">
            <v>1.75</v>
          </cell>
          <cell r="K53">
            <v>47543</v>
          </cell>
          <cell r="L53">
            <v>99</v>
          </cell>
          <cell r="M53">
            <v>104.33000183105469</v>
          </cell>
          <cell r="N53">
            <v>1000</v>
          </cell>
          <cell r="O53">
            <v>10000</v>
          </cell>
          <cell r="P53">
            <v>6891865</v>
          </cell>
          <cell r="R53">
            <v>102.75</v>
          </cell>
        </row>
        <row r="54">
          <cell r="A54" t="str">
            <v>US88160R1014</v>
          </cell>
          <cell r="B54" t="str">
            <v>A</v>
          </cell>
          <cell r="C54" t="str">
            <v>Azione Tesla</v>
          </cell>
          <cell r="D54" t="str">
            <v>M</v>
          </cell>
          <cell r="E54">
            <v>322.20001220703125</v>
          </cell>
          <cell r="F54" t="str">
            <v>13/11/24 15:39</v>
          </cell>
          <cell r="G54">
            <v>317.60000610351562</v>
          </cell>
          <cell r="H54">
            <v>317.89999389648437</v>
          </cell>
          <cell r="I54">
            <v>325.34609985351562</v>
          </cell>
          <cell r="K54">
            <v>130.69999694824219</v>
          </cell>
          <cell r="L54">
            <v>130.69999694824219</v>
          </cell>
          <cell r="M54">
            <v>340.20001220703125</v>
          </cell>
          <cell r="N54">
            <v>1</v>
          </cell>
          <cell r="O54">
            <v>15</v>
          </cell>
          <cell r="P54">
            <v>27716672</v>
          </cell>
          <cell r="R54">
            <v>322.20001220703125</v>
          </cell>
        </row>
        <row r="55">
          <cell r="A55" t="str">
            <v>IT0005388175</v>
          </cell>
          <cell r="B55" t="str">
            <v>O</v>
          </cell>
          <cell r="C55" t="str">
            <v>Btp Italia Ot27</v>
          </cell>
          <cell r="D55" t="str">
            <v>M</v>
          </cell>
          <cell r="E55">
            <v>96.730003356933594</v>
          </cell>
          <cell r="F55" t="str">
            <v>13/11/24 15:10</v>
          </cell>
          <cell r="G55">
            <v>96.660003662109375</v>
          </cell>
          <cell r="H55">
            <v>96.720001220703125</v>
          </cell>
          <cell r="I55">
            <v>96.819602966308594</v>
          </cell>
          <cell r="J55">
            <v>0.32499998807907104</v>
          </cell>
          <cell r="K55">
            <v>46688</v>
          </cell>
          <cell r="L55">
            <v>93.980003356933594</v>
          </cell>
          <cell r="M55">
            <v>97.199996948242188</v>
          </cell>
          <cell r="N55">
            <v>1000</v>
          </cell>
          <cell r="O55">
            <v>250000</v>
          </cell>
          <cell r="P55">
            <v>4720222</v>
          </cell>
          <cell r="R55">
            <v>96.730003356933594</v>
          </cell>
        </row>
        <row r="56">
          <cell r="A56" t="str">
            <v>XS2668070662</v>
          </cell>
          <cell r="B56" t="str">
            <v>O</v>
          </cell>
          <cell r="C56" t="str">
            <v>Maire Sdg Fx 6.5%oct28 Call</v>
          </cell>
          <cell r="D56" t="str">
            <v>M</v>
          </cell>
          <cell r="E56">
            <v>106.22000122070312</v>
          </cell>
          <cell r="F56" t="str">
            <v>13/11/24 15:30</v>
          </cell>
          <cell r="G56">
            <v>106.22000122070312</v>
          </cell>
          <cell r="H56">
            <v>106.69999694824219</v>
          </cell>
          <cell r="I56">
            <v>106.30870056152344</v>
          </cell>
          <cell r="J56">
            <v>3.25</v>
          </cell>
          <cell r="K56">
            <v>47031</v>
          </cell>
          <cell r="L56">
            <v>104.47000122070312</v>
          </cell>
          <cell r="M56">
            <v>107.44999694824219</v>
          </cell>
          <cell r="N56">
            <v>1000</v>
          </cell>
          <cell r="O56">
            <v>10000</v>
          </cell>
          <cell r="P56">
            <v>113908</v>
          </cell>
          <cell r="R56">
            <v>106.45999908447266</v>
          </cell>
        </row>
        <row r="57">
          <cell r="A57" t="str">
            <v>FR0014002OL8</v>
          </cell>
          <cell r="B57" t="str">
            <v>T</v>
          </cell>
          <cell r="C57" t="str">
            <v>Renault 2.5% Call 01ap28</v>
          </cell>
          <cell r="D57" t="str">
            <v>T</v>
          </cell>
          <cell r="F57" t="str">
            <v xml:space="preserve"> (n.d.)</v>
          </cell>
          <cell r="G57">
            <v>96.720001220703125</v>
          </cell>
          <cell r="H57">
            <v>97.330001831054687</v>
          </cell>
          <cell r="I57">
            <v>97.089996337890625</v>
          </cell>
          <cell r="J57">
            <v>46844</v>
          </cell>
          <cell r="K57">
            <v>46844</v>
          </cell>
          <cell r="L57">
            <v>56.560001373291016</v>
          </cell>
          <cell r="M57">
            <v>60.409999847412109</v>
          </cell>
          <cell r="N57">
            <v>100000</v>
          </cell>
          <cell r="O57">
            <v>0</v>
          </cell>
          <cell r="P57">
            <v>0</v>
          </cell>
          <cell r="R57">
            <v>97.025001525878906</v>
          </cell>
        </row>
        <row r="58">
          <cell r="A58" t="str">
            <v>XS1784311703</v>
          </cell>
          <cell r="B58" t="str">
            <v>T</v>
          </cell>
          <cell r="C58" t="str">
            <v>Unipolsai 3.875% Sub 01mz28</v>
          </cell>
          <cell r="D58" t="str">
            <v>T</v>
          </cell>
          <cell r="F58" t="str">
            <v xml:space="preserve"> (n.d.)</v>
          </cell>
          <cell r="G58">
            <v>100.62999725341797</v>
          </cell>
          <cell r="H58">
            <v>101.15000152587891</v>
          </cell>
          <cell r="I58">
            <v>100.91999816894531</v>
          </cell>
          <cell r="J58">
            <v>46813</v>
          </cell>
          <cell r="K58">
            <v>46813</v>
          </cell>
          <cell r="L58">
            <v>76.330001831054687</v>
          </cell>
          <cell r="M58">
            <v>79.084999084472656</v>
          </cell>
          <cell r="N58">
            <v>100000</v>
          </cell>
          <cell r="O58">
            <v>0</v>
          </cell>
          <cell r="P58">
            <v>0</v>
          </cell>
          <cell r="R58">
            <v>100.88999938964844</v>
          </cell>
        </row>
        <row r="59">
          <cell r="A59" t="str">
            <v>XS2799786848</v>
          </cell>
          <cell r="B59" t="str">
            <v>O</v>
          </cell>
          <cell r="C59" t="str">
            <v>Tamburi Fx 4.625% Jun29 Call</v>
          </cell>
          <cell r="D59" t="str">
            <v>M</v>
          </cell>
          <cell r="E59">
            <v>103.01000213623047</v>
          </cell>
          <cell r="F59" t="str">
            <v>13/11/24 13:27</v>
          </cell>
          <cell r="G59">
            <v>102.77999877929687</v>
          </cell>
          <cell r="H59">
            <v>103.01000213623047</v>
          </cell>
          <cell r="I59">
            <v>102.83940124511719</v>
          </cell>
          <cell r="J59">
            <v>47290</v>
          </cell>
          <cell r="K59">
            <v>47290</v>
          </cell>
          <cell r="L59">
            <v>99.900001525878906</v>
          </cell>
          <cell r="M59">
            <v>103.98999786376953</v>
          </cell>
          <cell r="N59">
            <v>1000</v>
          </cell>
          <cell r="O59">
            <v>38000</v>
          </cell>
          <cell r="P59">
            <v>157566</v>
          </cell>
          <cell r="R59">
            <v>103.01000213623047</v>
          </cell>
        </row>
        <row r="60">
          <cell r="A60" t="str">
            <v>XS2434895558</v>
          </cell>
          <cell r="B60" t="str">
            <v>O</v>
          </cell>
          <cell r="C60" t="str">
            <v>Romania Tf 2,125% Mz28</v>
          </cell>
          <cell r="D60" t="str">
            <v>M</v>
          </cell>
          <cell r="E60">
            <v>94.55999755859375</v>
          </cell>
          <cell r="F60" t="str">
            <v>13/11/24 12:31</v>
          </cell>
          <cell r="G60">
            <v>94.300003051757812</v>
          </cell>
          <cell r="H60">
            <v>94.550003051757813</v>
          </cell>
          <cell r="I60">
            <v>94.489303588867187</v>
          </cell>
          <cell r="J60">
            <v>2.125</v>
          </cell>
          <cell r="K60">
            <v>46819</v>
          </cell>
          <cell r="L60">
            <v>90.230003356933594</v>
          </cell>
          <cell r="M60">
            <v>95.769996643066406</v>
          </cell>
          <cell r="N60">
            <v>1000</v>
          </cell>
          <cell r="O60">
            <v>3000</v>
          </cell>
          <cell r="P60">
            <v>43421</v>
          </cell>
          <cell r="R60">
            <v>94.55999755859375</v>
          </cell>
        </row>
        <row r="61">
          <cell r="A61" t="str">
            <v>IT0005454241</v>
          </cell>
          <cell r="B61" t="str">
            <v>O</v>
          </cell>
          <cell r="C61" t="str">
            <v>Btp Tf 0% Ag26</v>
          </cell>
          <cell r="D61" t="str">
            <v>M</v>
          </cell>
          <cell r="E61">
            <v>95.839996337890625</v>
          </cell>
          <cell r="F61" t="str">
            <v>13/11/24 15:37</v>
          </cell>
          <cell r="G61">
            <v>95.839996337890625</v>
          </cell>
          <cell r="H61">
            <v>95.870002746582031</v>
          </cell>
          <cell r="I61">
            <v>95.82330322265625</v>
          </cell>
          <cell r="J61">
            <v>46235</v>
          </cell>
          <cell r="K61">
            <v>46235</v>
          </cell>
          <cell r="L61">
            <v>92.349998474121094</v>
          </cell>
          <cell r="M61">
            <v>95.94000244140625</v>
          </cell>
          <cell r="N61">
            <v>1000</v>
          </cell>
          <cell r="O61">
            <v>5000</v>
          </cell>
          <cell r="P61">
            <v>4754547</v>
          </cell>
          <cell r="R61">
            <v>95.854999542236328</v>
          </cell>
        </row>
        <row r="62">
          <cell r="A62" t="str">
            <v>XS2152061904</v>
          </cell>
          <cell r="B62" t="str">
            <v>T</v>
          </cell>
          <cell r="C62" t="str">
            <v>Volkswagen Fin Serv 3.375% 06ap28</v>
          </cell>
          <cell r="D62" t="str">
            <v>T</v>
          </cell>
          <cell r="E62">
            <v>100.05000305175781</v>
          </cell>
          <cell r="F62" t="str">
            <v>13/11/24 15:01</v>
          </cell>
          <cell r="G62">
            <v>99.989997863769531</v>
          </cell>
          <cell r="H62">
            <v>100.23000335693359</v>
          </cell>
          <cell r="I62">
            <v>100.13999938964844</v>
          </cell>
          <cell r="J62">
            <v>47387</v>
          </cell>
          <cell r="K62">
            <v>46849</v>
          </cell>
          <cell r="L62">
            <v>99.699996948242188</v>
          </cell>
          <cell r="M62">
            <v>100.55999755859375</v>
          </cell>
          <cell r="N62">
            <v>1000</v>
          </cell>
          <cell r="O62">
            <v>20000</v>
          </cell>
          <cell r="P62">
            <v>30010</v>
          </cell>
          <cell r="R62">
            <v>100.11000061035156</v>
          </cell>
        </row>
        <row r="63">
          <cell r="A63" t="str">
            <v>XS1706922256</v>
          </cell>
          <cell r="B63" t="str">
            <v>T</v>
          </cell>
          <cell r="C63" t="str">
            <v>Esselunga 1.875% Call 25ot27</v>
          </cell>
          <cell r="D63" t="str">
            <v>T</v>
          </cell>
          <cell r="F63" t="str">
            <v xml:space="preserve"> (n.d.)</v>
          </cell>
          <cell r="G63">
            <v>95.599998474121094</v>
          </cell>
          <cell r="H63">
            <v>96.099998474121094</v>
          </cell>
          <cell r="I63">
            <v>95.900001525878906</v>
          </cell>
          <cell r="J63">
            <v>46685</v>
          </cell>
          <cell r="K63">
            <v>46685</v>
          </cell>
          <cell r="L63">
            <v>97.099998474121094</v>
          </cell>
          <cell r="M63">
            <v>97.099998474121094</v>
          </cell>
          <cell r="N63">
            <v>100000</v>
          </cell>
          <cell r="O63">
            <v>0</v>
          </cell>
          <cell r="P63">
            <v>0</v>
          </cell>
          <cell r="R63">
            <v>95.849998474121094</v>
          </cell>
        </row>
        <row r="64">
          <cell r="A64" t="str">
            <v>XS2922654418</v>
          </cell>
          <cell r="B64" t="str">
            <v>T</v>
          </cell>
          <cell r="C64" t="str">
            <v>Webuild Fx 4.875% Apr30 Call</v>
          </cell>
          <cell r="D64" t="str">
            <v>T</v>
          </cell>
          <cell r="E64">
            <v>101.84999847412109</v>
          </cell>
          <cell r="F64" t="str">
            <v>13/11/24 15:16</v>
          </cell>
          <cell r="G64">
            <v>101.34999847412109</v>
          </cell>
          <cell r="H64">
            <v>101.80000305175781</v>
          </cell>
          <cell r="I64">
            <v>101.61000061035156</v>
          </cell>
          <cell r="J64">
            <v>47023</v>
          </cell>
          <cell r="K64">
            <v>47603</v>
          </cell>
          <cell r="L64">
            <v>101</v>
          </cell>
          <cell r="M64">
            <v>101.84999847412109</v>
          </cell>
          <cell r="N64">
            <v>100000</v>
          </cell>
          <cell r="O64">
            <v>100000</v>
          </cell>
          <cell r="P64">
            <v>101850</v>
          </cell>
          <cell r="R64">
            <v>101.84999847412109</v>
          </cell>
        </row>
        <row r="65">
          <cell r="A65" t="str">
            <v>FR001400SSO4</v>
          </cell>
          <cell r="B65" t="str">
            <v>T</v>
          </cell>
          <cell r="C65" t="str">
            <v>Rci Banque Fx 3.875% Sep30 Call</v>
          </cell>
          <cell r="D65" t="str">
            <v>T</v>
          </cell>
          <cell r="E65">
            <v>100.40000152587891</v>
          </cell>
          <cell r="F65" t="str">
            <v>13/11/24 14:22</v>
          </cell>
          <cell r="G65">
            <v>100.44999694824219</v>
          </cell>
          <cell r="H65">
            <v>100.76999664306641</v>
          </cell>
          <cell r="I65">
            <v>100.73999786376953</v>
          </cell>
          <cell r="J65">
            <v>47083</v>
          </cell>
          <cell r="K65">
            <v>47756</v>
          </cell>
          <cell r="L65">
            <v>100</v>
          </cell>
          <cell r="M65">
            <v>105.87999725341797</v>
          </cell>
          <cell r="N65">
            <v>1000</v>
          </cell>
          <cell r="O65">
            <v>100000</v>
          </cell>
          <cell r="P65">
            <v>100400</v>
          </cell>
          <cell r="R65">
            <v>100.6099967956543</v>
          </cell>
        </row>
        <row r="66">
          <cell r="A66" t="str">
            <v>XS2411537033</v>
          </cell>
          <cell r="B66" t="str">
            <v>T</v>
          </cell>
          <cell r="C66" t="str">
            <v>Bp Sondrio Mc Fb32 Sub Tier2 Call</v>
          </cell>
          <cell r="D66" t="str">
            <v>T</v>
          </cell>
          <cell r="F66" t="str">
            <v xml:space="preserve"> (n.d.)</v>
          </cell>
          <cell r="G66">
            <v>100.12000274658203</v>
          </cell>
          <cell r="H66">
            <v>100.83000183105469</v>
          </cell>
          <cell r="I66">
            <v>100.36000061035156</v>
          </cell>
          <cell r="J66">
            <v>48269</v>
          </cell>
          <cell r="K66">
            <v>48269</v>
          </cell>
          <cell r="L66">
            <v>90.980003356933594</v>
          </cell>
          <cell r="M66">
            <v>99.650001525878906</v>
          </cell>
          <cell r="N66">
            <v>100000</v>
          </cell>
          <cell r="O66">
            <v>0</v>
          </cell>
          <cell r="P66">
            <v>0</v>
          </cell>
          <cell r="R66">
            <v>100.47500228881836</v>
          </cell>
        </row>
        <row r="67">
          <cell r="A67" t="str">
            <v>XS2464732770</v>
          </cell>
          <cell r="B67" t="str">
            <v>T</v>
          </cell>
          <cell r="C67" t="str">
            <v>Stellantis Tf 2,75% Ap32 Call</v>
          </cell>
          <cell r="D67" t="str">
            <v>T</v>
          </cell>
          <cell r="F67" t="str">
            <v xml:space="preserve"> (n.d.)</v>
          </cell>
          <cell r="G67">
            <v>92.55999755859375</v>
          </cell>
          <cell r="H67">
            <v>93.290000915527344</v>
          </cell>
          <cell r="I67">
            <v>93.25</v>
          </cell>
          <cell r="J67">
            <v>48305</v>
          </cell>
          <cell r="K67">
            <v>48305</v>
          </cell>
          <cell r="L67">
            <v>97.739997863769531</v>
          </cell>
          <cell r="M67">
            <v>100.11499786376953</v>
          </cell>
          <cell r="N67">
            <v>100000</v>
          </cell>
          <cell r="O67">
            <v>0</v>
          </cell>
          <cell r="P67">
            <v>0</v>
          </cell>
          <cell r="R67">
            <v>92.924999237060547</v>
          </cell>
        </row>
        <row r="68">
          <cell r="A68" t="str">
            <v>XS2708143958</v>
          </cell>
          <cell r="B68" t="str">
            <v>T</v>
          </cell>
          <cell r="C68" t="str">
            <v>Mediobanca Fx 5% Nov28 Call</v>
          </cell>
          <cell r="D68" t="str">
            <v>T</v>
          </cell>
          <cell r="F68" t="str">
            <v xml:space="preserve"> (n.d.)</v>
          </cell>
          <cell r="G68">
            <v>101.83000183105469</v>
          </cell>
          <cell r="H68">
            <v>105.5</v>
          </cell>
          <cell r="I68">
            <v>103.29000091552734</v>
          </cell>
          <cell r="J68">
            <v>47066</v>
          </cell>
          <cell r="K68">
            <v>47066</v>
          </cell>
          <cell r="L68">
            <v>103</v>
          </cell>
          <cell r="M68">
            <v>105.76000213623047</v>
          </cell>
          <cell r="N68">
            <v>20000</v>
          </cell>
          <cell r="O68">
            <v>0</v>
          </cell>
          <cell r="P68">
            <v>0</v>
          </cell>
          <cell r="R68">
            <v>103.66500091552734</v>
          </cell>
        </row>
        <row r="69">
          <cell r="A69" t="str">
            <v>DE000A14J587</v>
          </cell>
          <cell r="B69" t="str">
            <v>T</v>
          </cell>
          <cell r="C69" t="str">
            <v>Thyssen 2.5% 25fb25</v>
          </cell>
          <cell r="D69" t="str">
            <v>T</v>
          </cell>
          <cell r="E69">
            <v>99.599998474121094</v>
          </cell>
          <cell r="F69" t="str">
            <v>13/11/24 10:17</v>
          </cell>
          <cell r="G69">
            <v>99.610000610351563</v>
          </cell>
          <cell r="H69">
            <v>99.699996948242188</v>
          </cell>
          <cell r="I69">
            <v>99.69000244140625</v>
          </cell>
          <cell r="J69">
            <v>45713</v>
          </cell>
          <cell r="K69">
            <v>45713</v>
          </cell>
          <cell r="L69">
            <v>98</v>
          </cell>
          <cell r="M69">
            <v>99.919998168945313</v>
          </cell>
          <cell r="N69">
            <v>1000</v>
          </cell>
          <cell r="O69">
            <v>5000</v>
          </cell>
          <cell r="P69">
            <v>4980</v>
          </cell>
          <cell r="R69">
            <v>99.654998779296875</v>
          </cell>
        </row>
        <row r="70">
          <cell r="A70" t="str">
            <v>XS2325696628</v>
          </cell>
          <cell r="B70" t="str">
            <v>T</v>
          </cell>
          <cell r="C70" t="str">
            <v>Saipem Finance Int 3.125% Call 31mz28</v>
          </cell>
          <cell r="D70" t="str">
            <v>T</v>
          </cell>
          <cell r="F70" t="str">
            <v xml:space="preserve"> (n.d.)</v>
          </cell>
          <cell r="G70">
            <v>99</v>
          </cell>
          <cell r="H70">
            <v>99.400001525878906</v>
          </cell>
          <cell r="I70">
            <v>99.209999084472656</v>
          </cell>
          <cell r="J70">
            <v>46843</v>
          </cell>
          <cell r="K70">
            <v>46843</v>
          </cell>
          <cell r="L70">
            <v>97</v>
          </cell>
          <cell r="M70">
            <v>97</v>
          </cell>
          <cell r="N70">
            <v>100000</v>
          </cell>
          <cell r="O70">
            <v>0</v>
          </cell>
          <cell r="P70">
            <v>0</v>
          </cell>
          <cell r="R70">
            <v>99.200000762939453</v>
          </cell>
        </row>
        <row r="71">
          <cell r="A71" t="str">
            <v>XS2199716304</v>
          </cell>
          <cell r="B71" t="str">
            <v>T</v>
          </cell>
          <cell r="C71" t="str">
            <v>Leonardo 2.375% Call 08ge26</v>
          </cell>
          <cell r="D71" t="str">
            <v>T</v>
          </cell>
          <cell r="F71" t="str">
            <v xml:space="preserve"> (n.d.)</v>
          </cell>
          <cell r="G71">
            <v>99.370002746582031</v>
          </cell>
          <cell r="H71">
            <v>99.550003051757813</v>
          </cell>
          <cell r="I71">
            <v>99.370002746582031</v>
          </cell>
          <cell r="J71">
            <v>46030</v>
          </cell>
          <cell r="K71">
            <v>46030</v>
          </cell>
          <cell r="L71">
            <v>99.019996643066406</v>
          </cell>
          <cell r="M71">
            <v>99.019996643066406</v>
          </cell>
          <cell r="N71">
            <v>100000</v>
          </cell>
          <cell r="O71">
            <v>0</v>
          </cell>
          <cell r="P71">
            <v>0</v>
          </cell>
          <cell r="R71">
            <v>99.460002899169922</v>
          </cell>
        </row>
        <row r="72">
          <cell r="A72" t="str">
            <v>XS2331288212</v>
          </cell>
          <cell r="B72" t="str">
            <v>O</v>
          </cell>
          <cell r="C72" t="str">
            <v>Iwb Tf 2,5% Mg27 Call</v>
          </cell>
          <cell r="D72" t="str">
            <v>M</v>
          </cell>
          <cell r="E72">
            <v>97.099998474121094</v>
          </cell>
          <cell r="F72" t="str">
            <v>13/11/24 14:37</v>
          </cell>
          <cell r="G72">
            <v>97.099998474121094</v>
          </cell>
          <cell r="H72">
            <v>97.5</v>
          </cell>
          <cell r="I72">
            <v>97.298301696777344</v>
          </cell>
          <cell r="J72">
            <v>2.5</v>
          </cell>
          <cell r="K72">
            <v>46520</v>
          </cell>
          <cell r="L72">
            <v>92.650001525878906</v>
          </cell>
          <cell r="M72">
            <v>98.959999084472656</v>
          </cell>
          <cell r="N72">
            <v>1000</v>
          </cell>
          <cell r="O72">
            <v>5000</v>
          </cell>
          <cell r="P72">
            <v>32113</v>
          </cell>
          <cell r="R72">
            <v>97.299999237060547</v>
          </cell>
        </row>
        <row r="73">
          <cell r="A73" t="str">
            <v>XS2055728054</v>
          </cell>
          <cell r="B73" t="str">
            <v>T</v>
          </cell>
          <cell r="C73" t="str">
            <v>Bmw Finance 0.375% 24st27</v>
          </cell>
          <cell r="D73" t="str">
            <v>T</v>
          </cell>
          <cell r="E73">
            <v>93.860000610351563</v>
          </cell>
          <cell r="F73" t="str">
            <v>13/11/24 13:08</v>
          </cell>
          <cell r="G73">
            <v>93.660003662109375</v>
          </cell>
          <cell r="H73">
            <v>93.889999389648438</v>
          </cell>
          <cell r="I73">
            <v>93.819999694824219</v>
          </cell>
          <cell r="J73">
            <v>46033</v>
          </cell>
          <cell r="K73">
            <v>46654</v>
          </cell>
          <cell r="L73">
            <v>93.860000610351563</v>
          </cell>
          <cell r="M73">
            <v>99.610000610351563</v>
          </cell>
          <cell r="N73">
            <v>1000</v>
          </cell>
          <cell r="O73">
            <v>10000</v>
          </cell>
          <cell r="P73">
            <v>9386</v>
          </cell>
          <cell r="R73">
            <v>93.860000610351563</v>
          </cell>
        </row>
        <row r="74">
          <cell r="A74" t="str">
            <v>XS2558594391</v>
          </cell>
          <cell r="B74" t="str">
            <v>O</v>
          </cell>
          <cell r="C74" t="str">
            <v>Hungary Green Tf 5% Fb27</v>
          </cell>
          <cell r="D74" t="str">
            <v>M</v>
          </cell>
          <cell r="F74" t="str">
            <v xml:space="preserve"> (n.d.)</v>
          </cell>
          <cell r="G74">
            <v>103.69999694824219</v>
          </cell>
          <cell r="H74">
            <v>104.02999877929687</v>
          </cell>
          <cell r="I74">
            <v>103.67780303955078</v>
          </cell>
          <cell r="J74">
            <v>46440</v>
          </cell>
          <cell r="K74">
            <v>46440</v>
          </cell>
          <cell r="L74">
            <v>101.63999938964844</v>
          </cell>
          <cell r="M74">
            <v>105.11000061035156</v>
          </cell>
          <cell r="N74">
            <v>1000</v>
          </cell>
          <cell r="O74">
            <v>0</v>
          </cell>
          <cell r="P74">
            <v>0</v>
          </cell>
          <cell r="R74">
            <v>103.86499786376953</v>
          </cell>
        </row>
        <row r="75">
          <cell r="A75" t="str">
            <v>XS2634690114</v>
          </cell>
          <cell r="B75" t="str">
            <v>T</v>
          </cell>
          <cell r="C75" t="str">
            <v>Stellantis Tf 4,25% Gn31 Call</v>
          </cell>
          <cell r="D75" t="str">
            <v>T</v>
          </cell>
          <cell r="F75" t="str">
            <v xml:space="preserve"> (n.d.)</v>
          </cell>
          <cell r="G75">
            <v>102</v>
          </cell>
          <cell r="H75">
            <v>102.76000213623047</v>
          </cell>
          <cell r="I75">
            <v>102.77999877929687</v>
          </cell>
          <cell r="J75">
            <v>48015</v>
          </cell>
          <cell r="K75">
            <v>48015</v>
          </cell>
          <cell r="L75">
            <v>100.19999694824219</v>
          </cell>
          <cell r="M75">
            <v>104.58999633789062</v>
          </cell>
          <cell r="N75">
            <v>100000</v>
          </cell>
          <cell r="O75">
            <v>0</v>
          </cell>
          <cell r="P75">
            <v>0</v>
          </cell>
          <cell r="R75">
            <v>102.38000106811523</v>
          </cell>
        </row>
        <row r="76">
          <cell r="A76" t="str">
            <v>XS0161100515</v>
          </cell>
          <cell r="B76" t="str">
            <v>T</v>
          </cell>
          <cell r="C76" t="str">
            <v>Telecom Italia Finance 7.75% 24ge33</v>
          </cell>
          <cell r="D76" t="str">
            <v>T</v>
          </cell>
          <cell r="E76">
            <v>122.91000366210937</v>
          </cell>
          <cell r="F76" t="str">
            <v>13/11/24 15:35</v>
          </cell>
          <cell r="G76">
            <v>122.91000366210937</v>
          </cell>
          <cell r="H76">
            <v>123.12000274658203</v>
          </cell>
          <cell r="I76">
            <v>123.27999877929687</v>
          </cell>
          <cell r="J76">
            <v>48603</v>
          </cell>
          <cell r="K76">
            <v>48603</v>
          </cell>
          <cell r="L76">
            <v>108.59999847412109</v>
          </cell>
          <cell r="M76">
            <v>124.30999755859375</v>
          </cell>
          <cell r="N76">
            <v>1000</v>
          </cell>
          <cell r="O76">
            <v>1000</v>
          </cell>
          <cell r="P76">
            <v>61522</v>
          </cell>
          <cell r="R76">
            <v>123.0150032043457</v>
          </cell>
        </row>
        <row r="77">
          <cell r="A77" t="str">
            <v>IT0005503393</v>
          </cell>
          <cell r="B77" t="str">
            <v>O</v>
          </cell>
          <cell r="C77" t="str">
            <v>Kme Group Tf 5% St27 Call</v>
          </cell>
          <cell r="D77" t="str">
            <v>M</v>
          </cell>
          <cell r="E77">
            <v>99.699996948242188</v>
          </cell>
          <cell r="F77" t="str">
            <v>13/11/24 15:35</v>
          </cell>
          <cell r="G77">
            <v>99.900001525878906</v>
          </cell>
          <cell r="H77">
            <v>99.959999084472656</v>
          </cell>
          <cell r="I77">
            <v>100.88600158691406</v>
          </cell>
          <cell r="J77">
            <v>5</v>
          </cell>
          <cell r="K77">
            <v>46653</v>
          </cell>
          <cell r="L77">
            <v>98.900001525878906</v>
          </cell>
          <cell r="M77">
            <v>102.62000274658203</v>
          </cell>
          <cell r="N77">
            <v>1</v>
          </cell>
          <cell r="O77">
            <v>4998</v>
          </cell>
          <cell r="P77">
            <v>350064</v>
          </cell>
          <cell r="R77">
            <v>99.930000305175781</v>
          </cell>
        </row>
        <row r="78">
          <cell r="A78" t="str">
            <v>IT0003132476</v>
          </cell>
          <cell r="B78" t="str">
            <v>A</v>
          </cell>
          <cell r="C78" t="str">
            <v>Azione Eni</v>
          </cell>
          <cell r="D78" t="str">
            <v>M</v>
          </cell>
          <cell r="E78">
            <v>13.685999870300293</v>
          </cell>
          <cell r="F78" t="str">
            <v>13/11/24 15:40</v>
          </cell>
          <cell r="G78">
            <v>13.680000305175781</v>
          </cell>
          <cell r="H78">
            <v>13.682000160217285</v>
          </cell>
          <cell r="I78">
            <v>13.871299743652344</v>
          </cell>
          <cell r="K78">
            <v>13.484000205993652</v>
          </cell>
          <cell r="L78">
            <v>13.484000205993652</v>
          </cell>
          <cell r="M78">
            <v>15.815999984741211</v>
          </cell>
          <cell r="N78">
            <v>1</v>
          </cell>
          <cell r="O78">
            <v>100</v>
          </cell>
          <cell r="P78">
            <v>101835888</v>
          </cell>
          <cell r="R78">
            <v>13.685999870300293</v>
          </cell>
        </row>
        <row r="79">
          <cell r="A79" t="str">
            <v>XS2745726047</v>
          </cell>
          <cell r="B79" t="str">
            <v>T</v>
          </cell>
          <cell r="C79" t="str">
            <v>Vw Leasing Green Fx 4% Apr31</v>
          </cell>
          <cell r="D79" t="str">
            <v>T</v>
          </cell>
          <cell r="E79">
            <v>101.19999694824219</v>
          </cell>
          <cell r="F79" t="str">
            <v>13/11/24 15:32</v>
          </cell>
          <cell r="G79">
            <v>101.19999694824219</v>
          </cell>
          <cell r="H79">
            <v>101.33000183105469</v>
          </cell>
          <cell r="I79">
            <v>101.19999694824219</v>
          </cell>
          <cell r="J79">
            <v>45980</v>
          </cell>
          <cell r="K79">
            <v>47949</v>
          </cell>
          <cell r="L79">
            <v>101.19999694824219</v>
          </cell>
          <cell r="M79">
            <v>102.01000213623047</v>
          </cell>
          <cell r="N79">
            <v>1000</v>
          </cell>
          <cell r="O79">
            <v>6000</v>
          </cell>
          <cell r="P79">
            <v>50600</v>
          </cell>
          <cell r="R79">
            <v>101.26499938964844</v>
          </cell>
        </row>
        <row r="80">
          <cell r="A80" t="str">
            <v>IT0005542359</v>
          </cell>
          <cell r="B80" t="str">
            <v>O</v>
          </cell>
          <cell r="C80" t="str">
            <v>Btpgreen 4%ot31</v>
          </cell>
          <cell r="D80" t="str">
            <v>M</v>
          </cell>
          <cell r="E80">
            <v>105.06999969482422</v>
          </cell>
          <cell r="F80" t="str">
            <v>13/11/24 14:50</v>
          </cell>
          <cell r="G80">
            <v>105.19000244140625</v>
          </cell>
          <cell r="H80">
            <v>105.22000122070312</v>
          </cell>
          <cell r="I80">
            <v>105.21540069580078</v>
          </cell>
          <cell r="J80">
            <v>2</v>
          </cell>
          <cell r="K80">
            <v>48151</v>
          </cell>
          <cell r="L80">
            <v>101</v>
          </cell>
          <cell r="M80">
            <v>107.25</v>
          </cell>
          <cell r="N80">
            <v>1000</v>
          </cell>
          <cell r="O80">
            <v>77000</v>
          </cell>
          <cell r="P80">
            <v>516771</v>
          </cell>
          <cell r="R80">
            <v>105.20500183105469</v>
          </cell>
        </row>
        <row r="81">
          <cell r="A81" t="str">
            <v>XS2536817484</v>
          </cell>
          <cell r="B81" t="str">
            <v>O</v>
          </cell>
          <cell r="C81" t="str">
            <v>Bulgaria Tf 4,625% St34</v>
          </cell>
          <cell r="D81" t="str">
            <v>M</v>
          </cell>
          <cell r="F81" t="str">
            <v xml:space="preserve"> (n.d.)</v>
          </cell>
          <cell r="G81">
            <v>109.55000305175781</v>
          </cell>
          <cell r="H81">
            <v>109.58000183105469</v>
          </cell>
          <cell r="I81">
            <v>109.47000122070312</v>
          </cell>
          <cell r="J81">
            <v>4.625</v>
          </cell>
          <cell r="K81">
            <v>49210</v>
          </cell>
          <cell r="L81">
            <v>103.51000213623047</v>
          </cell>
          <cell r="M81">
            <v>110.19000244140625</v>
          </cell>
          <cell r="N81">
            <v>1000</v>
          </cell>
          <cell r="O81">
            <v>0</v>
          </cell>
          <cell r="P81">
            <v>0</v>
          </cell>
          <cell r="R81">
            <v>109.56500244140625</v>
          </cell>
        </row>
        <row r="82">
          <cell r="A82" t="str">
            <v>XS0461631847</v>
          </cell>
          <cell r="B82" t="str">
            <v>T</v>
          </cell>
          <cell r="C82" t="str">
            <v>Db Cr Link Debito Arcelormittal 221228</v>
          </cell>
          <cell r="D82" t="str">
            <v>T</v>
          </cell>
          <cell r="F82" t="str">
            <v xml:space="preserve"> (n.d.)</v>
          </cell>
          <cell r="G82">
            <v>10110</v>
          </cell>
          <cell r="H82">
            <v>0</v>
          </cell>
          <cell r="I82">
            <v>10110</v>
          </cell>
          <cell r="J82">
            <v>47109</v>
          </cell>
          <cell r="K82">
            <v>47109</v>
          </cell>
          <cell r="L82">
            <v>11.369999885559082</v>
          </cell>
          <cell r="M82">
            <v>17.969999313354492</v>
          </cell>
          <cell r="N82">
            <v>1</v>
          </cell>
          <cell r="O82">
            <v>0</v>
          </cell>
          <cell r="P82">
            <v>0</v>
          </cell>
          <cell r="R82">
            <v>101.1</v>
          </cell>
        </row>
        <row r="83">
          <cell r="A83" t="str">
            <v>XS1892127470</v>
          </cell>
          <cell r="B83" t="str">
            <v>O</v>
          </cell>
          <cell r="C83" t="str">
            <v>Romania Tf 4,125% Mz39</v>
          </cell>
          <cell r="D83" t="str">
            <v>M</v>
          </cell>
          <cell r="E83">
            <v>82.709999084472656</v>
          </cell>
          <cell r="F83" t="str">
            <v>13/11/24 15:22</v>
          </cell>
          <cell r="G83">
            <v>82.379997253417969</v>
          </cell>
          <cell r="H83">
            <v>82.709999084472656</v>
          </cell>
          <cell r="I83">
            <v>82.65679931640625</v>
          </cell>
          <cell r="J83">
            <v>4.125</v>
          </cell>
          <cell r="K83">
            <v>50840</v>
          </cell>
          <cell r="L83">
            <v>81.089996337890625</v>
          </cell>
          <cell r="M83">
            <v>86.5</v>
          </cell>
          <cell r="N83">
            <v>1000</v>
          </cell>
          <cell r="O83">
            <v>2000</v>
          </cell>
          <cell r="P83">
            <v>57834</v>
          </cell>
          <cell r="R83">
            <v>82.709999084472656</v>
          </cell>
        </row>
        <row r="84">
          <cell r="A84" t="str">
            <v>XS2395035517</v>
          </cell>
          <cell r="B84" t="str">
            <v>T</v>
          </cell>
          <cell r="C84" t="str">
            <v>Sg Tf 3,95% Gn28 Call</v>
          </cell>
          <cell r="D84" t="str">
            <v>T</v>
          </cell>
          <cell r="F84" t="str">
            <v xml:space="preserve"> (n.d.)</v>
          </cell>
          <cell r="G84">
            <v>99.199996948242188</v>
          </cell>
          <cell r="H84">
            <v>0</v>
          </cell>
          <cell r="I84">
            <v>101.12999725341797</v>
          </cell>
          <cell r="J84">
            <v>46931</v>
          </cell>
          <cell r="K84">
            <v>46931</v>
          </cell>
          <cell r="L84">
            <v>89</v>
          </cell>
          <cell r="M84">
            <v>97.199996948242188</v>
          </cell>
          <cell r="N84">
            <v>1000</v>
          </cell>
          <cell r="O84">
            <v>0</v>
          </cell>
          <cell r="P84">
            <v>0</v>
          </cell>
          <cell r="R84">
            <v>101.12999725341797</v>
          </cell>
        </row>
        <row r="85">
          <cell r="A85" t="str">
            <v>XS2577874782</v>
          </cell>
          <cell r="B85" t="str">
            <v>T</v>
          </cell>
          <cell r="C85" t="str">
            <v>Heidelberg Sdg Link Tf3,75% Mg32 Call</v>
          </cell>
          <cell r="D85" t="str">
            <v>T</v>
          </cell>
          <cell r="E85">
            <v>102.15000152587891</v>
          </cell>
          <cell r="F85" t="str">
            <v>13/11/24 15:37</v>
          </cell>
          <cell r="G85">
            <v>101.94999694824219</v>
          </cell>
          <cell r="H85">
            <v>102.26000213623047</v>
          </cell>
          <cell r="I85">
            <v>101.94999694824219</v>
          </cell>
          <cell r="J85">
            <v>48365</v>
          </cell>
          <cell r="K85">
            <v>48365</v>
          </cell>
          <cell r="L85">
            <v>101.80000305175781</v>
          </cell>
          <cell r="M85">
            <v>102.23999786376953</v>
          </cell>
          <cell r="N85">
            <v>1000</v>
          </cell>
          <cell r="O85">
            <v>14000</v>
          </cell>
          <cell r="P85">
            <v>208345</v>
          </cell>
          <cell r="R85">
            <v>102.15000152587891</v>
          </cell>
        </row>
        <row r="86">
          <cell r="A86" t="str">
            <v>XS1428773763</v>
          </cell>
          <cell r="B86" t="str">
            <v>T</v>
          </cell>
          <cell r="C86" t="str">
            <v>Generali-fix Float Call Sub 08gn48</v>
          </cell>
          <cell r="D86" t="str">
            <v>T</v>
          </cell>
          <cell r="F86" t="str">
            <v xml:space="preserve"> (n.d.)</v>
          </cell>
          <cell r="G86">
            <v>104.76000213623047</v>
          </cell>
          <cell r="H86">
            <v>104.97000122070312</v>
          </cell>
          <cell r="I86">
            <v>104.76000213623047</v>
          </cell>
          <cell r="J86">
            <v>54217</v>
          </cell>
          <cell r="K86">
            <v>54217</v>
          </cell>
          <cell r="L86">
            <v>101.44999694824219</v>
          </cell>
          <cell r="M86">
            <v>103.59999847412109</v>
          </cell>
          <cell r="N86">
            <v>100000</v>
          </cell>
          <cell r="O86">
            <v>0</v>
          </cell>
          <cell r="P86">
            <v>0</v>
          </cell>
          <cell r="R86">
            <v>104.8650016784668</v>
          </cell>
        </row>
        <row r="87">
          <cell r="A87" t="str">
            <v>XS2830945452</v>
          </cell>
          <cell r="B87" t="str">
            <v>T</v>
          </cell>
          <cell r="C87" t="str">
            <v>Webuild Fx 5.375% Jun29 Call</v>
          </cell>
          <cell r="D87" t="str">
            <v>T</v>
          </cell>
          <cell r="F87" t="str">
            <v xml:space="preserve"> (n.d.)</v>
          </cell>
          <cell r="G87">
            <v>103.01000213623047</v>
          </cell>
          <cell r="H87">
            <v>103.34999847412109</v>
          </cell>
          <cell r="I87">
            <v>103.18000030517578</v>
          </cell>
          <cell r="J87">
            <v>47289</v>
          </cell>
          <cell r="K87">
            <v>47289</v>
          </cell>
          <cell r="L87">
            <v>101</v>
          </cell>
          <cell r="M87">
            <v>101.59999847412109</v>
          </cell>
          <cell r="N87">
            <v>100000</v>
          </cell>
          <cell r="O87">
            <v>0</v>
          </cell>
          <cell r="P87">
            <v>0</v>
          </cell>
          <cell r="R87">
            <v>103.18000030517578</v>
          </cell>
        </row>
        <row r="88">
          <cell r="A88" t="str">
            <v>IT0005521171</v>
          </cell>
          <cell r="B88" t="str">
            <v>O</v>
          </cell>
          <cell r="C88" t="str">
            <v>Eni Sdg Linked Tf 4,3% Fb28</v>
          </cell>
          <cell r="D88" t="str">
            <v>M</v>
          </cell>
          <cell r="E88">
            <v>103.87999725341797</v>
          </cell>
          <cell r="F88" t="str">
            <v>13/11/24 15:25</v>
          </cell>
          <cell r="G88">
            <v>103.87999725341797</v>
          </cell>
          <cell r="H88">
            <v>103.98999786376953</v>
          </cell>
          <cell r="I88">
            <v>103.91560363769531</v>
          </cell>
          <cell r="J88">
            <v>4.3000001907348633</v>
          </cell>
          <cell r="K88">
            <v>46793</v>
          </cell>
          <cell r="L88">
            <v>101.88999938964844</v>
          </cell>
          <cell r="M88">
            <v>104.73999786376953</v>
          </cell>
          <cell r="N88">
            <v>1000</v>
          </cell>
          <cell r="O88">
            <v>4000</v>
          </cell>
          <cell r="P88">
            <v>599340</v>
          </cell>
          <cell r="R88">
            <v>103.93499755859375</v>
          </cell>
        </row>
        <row r="89">
          <cell r="A89" t="str">
            <v>IT0005544082</v>
          </cell>
          <cell r="B89" t="str">
            <v>O</v>
          </cell>
          <cell r="C89" t="str">
            <v>Btp Tf 4,35% Nv33</v>
          </cell>
          <cell r="D89" t="str">
            <v>M</v>
          </cell>
          <cell r="E89">
            <v>107.05999755859375</v>
          </cell>
          <cell r="F89" t="str">
            <v>13/11/24 15:00</v>
          </cell>
          <cell r="G89">
            <v>107.08000183105469</v>
          </cell>
          <cell r="H89">
            <v>107.11000061035156</v>
          </cell>
          <cell r="I89">
            <v>107.00920104980469</v>
          </cell>
          <cell r="J89">
            <v>2.1749999523162842</v>
          </cell>
          <cell r="K89">
            <v>48884</v>
          </cell>
          <cell r="L89">
            <v>102.19999694824219</v>
          </cell>
          <cell r="M89">
            <v>109.52999877929687</v>
          </cell>
          <cell r="N89">
            <v>1000</v>
          </cell>
          <cell r="O89">
            <v>140000</v>
          </cell>
          <cell r="P89">
            <v>13806125</v>
          </cell>
          <cell r="R89">
            <v>107.09500122070312</v>
          </cell>
        </row>
        <row r="90">
          <cell r="A90" t="str">
            <v>XS2680932907</v>
          </cell>
          <cell r="B90" t="str">
            <v>O</v>
          </cell>
          <cell r="C90" t="str">
            <v>Hungary Fx 5.375% Sep33</v>
          </cell>
          <cell r="D90" t="str">
            <v>M</v>
          </cell>
          <cell r="E90">
            <v>107.04000091552734</v>
          </cell>
          <cell r="F90" t="str">
            <v>13/11/24 12:02</v>
          </cell>
          <cell r="G90">
            <v>106.69999694824219</v>
          </cell>
          <cell r="H90">
            <v>107.04000091552734</v>
          </cell>
          <cell r="I90">
            <v>107.12830352783203</v>
          </cell>
          <cell r="J90">
            <v>5.375</v>
          </cell>
          <cell r="K90">
            <v>48834</v>
          </cell>
          <cell r="L90">
            <v>103.31999969482422</v>
          </cell>
          <cell r="M90">
            <v>109.66999816894531</v>
          </cell>
          <cell r="N90">
            <v>1000</v>
          </cell>
          <cell r="O90">
            <v>10000</v>
          </cell>
          <cell r="P90">
            <v>12835</v>
          </cell>
          <cell r="R90">
            <v>107.04000091552734</v>
          </cell>
        </row>
        <row r="95">
          <cell r="A95" t="str">
            <v>FR001400Q6Z9</v>
          </cell>
          <cell r="C95" t="str">
            <v>Air France-KLM S.A. 4,625% 24/29</v>
          </cell>
          <cell r="E95" t="str">
            <v>101.65</v>
          </cell>
          <cell r="G95" t="str">
            <v>101,65</v>
          </cell>
          <cell r="H95">
            <v>101.65</v>
          </cell>
          <cell r="I95">
            <v>101.65</v>
          </cell>
          <cell r="R95">
            <v>101.65</v>
          </cell>
        </row>
        <row r="96">
          <cell r="A96" t="str">
            <v>XS1346228577</v>
          </cell>
          <cell r="B96" t="str">
            <v xml:space="preserve">Axa 16/47 Flr Mtn </v>
          </cell>
          <cell r="C96" t="str">
            <v>AXA S.A. 3,375% 16/47</v>
          </cell>
          <cell r="E96" t="str">
            <v>99.99</v>
          </cell>
          <cell r="G96" t="str">
            <v>99,99</v>
          </cell>
          <cell r="H96">
            <v>99.99</v>
          </cell>
          <cell r="I96">
            <v>99.99</v>
          </cell>
          <cell r="K96" t="str">
            <v>Watchlists | Frankfurt Stock Exchange (boerse-frankfurt.de)</v>
          </cell>
          <cell r="R96">
            <v>99.99</v>
          </cell>
        </row>
        <row r="97">
          <cell r="A97" t="str">
            <v>XS2630111719</v>
          </cell>
          <cell r="B97" t="str">
            <v>Bayer 2033  4,652 %</v>
          </cell>
          <cell r="C97" t="str">
            <v>Bayer AG 4,625% 23/33</v>
          </cell>
          <cell r="E97" t="str">
            <v>104.31</v>
          </cell>
          <cell r="G97" t="str">
            <v>104,31</v>
          </cell>
          <cell r="H97">
            <v>104.31</v>
          </cell>
          <cell r="I97">
            <v>104.31</v>
          </cell>
          <cell r="R97">
            <v>104.31</v>
          </cell>
        </row>
        <row r="98">
          <cell r="A98" t="str">
            <v>XS2466172363</v>
          </cell>
          <cell r="B98" t="str">
            <v>Daimler Truck International Finance B.V. 1,625% 22/27</v>
          </cell>
          <cell r="C98" t="str">
            <v>Daimler Truck International Finance B.V. 1,625% 22/27</v>
          </cell>
          <cell r="E98" t="str">
            <v>97.28</v>
          </cell>
          <cell r="G98" t="str">
            <v>97,28</v>
          </cell>
          <cell r="H98">
            <v>97.28</v>
          </cell>
          <cell r="I98">
            <v>97.28</v>
          </cell>
          <cell r="R98">
            <v>97.28</v>
          </cell>
        </row>
        <row r="99">
          <cell r="A99" t="str">
            <v>XS1271836600</v>
          </cell>
          <cell r="B99" t="str">
            <v>Deutsche Lufthansa AG 4,382% 15/75</v>
          </cell>
          <cell r="C99" t="str">
            <v>Deutsche Lufthansa AG 4,382% 15/75</v>
          </cell>
          <cell r="E99" t="str">
            <v>99.6</v>
          </cell>
          <cell r="G99" t="str">
            <v>99,6</v>
          </cell>
          <cell r="H99">
            <v>99.6</v>
          </cell>
          <cell r="I99">
            <v>99.6</v>
          </cell>
          <cell r="R99">
            <v>99.6</v>
          </cell>
        </row>
        <row r="100">
          <cell r="A100" t="str">
            <v>FR0013416146</v>
          </cell>
          <cell r="B100" t="str">
            <v>ELO S.A. 2,375% 19/25</v>
          </cell>
          <cell r="C100" t="str">
            <v>ELO S.A. 2,375% 19/25</v>
          </cell>
          <cell r="E100" t="str">
            <v>97.84</v>
          </cell>
          <cell r="G100" t="str">
            <v>97,84</v>
          </cell>
          <cell r="H100">
            <v>97.84</v>
          </cell>
          <cell r="I100">
            <v>97.84</v>
          </cell>
          <cell r="R100">
            <v>97.84</v>
          </cell>
        </row>
        <row r="101">
          <cell r="A101" t="str">
            <v>XS2586123965</v>
          </cell>
          <cell r="B101" t="str">
            <v>Ford 2027 4,867%</v>
          </cell>
          <cell r="C101" t="str">
            <v>Ford Motor Credit Co. LLC 4,867% 23/27</v>
          </cell>
          <cell r="E101" t="str">
            <v>103.64</v>
          </cell>
          <cell r="G101" t="str">
            <v>103,64</v>
          </cell>
          <cell r="H101">
            <v>103.64</v>
          </cell>
          <cell r="I101">
            <v>103.64</v>
          </cell>
          <cell r="R101">
            <v>103.64</v>
          </cell>
        </row>
        <row r="102">
          <cell r="A102" t="str">
            <v>XS2390510142</v>
          </cell>
          <cell r="B102" t="str">
            <v>GOODYEAR 2028  2,75 %</v>
          </cell>
          <cell r="C102" t="str">
            <v>Goodyear Europe B.V. 2,75% 21/28</v>
          </cell>
          <cell r="E102" t="str">
            <v>92.25</v>
          </cell>
          <cell r="G102" t="str">
            <v>92,25</v>
          </cell>
          <cell r="H102">
            <v>92.25</v>
          </cell>
          <cell r="I102">
            <v>92.25</v>
          </cell>
          <cell r="R102">
            <v>92.25</v>
          </cell>
        </row>
        <row r="103">
          <cell r="A103" t="str">
            <v>fr001400eji5</v>
          </cell>
          <cell r="B103" t="str">
            <v>ILIAD 2027  5,375 %</v>
          </cell>
          <cell r="C103" t="str">
            <v>Iliad S.A. 5,375% 22/27</v>
          </cell>
          <cell r="E103" t="str">
            <v>103.92</v>
          </cell>
          <cell r="G103" t="str">
            <v>103,92</v>
          </cell>
          <cell r="H103">
            <v>103.92</v>
          </cell>
          <cell r="I103">
            <v>103.92</v>
          </cell>
          <cell r="R103">
            <v>103.92</v>
          </cell>
        </row>
        <row r="104">
          <cell r="A104" t="str">
            <v>XS2778370051</v>
          </cell>
          <cell r="B104" t="str">
            <v>METRO AG 4,625% 24/29</v>
          </cell>
          <cell r="C104" t="str">
            <v>METRO AG 4,625% 24/29</v>
          </cell>
          <cell r="E104" t="str">
            <v>104.48</v>
          </cell>
          <cell r="G104" t="str">
            <v>104,48</v>
          </cell>
          <cell r="H104">
            <v>104.48</v>
          </cell>
          <cell r="I104">
            <v>104.48</v>
          </cell>
          <cell r="R104">
            <v>104.48</v>
          </cell>
        </row>
        <row r="105">
          <cell r="A105" t="str">
            <v>XS1057659838</v>
          </cell>
          <cell r="B105" t="str">
            <v>Petróleos Mexicanos 3,75% 14/26</v>
          </cell>
          <cell r="C105" t="str">
            <v>PetrÃ³leos Mexicanos 3,75% 14/26</v>
          </cell>
          <cell r="E105">
            <v>97395</v>
          </cell>
          <cell r="G105" t="str">
            <v>97395</v>
          </cell>
          <cell r="H105">
            <v>97395</v>
          </cell>
          <cell r="I105">
            <v>97.394999999999996</v>
          </cell>
          <cell r="R105">
            <v>97.394999999999996</v>
          </cell>
        </row>
        <row r="106">
          <cell r="A106" t="str">
            <v>XS2643320109</v>
          </cell>
          <cell r="B106" t="str">
            <v>Porsche 2030 4,25 %</v>
          </cell>
          <cell r="C106" t="str">
            <v>Porsche Automobil Holding SE 4,25% 23/30</v>
          </cell>
          <cell r="E106" t="str">
            <v>101.56</v>
          </cell>
          <cell r="G106" t="str">
            <v>101,56</v>
          </cell>
          <cell r="H106">
            <v>101.56</v>
          </cell>
          <cell r="I106">
            <v>101.56</v>
          </cell>
          <cell r="R106">
            <v>101.56</v>
          </cell>
        </row>
        <row r="107">
          <cell r="A107" t="str">
            <v>XS2244322082</v>
          </cell>
          <cell r="B107" t="str">
            <v xml:space="preserve">Rolls-royce 18/26 Mtn 4.625 </v>
          </cell>
          <cell r="C107" t="str">
            <v>Rolls-Royce PLC 4,625% 20/26</v>
          </cell>
          <cell r="E107" t="str">
            <v>101.66</v>
          </cell>
          <cell r="G107" t="str">
            <v>101,66</v>
          </cell>
          <cell r="H107">
            <v>101.66</v>
          </cell>
          <cell r="I107">
            <v>101.66</v>
          </cell>
          <cell r="R107">
            <v>101.66</v>
          </cell>
        </row>
        <row r="108">
          <cell r="A108" t="str">
            <v>BE6350792089</v>
          </cell>
          <cell r="B108" t="str">
            <v>Solvay S.A. 4,25% 24/31</v>
          </cell>
          <cell r="C108" t="str">
            <v>Solvay S.A. 4,25% 24/31</v>
          </cell>
          <cell r="E108">
            <v>102745</v>
          </cell>
          <cell r="G108" t="str">
            <v>102745</v>
          </cell>
          <cell r="H108">
            <v>102745</v>
          </cell>
          <cell r="I108">
            <v>102.745</v>
          </cell>
          <cell r="R108">
            <v>102.745</v>
          </cell>
        </row>
        <row r="109">
          <cell r="A109" t="str">
            <v>FR001400PAJ8</v>
          </cell>
          <cell r="B109" t="str">
            <v>Valéo S.E. 4,5% 24/30</v>
          </cell>
          <cell r="C109" t="str">
            <v>ValÃ©o S.E. 4,5% 24/30</v>
          </cell>
          <cell r="E109" t="str">
            <v>98.15</v>
          </cell>
          <cell r="G109" t="str">
            <v>98,15</v>
          </cell>
          <cell r="H109">
            <v>98.15</v>
          </cell>
          <cell r="I109">
            <v>98.15</v>
          </cell>
          <cell r="R109">
            <v>98.15</v>
          </cell>
        </row>
        <row r="110">
          <cell r="A110" t="str">
            <v>XS2604699327</v>
          </cell>
          <cell r="B110" t="str">
            <v>Volkswagen 2029  4,25 %</v>
          </cell>
          <cell r="C110" t="str">
            <v>Volkswagen International Finance N.V. 4,25% 23/29</v>
          </cell>
          <cell r="E110" t="str">
            <v>102.67</v>
          </cell>
          <cell r="G110" t="str">
            <v>102,67</v>
          </cell>
          <cell r="H110">
            <v>102.67</v>
          </cell>
          <cell r="I110">
            <v>102.67</v>
          </cell>
          <cell r="R110">
            <v>102.67</v>
          </cell>
        </row>
        <row r="111">
          <cell r="A111" t="str">
            <v>XS2811097075</v>
          </cell>
          <cell r="C111" t="str">
            <v>Volvo Car AB 4,75% 24/30</v>
          </cell>
          <cell r="E111" t="str">
            <v>101.24</v>
          </cell>
          <cell r="G111" t="str">
            <v>101,24</v>
          </cell>
          <cell r="H111">
            <v>101.24</v>
          </cell>
          <cell r="I111">
            <v>101.24</v>
          </cell>
          <cell r="R111">
            <v>101.24</v>
          </cell>
        </row>
      </sheetData>
      <sheetData sheetId="15"/>
      <sheetData sheetId="16">
        <row r="2">
          <cell r="B2" t="str">
            <v>https://www.ecb.europa.eu/stats/eurofxref/eurofxref-daily.xml?9a255ee8efa90c6a11139bedc2e35026</v>
          </cell>
        </row>
        <row r="5">
          <cell r="E5">
            <v>1.0617000000000001</v>
          </cell>
        </row>
        <row r="19">
          <cell r="E19">
            <v>1.6206</v>
          </cell>
        </row>
      </sheetData>
      <sheetData sheetId="17"/>
      <sheetData sheetId="18">
        <row r="2">
          <cell r="A2" t="str">
            <v>PAESE</v>
          </cell>
          <cell r="B2" t="str">
            <v>CIN</v>
          </cell>
        </row>
        <row r="4">
          <cell r="A4" t="str">
            <v>DEUTSCHE BANK</v>
          </cell>
        </row>
        <row r="5">
          <cell r="A5" t="str">
            <v>IT59</v>
          </cell>
          <cell r="B5" t="str">
            <v>T</v>
          </cell>
        </row>
        <row r="11">
          <cell r="A11" t="str">
            <v>INTESA</v>
          </cell>
        </row>
        <row r="16">
          <cell r="A16" t="str">
            <v>CHE BANCA!</v>
          </cell>
        </row>
        <row r="17">
          <cell r="A17" t="str">
            <v>IT72</v>
          </cell>
          <cell r="B17" t="str">
            <v>K</v>
          </cell>
        </row>
        <row r="20">
          <cell r="A20" t="str">
            <v>ALLIANZ  LUIGI CAIROLI</v>
          </cell>
        </row>
        <row r="21">
          <cell r="A21" t="str">
            <v>ALLIANZ  ANTONELLI</v>
          </cell>
        </row>
        <row r="23">
          <cell r="A23" t="str">
            <v>ALLIANZ  ANTONELLI EDO LAURA</v>
          </cell>
        </row>
        <row r="25">
          <cell r="A25" t="str">
            <v>VIADANA SRL</v>
          </cell>
        </row>
        <row r="26">
          <cell r="A26" t="str">
            <v>EDO E LAURA</v>
          </cell>
          <cell r="B26" t="str">
            <v>LRNDRD56P25C707Y</v>
          </cell>
        </row>
        <row r="27">
          <cell r="A27" t="str">
            <v>LUCA</v>
          </cell>
        </row>
        <row r="30">
          <cell r="A30" t="str">
            <v>ACT/ACT</v>
          </cell>
          <cell r="B30">
            <v>1</v>
          </cell>
        </row>
        <row r="31">
          <cell r="A31" t="str">
            <v>ACT/360</v>
          </cell>
          <cell r="B31">
            <v>2</v>
          </cell>
        </row>
        <row r="32">
          <cell r="A32" t="str">
            <v>ACT/365</v>
          </cell>
          <cell r="B32">
            <v>3</v>
          </cell>
        </row>
        <row r="33">
          <cell r="A33" t="str">
            <v>30/360</v>
          </cell>
          <cell r="B33">
            <v>4</v>
          </cell>
        </row>
        <row r="35">
          <cell r="A35" t="str">
            <v>TASSO FISSO</v>
          </cell>
          <cell r="B35">
            <v>1</v>
          </cell>
        </row>
        <row r="36">
          <cell r="A36" t="str">
            <v>ZC</v>
          </cell>
          <cell r="B36">
            <v>2</v>
          </cell>
        </row>
        <row r="37">
          <cell r="A37" t="str">
            <v>TASSO VARIABILE</v>
          </cell>
          <cell r="B37">
            <v>3</v>
          </cell>
        </row>
        <row r="38">
          <cell r="A38" t="str">
            <v>INFLATION LINKED</v>
          </cell>
          <cell r="B38">
            <v>4</v>
          </cell>
        </row>
        <row r="40">
          <cell r="A40" t="str">
            <v>TDS/BEI</v>
          </cell>
          <cell r="B40">
            <v>1</v>
          </cell>
        </row>
        <row r="41">
          <cell r="A41" t="str">
            <v>ALTRO</v>
          </cell>
          <cell r="B41">
            <v>2</v>
          </cell>
        </row>
        <row r="44">
          <cell r="A44" t="str">
            <v>TASSO FISSO</v>
          </cell>
          <cell r="B44">
            <v>1</v>
          </cell>
        </row>
        <row r="45">
          <cell r="A45" t="str">
            <v>ZC</v>
          </cell>
          <cell r="B45">
            <v>2</v>
          </cell>
        </row>
        <row r="46">
          <cell r="A46" t="str">
            <v>TASSO VARIABILE</v>
          </cell>
          <cell r="B46">
            <v>3</v>
          </cell>
        </row>
        <row r="47">
          <cell r="A47" t="str">
            <v>INFLATION LINKED</v>
          </cell>
          <cell r="B47">
            <v>4</v>
          </cell>
        </row>
        <row r="48">
          <cell r="A48" t="str">
            <v>P.C.T.</v>
          </cell>
          <cell r="B48">
            <v>5</v>
          </cell>
        </row>
        <row r="49">
          <cell r="A49" t="str">
            <v>CONVERTIBILE</v>
          </cell>
          <cell r="B49">
            <v>6</v>
          </cell>
        </row>
        <row r="50">
          <cell r="A50" t="str">
            <v>PERPETUA</v>
          </cell>
          <cell r="B50">
            <v>7</v>
          </cell>
        </row>
        <row r="53">
          <cell r="A53" t="str">
            <v>AAA</v>
          </cell>
          <cell r="B53">
            <v>1</v>
          </cell>
        </row>
        <row r="54">
          <cell r="A54" t="str">
            <v>AA</v>
          </cell>
          <cell r="B54">
            <v>2</v>
          </cell>
        </row>
        <row r="55">
          <cell r="A55" t="str">
            <v>A</v>
          </cell>
          <cell r="B55">
            <v>3</v>
          </cell>
        </row>
        <row r="56">
          <cell r="A56" t="str">
            <v>BBB</v>
          </cell>
          <cell r="B56">
            <v>4</v>
          </cell>
        </row>
        <row r="57">
          <cell r="A57" t="str">
            <v>BB</v>
          </cell>
          <cell r="B57">
            <v>5</v>
          </cell>
        </row>
        <row r="58">
          <cell r="A58" t="str">
            <v>N/R</v>
          </cell>
          <cell r="B58">
            <v>6</v>
          </cell>
        </row>
        <row r="61">
          <cell r="A61" t="str">
            <v>Ordinario</v>
          </cell>
          <cell r="B61">
            <v>1</v>
          </cell>
        </row>
        <row r="62">
          <cell r="A62" t="str">
            <v>Sub LTII</v>
          </cell>
          <cell r="B62">
            <v>2</v>
          </cell>
        </row>
        <row r="63">
          <cell r="A63" t="str">
            <v>Sub LTI</v>
          </cell>
          <cell r="B63">
            <v>3</v>
          </cell>
        </row>
        <row r="64">
          <cell r="A64" t="str">
            <v>Covered bond</v>
          </cell>
          <cell r="B64">
            <v>4</v>
          </cell>
        </row>
        <row r="67">
          <cell r="A67" t="str">
            <v>Titoli di stato</v>
          </cell>
          <cell r="B67">
            <v>1</v>
          </cell>
        </row>
        <row r="68">
          <cell r="A68" t="str">
            <v>Sovereign</v>
          </cell>
          <cell r="B68">
            <v>2</v>
          </cell>
        </row>
        <row r="69">
          <cell r="A69" t="str">
            <v>Automobili</v>
          </cell>
          <cell r="B69">
            <v>3</v>
          </cell>
        </row>
        <row r="70">
          <cell r="A70" t="str">
            <v>Banche</v>
          </cell>
          <cell r="B70">
            <v>4</v>
          </cell>
        </row>
        <row r="71">
          <cell r="A71" t="str">
            <v>Assicurazioni</v>
          </cell>
          <cell r="B71">
            <v>5</v>
          </cell>
        </row>
        <row r="72">
          <cell r="A72" t="str">
            <v>Utilities</v>
          </cell>
          <cell r="B72">
            <v>6</v>
          </cell>
        </row>
        <row r="73">
          <cell r="A73" t="str">
            <v>Telecom e Media</v>
          </cell>
          <cell r="B73">
            <v>7</v>
          </cell>
        </row>
        <row r="74">
          <cell r="A74" t="str">
            <v>Chimico e Farmaceutico</v>
          </cell>
          <cell r="B74">
            <v>8</v>
          </cell>
        </row>
        <row r="75">
          <cell r="A75" t="str">
            <v>Industriale</v>
          </cell>
          <cell r="B75">
            <v>9</v>
          </cell>
        </row>
        <row r="76">
          <cell r="A76" t="str">
            <v>Oil &amp; Gas</v>
          </cell>
          <cell r="B76">
            <v>10</v>
          </cell>
        </row>
        <row r="77">
          <cell r="A77" t="str">
            <v>Beni consumo</v>
          </cell>
          <cell r="B77">
            <v>11</v>
          </cell>
        </row>
        <row r="80">
          <cell r="A80" t="str">
            <v>Italia</v>
          </cell>
          <cell r="B80">
            <v>1</v>
          </cell>
        </row>
        <row r="81">
          <cell r="A81" t="str">
            <v>Spagna</v>
          </cell>
          <cell r="B81">
            <v>2</v>
          </cell>
        </row>
        <row r="82">
          <cell r="A82" t="str">
            <v>USA</v>
          </cell>
          <cell r="B82">
            <v>3</v>
          </cell>
        </row>
        <row r="83">
          <cell r="A83" t="str">
            <v>German</v>
          </cell>
          <cell r="B83">
            <v>4</v>
          </cell>
        </row>
        <row r="84">
          <cell r="A84" t="str">
            <v>Francia</v>
          </cell>
          <cell r="B84">
            <v>5</v>
          </cell>
        </row>
        <row r="85">
          <cell r="A85" t="str">
            <v>Inghilter</v>
          </cell>
          <cell r="B85">
            <v>6</v>
          </cell>
        </row>
        <row r="86">
          <cell r="A86" t="str">
            <v>Soverei</v>
          </cell>
          <cell r="B86">
            <v>7</v>
          </cell>
        </row>
        <row r="87">
          <cell r="A87" t="str">
            <v>Svizzer</v>
          </cell>
          <cell r="B87">
            <v>8</v>
          </cell>
        </row>
        <row r="88">
          <cell r="A88" t="str">
            <v>Bulgaria</v>
          </cell>
          <cell r="B88">
            <v>9</v>
          </cell>
        </row>
        <row r="89">
          <cell r="A89" t="str">
            <v>Olanda</v>
          </cell>
          <cell r="B89">
            <v>10</v>
          </cell>
        </row>
        <row r="90">
          <cell r="A90" t="str">
            <v>Croazia</v>
          </cell>
          <cell r="B90">
            <v>11</v>
          </cell>
        </row>
        <row r="91">
          <cell r="A91" t="str">
            <v>Belgio</v>
          </cell>
          <cell r="B91">
            <v>12</v>
          </cell>
        </row>
        <row r="92">
          <cell r="A92" t="str">
            <v>Scozia</v>
          </cell>
          <cell r="B92">
            <v>13</v>
          </cell>
        </row>
        <row r="93">
          <cell r="A93" t="str">
            <v>Portogallo</v>
          </cell>
          <cell r="B93">
            <v>14</v>
          </cell>
        </row>
        <row r="94">
          <cell r="A94" t="str">
            <v>AUSTRIA</v>
          </cell>
          <cell r="B94">
            <v>15</v>
          </cell>
        </row>
        <row r="95">
          <cell r="A95" t="str">
            <v>Lussemburgo</v>
          </cell>
          <cell r="B95">
            <v>16</v>
          </cell>
        </row>
        <row r="96">
          <cell r="A96" t="str">
            <v>Svezia</v>
          </cell>
          <cell r="B96">
            <v>17</v>
          </cell>
        </row>
        <row r="97">
          <cell r="A97" t="str">
            <v>Russia</v>
          </cell>
          <cell r="B97">
            <v>18</v>
          </cell>
        </row>
        <row r="98">
          <cell r="A98" t="str">
            <v>Romania</v>
          </cell>
          <cell r="B98">
            <v>19</v>
          </cell>
        </row>
        <row r="99">
          <cell r="A99" t="str">
            <v>Turchia</v>
          </cell>
          <cell r="B99">
            <v>20</v>
          </cell>
        </row>
        <row r="100">
          <cell r="A100" t="str">
            <v>Messico</v>
          </cell>
          <cell r="B100">
            <v>21</v>
          </cell>
        </row>
        <row r="101">
          <cell r="A101" t="str">
            <v>Ungheria</v>
          </cell>
          <cell r="B101">
            <v>22</v>
          </cell>
        </row>
        <row r="106">
          <cell r="A106" t="str">
            <v>EUR</v>
          </cell>
          <cell r="B106">
            <v>1</v>
          </cell>
        </row>
        <row r="107">
          <cell r="A107" t="str">
            <v>USD</v>
          </cell>
          <cell r="B107">
            <v>2</v>
          </cell>
        </row>
        <row r="108">
          <cell r="A108" t="str">
            <v>GPB</v>
          </cell>
          <cell r="B108">
            <v>3</v>
          </cell>
        </row>
        <row r="109">
          <cell r="A109" t="str">
            <v>AUD</v>
          </cell>
          <cell r="B109">
            <v>4</v>
          </cell>
        </row>
        <row r="110">
          <cell r="A110" t="str">
            <v>CAD</v>
          </cell>
          <cell r="B110">
            <v>5</v>
          </cell>
        </row>
        <row r="111">
          <cell r="A111" t="str">
            <v>TRY</v>
          </cell>
          <cell r="B111">
            <v>6</v>
          </cell>
        </row>
        <row r="112">
          <cell r="A112" t="str">
            <v>ZAR</v>
          </cell>
          <cell r="B112">
            <v>7</v>
          </cell>
        </row>
        <row r="113">
          <cell r="A113" t="str">
            <v>NOK</v>
          </cell>
          <cell r="B113">
            <v>8</v>
          </cell>
        </row>
        <row r="114">
          <cell r="A114" t="str">
            <v>HUF</v>
          </cell>
          <cell r="B114">
            <v>9</v>
          </cell>
        </row>
        <row r="115">
          <cell r="A115" t="str">
            <v>BRL</v>
          </cell>
          <cell r="B115">
            <v>10</v>
          </cell>
        </row>
        <row r="116">
          <cell r="A116" t="str">
            <v>CHF</v>
          </cell>
          <cell r="B116">
            <v>11</v>
          </cell>
        </row>
        <row r="117">
          <cell r="A117" t="str">
            <v>JPY</v>
          </cell>
          <cell r="B117">
            <v>12</v>
          </cell>
        </row>
        <row r="118">
          <cell r="A118" t="str">
            <v>CNY</v>
          </cell>
          <cell r="B118">
            <v>13</v>
          </cell>
        </row>
        <row r="119">
          <cell r="A119" t="str">
            <v>DKK</v>
          </cell>
          <cell r="B119">
            <v>14</v>
          </cell>
        </row>
        <row r="120">
          <cell r="A120" t="str">
            <v>INR</v>
          </cell>
          <cell r="B120">
            <v>15</v>
          </cell>
        </row>
        <row r="121">
          <cell r="A121" t="str">
            <v>MXN</v>
          </cell>
          <cell r="B121">
            <v>16</v>
          </cell>
        </row>
        <row r="122">
          <cell r="A122" t="str">
            <v>PLN</v>
          </cell>
          <cell r="B122">
            <v>17</v>
          </cell>
        </row>
        <row r="123">
          <cell r="A123" t="str">
            <v>CZK</v>
          </cell>
          <cell r="B123">
            <v>18</v>
          </cell>
        </row>
        <row r="124">
          <cell r="A124" t="str">
            <v>SEK</v>
          </cell>
          <cell r="B124">
            <v>19</v>
          </cell>
        </row>
        <row r="125">
          <cell r="A125" t="str">
            <v>NZD</v>
          </cell>
          <cell r="B125">
            <v>20</v>
          </cell>
        </row>
        <row r="126">
          <cell r="A126" t="str">
            <v>RUB</v>
          </cell>
          <cell r="B126">
            <v>21</v>
          </cell>
        </row>
        <row r="134">
          <cell r="A134" t="str">
            <v>ITALIA</v>
          </cell>
          <cell r="B134">
            <v>1</v>
          </cell>
        </row>
        <row r="135">
          <cell r="A135" t="str">
            <v>MEDIOBANCA</v>
          </cell>
          <cell r="B135">
            <v>2</v>
          </cell>
        </row>
        <row r="136">
          <cell r="A136" t="str">
            <v>BORGOSESIA</v>
          </cell>
          <cell r="B136">
            <v>3</v>
          </cell>
        </row>
        <row r="137">
          <cell r="A137" t="str">
            <v>INTESA SANPAOLO</v>
          </cell>
          <cell r="B137">
            <v>4</v>
          </cell>
        </row>
        <row r="138">
          <cell r="A138" t="str">
            <v>AUSTRIA</v>
          </cell>
          <cell r="B138">
            <v>5</v>
          </cell>
        </row>
        <row r="139">
          <cell r="A139" t="str">
            <v>STELLANTIS</v>
          </cell>
          <cell r="B139">
            <v>6</v>
          </cell>
        </row>
        <row r="140">
          <cell r="A140" t="str">
            <v>ESSELUNGA</v>
          </cell>
          <cell r="B140">
            <v>7</v>
          </cell>
        </row>
        <row r="141">
          <cell r="A141" t="str">
            <v>MONTE PASCHI SIENA</v>
          </cell>
          <cell r="B141">
            <v>8</v>
          </cell>
        </row>
        <row r="142">
          <cell r="A142" t="str">
            <v>TELECOM ITALIA</v>
          </cell>
          <cell r="B142">
            <v>9</v>
          </cell>
        </row>
        <row r="143">
          <cell r="A143" t="str">
            <v>UNICREDIT</v>
          </cell>
          <cell r="B143">
            <v>10</v>
          </cell>
        </row>
        <row r="144">
          <cell r="A144" t="str">
            <v>ENEL</v>
          </cell>
          <cell r="B144">
            <v>11</v>
          </cell>
        </row>
        <row r="145">
          <cell r="A145" t="str">
            <v>ICCREA</v>
          </cell>
          <cell r="B145">
            <v>12</v>
          </cell>
        </row>
        <row r="146">
          <cell r="A146" t="str">
            <v>BEI</v>
          </cell>
          <cell r="B146">
            <v>13</v>
          </cell>
        </row>
        <row r="147">
          <cell r="A147" t="str">
            <v>BULGARIA</v>
          </cell>
          <cell r="B147">
            <v>14</v>
          </cell>
        </row>
        <row r="148">
          <cell r="A148" t="str">
            <v>ILIAD</v>
          </cell>
          <cell r="B148">
            <v>15</v>
          </cell>
        </row>
        <row r="149">
          <cell r="A149" t="str">
            <v>WIIT</v>
          </cell>
          <cell r="B149">
            <v>16</v>
          </cell>
        </row>
        <row r="150">
          <cell r="A150" t="str">
            <v>PIRELLI</v>
          </cell>
          <cell r="B150">
            <v>17</v>
          </cell>
        </row>
        <row r="151">
          <cell r="A151" t="str">
            <v>PORSCHE</v>
          </cell>
          <cell r="B151">
            <v>18</v>
          </cell>
        </row>
        <row r="152">
          <cell r="A152" t="str">
            <v>ENI</v>
          </cell>
          <cell r="B152">
            <v>19</v>
          </cell>
        </row>
        <row r="153">
          <cell r="A153" t="str">
            <v>AXA</v>
          </cell>
          <cell r="B153">
            <v>20</v>
          </cell>
        </row>
        <row r="154">
          <cell r="A154" t="str">
            <v>OVS</v>
          </cell>
          <cell r="B154">
            <v>21</v>
          </cell>
        </row>
        <row r="155">
          <cell r="A155" t="str">
            <v>VOLKSWAGEN</v>
          </cell>
          <cell r="B155">
            <v>22</v>
          </cell>
        </row>
        <row r="156">
          <cell r="A156" t="str">
            <v>PORTOGALLO</v>
          </cell>
          <cell r="B156">
            <v>23</v>
          </cell>
        </row>
        <row r="157">
          <cell r="A157" t="str">
            <v>UNIPOL</v>
          </cell>
          <cell r="B157">
            <v>24</v>
          </cell>
        </row>
        <row r="158">
          <cell r="A158" t="str">
            <v>BANCO POPOLARE</v>
          </cell>
          <cell r="B158">
            <v>25</v>
          </cell>
        </row>
        <row r="159">
          <cell r="A159" t="str">
            <v>ROMANIA</v>
          </cell>
          <cell r="B159">
            <v>26</v>
          </cell>
        </row>
        <row r="160">
          <cell r="A160" t="str">
            <v>ALPERIA</v>
          </cell>
          <cell r="B160">
            <v>27</v>
          </cell>
        </row>
        <row r="161">
          <cell r="A161" t="str">
            <v>ASSIC GENERALI</v>
          </cell>
          <cell r="B161">
            <v>28</v>
          </cell>
        </row>
        <row r="162">
          <cell r="A162" t="str">
            <v>TEVA</v>
          </cell>
          <cell r="B162">
            <v>29</v>
          </cell>
        </row>
        <row r="163">
          <cell r="A163" t="str">
            <v>INTEK</v>
          </cell>
          <cell r="B163">
            <v>30</v>
          </cell>
        </row>
        <row r="164">
          <cell r="A164" t="str">
            <v>RENAULT</v>
          </cell>
          <cell r="B164">
            <v>31</v>
          </cell>
        </row>
        <row r="165">
          <cell r="A165" t="str">
            <v>VOLVO</v>
          </cell>
          <cell r="B165">
            <v>32</v>
          </cell>
        </row>
        <row r="166">
          <cell r="A166" t="str">
            <v>SOCIETE GENERALE</v>
          </cell>
          <cell r="B166">
            <v>33</v>
          </cell>
        </row>
        <row r="167">
          <cell r="A167" t="str">
            <v>ITALCEMENTI</v>
          </cell>
          <cell r="B167">
            <v>34</v>
          </cell>
        </row>
        <row r="168">
          <cell r="A168" t="str">
            <v>AUCHAN</v>
          </cell>
          <cell r="B168">
            <v>35</v>
          </cell>
        </row>
        <row r="169">
          <cell r="A169" t="str">
            <v>HEIDELBERGCEMENT</v>
          </cell>
          <cell r="B169">
            <v>36</v>
          </cell>
        </row>
        <row r="170">
          <cell r="A170" t="str">
            <v>DAIMLER MERCEDES</v>
          </cell>
          <cell r="B170">
            <v>37</v>
          </cell>
        </row>
        <row r="171">
          <cell r="A171" t="str">
            <v>ZURICH</v>
          </cell>
          <cell r="B171">
            <v>38</v>
          </cell>
        </row>
        <row r="172">
          <cell r="A172" t="str">
            <v>IVS GROUP</v>
          </cell>
          <cell r="B172">
            <v>39</v>
          </cell>
        </row>
        <row r="173">
          <cell r="A173" t="str">
            <v>AIG</v>
          </cell>
          <cell r="B173">
            <v>40</v>
          </cell>
        </row>
        <row r="174">
          <cell r="A174" t="str">
            <v>RAIFFEISEN</v>
          </cell>
          <cell r="B174">
            <v>41</v>
          </cell>
        </row>
        <row r="175">
          <cell r="A175" t="str">
            <v>GAZPROM</v>
          </cell>
          <cell r="B175">
            <v>42</v>
          </cell>
        </row>
        <row r="176">
          <cell r="A176" t="str">
            <v>MAIRE TECNIMONT</v>
          </cell>
          <cell r="B176">
            <v>43</v>
          </cell>
        </row>
        <row r="177">
          <cell r="A177" t="str">
            <v>BAYER</v>
          </cell>
          <cell r="B177">
            <v>44</v>
          </cell>
        </row>
        <row r="178">
          <cell r="A178" t="str">
            <v>ALERION</v>
          </cell>
          <cell r="B178">
            <v>45</v>
          </cell>
        </row>
        <row r="179">
          <cell r="A179" t="str">
            <v>GENERAL ELECTRIC</v>
          </cell>
          <cell r="B179">
            <v>46</v>
          </cell>
        </row>
        <row r="180">
          <cell r="A180" t="str">
            <v>DB</v>
          </cell>
          <cell r="B180">
            <v>47</v>
          </cell>
        </row>
        <row r="181">
          <cell r="A181" t="str">
            <v>METRO AG</v>
          </cell>
          <cell r="B181">
            <v>48</v>
          </cell>
        </row>
        <row r="182">
          <cell r="A182" t="str">
            <v>MERRIL LYNCH</v>
          </cell>
          <cell r="B182">
            <v>49</v>
          </cell>
        </row>
        <row r="183">
          <cell r="A183" t="str">
            <v>USA</v>
          </cell>
          <cell r="B183">
            <v>50</v>
          </cell>
        </row>
        <row r="184">
          <cell r="A184" t="str">
            <v>ITALGAS</v>
          </cell>
          <cell r="B184">
            <v>51</v>
          </cell>
        </row>
        <row r="185">
          <cell r="A185" t="str">
            <v>PEUGEOT</v>
          </cell>
          <cell r="B185">
            <v>52</v>
          </cell>
        </row>
        <row r="186">
          <cell r="A186" t="str">
            <v>LAFARGE</v>
          </cell>
          <cell r="B186">
            <v>53</v>
          </cell>
        </row>
        <row r="187">
          <cell r="A187" t="str">
            <v>SOLAVAY</v>
          </cell>
          <cell r="B187">
            <v>54</v>
          </cell>
        </row>
        <row r="188">
          <cell r="A188" t="str">
            <v>CROAZIA</v>
          </cell>
          <cell r="B188">
            <v>55</v>
          </cell>
        </row>
        <row r="189">
          <cell r="A189" t="str">
            <v>FINMECCANICA</v>
          </cell>
          <cell r="B189">
            <v>56</v>
          </cell>
        </row>
        <row r="190">
          <cell r="A190" t="str">
            <v>COMMERZBANK</v>
          </cell>
          <cell r="B190">
            <v>57</v>
          </cell>
        </row>
        <row r="191">
          <cell r="A191" t="str">
            <v>PORTUGAL TELECOM</v>
          </cell>
          <cell r="B191">
            <v>58</v>
          </cell>
        </row>
        <row r="192">
          <cell r="A192" t="str">
            <v>THYSSENKRUPP</v>
          </cell>
          <cell r="B192">
            <v>59</v>
          </cell>
        </row>
        <row r="193">
          <cell r="A193" t="str">
            <v>GERMANIA</v>
          </cell>
          <cell r="B193">
            <v>60</v>
          </cell>
        </row>
        <row r="194">
          <cell r="A194" t="str">
            <v>GOLDMAN SACHS</v>
          </cell>
          <cell r="B194">
            <v>61</v>
          </cell>
        </row>
        <row r="195">
          <cell r="A195" t="str">
            <v>BANCA CARIGE</v>
          </cell>
          <cell r="B195">
            <v>62</v>
          </cell>
        </row>
        <row r="196">
          <cell r="A196" t="str">
            <v>AREVA</v>
          </cell>
          <cell r="B196">
            <v>63</v>
          </cell>
        </row>
        <row r="197">
          <cell r="A197" t="str">
            <v>DEUTSCHE TELEKOM</v>
          </cell>
          <cell r="B197">
            <v>64</v>
          </cell>
        </row>
        <row r="198">
          <cell r="A198" t="str">
            <v>BIRS</v>
          </cell>
          <cell r="B198">
            <v>65</v>
          </cell>
        </row>
        <row r="199">
          <cell r="A199" t="str">
            <v>MORGAN STANLEY</v>
          </cell>
          <cell r="B199">
            <v>66</v>
          </cell>
        </row>
        <row r="200">
          <cell r="A200" t="str">
            <v>SAIPEM</v>
          </cell>
          <cell r="B200">
            <v>67</v>
          </cell>
        </row>
        <row r="201">
          <cell r="A201" t="str">
            <v>CITIGROUP</v>
          </cell>
          <cell r="B201">
            <v>68</v>
          </cell>
        </row>
        <row r="202">
          <cell r="A202" t="str">
            <v>SPAGNA</v>
          </cell>
          <cell r="B202">
            <v>69</v>
          </cell>
        </row>
        <row r="203">
          <cell r="A203" t="str">
            <v>NEXI</v>
          </cell>
          <cell r="B203">
            <v>70</v>
          </cell>
        </row>
        <row r="204">
          <cell r="A204" t="str">
            <v>ARCELOR MITTAL</v>
          </cell>
          <cell r="B204">
            <v>71</v>
          </cell>
        </row>
        <row r="205">
          <cell r="A205" t="str">
            <v>ALLIANZ</v>
          </cell>
          <cell r="B205">
            <v>72</v>
          </cell>
        </row>
        <row r="206">
          <cell r="A206" t="str">
            <v>ATLANTIA</v>
          </cell>
          <cell r="B206">
            <v>73</v>
          </cell>
        </row>
        <row r="207">
          <cell r="A207" t="str">
            <v>RWE</v>
          </cell>
          <cell r="B207">
            <v>74</v>
          </cell>
        </row>
        <row r="208">
          <cell r="A208" t="str">
            <v>CATTOLICA ASSIC</v>
          </cell>
          <cell r="B208">
            <v>75</v>
          </cell>
        </row>
        <row r="209">
          <cell r="A209" t="str">
            <v>ANSALDO</v>
          </cell>
          <cell r="B209">
            <v>76</v>
          </cell>
        </row>
        <row r="210">
          <cell r="A210" t="str">
            <v>VALEO</v>
          </cell>
          <cell r="B210">
            <v>77</v>
          </cell>
        </row>
        <row r="211">
          <cell r="A211" t="str">
            <v>INDESIT</v>
          </cell>
          <cell r="B211">
            <v>78</v>
          </cell>
        </row>
        <row r="212">
          <cell r="A212" t="str">
            <v>AZIMUT</v>
          </cell>
          <cell r="B212">
            <v>79</v>
          </cell>
        </row>
        <row r="213">
          <cell r="A213" t="str">
            <v>MITTEL</v>
          </cell>
          <cell r="B213">
            <v>80</v>
          </cell>
        </row>
        <row r="214">
          <cell r="A214" t="str">
            <v>SALINI</v>
          </cell>
          <cell r="B214">
            <v>81</v>
          </cell>
        </row>
        <row r="215">
          <cell r="A215" t="str">
            <v>ERAMET</v>
          </cell>
          <cell r="B215">
            <v>82</v>
          </cell>
        </row>
        <row r="216">
          <cell r="A216" t="str">
            <v>ASTALDI</v>
          </cell>
          <cell r="B216">
            <v>83</v>
          </cell>
        </row>
        <row r="217">
          <cell r="A217" t="str">
            <v>PETROBRAS</v>
          </cell>
          <cell r="B217">
            <v>84</v>
          </cell>
        </row>
        <row r="218">
          <cell r="A218" t="str">
            <v>GLENCORE</v>
          </cell>
          <cell r="B218">
            <v>85</v>
          </cell>
        </row>
        <row r="219">
          <cell r="A219" t="str">
            <v>GOODYEAR</v>
          </cell>
          <cell r="B219">
            <v>86</v>
          </cell>
        </row>
        <row r="220">
          <cell r="A220" t="str">
            <v>ROLLS ROYCE</v>
          </cell>
          <cell r="B220">
            <v>87</v>
          </cell>
        </row>
        <row r="221">
          <cell r="A221" t="str">
            <v>HERTZ</v>
          </cell>
          <cell r="B221">
            <v>88</v>
          </cell>
        </row>
        <row r="222">
          <cell r="A222" t="str">
            <v>GENERAL MOTORS</v>
          </cell>
          <cell r="B222">
            <v>89</v>
          </cell>
        </row>
        <row r="223">
          <cell r="A223" t="str">
            <v>AIR FRANCE</v>
          </cell>
          <cell r="B223">
            <v>90</v>
          </cell>
        </row>
        <row r="224">
          <cell r="A224" t="str">
            <v>BOMBARDIER</v>
          </cell>
          <cell r="B224">
            <v>91</v>
          </cell>
        </row>
        <row r="225">
          <cell r="A225" t="str">
            <v>TESLA</v>
          </cell>
          <cell r="B225">
            <v>92</v>
          </cell>
        </row>
        <row r="226">
          <cell r="A226" t="str">
            <v>CARRARO</v>
          </cell>
          <cell r="B226">
            <v>93</v>
          </cell>
        </row>
        <row r="227">
          <cell r="A227" t="str">
            <v>UNGHERIA</v>
          </cell>
          <cell r="B227">
            <v>94</v>
          </cell>
        </row>
        <row r="228">
          <cell r="A228" t="str">
            <v>LUFTHANSA</v>
          </cell>
          <cell r="B228">
            <v>95</v>
          </cell>
        </row>
        <row r="229">
          <cell r="A229" t="str">
            <v>ITALIAN WINE BRANDS</v>
          </cell>
          <cell r="B229">
            <v>96</v>
          </cell>
        </row>
        <row r="230">
          <cell r="A230" t="str">
            <v>BILFINGER</v>
          </cell>
          <cell r="B230">
            <v>97</v>
          </cell>
        </row>
        <row r="231">
          <cell r="A231" t="str">
            <v>TAMBURI</v>
          </cell>
          <cell r="B231">
            <v>98</v>
          </cell>
        </row>
        <row r="232">
          <cell r="A232" t="str">
            <v>PEMEX</v>
          </cell>
          <cell r="B232">
            <v>99</v>
          </cell>
        </row>
        <row r="233">
          <cell r="A233" t="str">
            <v>FORD</v>
          </cell>
          <cell r="B233">
            <v>100</v>
          </cell>
        </row>
        <row r="234">
          <cell r="A234" t="str">
            <v>NEWLAT FOOD</v>
          </cell>
          <cell r="B234">
            <v>101</v>
          </cell>
        </row>
        <row r="244">
          <cell r="A244">
            <v>2012</v>
          </cell>
          <cell r="B244">
            <v>1</v>
          </cell>
        </row>
        <row r="245">
          <cell r="A245">
            <v>2013</v>
          </cell>
          <cell r="B245">
            <v>2</v>
          </cell>
        </row>
        <row r="246">
          <cell r="A246">
            <v>2014</v>
          </cell>
          <cell r="B246">
            <v>3</v>
          </cell>
        </row>
        <row r="247">
          <cell r="A247">
            <v>2015</v>
          </cell>
          <cell r="B247">
            <v>4</v>
          </cell>
        </row>
        <row r="248">
          <cell r="A248">
            <v>2016</v>
          </cell>
          <cell r="B248">
            <v>5</v>
          </cell>
        </row>
        <row r="249">
          <cell r="A249">
            <v>2017</v>
          </cell>
          <cell r="B249">
            <v>6</v>
          </cell>
        </row>
        <row r="250">
          <cell r="A250">
            <v>2018</v>
          </cell>
          <cell r="B250">
            <v>7</v>
          </cell>
        </row>
        <row r="251">
          <cell r="A251">
            <v>2019</v>
          </cell>
          <cell r="B251">
            <v>8</v>
          </cell>
        </row>
        <row r="252">
          <cell r="A252">
            <v>2020</v>
          </cell>
          <cell r="B252">
            <v>9</v>
          </cell>
        </row>
        <row r="253">
          <cell r="A253">
            <v>2021</v>
          </cell>
          <cell r="B253">
            <v>10</v>
          </cell>
        </row>
        <row r="254">
          <cell r="A254">
            <v>2022</v>
          </cell>
          <cell r="B254">
            <v>11</v>
          </cell>
        </row>
        <row r="255">
          <cell r="A255">
            <v>2023</v>
          </cell>
          <cell r="B255">
            <v>12</v>
          </cell>
        </row>
        <row r="256">
          <cell r="A256">
            <v>2024</v>
          </cell>
          <cell r="B256">
            <v>13</v>
          </cell>
        </row>
        <row r="257">
          <cell r="A257">
            <v>2025</v>
          </cell>
          <cell r="B257">
            <v>14</v>
          </cell>
        </row>
        <row r="258">
          <cell r="A258">
            <v>2026</v>
          </cell>
          <cell r="B258">
            <v>15</v>
          </cell>
        </row>
        <row r="259">
          <cell r="A259">
            <v>2027</v>
          </cell>
          <cell r="B259">
            <v>16</v>
          </cell>
        </row>
        <row r="260">
          <cell r="A260">
            <v>2028</v>
          </cell>
          <cell r="B260">
            <v>17</v>
          </cell>
        </row>
        <row r="261">
          <cell r="A261">
            <v>2029</v>
          </cell>
          <cell r="B261">
            <v>18</v>
          </cell>
        </row>
        <row r="262">
          <cell r="A262">
            <v>2030</v>
          </cell>
          <cell r="B262">
            <v>19</v>
          </cell>
        </row>
        <row r="263">
          <cell r="A263">
            <v>2031</v>
          </cell>
          <cell r="B263">
            <v>20</v>
          </cell>
        </row>
        <row r="264">
          <cell r="A264">
            <v>2032</v>
          </cell>
          <cell r="B264">
            <v>21</v>
          </cell>
        </row>
        <row r="265">
          <cell r="A265">
            <v>2033</v>
          </cell>
          <cell r="B265">
            <v>22</v>
          </cell>
        </row>
        <row r="266">
          <cell r="A266">
            <v>2034</v>
          </cell>
          <cell r="B266">
            <v>23</v>
          </cell>
        </row>
        <row r="267">
          <cell r="A267">
            <v>2035</v>
          </cell>
          <cell r="B267">
            <v>24</v>
          </cell>
        </row>
        <row r="268">
          <cell r="A268">
            <v>2036</v>
          </cell>
          <cell r="B268">
            <v>25</v>
          </cell>
        </row>
        <row r="269">
          <cell r="A269">
            <v>2037</v>
          </cell>
          <cell r="B269">
            <v>26</v>
          </cell>
        </row>
        <row r="270">
          <cell r="A270">
            <v>2038</v>
          </cell>
          <cell r="B270">
            <v>27</v>
          </cell>
        </row>
        <row r="271">
          <cell r="A271">
            <v>2039</v>
          </cell>
          <cell r="B271">
            <v>28</v>
          </cell>
        </row>
        <row r="272">
          <cell r="A272">
            <v>2040</v>
          </cell>
          <cell r="B272">
            <v>29</v>
          </cell>
        </row>
        <row r="273">
          <cell r="A273">
            <v>2041</v>
          </cell>
          <cell r="B273">
            <v>30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borsaitaliana.it/borsa/etf/scheda.html?isin=FR0010446658&amp;lang=it" TargetMode="External"/><Relationship Id="rId13" Type="http://schemas.openxmlformats.org/officeDocument/2006/relationships/hyperlink" Target="http://www.borsaitaliana.it/borsa/etf/scheda.html?isin=FR0010446658&amp;lang=it" TargetMode="External"/><Relationship Id="rId3" Type="http://schemas.openxmlformats.org/officeDocument/2006/relationships/hyperlink" Target="http://www.borsaitaliana.it/borsa/azioni/scheda.html?isin=IT0003132476&amp;lang=it" TargetMode="External"/><Relationship Id="rId7" Type="http://schemas.openxmlformats.org/officeDocument/2006/relationships/hyperlink" Target="http://www.borsaitaliana.it/borsa/azioni/scheda.html?isin=IT0003128367&amp;lang=it" TargetMode="External"/><Relationship Id="rId12" Type="http://schemas.openxmlformats.org/officeDocument/2006/relationships/hyperlink" Target="http://www.borsaitaliana.it/borsa/etf/scheda.html?isin=FR0010446666&amp;lang=it" TargetMode="External"/><Relationship Id="rId17" Type="http://schemas.openxmlformats.org/officeDocument/2006/relationships/comments" Target="../comments1.xml"/><Relationship Id="rId2" Type="http://schemas.openxmlformats.org/officeDocument/2006/relationships/hyperlink" Target="http://www.borsaitaliana.it/borsa/azioni/scheda.html?isin=IT0000062072&amp;lang=it" TargetMode="External"/><Relationship Id="rId16" Type="http://schemas.openxmlformats.org/officeDocument/2006/relationships/vmlDrawing" Target="../drawings/vmlDrawing1.vml"/><Relationship Id="rId1" Type="http://schemas.openxmlformats.org/officeDocument/2006/relationships/hyperlink" Target="http://www.borsaitaliana.it/borsa/azioni/scheda.html?isin=IT0000064854&amp;lang=it" TargetMode="External"/><Relationship Id="rId6" Type="http://schemas.openxmlformats.org/officeDocument/2006/relationships/hyperlink" Target="http://www.borsaitaliana.it/borsa/etf/scheda.html?isin=FR0010446666&amp;lang=it" TargetMode="External"/><Relationship Id="rId11" Type="http://schemas.openxmlformats.org/officeDocument/2006/relationships/hyperlink" Target="http://www.borsaitaliana.it/borsa/azioni/scheda.html?isin=IT0000062072&amp;lang=it" TargetMode="External"/><Relationship Id="rId5" Type="http://schemas.openxmlformats.org/officeDocument/2006/relationships/hyperlink" Target="http://www.borsaitaliana.it/borsa/azioni/scheda.html?isin=IT0003132476&amp;lang=it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www.lyxoretf.it/homeit/products/country/IT/product/FD-LYX-HYLD-IT/" TargetMode="External"/><Relationship Id="rId4" Type="http://schemas.openxmlformats.org/officeDocument/2006/relationships/hyperlink" Target="http://213.92.13.44/java/push/load.php?User=28138&amp;Password=S49D46&amp;Level=I&amp;Lang=IT&amp;Test=A" TargetMode="External"/><Relationship Id="rId9" Type="http://schemas.openxmlformats.org/officeDocument/2006/relationships/hyperlink" Target="http://www.borsaitaliana.it/borsa/etf/scheda.html?isin=FR0010446666&amp;lang=it" TargetMode="External"/><Relationship Id="rId14" Type="http://schemas.openxmlformats.org/officeDocument/2006/relationships/hyperlink" Target="http://www.borsaitaliana.it/borsa/azioni/scheda/IT0000072618.html?lang=i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2D050"/>
  </sheetPr>
  <dimension ref="A1:KP1221"/>
  <sheetViews>
    <sheetView workbookViewId="0">
      <pane xSplit="1" ySplit="8" topLeftCell="B9" activePane="bottomRight" state="frozen"/>
      <selection activeCell="K9" sqref="K9"/>
      <selection pane="topRight" activeCell="K9" sqref="K9"/>
      <selection pane="bottomLeft" activeCell="K9" sqref="K9"/>
      <selection pane="bottomRight" activeCell="A531" sqref="A531:AL548"/>
    </sheetView>
  </sheetViews>
  <sheetFormatPr defaultColWidth="9.140625" defaultRowHeight="15" outlineLevelRow="1" outlineLevelCol="1"/>
  <cols>
    <col min="1" max="1" width="31.7109375" style="3" customWidth="1"/>
    <col min="2" max="2" width="6.7109375" style="41" customWidth="1"/>
    <col min="3" max="4" width="10.85546875" style="14" customWidth="1"/>
    <col min="5" max="5" width="9.28515625" style="14" customWidth="1"/>
    <col min="6" max="6" width="9.7109375" style="3" customWidth="1"/>
    <col min="7" max="7" width="11.28515625" style="14" customWidth="1"/>
    <col min="8" max="8" width="11.28515625" style="14" hidden="1" customWidth="1"/>
    <col min="9" max="9" width="10.28515625" style="14" customWidth="1"/>
    <col min="10" max="10" width="10.28515625" style="14" hidden="1" customWidth="1"/>
    <col min="11" max="11" width="8.7109375" style="40" customWidth="1"/>
    <col min="12" max="12" width="9.28515625" style="40" hidden="1" customWidth="1" outlineLevel="1"/>
    <col min="13" max="14" width="8.140625" style="39" hidden="1" customWidth="1" outlineLevel="1"/>
    <col min="15" max="15" width="11.140625" style="39" hidden="1" customWidth="1" outlineLevel="1"/>
    <col min="16" max="16" width="11.7109375" style="38" customWidth="1" collapsed="1"/>
    <col min="17" max="18" width="12.7109375" style="14" hidden="1" customWidth="1" outlineLevel="1"/>
    <col min="19" max="19" width="8.7109375" style="14" customWidth="1" collapsed="1"/>
    <col min="20" max="20" width="8.7109375" style="14" hidden="1" customWidth="1"/>
    <col min="21" max="21" width="4.28515625" style="14" hidden="1" customWidth="1"/>
    <col min="22" max="22" width="4.85546875" style="14" hidden="1" customWidth="1"/>
    <col min="23" max="23" width="6.85546875" style="14" hidden="1" customWidth="1"/>
    <col min="24" max="24" width="4.28515625" style="14" customWidth="1"/>
    <col min="25" max="25" width="12.42578125" style="37" hidden="1" customWidth="1"/>
    <col min="26" max="26" width="14.5703125" style="37" hidden="1" customWidth="1"/>
    <col min="27" max="27" width="1.5703125" style="14" hidden="1" customWidth="1"/>
    <col min="28" max="28" width="15.7109375" style="36" customWidth="1"/>
    <col min="29" max="29" width="15.7109375" style="36" hidden="1" customWidth="1"/>
    <col min="30" max="30" width="10.7109375" style="14" customWidth="1"/>
    <col min="31" max="31" width="10.7109375" style="14" hidden="1" customWidth="1"/>
    <col min="32" max="32" width="8.28515625" style="14" customWidth="1"/>
    <col min="33" max="34" width="9.7109375" style="34" customWidth="1"/>
    <col min="35" max="35" width="9.7109375" style="35" hidden="1" customWidth="1" outlineLevel="1"/>
    <col min="36" max="36" width="10.28515625" style="34" hidden="1" customWidth="1" outlineLevel="1"/>
    <col min="37" max="37" width="10.28515625" style="33" hidden="1" customWidth="1" outlineLevel="1"/>
    <col min="38" max="38" width="23.7109375" style="14" customWidth="1" collapsed="1"/>
    <col min="39" max="44" width="23.7109375" style="14" customWidth="1"/>
    <col min="45" max="45" width="23.7109375" style="23" customWidth="1"/>
    <col min="46" max="46" width="12.7109375" style="32" customWidth="1"/>
    <col min="47" max="52" width="12.7109375" style="14" customWidth="1"/>
    <col min="53" max="53" width="12.7109375" style="32" customWidth="1"/>
    <col min="54" max="58" width="12.7109375" style="14" customWidth="1"/>
    <col min="59" max="59" width="12.7109375" style="32" customWidth="1"/>
    <col min="60" max="62" width="12.7109375" style="14" customWidth="1"/>
    <col min="63" max="63" width="12.7109375" style="32" customWidth="1"/>
    <col min="64" max="75" width="12.7109375" style="14" customWidth="1"/>
    <col min="76" max="76" width="12.7109375" style="32" customWidth="1"/>
    <col min="77" max="96" width="12.7109375" style="14" customWidth="1"/>
    <col min="97" max="97" width="12.7109375" style="32" customWidth="1"/>
    <col min="98" max="118" width="12.7109375" style="14" customWidth="1"/>
    <col min="119" max="119" width="12.7109375" style="32" customWidth="1"/>
    <col min="120" max="214" width="12.7109375" style="14" customWidth="1"/>
    <col min="215" max="228" width="12.7109375" style="3" customWidth="1"/>
    <col min="229" max="229" width="12.7109375" style="32" customWidth="1"/>
    <col min="230" max="276" width="12.7109375" style="14" customWidth="1"/>
    <col min="277" max="277" width="9.140625" style="14"/>
    <col min="278" max="278" width="12.42578125" style="14" customWidth="1"/>
    <col min="279" max="302" width="9.140625" style="14"/>
    <col min="303" max="16384" width="9.140625" style="18"/>
  </cols>
  <sheetData>
    <row r="1" spans="1:302" ht="5.0999999999999996" customHeight="1" thickBot="1">
      <c r="A1" s="703"/>
      <c r="B1" s="329"/>
      <c r="C1" s="229"/>
      <c r="D1" s="329"/>
      <c r="E1" s="329"/>
      <c r="F1" s="229"/>
      <c r="G1" s="229"/>
      <c r="H1" s="229"/>
      <c r="I1" s="229"/>
      <c r="J1" s="229"/>
      <c r="K1" s="879"/>
      <c r="L1" s="879"/>
      <c r="M1" s="223"/>
      <c r="N1" s="223"/>
      <c r="O1" s="223"/>
      <c r="P1" s="940"/>
      <c r="Q1" s="23"/>
      <c r="R1" s="23"/>
      <c r="S1" s="23"/>
      <c r="T1" s="23"/>
      <c r="U1" s="23"/>
      <c r="V1" s="23"/>
      <c r="W1" s="23"/>
      <c r="X1" s="23"/>
      <c r="Y1" s="71"/>
      <c r="Z1" s="71"/>
      <c r="AA1" s="23"/>
      <c r="AB1" s="9"/>
      <c r="AC1" s="9"/>
      <c r="AD1" s="23"/>
      <c r="AE1" s="23"/>
      <c r="AF1" s="23"/>
      <c r="AG1" s="75"/>
      <c r="AH1" s="388"/>
      <c r="AI1" s="204"/>
      <c r="AJ1" s="388" t="s">
        <v>423</v>
      </c>
      <c r="AK1" s="461"/>
      <c r="AL1" s="1022" t="s">
        <v>422</v>
      </c>
      <c r="AM1" s="1023"/>
      <c r="AN1" s="1026" t="s">
        <v>421</v>
      </c>
      <c r="AO1" s="1027"/>
      <c r="AP1" s="1027"/>
      <c r="AQ1" s="956"/>
      <c r="AR1" s="1016" t="s">
        <v>420</v>
      </c>
      <c r="AS1" s="1017"/>
    </row>
    <row r="2" spans="1:302" ht="13.5" customHeight="1" thickBot="1">
      <c r="A2" s="702" t="s">
        <v>53</v>
      </c>
      <c r="B2" s="507"/>
      <c r="C2" s="701" t="s">
        <v>27</v>
      </c>
      <c r="D2" s="995">
        <v>45607</v>
      </c>
      <c r="E2" s="995"/>
      <c r="F2" s="994">
        <v>990</v>
      </c>
      <c r="G2" s="994"/>
      <c r="H2" s="963"/>
      <c r="I2" s="700" t="s">
        <v>419</v>
      </c>
      <c r="J2" s="700"/>
      <c r="K2" s="996">
        <f>D527</f>
        <v>0</v>
      </c>
      <c r="L2" s="996"/>
      <c r="M2" s="996"/>
      <c r="N2" s="996"/>
      <c r="O2" s="996"/>
      <c r="P2" s="997"/>
      <c r="Q2" s="15"/>
      <c r="R2" s="15"/>
      <c r="S2" s="15"/>
      <c r="T2" s="15"/>
      <c r="U2" s="15"/>
      <c r="V2" s="15"/>
      <c r="W2" s="15"/>
      <c r="X2" s="15"/>
      <c r="Y2" s="157"/>
      <c r="Z2" s="157"/>
      <c r="AA2" s="15"/>
      <c r="AB2" s="974">
        <f ca="1">NOW()</f>
        <v>45609.685054745372</v>
      </c>
      <c r="AC2" s="974"/>
      <c r="AD2" s="699">
        <f ca="1">AB2</f>
        <v>45609.685054745372</v>
      </c>
      <c r="AE2" s="699"/>
      <c r="AF2" s="698">
        <f ca="1">AD2-AD3</f>
        <v>4701.6850547453723</v>
      </c>
      <c r="AG2" s="982">
        <v>3</v>
      </c>
      <c r="AH2" s="697"/>
      <c r="AI2" s="696"/>
      <c r="AJ2" s="695"/>
      <c r="AK2" s="694"/>
      <c r="AL2" s="1024"/>
      <c r="AM2" s="1025"/>
      <c r="AN2" s="1028"/>
      <c r="AO2" s="1029"/>
      <c r="AP2" s="1029"/>
      <c r="AQ2" s="957"/>
      <c r="AR2" s="1018"/>
      <c r="AS2" s="1019"/>
      <c r="AT2" s="693" t="s">
        <v>418</v>
      </c>
      <c r="AW2" s="14" t="s">
        <v>502</v>
      </c>
      <c r="AZ2" s="282">
        <v>1E-3</v>
      </c>
      <c r="BB2" s="691" t="s">
        <v>417</v>
      </c>
      <c r="BE2" s="672">
        <v>12.5</v>
      </c>
      <c r="BF2" s="672">
        <f>100-BE2</f>
        <v>87.5</v>
      </c>
      <c r="BH2" s="14" t="s">
        <v>416</v>
      </c>
      <c r="BJ2" s="692">
        <v>0</v>
      </c>
      <c r="BK2" s="691" t="s">
        <v>415</v>
      </c>
      <c r="BO2" s="691" t="s">
        <v>414</v>
      </c>
      <c r="BU2" s="14">
        <v>74</v>
      </c>
    </row>
    <row r="3" spans="1:302" ht="11.1" customHeight="1">
      <c r="A3" s="690"/>
      <c r="B3" s="689"/>
      <c r="C3" s="388" t="s">
        <v>413</v>
      </c>
      <c r="D3" s="689"/>
      <c r="E3" s="689"/>
      <c r="F3" s="1000"/>
      <c r="G3" s="1000"/>
      <c r="H3" s="688"/>
      <c r="I3" s="687"/>
      <c r="J3" s="687"/>
      <c r="K3" s="686"/>
      <c r="L3" s="686"/>
      <c r="M3" s="685"/>
      <c r="N3" s="685"/>
      <c r="O3" s="685"/>
      <c r="P3" s="597"/>
      <c r="Q3" s="629"/>
      <c r="R3" s="629"/>
      <c r="S3" s="629"/>
      <c r="T3" s="629"/>
      <c r="U3" s="629"/>
      <c r="V3" s="629"/>
      <c r="W3" s="629"/>
      <c r="X3" s="629"/>
      <c r="Y3" s="684"/>
      <c r="Z3" s="684"/>
      <c r="AA3" s="629"/>
      <c r="AB3" s="683">
        <f ca="1">IF(WEEKDAY(AB2,2)&gt;2,AB2+4,AB2+2)</f>
        <v>45613.685054745372</v>
      </c>
      <c r="AC3" s="683"/>
      <c r="AD3" s="682">
        <v>40908</v>
      </c>
      <c r="AE3" s="682"/>
      <c r="AF3" s="681"/>
      <c r="AG3" s="680"/>
      <c r="AH3" s="679"/>
      <c r="AI3" s="678"/>
      <c r="AJ3" s="677"/>
      <c r="AK3" s="676"/>
      <c r="AL3" s="650" t="s">
        <v>412</v>
      </c>
      <c r="AM3" s="958" t="s">
        <v>411</v>
      </c>
      <c r="AN3" s="650" t="s">
        <v>410</v>
      </c>
      <c r="AO3" s="958" t="s">
        <v>359</v>
      </c>
      <c r="AP3" s="675" t="s">
        <v>409</v>
      </c>
      <c r="AQ3" s="674"/>
      <c r="AR3" s="673" t="s">
        <v>408</v>
      </c>
      <c r="AS3" s="673" t="s">
        <v>407</v>
      </c>
      <c r="AT3" s="32" t="s">
        <v>405</v>
      </c>
      <c r="AV3" s="282">
        <v>1E-3</v>
      </c>
      <c r="AW3" s="14" t="s">
        <v>406</v>
      </c>
      <c r="AZ3" s="282">
        <v>1.5E-3</v>
      </c>
      <c r="BE3" s="672">
        <v>20</v>
      </c>
      <c r="BF3" s="672">
        <f>100-BE3</f>
        <v>80</v>
      </c>
      <c r="BG3" s="671">
        <v>74</v>
      </c>
      <c r="BH3" s="15"/>
      <c r="BI3" s="23"/>
      <c r="BJ3" s="670">
        <v>41243</v>
      </c>
      <c r="BK3" s="14" t="s">
        <v>405</v>
      </c>
      <c r="BM3" s="282">
        <v>1.1999999999999999E-3</v>
      </c>
      <c r="BO3" s="14" t="s">
        <v>404</v>
      </c>
      <c r="BQ3" s="669">
        <v>0.05</v>
      </c>
    </row>
    <row r="4" spans="1:302" ht="11.1" customHeight="1">
      <c r="A4" s="1077" t="s">
        <v>167</v>
      </c>
      <c r="B4" s="948" t="s">
        <v>356</v>
      </c>
      <c r="C4" s="999" t="s">
        <v>403</v>
      </c>
      <c r="D4" s="999" t="s">
        <v>402</v>
      </c>
      <c r="E4" s="1001" t="s">
        <v>401</v>
      </c>
      <c r="F4" s="999" t="s">
        <v>400</v>
      </c>
      <c r="G4" s="999" t="s">
        <v>399</v>
      </c>
      <c r="H4" s="943"/>
      <c r="I4" s="998" t="s">
        <v>514</v>
      </c>
      <c r="J4" s="943"/>
      <c r="K4" s="999" t="s">
        <v>398</v>
      </c>
      <c r="L4" s="1003" t="s">
        <v>516</v>
      </c>
      <c r="M4" s="1004" t="s">
        <v>516</v>
      </c>
      <c r="N4" s="964"/>
      <c r="O4" s="1003" t="s">
        <v>515</v>
      </c>
      <c r="P4" s="1001" t="s">
        <v>162</v>
      </c>
      <c r="Q4" s="1001" t="s">
        <v>397</v>
      </c>
      <c r="R4" s="1001" t="s">
        <v>396</v>
      </c>
      <c r="S4" s="668" t="s">
        <v>394</v>
      </c>
      <c r="T4" s="668"/>
      <c r="U4" s="668"/>
      <c r="V4" s="668"/>
      <c r="W4" s="668"/>
      <c r="AB4" s="1002" t="s">
        <v>161</v>
      </c>
      <c r="AC4" s="951"/>
      <c r="AD4" s="1001" t="s">
        <v>160</v>
      </c>
      <c r="AE4" s="938"/>
      <c r="AF4" s="1061" t="s">
        <v>395</v>
      </c>
      <c r="AG4" s="1061" t="s">
        <v>347</v>
      </c>
      <c r="AH4" s="661" t="s">
        <v>394</v>
      </c>
      <c r="AI4" s="667" t="s">
        <v>393</v>
      </c>
      <c r="AJ4" s="1030" t="s">
        <v>392</v>
      </c>
      <c r="AK4" s="1031"/>
      <c r="AL4" s="959" t="s">
        <v>391</v>
      </c>
      <c r="AM4" s="958" t="s">
        <v>390</v>
      </c>
      <c r="AN4" s="650" t="s">
        <v>389</v>
      </c>
      <c r="AO4" s="958" t="s">
        <v>388</v>
      </c>
      <c r="AP4" s="958" t="s">
        <v>340</v>
      </c>
      <c r="AQ4" s="949"/>
      <c r="AR4" s="879" t="s">
        <v>388</v>
      </c>
      <c r="AS4" s="980" t="s">
        <v>387</v>
      </c>
      <c r="AT4" s="32" t="s">
        <v>386</v>
      </c>
      <c r="AV4" s="137"/>
      <c r="BK4" s="14" t="s">
        <v>386</v>
      </c>
      <c r="BM4" s="137">
        <v>30</v>
      </c>
      <c r="BO4" s="14" t="s">
        <v>385</v>
      </c>
      <c r="BQ4" s="282">
        <v>5.0000000000000001E-3</v>
      </c>
    </row>
    <row r="5" spans="1:302" ht="11.1" customHeight="1">
      <c r="A5" s="1077"/>
      <c r="B5" s="948"/>
      <c r="C5" s="999"/>
      <c r="D5" s="999"/>
      <c r="E5" s="1001"/>
      <c r="F5" s="999"/>
      <c r="G5" s="999"/>
      <c r="H5" s="943"/>
      <c r="I5" s="998"/>
      <c r="J5" s="943"/>
      <c r="K5" s="999"/>
      <c r="L5" s="1003"/>
      <c r="M5" s="1003"/>
      <c r="N5" s="964"/>
      <c r="O5" s="1003"/>
      <c r="P5" s="1001"/>
      <c r="Q5" s="1001"/>
      <c r="R5" s="1001"/>
      <c r="S5" s="655" t="s">
        <v>384</v>
      </c>
      <c r="T5" s="655"/>
      <c r="U5" s="655"/>
      <c r="V5" s="655"/>
      <c r="W5" s="655"/>
      <c r="X5" s="655"/>
      <c r="Y5" s="656"/>
      <c r="Z5" s="656"/>
      <c r="AA5" s="655"/>
      <c r="AB5" s="1002"/>
      <c r="AC5" s="951"/>
      <c r="AD5" s="1001"/>
      <c r="AE5" s="938"/>
      <c r="AF5" s="1061"/>
      <c r="AG5" s="1061"/>
      <c r="AH5" s="661" t="s">
        <v>383</v>
      </c>
      <c r="AI5" s="664"/>
      <c r="AJ5" s="1030"/>
      <c r="AK5" s="1031"/>
      <c r="AL5" s="959" t="s">
        <v>382</v>
      </c>
      <c r="AM5" s="958" t="s">
        <v>381</v>
      </c>
      <c r="AN5" s="958" t="s">
        <v>380</v>
      </c>
      <c r="AO5" s="958" t="s">
        <v>379</v>
      </c>
      <c r="AP5" s="958" t="s">
        <v>378</v>
      </c>
      <c r="AQ5" s="949"/>
      <c r="AR5" s="879" t="s">
        <v>341</v>
      </c>
      <c r="AS5" s="879" t="s">
        <v>377</v>
      </c>
      <c r="AT5" s="32" t="s">
        <v>376</v>
      </c>
      <c r="AV5" s="666">
        <v>3.5</v>
      </c>
      <c r="BK5" s="14" t="s">
        <v>376</v>
      </c>
      <c r="BM5" s="665">
        <v>5</v>
      </c>
    </row>
    <row r="6" spans="1:302" ht="11.1" customHeight="1">
      <c r="A6" s="1077"/>
      <c r="B6" s="948"/>
      <c r="C6" s="999"/>
      <c r="D6" s="999"/>
      <c r="E6" s="1001"/>
      <c r="F6" s="999"/>
      <c r="G6" s="999"/>
      <c r="H6" s="943"/>
      <c r="I6" s="998"/>
      <c r="J6" s="943"/>
      <c r="K6" s="999"/>
      <c r="L6" s="1003"/>
      <c r="M6" s="1003"/>
      <c r="N6" s="964"/>
      <c r="O6" s="1003"/>
      <c r="P6" s="1001"/>
      <c r="Q6" s="1001"/>
      <c r="R6" s="1001"/>
      <c r="S6" s="655"/>
      <c r="T6" s="655"/>
      <c r="U6" s="655"/>
      <c r="V6" s="655"/>
      <c r="W6" s="655"/>
      <c r="X6" s="655"/>
      <c r="Y6" s="656"/>
      <c r="Z6" s="656"/>
      <c r="AA6" s="655"/>
      <c r="AB6" s="1002"/>
      <c r="AC6" s="951"/>
      <c r="AD6" s="1001"/>
      <c r="AE6" s="938"/>
      <c r="AF6" s="1061"/>
      <c r="AG6" s="1061"/>
      <c r="AH6" s="661"/>
      <c r="AI6" s="664"/>
      <c r="AJ6" s="502"/>
      <c r="AK6" s="663"/>
      <c r="AL6" s="959" t="s">
        <v>375</v>
      </c>
      <c r="AM6" s="958" t="s">
        <v>374</v>
      </c>
      <c r="AN6" s="650" t="s">
        <v>373</v>
      </c>
      <c r="AO6" s="958" t="s">
        <v>372</v>
      </c>
      <c r="AP6" s="958" t="s">
        <v>371</v>
      </c>
      <c r="AQ6" s="949"/>
      <c r="AR6" s="879" t="s">
        <v>370</v>
      </c>
      <c r="AS6" s="879" t="s">
        <v>369</v>
      </c>
      <c r="AT6" s="32" t="s">
        <v>368</v>
      </c>
      <c r="AV6" s="662">
        <v>3.5</v>
      </c>
      <c r="AZ6" s="14" t="e">
        <f>((#REF!/#REF!*#REF!/100)+(#REF!/#REF!*#REF!*AV$3/100)+#REF!+#REF!)*AZ$3</f>
        <v>#REF!</v>
      </c>
      <c r="BK6" s="14" t="s">
        <v>368</v>
      </c>
      <c r="BM6" s="662">
        <v>2.0299999999999998</v>
      </c>
      <c r="JQ6" s="1"/>
      <c r="JR6" s="1"/>
      <c r="JS6" s="380" t="s">
        <v>367</v>
      </c>
      <c r="JT6" s="380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</row>
    <row r="7" spans="1:302" ht="11.1" customHeight="1">
      <c r="A7" s="1077"/>
      <c r="B7" s="948"/>
      <c r="C7" s="999"/>
      <c r="D7" s="999"/>
      <c r="E7" s="1001"/>
      <c r="F7" s="999"/>
      <c r="G7" s="999"/>
      <c r="H7" s="943"/>
      <c r="I7" s="998"/>
      <c r="J7" s="943"/>
      <c r="K7" s="999"/>
      <c r="L7" s="1003"/>
      <c r="M7" s="1003"/>
      <c r="N7" s="964"/>
      <c r="O7" s="1003"/>
      <c r="P7" s="1001"/>
      <c r="Q7" s="1001"/>
      <c r="R7" s="1001"/>
      <c r="S7" s="655"/>
      <c r="T7" s="655"/>
      <c r="U7" s="655"/>
      <c r="V7" s="655"/>
      <c r="W7" s="655"/>
      <c r="X7" s="655"/>
      <c r="Y7" s="656"/>
      <c r="Z7" s="656"/>
      <c r="AA7" s="655"/>
      <c r="AB7" s="1002"/>
      <c r="AC7" s="951"/>
      <c r="AD7" s="1001"/>
      <c r="AE7" s="938"/>
      <c r="AF7" s="1061"/>
      <c r="AG7" s="1061"/>
      <c r="AH7" s="661"/>
      <c r="AI7" s="654" t="s">
        <v>366</v>
      </c>
      <c r="AJ7" s="660" t="s">
        <v>365</v>
      </c>
      <c r="AK7" s="659"/>
      <c r="AL7" s="879" t="s">
        <v>364</v>
      </c>
      <c r="AM7" s="958" t="s">
        <v>363</v>
      </c>
      <c r="AN7" s="650" t="s">
        <v>362</v>
      </c>
      <c r="AO7" s="958" t="s">
        <v>361</v>
      </c>
      <c r="AP7" s="958" t="s">
        <v>360</v>
      </c>
      <c r="AQ7" s="949"/>
      <c r="AR7" s="879" t="s">
        <v>359</v>
      </c>
      <c r="AS7" s="1020" t="s">
        <v>358</v>
      </c>
      <c r="AT7" s="1047" t="s">
        <v>357</v>
      </c>
      <c r="AU7" s="1048"/>
      <c r="AV7" s="1048"/>
      <c r="AW7" s="1048"/>
      <c r="AX7" s="1048"/>
      <c r="AY7" s="1048"/>
      <c r="AZ7" s="1049"/>
      <c r="BA7" s="1050" t="s">
        <v>356</v>
      </c>
      <c r="BB7" s="1051"/>
      <c r="BC7" s="1051"/>
      <c r="BD7" s="1051"/>
      <c r="BE7" s="1051"/>
      <c r="BF7" s="1052"/>
      <c r="BG7" s="1050" t="s">
        <v>355</v>
      </c>
      <c r="BH7" s="1051"/>
      <c r="BI7" s="1051"/>
      <c r="BJ7" s="1052"/>
      <c r="BK7" s="1050" t="s">
        <v>354</v>
      </c>
      <c r="BL7" s="1051"/>
      <c r="BM7" s="1051"/>
      <c r="BN7" s="1051"/>
      <c r="BO7" s="1051"/>
      <c r="BP7" s="1051"/>
      <c r="BQ7" s="1051"/>
      <c r="BR7" s="1051"/>
      <c r="BS7" s="1051"/>
      <c r="BT7" s="1051"/>
      <c r="BU7" s="1051"/>
      <c r="BV7" s="1051"/>
      <c r="BW7" s="1052"/>
      <c r="BX7" s="1053" t="s">
        <v>353</v>
      </c>
      <c r="BY7" s="1054"/>
      <c r="BZ7" s="1054"/>
      <c r="CA7" s="1054"/>
      <c r="CB7" s="1054"/>
      <c r="CC7" s="1054"/>
      <c r="CD7" s="1054"/>
      <c r="CE7" s="1054"/>
      <c r="CF7" s="1054"/>
      <c r="CG7" s="1054"/>
      <c r="CH7" s="1054"/>
      <c r="CI7" s="1054"/>
      <c r="CJ7" s="1054"/>
      <c r="CK7" s="1054"/>
      <c r="CL7" s="1054"/>
      <c r="CM7" s="1054"/>
      <c r="CN7" s="1054"/>
      <c r="CO7" s="1054"/>
      <c r="CP7" s="1054"/>
      <c r="CQ7" s="1054"/>
      <c r="CR7" s="1055"/>
      <c r="CS7" s="1050" t="s">
        <v>352</v>
      </c>
      <c r="CT7" s="1051"/>
      <c r="CU7" s="1051"/>
      <c r="CV7" s="1051"/>
      <c r="CW7" s="1051"/>
      <c r="CX7" s="1051"/>
      <c r="CY7" s="1051"/>
      <c r="CZ7" s="1051"/>
      <c r="DA7" s="1051"/>
      <c r="DB7" s="1051"/>
      <c r="DC7" s="1051"/>
      <c r="DD7" s="1051"/>
      <c r="DE7" s="1051"/>
      <c r="DF7" s="1051"/>
      <c r="DG7" s="1051"/>
      <c r="DH7" s="1051"/>
      <c r="DI7" s="1051"/>
      <c r="DJ7" s="1051"/>
      <c r="DK7" s="1051"/>
      <c r="DL7" s="1052"/>
      <c r="DM7" s="978"/>
      <c r="DN7" s="978"/>
      <c r="DO7" s="1058" t="s">
        <v>351</v>
      </c>
      <c r="DP7" s="1059"/>
      <c r="DQ7" s="1059"/>
      <c r="DR7" s="1059"/>
      <c r="DS7" s="1059"/>
      <c r="DT7" s="1059"/>
      <c r="DU7" s="1059"/>
      <c r="DV7" s="1059"/>
      <c r="DW7" s="1059"/>
      <c r="DX7" s="1059"/>
      <c r="DY7" s="1059"/>
      <c r="DZ7" s="1059"/>
      <c r="EA7" s="1059"/>
      <c r="EB7" s="1059"/>
      <c r="EC7" s="1059"/>
      <c r="ED7" s="1059"/>
      <c r="EE7" s="1059"/>
      <c r="EF7" s="1059"/>
      <c r="EG7" s="1059"/>
      <c r="EH7" s="1059"/>
      <c r="EI7" s="1059"/>
      <c r="EJ7" s="1059"/>
      <c r="EK7" s="1059"/>
      <c r="EL7" s="1059"/>
      <c r="EM7" s="1059"/>
      <c r="EN7" s="1059"/>
      <c r="EO7" s="1059"/>
      <c r="EP7" s="1059"/>
      <c r="EQ7" s="1059"/>
      <c r="ER7" s="1059"/>
      <c r="ES7" s="1059"/>
      <c r="ET7" s="1059"/>
      <c r="EU7" s="1059"/>
      <c r="EV7" s="1059"/>
      <c r="EW7" s="1059"/>
      <c r="EX7" s="1059"/>
      <c r="EY7" s="1059"/>
      <c r="EZ7" s="1059"/>
      <c r="FA7" s="1059"/>
      <c r="FB7" s="1059"/>
      <c r="FC7" s="1059"/>
      <c r="FD7" s="1059"/>
      <c r="FE7" s="1059"/>
      <c r="FF7" s="1059"/>
      <c r="FG7" s="1059"/>
      <c r="FH7" s="1059"/>
      <c r="FI7" s="1059"/>
      <c r="FJ7" s="1059"/>
      <c r="FK7" s="1059"/>
      <c r="FL7" s="1059"/>
      <c r="FM7" s="1059"/>
      <c r="FN7" s="1059"/>
      <c r="FO7" s="1059"/>
      <c r="FP7" s="1059"/>
      <c r="FQ7" s="1059"/>
      <c r="FR7" s="1059"/>
      <c r="FS7" s="1059"/>
      <c r="FT7" s="1059"/>
      <c r="FU7" s="1059"/>
      <c r="FV7" s="1059"/>
      <c r="FW7" s="1059"/>
      <c r="FX7" s="1059"/>
      <c r="FY7" s="1059"/>
      <c r="FZ7" s="1059"/>
      <c r="GA7" s="1059"/>
      <c r="GB7" s="1059"/>
      <c r="GC7" s="1059"/>
      <c r="GD7" s="1059"/>
      <c r="GE7" s="1059"/>
      <c r="GF7" s="1059"/>
      <c r="GG7" s="1059"/>
      <c r="GH7" s="1059"/>
      <c r="GI7" s="1059"/>
      <c r="GJ7" s="1059"/>
      <c r="GK7" s="1059"/>
      <c r="GL7" s="1059"/>
      <c r="GM7" s="1059"/>
      <c r="GN7" s="1060"/>
      <c r="GO7" s="953"/>
      <c r="GP7" s="953"/>
      <c r="GQ7" s="953"/>
      <c r="GR7" s="953"/>
      <c r="GS7" s="953"/>
      <c r="GT7" s="953"/>
      <c r="GU7" s="953"/>
      <c r="GV7" s="953"/>
      <c r="GW7" s="953"/>
      <c r="GX7" s="953"/>
      <c r="GY7" s="953"/>
      <c r="GZ7" s="953"/>
      <c r="HA7" s="953"/>
      <c r="HB7" s="953"/>
      <c r="HC7" s="953"/>
      <c r="HD7" s="953"/>
      <c r="HE7" s="953"/>
      <c r="HF7" s="953"/>
      <c r="HG7" s="953"/>
      <c r="HH7" s="953"/>
      <c r="HI7" s="953"/>
      <c r="HJ7" s="953"/>
      <c r="HK7" s="953"/>
      <c r="HL7" s="953"/>
      <c r="HM7" s="953"/>
      <c r="HN7" s="953"/>
      <c r="HO7" s="953"/>
      <c r="HP7" s="953"/>
      <c r="HQ7" s="953"/>
      <c r="HR7" s="953"/>
      <c r="HS7" s="953"/>
      <c r="HT7" s="953"/>
      <c r="HU7" s="1056" t="s">
        <v>350</v>
      </c>
      <c r="HV7" s="1057"/>
      <c r="HW7" s="1057"/>
      <c r="HX7" s="1057"/>
      <c r="HY7" s="1057"/>
      <c r="HZ7" s="1057"/>
      <c r="IA7" s="1057"/>
      <c r="IB7" s="1057"/>
      <c r="IC7" s="1057"/>
      <c r="ID7" s="1057"/>
      <c r="IE7" s="1057"/>
      <c r="IF7" s="1057"/>
      <c r="IG7" s="1057"/>
      <c r="IH7" s="1057"/>
      <c r="II7" s="1057"/>
      <c r="IJ7" s="1057"/>
      <c r="IK7" s="1057"/>
      <c r="IL7" s="1057"/>
      <c r="IM7" s="1057"/>
      <c r="IN7" s="1057"/>
      <c r="IO7" s="1057"/>
      <c r="IQ7" s="1046"/>
      <c r="IR7" s="1046"/>
      <c r="IS7" s="1046"/>
      <c r="IT7" s="1046"/>
      <c r="IU7" s="1046"/>
      <c r="IV7" s="1046"/>
      <c r="IW7" s="1046"/>
      <c r="IX7" s="1046"/>
      <c r="IY7" s="1046"/>
      <c r="IZ7" s="1046"/>
      <c r="JA7" s="1046"/>
      <c r="JB7" s="1046"/>
      <c r="JC7" s="1046"/>
      <c r="JD7" s="1046"/>
      <c r="JE7" s="1046"/>
      <c r="JF7" s="1046"/>
      <c r="JG7" s="1046"/>
      <c r="JH7" s="1046"/>
      <c r="JI7" s="1046"/>
      <c r="JJ7" s="1046"/>
      <c r="JK7" s="1046"/>
      <c r="JL7" s="1046"/>
      <c r="JM7" s="1046"/>
      <c r="JN7" s="1046"/>
      <c r="JO7" s="1046"/>
      <c r="JR7" s="658" t="s">
        <v>349</v>
      </c>
      <c r="JS7" s="658"/>
      <c r="JT7" s="658"/>
      <c r="JU7" s="658"/>
    </row>
    <row r="8" spans="1:302" ht="11.1" customHeight="1" thickBot="1">
      <c r="A8" s="1077"/>
      <c r="B8" s="948" t="s">
        <v>166</v>
      </c>
      <c r="C8" s="1076"/>
      <c r="D8" s="999"/>
      <c r="E8" s="1001"/>
      <c r="F8" s="999"/>
      <c r="G8" s="999"/>
      <c r="H8" s="943"/>
      <c r="I8" s="998"/>
      <c r="J8" s="943"/>
      <c r="K8" s="999"/>
      <c r="L8" s="1003"/>
      <c r="M8" s="1005"/>
      <c r="N8" s="964"/>
      <c r="O8" s="1003"/>
      <c r="P8" s="1001"/>
      <c r="Q8" s="1001"/>
      <c r="R8" s="1001"/>
      <c r="S8" s="655"/>
      <c r="T8" s="655"/>
      <c r="U8" s="655"/>
      <c r="V8" s="655"/>
      <c r="W8" s="655"/>
      <c r="X8" s="657" t="s">
        <v>348</v>
      </c>
      <c r="Y8" s="656"/>
      <c r="Z8" s="656"/>
      <c r="AA8" s="655"/>
      <c r="AB8" s="1002"/>
      <c r="AC8" s="951"/>
      <c r="AD8" s="1001"/>
      <c r="AE8" s="938"/>
      <c r="AF8" s="1061"/>
      <c r="AG8" s="1061" t="s">
        <v>347</v>
      </c>
      <c r="AH8" s="654" t="s">
        <v>346</v>
      </c>
      <c r="AI8" s="654" t="s">
        <v>345</v>
      </c>
      <c r="AJ8" s="653" t="s">
        <v>344</v>
      </c>
      <c r="AK8" s="652"/>
      <c r="AL8" s="949" t="s">
        <v>343</v>
      </c>
      <c r="AM8" s="651" t="s">
        <v>342</v>
      </c>
      <c r="AN8" s="650" t="s">
        <v>341</v>
      </c>
      <c r="AO8" s="958" t="s">
        <v>340</v>
      </c>
      <c r="AP8" s="649" t="s">
        <v>339</v>
      </c>
      <c r="AQ8" s="178"/>
      <c r="AR8" s="648" t="s">
        <v>338</v>
      </c>
      <c r="AS8" s="1021"/>
      <c r="AT8" s="613" t="s">
        <v>337</v>
      </c>
      <c r="AU8" s="250" t="s">
        <v>336</v>
      </c>
      <c r="AV8" s="250" t="s">
        <v>335</v>
      </c>
      <c r="AW8" s="250" t="s">
        <v>334</v>
      </c>
      <c r="AX8" s="250" t="s">
        <v>333</v>
      </c>
      <c r="AY8" s="250" t="s">
        <v>332</v>
      </c>
      <c r="AZ8" s="250" t="s">
        <v>331</v>
      </c>
      <c r="BA8" s="613" t="s">
        <v>330</v>
      </c>
      <c r="BB8" s="613" t="s">
        <v>329</v>
      </c>
      <c r="BC8" s="613" t="s">
        <v>180</v>
      </c>
      <c r="BD8" s="613" t="s">
        <v>186</v>
      </c>
      <c r="BE8" s="613" t="s">
        <v>199</v>
      </c>
      <c r="BF8" s="613" t="s">
        <v>328</v>
      </c>
      <c r="BG8" s="647" t="s">
        <v>327</v>
      </c>
      <c r="BH8" s="646" t="s">
        <v>326</v>
      </c>
      <c r="BI8" s="646" t="s">
        <v>325</v>
      </c>
      <c r="BJ8" s="646" t="s">
        <v>324</v>
      </c>
      <c r="BK8" s="647" t="s">
        <v>323</v>
      </c>
      <c r="BL8" s="646" t="s">
        <v>322</v>
      </c>
      <c r="BM8" s="646" t="s">
        <v>306</v>
      </c>
      <c r="BN8" s="646" t="s">
        <v>321</v>
      </c>
      <c r="BO8" s="646" t="s">
        <v>320</v>
      </c>
      <c r="BP8" s="646" t="s">
        <v>319</v>
      </c>
      <c r="BQ8" s="646" t="s">
        <v>318</v>
      </c>
      <c r="BR8" s="646" t="s">
        <v>317</v>
      </c>
      <c r="BS8" s="646" t="s">
        <v>316</v>
      </c>
      <c r="BT8" s="970" t="s">
        <v>315</v>
      </c>
      <c r="BU8" s="970" t="s">
        <v>314</v>
      </c>
      <c r="BV8" s="970" t="s">
        <v>313</v>
      </c>
      <c r="BW8" s="970" t="s">
        <v>312</v>
      </c>
      <c r="BX8" s="647" t="s">
        <v>65</v>
      </c>
      <c r="BY8" s="646" t="s">
        <v>71</v>
      </c>
      <c r="BZ8" s="646" t="s">
        <v>228</v>
      </c>
      <c r="CA8" s="646" t="s">
        <v>114</v>
      </c>
      <c r="CB8" s="646" t="s">
        <v>227</v>
      </c>
      <c r="CC8" s="646" t="s">
        <v>226</v>
      </c>
      <c r="CD8" s="646" t="s">
        <v>225</v>
      </c>
      <c r="CE8" s="970" t="s">
        <v>224</v>
      </c>
      <c r="CF8" s="970" t="s">
        <v>223</v>
      </c>
      <c r="CG8" s="970" t="s">
        <v>222</v>
      </c>
      <c r="CH8" s="970" t="s">
        <v>221</v>
      </c>
      <c r="CI8" s="970" t="s">
        <v>220</v>
      </c>
      <c r="CJ8" s="970" t="s">
        <v>219</v>
      </c>
      <c r="CK8" s="970" t="s">
        <v>218</v>
      </c>
      <c r="CL8" s="970" t="s">
        <v>217</v>
      </c>
      <c r="CM8" s="970" t="s">
        <v>216</v>
      </c>
      <c r="CN8" s="970" t="s">
        <v>215</v>
      </c>
      <c r="CO8" s="970" t="s">
        <v>214</v>
      </c>
      <c r="CP8" s="970" t="s">
        <v>213</v>
      </c>
      <c r="CQ8" s="970" t="s">
        <v>212</v>
      </c>
      <c r="CR8" s="970" t="s">
        <v>211</v>
      </c>
      <c r="CS8" s="647" t="s">
        <v>296</v>
      </c>
      <c r="CT8" s="646" t="s">
        <v>311</v>
      </c>
      <c r="CU8" s="646" t="s">
        <v>310</v>
      </c>
      <c r="CV8" s="646" t="s">
        <v>309</v>
      </c>
      <c r="CW8" s="646" t="s">
        <v>308</v>
      </c>
      <c r="CX8" s="646" t="s">
        <v>307</v>
      </c>
      <c r="CY8" s="646" t="s">
        <v>306</v>
      </c>
      <c r="CZ8" s="970" t="s">
        <v>305</v>
      </c>
      <c r="DA8" s="970" t="s">
        <v>460</v>
      </c>
      <c r="DB8" s="970" t="s">
        <v>304</v>
      </c>
      <c r="DC8" s="3" t="s">
        <v>303</v>
      </c>
      <c r="DD8" s="970" t="s">
        <v>302</v>
      </c>
      <c r="DE8" s="970" t="s">
        <v>301</v>
      </c>
      <c r="DF8" s="970" t="s">
        <v>300</v>
      </c>
      <c r="DG8" s="970" t="s">
        <v>475</v>
      </c>
      <c r="DH8" s="970" t="s">
        <v>299</v>
      </c>
      <c r="DI8" s="970" t="s">
        <v>509</v>
      </c>
      <c r="DJ8" s="970" t="s">
        <v>298</v>
      </c>
      <c r="DK8" s="970" t="s">
        <v>453</v>
      </c>
      <c r="DL8" s="970" t="s">
        <v>270</v>
      </c>
      <c r="DM8" s="970" t="s">
        <v>297</v>
      </c>
      <c r="DN8" s="970" t="s">
        <v>463</v>
      </c>
      <c r="DO8" s="969" t="s">
        <v>296</v>
      </c>
      <c r="DP8" s="970" t="s">
        <v>295</v>
      </c>
      <c r="DQ8" s="970" t="s">
        <v>503</v>
      </c>
      <c r="DR8" s="970" t="s">
        <v>5</v>
      </c>
      <c r="DS8" s="970" t="s">
        <v>475</v>
      </c>
      <c r="DT8" s="970" t="s">
        <v>294</v>
      </c>
      <c r="DU8" s="970" t="s">
        <v>459</v>
      </c>
      <c r="DV8" s="970" t="s">
        <v>293</v>
      </c>
      <c r="DW8" s="970" t="s">
        <v>292</v>
      </c>
      <c r="DX8" s="970" t="s">
        <v>291</v>
      </c>
      <c r="DY8" s="970" t="s">
        <v>38</v>
      </c>
      <c r="DZ8" s="970" t="s">
        <v>290</v>
      </c>
      <c r="EA8" s="970" t="s">
        <v>289</v>
      </c>
      <c r="EB8" s="970" t="s">
        <v>460</v>
      </c>
      <c r="EC8" s="970" t="s">
        <v>491</v>
      </c>
      <c r="ED8" s="970" t="s">
        <v>449</v>
      </c>
      <c r="EE8" s="970" t="s">
        <v>288</v>
      </c>
      <c r="EF8" s="970" t="s">
        <v>474</v>
      </c>
      <c r="EG8" s="970" t="s">
        <v>287</v>
      </c>
      <c r="EH8" s="970" t="s">
        <v>286</v>
      </c>
      <c r="EI8" s="970" t="s">
        <v>451</v>
      </c>
      <c r="EJ8" s="970" t="s">
        <v>285</v>
      </c>
      <c r="EK8" s="970" t="s">
        <v>284</v>
      </c>
      <c r="EL8" s="970" t="s">
        <v>187</v>
      </c>
      <c r="EM8" s="970" t="s">
        <v>283</v>
      </c>
      <c r="EN8" s="970" t="s">
        <v>453</v>
      </c>
      <c r="EO8" s="970" t="s">
        <v>498</v>
      </c>
      <c r="EP8" s="970" t="s">
        <v>282</v>
      </c>
      <c r="EQ8" s="970" t="s">
        <v>500</v>
      </c>
      <c r="ER8" s="970" t="s">
        <v>195</v>
      </c>
      <c r="ES8" s="970" t="s">
        <v>191</v>
      </c>
      <c r="ET8" s="970" t="s">
        <v>510</v>
      </c>
      <c r="EU8" s="970" t="s">
        <v>482</v>
      </c>
      <c r="EV8" s="970" t="s">
        <v>281</v>
      </c>
      <c r="EW8" s="970" t="s">
        <v>280</v>
      </c>
      <c r="EX8" s="970" t="s">
        <v>462</v>
      </c>
      <c r="EY8" s="970" t="s">
        <v>279</v>
      </c>
      <c r="EZ8" s="970" t="s">
        <v>278</v>
      </c>
      <c r="FA8" s="970" t="s">
        <v>277</v>
      </c>
      <c r="FB8" s="970" t="s">
        <v>276</v>
      </c>
      <c r="FC8" s="970" t="s">
        <v>275</v>
      </c>
      <c r="FD8" s="970" t="s">
        <v>274</v>
      </c>
      <c r="FE8" s="970" t="s">
        <v>273</v>
      </c>
      <c r="FF8" s="970" t="s">
        <v>488</v>
      </c>
      <c r="FG8" s="970" t="s">
        <v>197</v>
      </c>
      <c r="FH8" s="970" t="s">
        <v>272</v>
      </c>
      <c r="FI8" s="970" t="s">
        <v>4</v>
      </c>
      <c r="FJ8" s="970" t="s">
        <v>495</v>
      </c>
      <c r="FK8" s="970" t="s">
        <v>271</v>
      </c>
      <c r="FL8" s="970" t="s">
        <v>270</v>
      </c>
      <c r="FM8" s="970" t="s">
        <v>473</v>
      </c>
      <c r="FN8" s="970" t="s">
        <v>269</v>
      </c>
      <c r="FO8" s="970" t="s">
        <v>268</v>
      </c>
      <c r="FP8" s="970" t="s">
        <v>496</v>
      </c>
      <c r="FQ8" s="970" t="s">
        <v>267</v>
      </c>
      <c r="FR8" s="953" t="s">
        <v>266</v>
      </c>
      <c r="FS8" s="981" t="s">
        <v>265</v>
      </c>
      <c r="FT8" s="970" t="s">
        <v>264</v>
      </c>
      <c r="FU8" s="981" t="s">
        <v>263</v>
      </c>
      <c r="FV8" s="981" t="s">
        <v>262</v>
      </c>
      <c r="FW8" s="981" t="s">
        <v>461</v>
      </c>
      <c r="FX8" s="970" t="s">
        <v>261</v>
      </c>
      <c r="FY8" s="970" t="s">
        <v>260</v>
      </c>
      <c r="FZ8" s="970" t="s">
        <v>259</v>
      </c>
      <c r="GA8" s="970" t="s">
        <v>258</v>
      </c>
      <c r="GB8" s="970" t="s">
        <v>257</v>
      </c>
      <c r="GC8" s="970" t="s">
        <v>256</v>
      </c>
      <c r="GD8" s="970" t="s">
        <v>255</v>
      </c>
      <c r="GE8" s="970" t="s">
        <v>254</v>
      </c>
      <c r="GF8" s="981" t="s">
        <v>253</v>
      </c>
      <c r="GG8" s="981" t="s">
        <v>252</v>
      </c>
      <c r="GH8" s="970" t="s">
        <v>251</v>
      </c>
      <c r="GI8" s="970" t="s">
        <v>208</v>
      </c>
      <c r="GJ8" s="981" t="s">
        <v>467</v>
      </c>
      <c r="GK8" s="981" t="s">
        <v>250</v>
      </c>
      <c r="GL8" s="981" t="s">
        <v>200</v>
      </c>
      <c r="GM8" s="981" t="s">
        <v>497</v>
      </c>
      <c r="GN8" s="981" t="s">
        <v>249</v>
      </c>
      <c r="GO8" s="981" t="s">
        <v>248</v>
      </c>
      <c r="GP8" s="981" t="s">
        <v>247</v>
      </c>
      <c r="GQ8" s="981" t="s">
        <v>246</v>
      </c>
      <c r="GR8" s="981" t="s">
        <v>245</v>
      </c>
      <c r="GS8" s="981" t="s">
        <v>244</v>
      </c>
      <c r="GT8" s="981" t="s">
        <v>243</v>
      </c>
      <c r="GU8" s="981" t="s">
        <v>242</v>
      </c>
      <c r="GV8" s="981" t="s">
        <v>494</v>
      </c>
      <c r="GW8" s="981" t="s">
        <v>241</v>
      </c>
      <c r="GX8" s="981" t="s">
        <v>240</v>
      </c>
      <c r="GY8" s="981" t="s">
        <v>239</v>
      </c>
      <c r="GZ8" s="981" t="s">
        <v>238</v>
      </c>
      <c r="HA8" s="981" t="s">
        <v>237</v>
      </c>
      <c r="HB8" s="981" t="s">
        <v>236</v>
      </c>
      <c r="HC8" s="981" t="s">
        <v>235</v>
      </c>
      <c r="HD8" s="981" t="s">
        <v>463</v>
      </c>
      <c r="HE8" s="981" t="s">
        <v>234</v>
      </c>
      <c r="HF8" s="981" t="s">
        <v>470</v>
      </c>
      <c r="HG8" s="981" t="s">
        <v>233</v>
      </c>
      <c r="HH8" s="981" t="s">
        <v>232</v>
      </c>
      <c r="HI8" s="981" t="s">
        <v>231</v>
      </c>
      <c r="HJ8" s="981" t="s">
        <v>481</v>
      </c>
      <c r="HK8" s="981" t="s">
        <v>490</v>
      </c>
      <c r="HL8" s="981"/>
      <c r="HM8" s="981"/>
      <c r="HN8" s="981"/>
      <c r="HO8" s="981"/>
      <c r="HP8" s="981"/>
      <c r="HQ8" s="981"/>
      <c r="HR8" s="981"/>
      <c r="HS8" s="981"/>
      <c r="HT8" s="981"/>
      <c r="HU8" s="647" t="s">
        <v>65</v>
      </c>
      <c r="HV8" s="646" t="s">
        <v>71</v>
      </c>
      <c r="HW8" s="646" t="s">
        <v>228</v>
      </c>
      <c r="HX8" s="646" t="s">
        <v>114</v>
      </c>
      <c r="HY8" s="646" t="s">
        <v>227</v>
      </c>
      <c r="HZ8" s="646" t="s">
        <v>226</v>
      </c>
      <c r="IA8" s="646" t="s">
        <v>225</v>
      </c>
      <c r="IB8" s="970" t="s">
        <v>224</v>
      </c>
      <c r="IC8" s="970" t="s">
        <v>223</v>
      </c>
      <c r="ID8" s="970" t="s">
        <v>222</v>
      </c>
      <c r="IE8" s="970" t="s">
        <v>221</v>
      </c>
      <c r="IF8" s="970" t="s">
        <v>220</v>
      </c>
      <c r="IG8" s="970" t="s">
        <v>219</v>
      </c>
      <c r="IH8" s="970" t="s">
        <v>218</v>
      </c>
      <c r="II8" s="970" t="s">
        <v>217</v>
      </c>
      <c r="IJ8" s="970" t="s">
        <v>216</v>
      </c>
      <c r="IK8" s="970" t="s">
        <v>215</v>
      </c>
      <c r="IL8" s="970" t="s">
        <v>214</v>
      </c>
      <c r="IM8" s="970" t="s">
        <v>213</v>
      </c>
      <c r="IN8" s="970" t="s">
        <v>212</v>
      </c>
      <c r="IO8" s="970" t="s">
        <v>211</v>
      </c>
      <c r="IP8" s="14" t="s">
        <v>230</v>
      </c>
      <c r="IQ8" s="31">
        <v>2017</v>
      </c>
      <c r="IR8" s="31">
        <v>2018</v>
      </c>
      <c r="IS8" s="31">
        <v>2019</v>
      </c>
      <c r="IT8" s="31">
        <v>2020</v>
      </c>
      <c r="IU8" s="31">
        <v>2021</v>
      </c>
      <c r="IV8" s="31">
        <v>2022</v>
      </c>
      <c r="IW8" s="31">
        <v>2023</v>
      </c>
      <c r="IX8" s="31">
        <v>2024</v>
      </c>
      <c r="IY8" s="31">
        <v>2025</v>
      </c>
      <c r="IZ8" s="31">
        <v>2026</v>
      </c>
      <c r="JA8" s="31">
        <v>2027</v>
      </c>
      <c r="JB8" s="31">
        <v>2028</v>
      </c>
      <c r="JC8" s="31">
        <v>2029</v>
      </c>
      <c r="JD8" s="31">
        <v>2030</v>
      </c>
      <c r="JE8" s="31">
        <v>2031</v>
      </c>
      <c r="JF8" s="31">
        <v>2032</v>
      </c>
      <c r="JG8" s="31">
        <v>2033</v>
      </c>
      <c r="JH8" s="31">
        <v>2034</v>
      </c>
      <c r="JI8" s="31">
        <v>2035</v>
      </c>
      <c r="JJ8" s="31">
        <v>2036</v>
      </c>
      <c r="JK8" s="31">
        <v>2037</v>
      </c>
      <c r="JL8" s="31">
        <v>2038</v>
      </c>
      <c r="JM8" s="31">
        <v>2039</v>
      </c>
      <c r="JN8" s="31">
        <v>2040</v>
      </c>
      <c r="JO8" s="31">
        <v>2041</v>
      </c>
      <c r="JQ8" s="14" t="s">
        <v>229</v>
      </c>
      <c r="JU8" s="646" t="s">
        <v>71</v>
      </c>
      <c r="JV8" s="646" t="s">
        <v>228</v>
      </c>
      <c r="JW8" s="646" t="s">
        <v>114</v>
      </c>
      <c r="JX8" s="646" t="s">
        <v>227</v>
      </c>
      <c r="JY8" s="646" t="s">
        <v>226</v>
      </c>
      <c r="JZ8" s="646" t="s">
        <v>225</v>
      </c>
      <c r="KA8" s="970" t="s">
        <v>224</v>
      </c>
      <c r="KB8" s="970" t="s">
        <v>223</v>
      </c>
      <c r="KC8" s="970" t="s">
        <v>222</v>
      </c>
      <c r="KD8" s="970" t="s">
        <v>221</v>
      </c>
      <c r="KE8" s="970" t="s">
        <v>220</v>
      </c>
      <c r="KF8" s="970" t="s">
        <v>219</v>
      </c>
      <c r="KG8" s="970" t="s">
        <v>218</v>
      </c>
      <c r="KH8" s="970" t="s">
        <v>217</v>
      </c>
      <c r="KI8" s="970" t="s">
        <v>216</v>
      </c>
      <c r="KJ8" s="970" t="s">
        <v>215</v>
      </c>
      <c r="KK8" s="970" t="s">
        <v>214</v>
      </c>
      <c r="KL8" s="970" t="s">
        <v>213</v>
      </c>
      <c r="KM8" s="970" t="s">
        <v>212</v>
      </c>
      <c r="KN8" s="970" t="s">
        <v>211</v>
      </c>
    </row>
    <row r="9" spans="1:302" s="23" customFormat="1" ht="12" customHeight="1">
      <c r="A9" s="645" t="s">
        <v>210</v>
      </c>
      <c r="B9" s="643"/>
      <c r="C9" s="644"/>
      <c r="E9" s="644"/>
      <c r="F9" s="643"/>
      <c r="G9" s="643"/>
      <c r="H9" s="643"/>
      <c r="I9" s="643"/>
      <c r="J9" s="643"/>
      <c r="K9" s="642"/>
      <c r="L9" s="642"/>
      <c r="M9" s="494"/>
      <c r="N9" s="494"/>
      <c r="O9" s="494"/>
      <c r="P9" s="381"/>
      <c r="Q9" s="639"/>
      <c r="R9" s="639"/>
      <c r="S9" s="639"/>
      <c r="T9" s="639"/>
      <c r="U9" s="639"/>
      <c r="V9" s="639"/>
      <c r="W9" s="639"/>
      <c r="X9" s="639"/>
      <c r="Y9" s="641"/>
      <c r="Z9" s="641"/>
      <c r="AA9" s="639"/>
      <c r="AB9" s="640"/>
      <c r="AC9" s="640"/>
      <c r="AD9" s="639"/>
      <c r="AE9" s="639"/>
      <c r="AF9" s="639"/>
      <c r="AG9" s="638"/>
      <c r="AH9" s="637"/>
      <c r="AI9" s="636"/>
      <c r="AJ9" s="636"/>
      <c r="AK9" s="635"/>
      <c r="AL9" s="634"/>
      <c r="AM9" s="200"/>
      <c r="AN9" s="634"/>
      <c r="AO9" s="200"/>
      <c r="AP9" s="633"/>
      <c r="AQ9" s="200"/>
      <c r="AR9" s="179"/>
      <c r="AS9" s="200"/>
      <c r="AT9" s="51"/>
      <c r="BA9" s="51"/>
      <c r="BG9" s="51"/>
      <c r="BK9" s="51"/>
      <c r="BX9" s="51"/>
      <c r="CS9" s="51"/>
      <c r="DO9" s="632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631"/>
      <c r="FG9" s="631"/>
      <c r="FH9" s="631"/>
      <c r="FI9" s="631"/>
      <c r="FJ9" s="631"/>
      <c r="FK9" s="631"/>
      <c r="FL9" s="631"/>
      <c r="FM9" s="631"/>
      <c r="FN9" s="631"/>
      <c r="FO9" s="631"/>
      <c r="FP9" s="631"/>
      <c r="FQ9" s="631"/>
      <c r="FR9" s="629"/>
      <c r="FS9" s="629"/>
      <c r="FT9" s="629"/>
      <c r="FU9" s="629"/>
      <c r="FV9" s="629"/>
      <c r="FW9" s="629"/>
      <c r="FX9" s="629"/>
      <c r="FY9" s="629"/>
      <c r="FZ9" s="629"/>
      <c r="GA9" s="629"/>
      <c r="GB9" s="629"/>
      <c r="GC9" s="629"/>
      <c r="GD9" s="629"/>
      <c r="GE9" s="629"/>
      <c r="GF9" s="629"/>
      <c r="GG9" s="629"/>
      <c r="GH9" s="629"/>
      <c r="GI9" s="629"/>
      <c r="GJ9" s="629"/>
      <c r="GK9" s="629"/>
      <c r="GL9" s="629"/>
      <c r="GM9" s="629"/>
      <c r="GN9" s="629"/>
      <c r="GO9" s="629"/>
      <c r="GP9" s="629"/>
      <c r="GQ9" s="629"/>
      <c r="GR9" s="629"/>
      <c r="GS9" s="629"/>
      <c r="GT9" s="629"/>
      <c r="GU9" s="629"/>
      <c r="GV9" s="629"/>
      <c r="GW9" s="629"/>
      <c r="GX9" s="629"/>
      <c r="GY9" s="629"/>
      <c r="GZ9" s="629"/>
      <c r="HA9" s="629"/>
      <c r="HB9" s="629"/>
      <c r="HC9" s="629"/>
      <c r="HD9" s="629"/>
      <c r="HE9" s="629"/>
      <c r="HF9" s="629"/>
      <c r="HG9" s="631"/>
      <c r="HH9" s="631"/>
      <c r="HI9" s="631"/>
      <c r="HJ9" s="631"/>
      <c r="HK9" s="631"/>
      <c r="HL9" s="631"/>
      <c r="HM9" s="631"/>
      <c r="HN9" s="631"/>
      <c r="HO9" s="631"/>
      <c r="HP9" s="631"/>
      <c r="HQ9" s="631"/>
      <c r="HR9" s="631"/>
      <c r="HS9" s="631"/>
      <c r="HT9" s="631"/>
      <c r="HU9" s="630"/>
      <c r="HV9" s="629"/>
      <c r="HW9" s="629"/>
      <c r="HX9" s="629"/>
      <c r="HY9" s="629"/>
      <c r="HZ9" s="629"/>
      <c r="IA9" s="629"/>
      <c r="IB9" s="629"/>
      <c r="IC9" s="629"/>
      <c r="ID9" s="629"/>
      <c r="IE9" s="629"/>
      <c r="IF9" s="629"/>
      <c r="IG9" s="629"/>
      <c r="IH9" s="629"/>
      <c r="II9" s="629"/>
      <c r="IJ9" s="629"/>
      <c r="IK9" s="629"/>
      <c r="IL9" s="629"/>
      <c r="IM9" s="629"/>
      <c r="IN9" s="629"/>
      <c r="IO9" s="629"/>
    </row>
    <row r="10" spans="1:302" s="14" customFormat="1" ht="12" hidden="1" customHeight="1" outlineLevel="1">
      <c r="A10" s="18"/>
      <c r="B10" s="933"/>
      <c r="C10" s="933"/>
      <c r="D10" s="436"/>
      <c r="E10" s="932"/>
      <c r="F10" s="435"/>
      <c r="G10" s="443"/>
      <c r="H10" s="431"/>
      <c r="I10" s="528"/>
      <c r="J10" s="431"/>
      <c r="K10" s="443"/>
      <c r="L10" s="433"/>
      <c r="M10" s="223"/>
      <c r="N10" s="223"/>
      <c r="O10" s="223"/>
      <c r="P10" s="527"/>
      <c r="Q10" s="526"/>
      <c r="R10" s="22"/>
      <c r="S10" s="15"/>
      <c r="T10" s="431"/>
      <c r="U10" s="15"/>
      <c r="V10" s="15"/>
      <c r="W10" s="15"/>
      <c r="X10" s="442"/>
      <c r="Y10" s="430"/>
      <c r="Z10" s="430"/>
      <c r="AA10" s="430"/>
      <c r="AB10" s="78"/>
      <c r="AC10" s="431"/>
      <c r="AD10" s="117"/>
      <c r="AE10" s="431"/>
      <c r="AF10" s="934"/>
      <c r="AG10" s="934"/>
      <c r="AH10" s="552"/>
      <c r="AI10" s="551"/>
      <c r="AJ10" s="441"/>
      <c r="AK10" s="595"/>
      <c r="AL10" s="967"/>
      <c r="AM10" s="524"/>
      <c r="AN10" s="422"/>
      <c r="AO10" s="425"/>
      <c r="AP10" s="438"/>
      <c r="AQ10" s="423"/>
      <c r="AR10" s="422"/>
      <c r="AS10" s="421"/>
      <c r="AT10" s="419"/>
      <c r="AU10" s="420"/>
      <c r="AV10" s="223"/>
      <c r="AW10" s="420"/>
      <c r="AX10" s="417"/>
      <c r="AY10" s="420"/>
      <c r="AZ10" s="223"/>
      <c r="BA10" s="419"/>
      <c r="BB10" s="223"/>
      <c r="BC10" s="223"/>
      <c r="BD10" s="223"/>
      <c r="BE10" s="223"/>
      <c r="BF10" s="416"/>
      <c r="BG10" s="418"/>
      <c r="BH10" s="416"/>
      <c r="BI10" s="416"/>
      <c r="BJ10" s="416"/>
      <c r="BK10" s="418"/>
      <c r="BL10" s="417"/>
      <c r="BM10" s="416"/>
      <c r="BN10" s="416"/>
      <c r="BO10" s="416"/>
      <c r="BP10" s="416"/>
      <c r="BQ10" s="416"/>
      <c r="BR10" s="416"/>
      <c r="BS10" s="416"/>
      <c r="BT10" s="389"/>
      <c r="BU10" s="389"/>
      <c r="BV10" s="389"/>
      <c r="BW10" s="389"/>
      <c r="BX10" s="415"/>
      <c r="BY10" s="389"/>
      <c r="BZ10" s="389"/>
      <c r="CA10" s="389"/>
      <c r="CB10" s="389"/>
      <c r="CC10" s="389"/>
      <c r="CD10" s="389"/>
      <c r="CE10" s="389"/>
      <c r="CF10" s="389"/>
      <c r="CG10" s="389"/>
      <c r="CH10" s="389"/>
      <c r="CI10" s="389"/>
      <c r="CJ10" s="389"/>
      <c r="CK10" s="389"/>
      <c r="CL10" s="389"/>
      <c r="CM10" s="389"/>
      <c r="CN10" s="389"/>
      <c r="CO10" s="389"/>
      <c r="CP10" s="389"/>
      <c r="CQ10" s="389"/>
      <c r="CR10" s="389"/>
      <c r="CS10" s="415"/>
      <c r="CT10" s="389"/>
      <c r="CU10" s="389"/>
      <c r="CV10" s="389"/>
      <c r="CW10" s="389"/>
      <c r="CX10" s="389"/>
      <c r="CY10" s="389"/>
      <c r="CZ10" s="389"/>
      <c r="DA10" s="389"/>
      <c r="DB10" s="389"/>
      <c r="DC10" s="389"/>
      <c r="DD10" s="389"/>
      <c r="DE10" s="389"/>
      <c r="DF10" s="389"/>
      <c r="DG10" s="389"/>
      <c r="DH10" s="389"/>
      <c r="DI10" s="389"/>
      <c r="DJ10" s="389"/>
      <c r="DK10" s="389"/>
      <c r="DL10" s="389"/>
      <c r="DM10" s="389"/>
      <c r="DN10" s="389"/>
      <c r="DO10" s="414"/>
      <c r="DP10" s="39"/>
      <c r="DQ10" s="39"/>
      <c r="DR10" s="39"/>
      <c r="DS10" s="136"/>
      <c r="DT10" s="136"/>
      <c r="DU10" s="136"/>
      <c r="DV10" s="136"/>
      <c r="DW10" s="136"/>
      <c r="DX10" s="136"/>
      <c r="DY10" s="136"/>
      <c r="DZ10" s="136"/>
      <c r="EA10" s="136"/>
      <c r="EB10" s="136"/>
      <c r="EC10" s="136"/>
      <c r="ED10" s="136"/>
      <c r="EE10" s="136"/>
      <c r="EF10" s="136"/>
      <c r="EG10" s="136"/>
      <c r="EH10" s="136"/>
      <c r="EI10" s="136"/>
      <c r="EJ10" s="136"/>
      <c r="EK10" s="136"/>
      <c r="EL10" s="136"/>
      <c r="EM10" s="136"/>
      <c r="EN10" s="136"/>
      <c r="EO10" s="136"/>
      <c r="EP10" s="136"/>
      <c r="EQ10" s="136"/>
      <c r="ER10" s="136"/>
      <c r="ES10" s="136"/>
      <c r="ET10" s="136"/>
      <c r="EU10" s="136"/>
      <c r="EV10" s="136"/>
      <c r="EW10" s="136"/>
      <c r="EX10" s="136"/>
      <c r="EY10" s="136"/>
      <c r="EZ10" s="136"/>
      <c r="FA10" s="136"/>
      <c r="FB10" s="136"/>
      <c r="FC10" s="136"/>
      <c r="FD10" s="136"/>
      <c r="FE10" s="136"/>
      <c r="FF10" s="136"/>
      <c r="FG10" s="136"/>
      <c r="FH10" s="136"/>
      <c r="FI10" s="136"/>
      <c r="FJ10" s="136"/>
      <c r="FK10" s="136"/>
      <c r="FL10" s="136"/>
      <c r="FM10" s="136"/>
      <c r="FN10" s="136"/>
      <c r="FO10" s="136"/>
      <c r="FP10" s="136"/>
      <c r="FQ10" s="136"/>
      <c r="FR10" s="412"/>
      <c r="FS10" s="412"/>
      <c r="FT10" s="412"/>
      <c r="FU10" s="412"/>
      <c r="FV10" s="412"/>
      <c r="FW10" s="412"/>
      <c r="FX10" s="412"/>
      <c r="FY10" s="412"/>
      <c r="FZ10" s="412"/>
      <c r="GA10" s="412"/>
      <c r="GB10" s="412"/>
      <c r="GC10" s="412"/>
      <c r="GD10" s="412"/>
      <c r="GE10" s="412"/>
      <c r="GF10" s="412"/>
      <c r="GG10" s="412"/>
      <c r="GH10" s="412"/>
      <c r="GI10" s="412"/>
      <c r="GJ10" s="412"/>
      <c r="GK10" s="412"/>
      <c r="GL10" s="412"/>
      <c r="GM10" s="412"/>
      <c r="GN10" s="412"/>
      <c r="GO10" s="412"/>
      <c r="GP10" s="412"/>
      <c r="GQ10" s="412"/>
      <c r="GR10" s="412"/>
      <c r="GS10" s="412"/>
      <c r="GT10" s="412"/>
      <c r="GU10" s="412"/>
      <c r="GV10" s="412"/>
      <c r="GW10" s="412"/>
      <c r="GX10" s="412"/>
      <c r="GY10" s="412"/>
      <c r="GZ10" s="412"/>
      <c r="HA10" s="412"/>
      <c r="HB10" s="412"/>
      <c r="HC10" s="412"/>
      <c r="HD10" s="412"/>
      <c r="HE10" s="412"/>
      <c r="HF10" s="412"/>
      <c r="HG10" s="412"/>
      <c r="HH10" s="412"/>
      <c r="HI10" s="412"/>
      <c r="HJ10" s="412"/>
      <c r="HK10" s="412"/>
      <c r="HL10" s="412"/>
      <c r="HM10" s="412"/>
      <c r="HN10" s="412"/>
      <c r="HO10" s="412"/>
      <c r="HP10" s="412"/>
      <c r="HQ10" s="412"/>
      <c r="HR10" s="412"/>
      <c r="HS10" s="412"/>
      <c r="HT10" s="412"/>
      <c r="HU10" s="278"/>
      <c r="HV10" s="277"/>
      <c r="HW10" s="277"/>
      <c r="HX10" s="277"/>
      <c r="HY10" s="277"/>
      <c r="HZ10" s="277"/>
      <c r="IA10" s="277"/>
      <c r="IB10" s="277"/>
      <c r="IC10" s="277"/>
      <c r="ID10" s="412"/>
      <c r="IE10" s="412"/>
      <c r="IF10" s="412"/>
      <c r="IG10" s="412"/>
      <c r="IH10" s="412"/>
      <c r="II10" s="412"/>
      <c r="IJ10" s="412"/>
      <c r="IK10" s="412"/>
      <c r="IL10" s="412"/>
      <c r="IM10" s="412"/>
      <c r="IN10" s="412"/>
      <c r="IO10" s="412"/>
      <c r="IP10" s="412"/>
      <c r="IQ10" s="389"/>
      <c r="IR10" s="389"/>
      <c r="IS10" s="389"/>
      <c r="IT10" s="389"/>
      <c r="IU10" s="389"/>
      <c r="IV10" s="389"/>
      <c r="IW10" s="389"/>
      <c r="IX10" s="389"/>
      <c r="IY10" s="389"/>
      <c r="IZ10" s="389"/>
      <c r="JA10" s="389"/>
      <c r="JB10" s="389"/>
      <c r="JC10" s="389"/>
      <c r="JD10" s="389"/>
      <c r="JE10" s="389"/>
      <c r="JF10" s="389"/>
      <c r="JG10" s="389"/>
      <c r="JH10" s="389"/>
      <c r="JI10" s="389"/>
      <c r="JJ10" s="389"/>
      <c r="JK10" s="389"/>
      <c r="JL10" s="389"/>
      <c r="JM10" s="389"/>
      <c r="JN10" s="389"/>
      <c r="JO10" s="389"/>
      <c r="JT10" s="553"/>
    </row>
    <row r="11" spans="1:302" s="1" customFormat="1" ht="12" customHeight="1" collapsed="1">
      <c r="A11" s="522">
        <v>2027</v>
      </c>
      <c r="B11" s="508"/>
      <c r="C11" s="521"/>
      <c r="D11" s="250"/>
      <c r="E11" s="520"/>
      <c r="F11" s="519"/>
      <c r="G11" s="966"/>
      <c r="H11" s="966"/>
      <c r="I11" s="519"/>
      <c r="J11" s="966"/>
      <c r="K11" s="260"/>
      <c r="L11" s="260"/>
      <c r="M11" s="260"/>
      <c r="N11" s="260"/>
      <c r="O11" s="260"/>
      <c r="P11" s="518" t="s">
        <v>30</v>
      </c>
      <c r="Q11" s="517"/>
      <c r="R11" s="517"/>
      <c r="S11" s="516"/>
      <c r="T11" s="966"/>
      <c r="U11" s="516"/>
      <c r="V11" s="516"/>
      <c r="W11" s="516"/>
      <c r="X11" s="516"/>
      <c r="Y11" s="516"/>
      <c r="Z11" s="516"/>
      <c r="AA11" s="516"/>
      <c r="AB11" s="515"/>
      <c r="AC11" s="966"/>
      <c r="AD11" s="514"/>
      <c r="AE11" s="966"/>
      <c r="AF11" s="513"/>
      <c r="AG11" s="513"/>
      <c r="AH11" s="512"/>
      <c r="AI11" s="511"/>
      <c r="AJ11" s="469"/>
      <c r="AK11" s="510"/>
      <c r="AL11" s="509"/>
      <c r="AM11" s="374"/>
      <c r="AN11" s="508"/>
      <c r="AO11" s="250"/>
      <c r="AP11" s="249"/>
      <c r="AQ11" s="249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HU11" s="10"/>
      <c r="JT11" s="380"/>
    </row>
    <row r="12" spans="1:302" ht="5.0999999999999996" customHeight="1" collapsed="1">
      <c r="D12" s="23"/>
      <c r="M12" s="223"/>
      <c r="N12" s="223"/>
      <c r="O12" s="223"/>
      <c r="P12" s="318" t="s">
        <v>30</v>
      </c>
      <c r="Q12" s="526"/>
      <c r="R12" s="526"/>
      <c r="S12" s="23"/>
      <c r="AB12" s="9"/>
      <c r="AH12" s="409"/>
      <c r="AI12" s="608"/>
      <c r="AJ12" s="80"/>
      <c r="AK12" s="523"/>
      <c r="AM12" s="606"/>
      <c r="AN12" s="23"/>
      <c r="AQ12" s="23"/>
      <c r="AR12" s="18"/>
      <c r="AS12" s="15"/>
      <c r="AU12" s="18"/>
      <c r="AV12" s="18"/>
      <c r="AW12" s="18"/>
      <c r="AX12" s="18"/>
      <c r="AY12" s="18"/>
      <c r="AZ12" s="18"/>
      <c r="BB12" s="18"/>
      <c r="BC12" s="18"/>
      <c r="BD12" s="18"/>
      <c r="BE12" s="18"/>
      <c r="BF12" s="18"/>
      <c r="BH12" s="18"/>
      <c r="BI12" s="18"/>
      <c r="BJ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32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32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606"/>
      <c r="JS12" s="553"/>
    </row>
    <row r="13" spans="1:302" ht="11.1" customHeight="1">
      <c r="A13" s="826" t="s">
        <v>490</v>
      </c>
      <c r="B13" s="809" t="s">
        <v>194</v>
      </c>
      <c r="C13" s="495">
        <v>46437</v>
      </c>
      <c r="D13" s="201">
        <v>45232</v>
      </c>
      <c r="E13" s="808">
        <v>90.876660000000001</v>
      </c>
      <c r="F13" s="561">
        <v>2.6249999999999999E-2</v>
      </c>
      <c r="G13" s="383">
        <v>1000</v>
      </c>
      <c r="H13" s="492">
        <f>G13</f>
        <v>1000</v>
      </c>
      <c r="I13" s="385">
        <f>G13*F13/100*F18</f>
        <v>19.425000000000001</v>
      </c>
      <c r="J13" s="492">
        <f>I13</f>
        <v>19.425000000000001</v>
      </c>
      <c r="K13" s="574" t="s">
        <v>193</v>
      </c>
      <c r="L13" s="833">
        <f>MONTH(C13)</f>
        <v>2</v>
      </c>
      <c r="M13" s="842" t="str">
        <f>IFERROR(IF(N13&gt;12,N13-12,N13),"")</f>
        <v/>
      </c>
      <c r="N13" s="842" t="str">
        <f>IF(K15=1,"",MONTH(C13)+6)</f>
        <v/>
      </c>
      <c r="O13" s="832">
        <f>IF(K15=1,I13,I13/2)</f>
        <v>19.425000000000001</v>
      </c>
      <c r="P13" s="215">
        <f>VLOOKUP(B14,[2]Prezzi!$A$2:$R$125,18,FALSE)</f>
        <v>98.325000762939453</v>
      </c>
      <c r="Q13" s="526"/>
      <c r="R13" s="526"/>
      <c r="S13" s="493">
        <f ca="1">MAX(0,IF(B18=5,I13/AM15*X13,(((((F13)*AF$2)/365)*G13*F18/100)+((((F13)*X18)/365)*G13*F18/100))))</f>
        <v>14.262739726027405</v>
      </c>
      <c r="T13" s="492">
        <f ca="1">S13</f>
        <v>14.262739726027405</v>
      </c>
      <c r="U13" s="469"/>
      <c r="V13" s="4"/>
      <c r="W13" s="469"/>
      <c r="X13" s="491">
        <f ca="1">IF(B18=4,COUPDAYBS($AB$2,C13,K15,AH17),IF($AB$2-AL13&lt;365,IF(K15&gt;1,FLOOR(365/K15-(E15-AB$2),1),IF(B18=2,0,IF(AL13&gt;$AB$2,0,IF(AND(E15-AL13&lt;365,$AB$2&lt;E15),$AB$2-AL13,COUPDAYBS($AB$2,C13,K15,AH17))))),COUPDAYBS($AB$2,C13,K15,AH17)))</f>
        <v>268</v>
      </c>
      <c r="Y13" s="456">
        <f ca="1">G13*AF13</f>
        <v>2137.9995077690151</v>
      </c>
      <c r="Z13" s="456">
        <f ca="1">IF(G13=0,"0",G13*AG13)</f>
        <v>25.166874923581627</v>
      </c>
      <c r="AA13" s="22"/>
      <c r="AB13" s="979">
        <f ca="1">IF(B18=5,(((I13/AM16)*X13)+(G13)),(G13*P13*A18/100)+(S13*A18))</f>
        <v>997.51274735542188</v>
      </c>
      <c r="AC13" s="383">
        <f ca="1">AB13</f>
        <v>997.51274735542188</v>
      </c>
      <c r="AD13" s="156">
        <f>IF(E14="",((P13-E13)/100)*G13,((((P13-E13)/100)*A14)/F14)+((A14/F14)-(A14/E14)))</f>
        <v>74.48340762939452</v>
      </c>
      <c r="AE13" s="383">
        <f>AD13</f>
        <v>74.48340762939452</v>
      </c>
      <c r="AF13" s="446">
        <f ca="1">IF(B18=1,MDURATION($AB$2,C13,F13,AG13,K15,AH17),IF(B18=2,YEARFRAC(C13,$AB$2,AH17)))</f>
        <v>2.137999507769015</v>
      </c>
      <c r="AG13" s="824">
        <f ca="1">YIELD(AB$2,C13,F13,P13,AL15,K15,AH17)*F18/100</f>
        <v>2.5166874923581627E-2</v>
      </c>
      <c r="AH13" s="489">
        <f ca="1">(((F13)*X13)/365)*F18</f>
        <v>1.4262739726027398</v>
      </c>
      <c r="AI13" s="573"/>
      <c r="AJ13" s="180"/>
      <c r="AK13" s="546"/>
      <c r="AL13" s="245">
        <v>44246</v>
      </c>
      <c r="AM13" s="820" t="s">
        <v>469</v>
      </c>
      <c r="AN13" s="213">
        <v>53.7</v>
      </c>
      <c r="AO13" s="484">
        <f>IF(B18=4,AP16*A15/100,IF(AF15=1,G13*AP16/100,A14/E14/100*AP16))</f>
        <v>18.698629999999998</v>
      </c>
      <c r="AP13" s="188">
        <f>IF(B18=2,AN18+AN13+AN14+AP14,AN18+AN13+AN14+AO13+AO14+AP14)</f>
        <v>979.80358620000004</v>
      </c>
      <c r="AQ13" s="326">
        <f>AP13</f>
        <v>979.80358620000004</v>
      </c>
      <c r="AR13" s="483">
        <f>AR15+AR17+AR14</f>
        <v>1019.425</v>
      </c>
      <c r="AS13" s="825">
        <f ca="1">AG13</f>
        <v>2.5166874923581627E-2</v>
      </c>
      <c r="AT13" s="419">
        <f>IF(B18=1,G13,"")</f>
        <v>1000</v>
      </c>
      <c r="AU13" s="420" t="str">
        <f>IF(B18=2,G13,"")</f>
        <v/>
      </c>
      <c r="AV13" s="223" t="str">
        <f>IF(B18=3,G13,"")</f>
        <v/>
      </c>
      <c r="AW13" s="420" t="str">
        <f>IF(B18=4,G13,"")</f>
        <v/>
      </c>
      <c r="AX13" s="417" t="str">
        <f>IF(B18=5,G13,"")</f>
        <v/>
      </c>
      <c r="AY13" s="420" t="str">
        <f>IF(B18=6,G13,"")</f>
        <v/>
      </c>
      <c r="AZ13" s="223" t="str">
        <f>IF(B18=7,G13,"")</f>
        <v/>
      </c>
      <c r="BA13" s="419" t="str">
        <f>IF(B15=1,G13,"")</f>
        <v/>
      </c>
      <c r="BB13" s="223" t="str">
        <f>IF(B15=2,G13,"")</f>
        <v/>
      </c>
      <c r="BC13" s="223" t="str">
        <f>IF(B15=3,G13,"")</f>
        <v/>
      </c>
      <c r="BD13" s="223" t="str">
        <f>IF(B15=4,G13,"")</f>
        <v/>
      </c>
      <c r="BE13" s="223" t="str">
        <f>IF(B15=5,G13,"")</f>
        <v/>
      </c>
      <c r="BF13" s="417">
        <f>IF(B15=6,G13,"")</f>
        <v>1000</v>
      </c>
      <c r="BG13" s="419">
        <f>IF(AK18=1,G13,"")</f>
        <v>1000</v>
      </c>
      <c r="BH13" s="223" t="str">
        <f>IF(AK18=2,G13,"")</f>
        <v/>
      </c>
      <c r="BI13" s="223" t="str">
        <f>IF(AK18=3,G13,"")</f>
        <v/>
      </c>
      <c r="BJ13" s="223" t="str">
        <f>IF(AK18=4,G13,"")</f>
        <v/>
      </c>
      <c r="BK13" s="419" t="str">
        <f>IF(AJ17=1,G13,"")</f>
        <v/>
      </c>
      <c r="BL13" s="482" t="str">
        <f>IF(BK13&lt;&gt;"",AB13,"")</f>
        <v/>
      </c>
      <c r="BM13" s="223" t="str">
        <f>IF(AJ17=2,G13,"")</f>
        <v/>
      </c>
      <c r="BN13" s="223" t="str">
        <f>IF(BM13&lt;&gt;"",AB13,"")</f>
        <v/>
      </c>
      <c r="BO13" s="223" t="str">
        <f>IF(AJ17=3,G13,"")</f>
        <v/>
      </c>
      <c r="BP13" s="223" t="str">
        <f>IF(AJ17=4,G13,"")</f>
        <v/>
      </c>
      <c r="BQ13" s="223" t="str">
        <f>IF(AJ17=5,G13,"")</f>
        <v/>
      </c>
      <c r="BR13" s="223" t="str">
        <f>IF(AJ17=6,G13,"")</f>
        <v/>
      </c>
      <c r="BS13" s="223" t="str">
        <f>IF(AJ17=7,G13,"")</f>
        <v/>
      </c>
      <c r="BT13" s="223" t="str">
        <f>IF(AJ17=8,G13,"")</f>
        <v/>
      </c>
      <c r="BU13" s="223" t="str">
        <f>IF(AJ17=9,G13,"")</f>
        <v/>
      </c>
      <c r="BV13" s="223" t="str">
        <f>IF(AJ17=10,G13,"")</f>
        <v/>
      </c>
      <c r="BW13" s="223">
        <f>IF(AJ17=11,G13,"")</f>
        <v>1000</v>
      </c>
      <c r="BX13" s="419">
        <f>IF(AF15=1,G13,"")</f>
        <v>1000</v>
      </c>
      <c r="BY13" s="223" t="str">
        <f>IF(AF15=2,G13,"")</f>
        <v/>
      </c>
      <c r="BZ13" s="223" t="str">
        <f>IF(AF15=3,G13,"")</f>
        <v/>
      </c>
      <c r="CA13" s="223" t="str">
        <f>IF(AF15=4,G13,"")</f>
        <v/>
      </c>
      <c r="CB13" s="223" t="str">
        <f>IF(AF15=5,G13,"")</f>
        <v/>
      </c>
      <c r="CC13" s="223" t="str">
        <f>IF(AF15=6,G13,"")</f>
        <v/>
      </c>
      <c r="CD13" s="223" t="str">
        <f>IF(AF15=7,G13,"")</f>
        <v/>
      </c>
      <c r="CE13" s="223" t="str">
        <f>IF(AF15=8,G13,"")</f>
        <v/>
      </c>
      <c r="CF13" s="223" t="str">
        <f>IF(AF15=9,G13,"")</f>
        <v/>
      </c>
      <c r="CG13" s="223" t="str">
        <f>IF(AF15=10,G13,"")</f>
        <v/>
      </c>
      <c r="CH13" s="223" t="str">
        <f>IF(AF15=11,G13,"")</f>
        <v/>
      </c>
      <c r="CI13" s="223" t="str">
        <f>IF(AF15=12,G13,"")</f>
        <v/>
      </c>
      <c r="CJ13" s="223" t="str">
        <f>IF(AF15=13,G13,"")</f>
        <v/>
      </c>
      <c r="CK13" s="223" t="str">
        <f>IF(AF15=14,G13,"")</f>
        <v/>
      </c>
      <c r="CL13" s="223" t="str">
        <f>IF(AF15=15,G13,"")</f>
        <v/>
      </c>
      <c r="CM13" s="223" t="str">
        <f>IF(AF15=16,G13,"")</f>
        <v/>
      </c>
      <c r="CN13" s="223" t="str">
        <f>IF(AF15=17,G13,"")</f>
        <v/>
      </c>
      <c r="CO13" s="223" t="str">
        <f>IF(AF15=18,G13,"")</f>
        <v/>
      </c>
      <c r="CP13" s="223" t="str">
        <f>IF(AF15=19,G13,"")</f>
        <v/>
      </c>
      <c r="CQ13" s="223" t="str">
        <f>IF(AF15=20,G13,"")</f>
        <v/>
      </c>
      <c r="CR13" s="223" t="str">
        <f>IF(AF15=21,G13,"")</f>
        <v/>
      </c>
      <c r="CS13" s="419">
        <f>IF(K18=1,G13,"")</f>
        <v>1000</v>
      </c>
      <c r="CT13" s="223" t="str">
        <f>IF(K18=2,G13,"")</f>
        <v/>
      </c>
      <c r="CU13" s="223" t="str">
        <f>IF(K18=3,G13,"")</f>
        <v/>
      </c>
      <c r="CV13" s="223" t="str">
        <f>IF(K18=4,G13,"")</f>
        <v/>
      </c>
      <c r="CW13" s="223" t="str">
        <f>IF(K18=5,G13,"")</f>
        <v/>
      </c>
      <c r="CX13" s="223" t="str">
        <f>IF(K18=6,G13,"")</f>
        <v/>
      </c>
      <c r="CY13" s="223" t="str">
        <f>IF(K18=7,G13,"")</f>
        <v/>
      </c>
      <c r="CZ13" s="223" t="str">
        <f>IF(K18=8,G13,"")</f>
        <v/>
      </c>
      <c r="DA13" s="223" t="str">
        <f>IF(K18=9,G13,"")</f>
        <v/>
      </c>
      <c r="DB13" s="223" t="str">
        <f>IF(K18=10,G13,"")</f>
        <v/>
      </c>
      <c r="DC13" s="223" t="str">
        <f>IF(K18=11,G13,"")</f>
        <v/>
      </c>
      <c r="DD13" s="223" t="str">
        <f>IF(K18=12,G13,"")</f>
        <v/>
      </c>
      <c r="DE13" s="223" t="str">
        <f>IF(K18=13,G13,"")</f>
        <v/>
      </c>
      <c r="DF13" s="223" t="str">
        <f>IF(K18=14,G13,"")</f>
        <v/>
      </c>
      <c r="DG13" s="223" t="str">
        <f>IF(K18=15,G13,"")</f>
        <v/>
      </c>
      <c r="DH13" s="223" t="str">
        <f>IF(K18=16,G13,"")</f>
        <v/>
      </c>
      <c r="DI13" s="223" t="str">
        <f>IF(K18=17,G13,"")</f>
        <v/>
      </c>
      <c r="DJ13" s="223" t="str">
        <f>IF(K18=18,G13,"")</f>
        <v/>
      </c>
      <c r="DK13" s="223" t="str">
        <f>IF(K18=19,G13,"")</f>
        <v/>
      </c>
      <c r="DL13" s="223" t="str">
        <f>IF(K18=20,G13,"")</f>
        <v/>
      </c>
      <c r="DM13" s="223"/>
      <c r="DN13" s="223" t="str">
        <f>IF(K18=22,G13,"")</f>
        <v/>
      </c>
      <c r="DO13" s="136" t="str">
        <f>IF(I15=23,#REF!,"")</f>
        <v/>
      </c>
      <c r="DP13" s="136" t="str">
        <f>IF(I15=24,#REF!,"")</f>
        <v/>
      </c>
      <c r="DQ13" s="136" t="str">
        <f>IF(I15=25,#REF!,"")</f>
        <v/>
      </c>
      <c r="DR13" s="136" t="str">
        <f>IF(I15=26,#REF!,"")</f>
        <v/>
      </c>
      <c r="DS13" s="136" t="str">
        <f>IF(I15=27,#REF!,"")</f>
        <v/>
      </c>
      <c r="DT13" s="136" t="str">
        <f>IF(I15=28,#REF!,"")</f>
        <v/>
      </c>
      <c r="DU13" s="136" t="str">
        <f>IF(I15=29,#REF!,"")</f>
        <v/>
      </c>
      <c r="DV13" s="136" t="str">
        <f>IF(I15=30,#REF!,"")</f>
        <v/>
      </c>
      <c r="DW13" s="136" t="str">
        <f>IF(I15=31,#REF!,"")</f>
        <v/>
      </c>
      <c r="DX13" s="136" t="str">
        <f>IF(I15=32,#REF!,"")</f>
        <v/>
      </c>
      <c r="DY13" s="136" t="str">
        <f>IF(I15=33,#REF!,"")</f>
        <v/>
      </c>
      <c r="DZ13" s="136" t="str">
        <f>IF(I15=34,#REF!,"")</f>
        <v/>
      </c>
      <c r="EA13" s="136" t="str">
        <f>IF(I15=35,#REF!,"")</f>
        <v/>
      </c>
      <c r="EB13" s="136" t="str">
        <f>IF(I15=36,#REF!,"")</f>
        <v/>
      </c>
      <c r="EC13" s="136" t="str">
        <f>IF(I15=37,#REF!,"")</f>
        <v/>
      </c>
      <c r="ED13" s="136" t="str">
        <f>IF(I15=38,#REF!,"")</f>
        <v/>
      </c>
      <c r="EE13" s="136" t="str">
        <f>IF(I15=39,#REF!,"")</f>
        <v/>
      </c>
      <c r="EF13" s="136" t="str">
        <f>IF(I15=40,#REF!,"")</f>
        <v/>
      </c>
      <c r="EG13" s="136" t="str">
        <f>IF(I15=41,#REF!,"")</f>
        <v/>
      </c>
      <c r="EH13" s="136" t="str">
        <f>IF(I15=42,#REF!,"")</f>
        <v/>
      </c>
      <c r="EI13" s="136" t="str">
        <f>IF(I15=43,#REF!,"")</f>
        <v/>
      </c>
      <c r="EJ13" s="136" t="str">
        <f>IF(I15=44,#REF!,"")</f>
        <v/>
      </c>
      <c r="EK13" s="136" t="str">
        <f>IF(I15=45,#REF!,"")</f>
        <v/>
      </c>
      <c r="EL13" s="136" t="str">
        <f>IF(I15=46,#REF!,"")</f>
        <v/>
      </c>
      <c r="EM13" s="136" t="str">
        <f>IF(I15=47,#REF!,"")</f>
        <v/>
      </c>
      <c r="EN13" s="136" t="str">
        <f>IF(I15=48,#REF!,"")</f>
        <v/>
      </c>
      <c r="EO13" s="136" t="str">
        <f>IF(I15=49,#REF!,"")</f>
        <v/>
      </c>
      <c r="EP13" s="136" t="str">
        <f>IF(I15=50,#REF!,"")</f>
        <v/>
      </c>
      <c r="EQ13" s="136" t="str">
        <f>IF(I15=51,#REF!,"")</f>
        <v/>
      </c>
      <c r="ER13" s="136" t="str">
        <f>IF(I15=52,#REF!,"")</f>
        <v/>
      </c>
      <c r="ES13" s="136" t="str">
        <f>IF(I15=53,#REF!,"")</f>
        <v/>
      </c>
      <c r="ET13" s="136" t="str">
        <f>IF(I15=54,#REF!,"")</f>
        <v/>
      </c>
      <c r="EU13" s="136" t="str">
        <f>IF(I15=55,#REF!,"")</f>
        <v/>
      </c>
      <c r="EV13" s="412" t="str">
        <f>IF(I15=56,#REF!,"")</f>
        <v/>
      </c>
      <c r="EW13" s="412" t="str">
        <f>IF(I15=57,#REF!,"")</f>
        <v/>
      </c>
      <c r="EX13" s="412" t="str">
        <f>IF(I15=58,#REF!,"")</f>
        <v/>
      </c>
      <c r="EY13" s="412" t="str">
        <f>IF(I15=59,#REF!,"")</f>
        <v/>
      </c>
      <c r="EZ13" s="412" t="str">
        <f>IF(I15=60,#REF!,"")</f>
        <v/>
      </c>
      <c r="FA13" s="412" t="str">
        <f>IF(I15=61,#REF!,"")</f>
        <v/>
      </c>
      <c r="FB13" s="412" t="str">
        <f>IF(I15=62,#REF!,"")</f>
        <v/>
      </c>
      <c r="FC13" s="412" t="str">
        <f>IF(I15=63,#REF!,"")</f>
        <v/>
      </c>
      <c r="FD13" s="412" t="str">
        <f>IF(I15=64,#REF!,"")</f>
        <v/>
      </c>
      <c r="FE13" s="412" t="str">
        <f>IF(I15=65,#REF!,"")</f>
        <v/>
      </c>
      <c r="FF13" s="412" t="str">
        <f>IF(I15=66,#REF!,"")</f>
        <v/>
      </c>
      <c r="FG13" s="412" t="str">
        <f>IF(I15=67,#REF!,"")</f>
        <v/>
      </c>
      <c r="FH13" s="412" t="str">
        <f>IF(I15=68,#REF!,"")</f>
        <v/>
      </c>
      <c r="FI13" s="412" t="str">
        <f>IF(I15=69,#REF!,"")</f>
        <v/>
      </c>
      <c r="FJ13" s="412" t="str">
        <f>IF(I15=70,#REF!,"")</f>
        <v/>
      </c>
      <c r="FK13" s="412" t="str">
        <f>IF(I15=71,#REF!,"")</f>
        <v/>
      </c>
      <c r="FL13" s="412" t="str">
        <f>IF(I15=72,#REF!,"")</f>
        <v/>
      </c>
      <c r="FM13" s="412" t="str">
        <f>IF(I15=73,#REF!,"")</f>
        <v/>
      </c>
      <c r="FN13" s="412" t="str">
        <f>IF(I15=74,#REF!,"")</f>
        <v/>
      </c>
      <c r="FO13" s="412" t="str">
        <f>IF(I15=75,#REF!,"")</f>
        <v/>
      </c>
      <c r="FP13" s="412" t="str">
        <f>IF(I15=76,#REF!,"")</f>
        <v/>
      </c>
      <c r="FQ13" s="412" t="str">
        <f>IF(I15=77,#REF!,"")</f>
        <v/>
      </c>
      <c r="FR13" s="412" t="str">
        <f>IF(I15=78,#REF!,"")</f>
        <v/>
      </c>
      <c r="FS13" s="412" t="str">
        <f>IF(I15=79,#REF!,"")</f>
        <v/>
      </c>
      <c r="FT13" s="412" t="str">
        <f>IF(I15=80,#REF!,"")</f>
        <v/>
      </c>
      <c r="FU13" s="412" t="str">
        <f>IF(I15=81,#REF!,"")</f>
        <v/>
      </c>
      <c r="FV13" s="412" t="str">
        <f>IF(I15=82,#REF!,"")</f>
        <v/>
      </c>
      <c r="FW13" s="412" t="str">
        <f>IF(I15=83,#REF!,"")</f>
        <v/>
      </c>
      <c r="FX13" s="412" t="str">
        <f>IF(I15=84,#REF!,"")</f>
        <v/>
      </c>
      <c r="FY13" s="412" t="str">
        <f>IF(I15=85,#REF!,"")</f>
        <v/>
      </c>
      <c r="FZ13" s="412" t="str">
        <f>IF(I15=86,#REF!,"")</f>
        <v/>
      </c>
      <c r="GA13" s="412" t="str">
        <f>IF(I15=87,#REF!,"")</f>
        <v/>
      </c>
      <c r="GB13" s="412" t="str">
        <f>IF(I15=88,#REF!,"")</f>
        <v/>
      </c>
      <c r="GC13" s="412" t="str">
        <f>IF(I15=89,#REF!,"")</f>
        <v/>
      </c>
      <c r="GD13" s="412" t="str">
        <f>IF(I15=90,#REF!,"")</f>
        <v/>
      </c>
      <c r="GE13" s="412" t="str">
        <f>IF(I15=91,#REF!,"")</f>
        <v/>
      </c>
      <c r="GF13" s="412" t="str">
        <f>IF(I15=92,#REF!,"")</f>
        <v/>
      </c>
      <c r="GG13" s="412" t="str">
        <f>IF(I15=93,#REF!,"")</f>
        <v/>
      </c>
      <c r="GH13" s="412" t="str">
        <f>IF(I15=94,#REF!,"")</f>
        <v/>
      </c>
      <c r="GI13" s="412" t="str">
        <f>IF(I15=95,#REF!,"")</f>
        <v/>
      </c>
      <c r="GJ13" s="412" t="str">
        <f>IF(I15=96,#REF!,"")</f>
        <v/>
      </c>
      <c r="GK13" s="412" t="str">
        <f>IF(I15=97,#REF!,"")</f>
        <v/>
      </c>
      <c r="GL13" s="412" t="str">
        <f>IF(I15=98,#REF!,"")</f>
        <v/>
      </c>
      <c r="GM13" s="412" t="str">
        <f>IF(I15=99,#REF!,"")</f>
        <v/>
      </c>
      <c r="GN13" s="412" t="str">
        <f>IF(AG15=78,G13,"")</f>
        <v/>
      </c>
      <c r="GO13" s="412" t="str">
        <f>IF(AG15=79,G13,"")</f>
        <v/>
      </c>
      <c r="GP13" s="412" t="str">
        <f>IF(AG15=80,G13,"")</f>
        <v/>
      </c>
      <c r="GQ13" s="412" t="str">
        <f>IF(AG15=81,G13,"")</f>
        <v/>
      </c>
      <c r="GR13" s="412" t="str">
        <f>IF(AG15=82,G13,"")</f>
        <v/>
      </c>
      <c r="GS13" s="412" t="str">
        <f>IF(AG15=83,G13,"")</f>
        <v/>
      </c>
      <c r="GT13" s="412" t="str">
        <f>IF(AG15=84,G13,"")</f>
        <v/>
      </c>
      <c r="GU13" s="412" t="str">
        <f>IF(AG15=85,G13,"")</f>
        <v/>
      </c>
      <c r="GV13" s="412" t="str">
        <f>IF(AG15=86,G13,"")</f>
        <v/>
      </c>
      <c r="GW13" s="412"/>
      <c r="GX13" s="412"/>
      <c r="GY13" s="412"/>
      <c r="GZ13" s="412"/>
      <c r="HA13" s="412"/>
      <c r="HB13" s="412"/>
      <c r="HC13" s="412" t="str">
        <f>IF(AG15=93,G13,"")</f>
        <v/>
      </c>
      <c r="HD13" s="412" t="str">
        <f>IF(AG15=94,G13,"")</f>
        <v/>
      </c>
      <c r="HE13" s="412" t="str">
        <f>IF(AG15=95,G13,"")</f>
        <v/>
      </c>
      <c r="HF13" s="412" t="str">
        <f>IF(AG15=96,G13,"")</f>
        <v/>
      </c>
      <c r="HG13" s="412" t="str">
        <f>IF(AG15=97,G13,"")</f>
        <v/>
      </c>
      <c r="HH13" s="412" t="str">
        <f>IF(AG15=98,G13,"")</f>
        <v/>
      </c>
      <c r="HI13" s="412" t="str">
        <f>IF(AG15=99,G13,"")</f>
        <v/>
      </c>
      <c r="HJ13" s="412" t="str">
        <f>IF(AG15=100,G13,"")</f>
        <v/>
      </c>
      <c r="HK13" s="412">
        <f>IF(AG15=101,G13,"")</f>
        <v>1000</v>
      </c>
      <c r="HL13" s="412"/>
      <c r="HM13" s="412"/>
      <c r="HN13" s="412"/>
      <c r="HO13" s="412"/>
      <c r="HP13" s="412"/>
      <c r="HQ13" s="412"/>
      <c r="HR13" s="412"/>
      <c r="HS13" s="412"/>
      <c r="HT13" s="412"/>
      <c r="HU13" s="278">
        <f ca="1">IF(AF15=1,AB13,"")</f>
        <v>997.51274735542188</v>
      </c>
      <c r="HV13" s="277" t="str">
        <f>IF(AF15=2,AB13,"")</f>
        <v/>
      </c>
      <c r="HW13" s="277" t="str">
        <f>IF(AF15=3,AB13,"")</f>
        <v/>
      </c>
      <c r="HX13" s="277" t="str">
        <f>IF(AF15=4,AB13,"")</f>
        <v/>
      </c>
      <c r="HY13" s="277" t="str">
        <f>IF(AF15=5,AB13,"")</f>
        <v/>
      </c>
      <c r="HZ13" s="277" t="str">
        <f>IF(AF15=6,AB13,"")</f>
        <v/>
      </c>
      <c r="IA13" s="277" t="str">
        <f>IF(AF15=7,AB13,"")</f>
        <v/>
      </c>
      <c r="IB13" s="277" t="str">
        <f>IF(AF15=8,AB13,"")</f>
        <v/>
      </c>
      <c r="IC13" s="277" t="str">
        <f>IF(AF15=9,AB13,"")</f>
        <v/>
      </c>
      <c r="ID13" s="412" t="str">
        <f>IF(AF15=10,AB13,"")</f>
        <v/>
      </c>
      <c r="IE13" s="223" t="str">
        <f>IF(AF15=11,AB13,"")</f>
        <v/>
      </c>
      <c r="IF13" s="223" t="str">
        <f>IF(AF15=12,AB13,"")</f>
        <v/>
      </c>
      <c r="IG13" s="223" t="str">
        <f>IF(AF15=13,AB13,"")</f>
        <v/>
      </c>
      <c r="IH13" s="223" t="str">
        <f>IF(AF15=14,AB13,"")</f>
        <v/>
      </c>
      <c r="II13" s="223" t="str">
        <f>IF(AF15=15,AB13,"")</f>
        <v/>
      </c>
      <c r="IJ13" s="223" t="str">
        <f>IF(AF15=16,AB13,"")</f>
        <v/>
      </c>
      <c r="IK13" s="223" t="str">
        <f>IF(AF15=17,AB13,"")</f>
        <v/>
      </c>
      <c r="IL13" s="223" t="str">
        <f>IF(AF15=18,AB13,"")</f>
        <v/>
      </c>
      <c r="IM13" s="223" t="str">
        <f>IF(AF15=19,AB13,"")</f>
        <v/>
      </c>
      <c r="IN13" s="223" t="str">
        <f>IF(AF15=20,AB13,"")</f>
        <v/>
      </c>
      <c r="IO13" s="223" t="str">
        <f>IF(AF15=21,AB13,"")</f>
        <v/>
      </c>
      <c r="IP13" s="413"/>
      <c r="IQ13" s="478" t="str">
        <f>IF(G18=6,G13,"")</f>
        <v/>
      </c>
      <c r="IR13" s="317" t="str">
        <f>IF(G18=7,G13,"")</f>
        <v/>
      </c>
      <c r="IS13" s="478" t="str">
        <f>IF(G18=8,G13,"")</f>
        <v/>
      </c>
      <c r="IT13" s="317" t="str">
        <f>IF(G18=9,G13,"")</f>
        <v/>
      </c>
      <c r="IU13" s="478" t="str">
        <f>IF(G18=10,G13,"")</f>
        <v/>
      </c>
      <c r="IV13" s="478" t="str">
        <f>IF(G18=11,G13,"")</f>
        <v/>
      </c>
      <c r="IW13" s="478" t="str">
        <f>IF(G18=12,G13,"")</f>
        <v/>
      </c>
      <c r="IX13" s="478" t="str">
        <f>IF(G18=13,G13,"")</f>
        <v/>
      </c>
      <c r="IY13" s="478" t="str">
        <f>IF(G18=14,G13,"")</f>
        <v/>
      </c>
      <c r="IZ13" s="478" t="str">
        <f>IF(G18=15,G13,"")</f>
        <v/>
      </c>
      <c r="JA13" s="478">
        <f>IF(G18=16,G13,"")</f>
        <v>1000</v>
      </c>
      <c r="JB13" s="478" t="str">
        <f>IF(G18=17,G13,"")</f>
        <v/>
      </c>
      <c r="JC13" s="478" t="str">
        <f>IF(G18=18,G13,"")</f>
        <v/>
      </c>
      <c r="JD13" s="478" t="str">
        <f>IF(G18=19,G13,"")</f>
        <v/>
      </c>
      <c r="JE13" s="478" t="str">
        <f>IF(G18=20,G13,"")</f>
        <v/>
      </c>
      <c r="JF13" s="478" t="str">
        <f>IF(G18=21,G13,"")</f>
        <v/>
      </c>
      <c r="JG13" s="478" t="str">
        <f>IF(G18=22,G13,"")</f>
        <v/>
      </c>
      <c r="JH13" s="478" t="str">
        <f>IF(G18=23,G13,"")</f>
        <v/>
      </c>
      <c r="JI13" s="478" t="str">
        <f>IF(G18=24,G13,"")</f>
        <v/>
      </c>
      <c r="JJ13" s="478" t="str">
        <f>IF(G18=25,G13,"")</f>
        <v/>
      </c>
      <c r="JK13" s="478" t="str">
        <f>IF(G18=26,G13,"")</f>
        <v/>
      </c>
      <c r="JL13" s="478" t="str">
        <f>IF(G18=27,G13,"")</f>
        <v/>
      </c>
      <c r="JM13" s="478" t="str">
        <f>IF(G18=28,G13,"")</f>
        <v/>
      </c>
      <c r="JN13" s="478" t="str">
        <f>IF(G18=29,G13,"")</f>
        <v/>
      </c>
      <c r="JO13" s="478" t="str">
        <f>IF(G18=30,G13,"")</f>
        <v/>
      </c>
      <c r="JP13" s="478"/>
      <c r="JQ13" s="481">
        <f>IF(AND(AJ17=4,K18=1,G18&lt;=3),G13,0)</f>
        <v>0</v>
      </c>
      <c r="JR13" s="445" t="str">
        <f>IF(AF15=2,G13*E14,"")</f>
        <v/>
      </c>
      <c r="JS13" s="544" t="str">
        <f>IF(AF15&gt;1,((A14/F14)-(A14/E14)),"")</f>
        <v/>
      </c>
      <c r="JT13" s="543" t="str">
        <f>IF(AF15=2,((A14/F14)-(A14/E14)),"")</f>
        <v/>
      </c>
      <c r="JU13" s="543" t="str">
        <f>IF(AF15=3,((A14/F14)-(A14/E14)),"")</f>
        <v/>
      </c>
      <c r="JV13" s="543" t="str">
        <f>IF(AF15=4,((A14/F14)-(A14/E14)),"")</f>
        <v/>
      </c>
      <c r="JW13" s="543" t="str">
        <f>IF(AF15=5,((A14/F14)-(A14/E14)),"")</f>
        <v/>
      </c>
      <c r="JX13" s="543" t="str">
        <f>IF(AF15=6,((A14/F14)-(A14/E14)),"")</f>
        <v/>
      </c>
      <c r="JY13" s="543" t="str">
        <f>IF(AF15=7,((A14/F14)-(A14/E14)),"")</f>
        <v/>
      </c>
      <c r="JZ13" s="542" t="str">
        <f>IF(AF15=8,((A14/F14)-(A14/E14)),"")</f>
        <v/>
      </c>
      <c r="KA13" s="542" t="str">
        <f>IF(AF15=9,((A14/F14)-(A14/E14)),"")</f>
        <v/>
      </c>
      <c r="KB13" s="542" t="str">
        <f>IF(AF15=10,((A14/F14)-(A14/E14)),"")</f>
        <v/>
      </c>
      <c r="KC13" s="542" t="str">
        <f>IF(AF15=11,((A14/F14)-(A14/E14)),"")</f>
        <v/>
      </c>
      <c r="KD13" s="542" t="str">
        <f>IF(AF15=12,((A14/F14)-(A14/E14)),"")</f>
        <v/>
      </c>
      <c r="KE13" s="542" t="str">
        <f>IF(AF15=13,((A14/F14)-(A14/E14)),"")</f>
        <v/>
      </c>
      <c r="KF13" s="542" t="str">
        <f>IF(AF15=14,((A14/F14)-(A14/E14)),"")</f>
        <v/>
      </c>
      <c r="KG13" s="542" t="str">
        <f>IF(AF15=15,((A14/F14)-(A14/E14)),"")</f>
        <v/>
      </c>
      <c r="KH13" s="542" t="str">
        <f>IF(AF15=16,((A14/F14)-(A14/E14)),"")</f>
        <v/>
      </c>
      <c r="KI13" s="542" t="str">
        <f>IF(AF15=17,((A14/F14)-(A14/E14)),"")</f>
        <v/>
      </c>
      <c r="KJ13" s="542" t="str">
        <f>IF(AF15=18,((A14/F14)-(A14/E14)),"")</f>
        <v/>
      </c>
      <c r="KK13" s="542" t="str">
        <f>IF(AF15=19,((A14/F14)-(A14/E14)),"")</f>
        <v/>
      </c>
      <c r="KL13" s="542" t="str">
        <f>IF(AF15=20,((A14/F14)-(A14/E14)),"")</f>
        <v/>
      </c>
      <c r="KM13" s="542" t="str">
        <f>IF(AF15=21,((A14/F14)-(A14/E14)),"")</f>
        <v/>
      </c>
      <c r="KN13" s="445"/>
      <c r="KO13" s="445"/>
      <c r="KP13" s="445"/>
    </row>
    <row r="14" spans="1:302" ht="11.1" customHeight="1">
      <c r="A14" s="603"/>
      <c r="B14" s="567" t="s">
        <v>489</v>
      </c>
      <c r="C14" s="933"/>
      <c r="D14" s="828">
        <f>IF(WEEKDAY(D13,2)=4,D13+4,IF(WEEKDAY(D13,2)=5,D13+4,D13+2))</f>
        <v>45236</v>
      </c>
      <c r="E14" s="475"/>
      <c r="F14" s="431"/>
      <c r="G14" s="431"/>
      <c r="H14" s="431"/>
      <c r="I14" s="528"/>
      <c r="J14" s="431"/>
      <c r="K14" s="431"/>
      <c r="L14" s="833"/>
      <c r="M14" s="720"/>
      <c r="N14" s="720"/>
      <c r="O14" s="223"/>
      <c r="P14" s="216"/>
      <c r="Q14" s="280"/>
      <c r="R14" s="280"/>
      <c r="S14" s="4"/>
      <c r="T14" s="431"/>
      <c r="U14" s="469"/>
      <c r="V14" s="4"/>
      <c r="W14" s="469"/>
      <c r="X14" s="442"/>
      <c r="Y14" s="456"/>
      <c r="Z14" s="456"/>
      <c r="AA14" s="22"/>
      <c r="AB14" s="360"/>
      <c r="AC14" s="431"/>
      <c r="AD14" s="825">
        <f>IF(E14="",((P13-E13)/E13),((P13-E13)/E13)+(((1/F14)-(1/E14))/(1/E14)))</f>
        <v>8.1960987154891612E-2</v>
      </c>
      <c r="AE14" s="431"/>
      <c r="AF14" s="279" t="s">
        <v>65</v>
      </c>
      <c r="AG14" s="824"/>
      <c r="AH14" s="993" t="s">
        <v>177</v>
      </c>
      <c r="AI14" s="564"/>
      <c r="AJ14" s="824"/>
      <c r="AK14" s="538"/>
      <c r="AL14" s="22">
        <v>100</v>
      </c>
      <c r="AM14" s="472" t="s">
        <v>176</v>
      </c>
      <c r="AN14" s="213">
        <v>3.5</v>
      </c>
      <c r="AO14" s="179">
        <f>IF(B18=2,"0",AO13*-(100-F17)/100)</f>
        <v>-4.8616437999999995</v>
      </c>
      <c r="AP14" s="463">
        <f>IF(AP15&lt;0,0,AP15*-(100-F17)/100)</f>
        <v>0</v>
      </c>
      <c r="AQ14" s="179"/>
      <c r="AR14" s="179">
        <f>AR17*-(100-F18)/100</f>
        <v>-6.8250000000000002</v>
      </c>
      <c r="AS14" s="471">
        <f>-AP13+AS17+(F13/365*AN17*F18/100)*G13</f>
        <v>89.100948978082158</v>
      </c>
      <c r="AT14" s="419"/>
      <c r="AU14" s="420"/>
      <c r="AV14" s="223"/>
      <c r="AW14" s="420"/>
      <c r="AX14" s="417"/>
      <c r="AY14" s="420"/>
      <c r="AZ14" s="223"/>
      <c r="BA14" s="419"/>
      <c r="BB14" s="223"/>
      <c r="BC14" s="223"/>
      <c r="BD14" s="223"/>
      <c r="BE14" s="223"/>
      <c r="BF14" s="416"/>
      <c r="BG14" s="418"/>
      <c r="BH14" s="416"/>
      <c r="BI14" s="416"/>
      <c r="BJ14" s="416"/>
      <c r="BK14" s="418"/>
      <c r="BL14" s="417"/>
      <c r="BM14" s="417"/>
      <c r="BN14" s="417"/>
      <c r="BO14" s="417"/>
      <c r="BP14" s="417"/>
      <c r="BQ14" s="417"/>
      <c r="BR14" s="417"/>
      <c r="BS14" s="417"/>
      <c r="BT14" s="412"/>
      <c r="BU14" s="412"/>
      <c r="BV14" s="412"/>
      <c r="BW14" s="412"/>
      <c r="BX14" s="415"/>
      <c r="BY14" s="389"/>
      <c r="BZ14" s="389"/>
      <c r="CA14" s="389"/>
      <c r="CB14" s="389"/>
      <c r="CC14" s="389"/>
      <c r="CD14" s="389"/>
      <c r="CE14" s="389"/>
      <c r="CF14" s="389"/>
      <c r="CG14" s="389"/>
      <c r="CH14" s="389"/>
      <c r="CI14" s="389"/>
      <c r="CJ14" s="389"/>
      <c r="CK14" s="389"/>
      <c r="CL14" s="389"/>
      <c r="CM14" s="389"/>
      <c r="CN14" s="389"/>
      <c r="CO14" s="389"/>
      <c r="CP14" s="389"/>
      <c r="CQ14" s="389"/>
      <c r="CR14" s="389"/>
      <c r="CS14" s="415"/>
      <c r="CT14" s="389"/>
      <c r="CU14" s="389"/>
      <c r="CV14" s="389"/>
      <c r="CW14" s="389"/>
      <c r="CX14" s="389"/>
      <c r="CY14" s="389"/>
      <c r="CZ14" s="389"/>
      <c r="DA14" s="389"/>
      <c r="DB14" s="389"/>
      <c r="DC14" s="389"/>
      <c r="DD14" s="389"/>
      <c r="DE14" s="389"/>
      <c r="DF14" s="389"/>
      <c r="DG14" s="389"/>
      <c r="DH14" s="389"/>
      <c r="DI14" s="389"/>
      <c r="DJ14" s="389"/>
      <c r="DK14" s="389"/>
      <c r="DL14" s="389"/>
      <c r="DM14" s="389"/>
      <c r="DN14" s="414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136"/>
      <c r="ED14" s="136"/>
      <c r="EE14" s="136"/>
      <c r="EF14" s="136"/>
      <c r="EG14" s="136"/>
      <c r="EH14" s="136"/>
      <c r="EI14" s="136"/>
      <c r="EJ14" s="136"/>
      <c r="EK14" s="136"/>
      <c r="EL14" s="136"/>
      <c r="EM14" s="136"/>
      <c r="EN14" s="136"/>
      <c r="EO14" s="136"/>
      <c r="EP14" s="136"/>
      <c r="EQ14" s="136"/>
      <c r="ER14" s="136"/>
      <c r="ES14" s="136"/>
      <c r="ET14" s="136"/>
      <c r="EU14" s="136"/>
      <c r="EV14" s="136"/>
      <c r="EW14" s="136"/>
      <c r="EX14" s="136"/>
      <c r="EY14" s="136"/>
      <c r="EZ14" s="136"/>
      <c r="FA14" s="136"/>
      <c r="FB14" s="136"/>
      <c r="FC14" s="136"/>
      <c r="FD14" s="136"/>
      <c r="FE14" s="136"/>
      <c r="FF14" s="136"/>
      <c r="FG14" s="136"/>
      <c r="FH14" s="136"/>
      <c r="FI14" s="136"/>
      <c r="FJ14" s="136"/>
      <c r="FK14" s="136"/>
      <c r="FL14" s="136"/>
      <c r="FM14" s="136"/>
      <c r="FN14" s="39"/>
      <c r="FO14" s="39"/>
      <c r="FP14" s="39"/>
      <c r="FQ14" s="412"/>
      <c r="FR14" s="412"/>
      <c r="FS14" s="412"/>
      <c r="FT14" s="412"/>
      <c r="FU14" s="412"/>
      <c r="FV14" s="412"/>
      <c r="FW14" s="412"/>
      <c r="FX14" s="412"/>
      <c r="FY14" s="412"/>
      <c r="FZ14" s="412"/>
      <c r="GA14" s="412"/>
      <c r="GB14" s="412"/>
      <c r="GC14" s="412"/>
      <c r="GD14" s="412"/>
      <c r="GE14" s="412"/>
      <c r="GF14" s="412"/>
      <c r="GG14" s="412"/>
      <c r="GH14" s="412"/>
      <c r="GI14" s="412"/>
      <c r="GJ14" s="412"/>
      <c r="GK14" s="412"/>
      <c r="GL14" s="412"/>
      <c r="GM14" s="412"/>
      <c r="GN14" s="412"/>
      <c r="GO14" s="412"/>
      <c r="GP14" s="412"/>
      <c r="GQ14" s="412"/>
      <c r="GR14" s="412"/>
      <c r="GS14" s="412"/>
      <c r="GT14" s="412"/>
      <c r="GU14" s="412"/>
      <c r="GV14" s="412"/>
      <c r="GW14" s="412"/>
      <c r="GX14" s="412"/>
      <c r="GY14" s="412"/>
      <c r="GZ14" s="412"/>
      <c r="HA14" s="412"/>
      <c r="HB14" s="412"/>
      <c r="HC14" s="412"/>
      <c r="HD14" s="412"/>
      <c r="HE14" s="412"/>
      <c r="HF14" s="412"/>
      <c r="HG14" s="412"/>
      <c r="HH14" s="412"/>
      <c r="HI14" s="278"/>
      <c r="HJ14" s="277"/>
      <c r="HK14" s="277"/>
      <c r="HL14" s="277"/>
      <c r="HM14" s="277"/>
      <c r="HN14" s="277"/>
      <c r="HO14" s="277"/>
      <c r="HP14" s="277"/>
      <c r="HQ14" s="277"/>
      <c r="HR14" s="277"/>
      <c r="HS14" s="277"/>
      <c r="HT14" s="277"/>
      <c r="HU14" s="277"/>
      <c r="HV14" s="277"/>
      <c r="HW14" s="277"/>
      <c r="HX14" s="277"/>
      <c r="HY14" s="277"/>
      <c r="HZ14" s="277"/>
      <c r="IA14" s="277"/>
      <c r="IB14" s="277"/>
      <c r="IC14" s="412"/>
      <c r="ID14" s="412"/>
      <c r="IE14" s="412"/>
      <c r="IF14" s="412"/>
      <c r="IG14" s="412"/>
      <c r="IH14" s="412"/>
      <c r="II14" s="412"/>
      <c r="IJ14" s="412"/>
      <c r="IK14" s="412"/>
      <c r="IL14" s="412"/>
      <c r="IM14" s="412"/>
      <c r="IN14" s="412"/>
      <c r="IO14" s="413"/>
      <c r="IP14" s="389"/>
      <c r="IQ14" s="389"/>
      <c r="IR14" s="389"/>
      <c r="IS14" s="389"/>
      <c r="IT14" s="389"/>
      <c r="IU14" s="389"/>
      <c r="IV14" s="389"/>
      <c r="IW14" s="389"/>
      <c r="IX14" s="389"/>
      <c r="IY14" s="389"/>
      <c r="IZ14" s="389"/>
      <c r="JA14" s="389"/>
      <c r="JB14" s="389"/>
      <c r="JC14" s="389"/>
      <c r="JD14" s="389"/>
      <c r="JE14" s="389"/>
      <c r="JF14" s="389"/>
      <c r="JG14" s="389"/>
      <c r="JH14" s="389"/>
      <c r="JI14" s="389"/>
      <c r="JJ14" s="389"/>
      <c r="JK14" s="389"/>
      <c r="JL14" s="389"/>
      <c r="JM14" s="389"/>
      <c r="JN14" s="389"/>
      <c r="JO14" s="389"/>
      <c r="JP14" s="389"/>
      <c r="JQ14" s="389"/>
      <c r="JR14" s="389"/>
      <c r="JS14" s="596"/>
      <c r="JT14" s="389"/>
      <c r="JU14" s="389"/>
      <c r="JV14" s="389"/>
      <c r="JW14" s="389"/>
      <c r="JX14" s="389"/>
      <c r="JY14" s="389"/>
      <c r="JZ14" s="389"/>
      <c r="KA14" s="389"/>
      <c r="KB14" s="389"/>
      <c r="KC14" s="389"/>
      <c r="KD14" s="389"/>
      <c r="KE14" s="389"/>
      <c r="KF14" s="389"/>
      <c r="KG14" s="389"/>
      <c r="KH14" s="389"/>
      <c r="KI14" s="389"/>
      <c r="KJ14" s="389"/>
      <c r="KK14" s="389"/>
      <c r="KL14" s="389"/>
      <c r="KM14" s="389"/>
      <c r="KN14" s="389"/>
      <c r="KO14" s="389"/>
      <c r="KP14" s="389"/>
    </row>
    <row r="15" spans="1:302" ht="11.1" hidden="1" customHeight="1" outlineLevel="1">
      <c r="A15" s="8"/>
      <c r="B15" s="468">
        <f>VLOOKUP(B13,'[2]IBAN CONTI'!A$53:B$58,2,FALSE)</f>
        <v>6</v>
      </c>
      <c r="C15" s="536"/>
      <c r="D15" s="536"/>
      <c r="E15" s="452">
        <f ca="1">IF(B18=2,C13,COUPNCD($AB$2,C13,K15,AH17))</f>
        <v>45707</v>
      </c>
      <c r="F15" s="490"/>
      <c r="G15" s="431"/>
      <c r="H15" s="431"/>
      <c r="I15" s="528"/>
      <c r="J15" s="431"/>
      <c r="K15" s="223">
        <v>1</v>
      </c>
      <c r="L15" s="833"/>
      <c r="M15" s="720"/>
      <c r="N15" s="720"/>
      <c r="O15" s="223"/>
      <c r="P15" s="470"/>
      <c r="Q15" s="526"/>
      <c r="R15" s="526"/>
      <c r="S15" s="4"/>
      <c r="T15" s="431"/>
      <c r="U15" s="469"/>
      <c r="V15" s="4"/>
      <c r="W15" s="469"/>
      <c r="X15" s="442"/>
      <c r="Y15" s="456"/>
      <c r="Z15" s="456"/>
      <c r="AA15" s="22"/>
      <c r="AB15" s="979"/>
      <c r="AC15" s="431"/>
      <c r="AD15" s="560"/>
      <c r="AE15" s="431"/>
      <c r="AF15" s="468">
        <f>VLOOKUP(AF14,'[2]IBAN CONTI'!A$106:B$122,2,FALSE)</f>
        <v>1</v>
      </c>
      <c r="AG15" s="467">
        <f>VLOOKUP(A13,'[2]IBAN CONTI'!A$134:B$259,2,FALSE)</f>
        <v>101</v>
      </c>
      <c r="AH15" s="993"/>
      <c r="AI15" s="954"/>
      <c r="AJ15" s="990" t="s">
        <v>207</v>
      </c>
      <c r="AK15" s="991"/>
      <c r="AL15" s="22">
        <v>100</v>
      </c>
      <c r="AM15" s="535">
        <f>YEARFRAC(C13,AL13,AH17)</f>
        <v>6.0003912363067284</v>
      </c>
      <c r="AN15" s="456">
        <f>IF(B18=2,0,D14-AL13)</f>
        <v>990</v>
      </c>
      <c r="AO15" s="464">
        <f>IF(B18=2,AL14*(1+AM18)^AM17,AO16+AL14)</f>
        <v>100</v>
      </c>
      <c r="AP15" s="463">
        <f>IF(AF15=1,G13*AO16/100,A14/E14/100*AO16)</f>
        <v>0</v>
      </c>
      <c r="AQ15" s="221"/>
      <c r="AR15" s="179">
        <f>AL18*G13/100</f>
        <v>1000</v>
      </c>
      <c r="AS15" s="462">
        <f>(AR18-AP18)*G13/100</f>
        <v>34.033399999999858</v>
      </c>
      <c r="AT15" s="419"/>
      <c r="AU15" s="420"/>
      <c r="AV15" s="223"/>
      <c r="AW15" s="420"/>
      <c r="AX15" s="417"/>
      <c r="AY15" s="420"/>
      <c r="AZ15" s="223"/>
      <c r="BA15" s="419"/>
      <c r="BB15" s="223"/>
      <c r="BC15" s="223"/>
      <c r="BD15" s="223"/>
      <c r="BE15" s="223"/>
      <c r="BF15" s="416"/>
      <c r="BG15" s="418"/>
      <c r="BH15" s="416"/>
      <c r="BI15" s="416"/>
      <c r="BJ15" s="416"/>
      <c r="BK15" s="418"/>
      <c r="BL15" s="417"/>
      <c r="BM15" s="416"/>
      <c r="BN15" s="416"/>
      <c r="BO15" s="416"/>
      <c r="BP15" s="416"/>
      <c r="BQ15" s="416"/>
      <c r="BR15" s="416"/>
      <c r="BS15" s="416"/>
      <c r="BT15" s="389"/>
      <c r="BU15" s="389"/>
      <c r="BV15" s="389"/>
      <c r="BW15" s="389"/>
      <c r="BX15" s="415"/>
      <c r="BY15" s="389"/>
      <c r="BZ15" s="389"/>
      <c r="CA15" s="389"/>
      <c r="CB15" s="389"/>
      <c r="CC15" s="389"/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389"/>
      <c r="CP15" s="389"/>
      <c r="CQ15" s="389"/>
      <c r="CR15" s="389"/>
      <c r="CS15" s="415"/>
      <c r="CT15" s="389"/>
      <c r="CU15" s="389"/>
      <c r="CV15" s="389"/>
      <c r="CW15" s="389"/>
      <c r="CX15" s="389"/>
      <c r="CY15" s="389"/>
      <c r="CZ15" s="389"/>
      <c r="DA15" s="389"/>
      <c r="DB15" s="389"/>
      <c r="DC15" s="389"/>
      <c r="DD15" s="389"/>
      <c r="DE15" s="389"/>
      <c r="DF15" s="389"/>
      <c r="DG15" s="389"/>
      <c r="DH15" s="389"/>
      <c r="DI15" s="389"/>
      <c r="DJ15" s="389"/>
      <c r="DK15" s="389"/>
      <c r="DL15" s="389"/>
      <c r="DM15" s="389"/>
      <c r="DN15" s="414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136"/>
      <c r="ED15" s="136"/>
      <c r="EE15" s="136"/>
      <c r="EF15" s="136"/>
      <c r="EG15" s="136"/>
      <c r="EH15" s="136"/>
      <c r="EI15" s="136"/>
      <c r="EJ15" s="136"/>
      <c r="EK15" s="136"/>
      <c r="EL15" s="136"/>
      <c r="EM15" s="136"/>
      <c r="EN15" s="136"/>
      <c r="EO15" s="136"/>
      <c r="EP15" s="136"/>
      <c r="EQ15" s="136"/>
      <c r="ER15" s="136"/>
      <c r="ES15" s="136"/>
      <c r="ET15" s="136"/>
      <c r="EU15" s="136"/>
      <c r="EV15" s="136"/>
      <c r="EW15" s="136"/>
      <c r="EX15" s="136"/>
      <c r="EY15" s="136"/>
      <c r="EZ15" s="136"/>
      <c r="FA15" s="136"/>
      <c r="FB15" s="136"/>
      <c r="FC15" s="136"/>
      <c r="FD15" s="136"/>
      <c r="FE15" s="136"/>
      <c r="FF15" s="136"/>
      <c r="FG15" s="136"/>
      <c r="FH15" s="136"/>
      <c r="FI15" s="136"/>
      <c r="FJ15" s="136"/>
      <c r="FK15" s="136"/>
      <c r="FL15" s="136"/>
      <c r="FM15" s="136"/>
      <c r="FN15" s="39"/>
      <c r="FO15" s="39"/>
      <c r="FP15" s="39"/>
      <c r="FQ15" s="412"/>
      <c r="FR15" s="412"/>
      <c r="FS15" s="412"/>
      <c r="FT15" s="412"/>
      <c r="FU15" s="412"/>
      <c r="FV15" s="412"/>
      <c r="FW15" s="412"/>
      <c r="FX15" s="412"/>
      <c r="FY15" s="412"/>
      <c r="FZ15" s="412"/>
      <c r="GA15" s="412"/>
      <c r="GB15" s="412"/>
      <c r="GC15" s="412"/>
      <c r="GD15" s="412"/>
      <c r="GE15" s="412"/>
      <c r="GF15" s="412"/>
      <c r="GG15" s="412"/>
      <c r="GH15" s="412"/>
      <c r="GI15" s="412"/>
      <c r="GJ15" s="412"/>
      <c r="GK15" s="412"/>
      <c r="GL15" s="412"/>
      <c r="GM15" s="412"/>
      <c r="GN15" s="412"/>
      <c r="GO15" s="412"/>
      <c r="GP15" s="412"/>
      <c r="GQ15" s="412"/>
      <c r="GR15" s="412"/>
      <c r="GS15" s="412"/>
      <c r="GT15" s="412"/>
      <c r="GU15" s="412"/>
      <c r="GV15" s="412"/>
      <c r="GW15" s="412"/>
      <c r="GX15" s="412"/>
      <c r="GY15" s="412"/>
      <c r="GZ15" s="412"/>
      <c r="HA15" s="412"/>
      <c r="HB15" s="412"/>
      <c r="HC15" s="412"/>
      <c r="HD15" s="412"/>
      <c r="HE15" s="412"/>
      <c r="HF15" s="412"/>
      <c r="HG15" s="412"/>
      <c r="HH15" s="412"/>
      <c r="HI15" s="278"/>
      <c r="HJ15" s="277"/>
      <c r="HK15" s="277"/>
      <c r="HL15" s="277"/>
      <c r="HM15" s="277"/>
      <c r="HN15" s="277"/>
      <c r="HO15" s="277"/>
      <c r="HP15" s="277"/>
      <c r="HQ15" s="277"/>
      <c r="HR15" s="277"/>
      <c r="HS15" s="277"/>
      <c r="HT15" s="277"/>
      <c r="HU15" s="277"/>
      <c r="HV15" s="277"/>
      <c r="HW15" s="277"/>
      <c r="HX15" s="277"/>
      <c r="HY15" s="277"/>
      <c r="HZ15" s="277"/>
      <c r="IA15" s="277"/>
      <c r="IB15" s="277"/>
      <c r="IC15" s="412"/>
      <c r="ID15" s="412"/>
      <c r="IE15" s="412"/>
      <c r="IF15" s="412"/>
      <c r="IG15" s="412"/>
      <c r="IH15" s="412"/>
      <c r="II15" s="412"/>
      <c r="IJ15" s="412"/>
      <c r="IK15" s="412"/>
      <c r="IL15" s="412"/>
      <c r="IM15" s="412"/>
      <c r="IN15" s="412"/>
      <c r="IO15" s="413"/>
      <c r="IP15" s="389"/>
      <c r="IQ15" s="389"/>
      <c r="IR15" s="389"/>
      <c r="IS15" s="389"/>
      <c r="IT15" s="389"/>
      <c r="IU15" s="389"/>
      <c r="IV15" s="389"/>
      <c r="IW15" s="389"/>
      <c r="IX15" s="389"/>
      <c r="IY15" s="389"/>
      <c r="IZ15" s="389"/>
      <c r="JA15" s="389"/>
      <c r="JB15" s="389"/>
      <c r="JC15" s="389"/>
      <c r="JD15" s="389"/>
      <c r="JE15" s="389"/>
      <c r="JF15" s="389"/>
      <c r="JG15" s="389"/>
      <c r="JH15" s="389"/>
      <c r="JI15" s="389"/>
      <c r="JJ15" s="389"/>
      <c r="JK15" s="389"/>
      <c r="JL15" s="389"/>
      <c r="JM15" s="389"/>
      <c r="JN15" s="389"/>
      <c r="JO15" s="389"/>
      <c r="JP15" s="389"/>
      <c r="JQ15" s="389"/>
      <c r="JR15" s="389"/>
      <c r="JS15" s="596"/>
      <c r="JT15" s="389"/>
      <c r="JU15" s="389"/>
      <c r="JV15" s="389"/>
      <c r="JW15" s="389"/>
      <c r="JX15" s="389"/>
      <c r="JY15" s="389"/>
      <c r="JZ15" s="389"/>
      <c r="KA15" s="389"/>
      <c r="KB15" s="389"/>
      <c r="KC15" s="389"/>
      <c r="KD15" s="389"/>
      <c r="KE15" s="389"/>
      <c r="KF15" s="389"/>
      <c r="KG15" s="389"/>
      <c r="KH15" s="389"/>
      <c r="KI15" s="389"/>
      <c r="KJ15" s="389"/>
      <c r="KK15" s="389"/>
      <c r="KL15" s="389"/>
      <c r="KM15" s="389"/>
      <c r="KN15" s="389"/>
      <c r="KO15" s="389"/>
      <c r="KP15" s="389"/>
    </row>
    <row r="16" spans="1:302" ht="10.5" hidden="1" customHeight="1" outlineLevel="1">
      <c r="A16" s="559">
        <v>1</v>
      </c>
      <c r="B16" s="990" t="s">
        <v>183</v>
      </c>
      <c r="C16" s="990"/>
      <c r="D16" s="452">
        <f>COUPPCD(D14,C13,K15,AH17)</f>
        <v>44976</v>
      </c>
      <c r="E16" s="734"/>
      <c r="F16" s="431"/>
      <c r="G16" s="985">
        <v>2027</v>
      </c>
      <c r="H16" s="431"/>
      <c r="I16" s="528"/>
      <c r="J16" s="431"/>
      <c r="K16" s="987" t="s">
        <v>174</v>
      </c>
      <c r="L16" s="833"/>
      <c r="M16" s="720"/>
      <c r="N16" s="720"/>
      <c r="O16" s="223"/>
      <c r="P16" s="736"/>
      <c r="Q16" s="526"/>
      <c r="R16" s="526"/>
      <c r="S16" s="15"/>
      <c r="T16" s="431"/>
      <c r="U16" s="15"/>
      <c r="V16" s="15"/>
      <c r="W16" s="15"/>
      <c r="X16" s="442"/>
      <c r="Y16" s="430"/>
      <c r="Z16" s="430"/>
      <c r="AA16" s="430"/>
      <c r="AB16" s="533"/>
      <c r="AC16" s="431"/>
      <c r="AD16" s="78"/>
      <c r="AE16" s="431"/>
      <c r="AF16" s="557"/>
      <c r="AG16" s="490"/>
      <c r="AH16" s="457"/>
      <c r="AI16" s="457"/>
      <c r="AJ16" s="990"/>
      <c r="AK16" s="991"/>
      <c r="AL16" s="967">
        <f>AL15-AL14</f>
        <v>0</v>
      </c>
      <c r="AM16" s="532">
        <f>C13-AL13</f>
        <v>2191</v>
      </c>
      <c r="AN16" s="530">
        <f>IF(OR(K15&lt;&gt;1,AN15&gt;365),COUPDAYBS(D14,C13,K15,AH17),AN15)</f>
        <v>260</v>
      </c>
      <c r="AO16" s="424">
        <f>IF(B18=2,AO15-AL14,AL16/AM16*AN15)</f>
        <v>0</v>
      </c>
      <c r="AP16" s="455">
        <f>IF(B18=4,FLOOR(F13/K15*AN16/(D17-D16)*100,0.000001),IF(AH17=4,YEARFRAC(D16,D14,0)*F13*100,IF(B18=3,IF(OR(AH17=4,AH17=2),(F15*(AN16))/(360)*100,(F15*(AN16))/(365)*100),FLOOR(F13/K15*AN16/(D17-D16)*100,0.000001))))</f>
        <v>1.8698629999999998</v>
      </c>
      <c r="AQ16" s="454"/>
      <c r="AR16" s="422">
        <f>AL16*G13/100</f>
        <v>0</v>
      </c>
      <c r="AS16" s="422">
        <f>IF(AS15&lt;0,0,AS15*(100-F18)/100)</f>
        <v>8.8486839999999631</v>
      </c>
      <c r="AT16" s="419"/>
      <c r="AU16" s="420"/>
      <c r="AV16" s="223"/>
      <c r="AW16" s="420"/>
      <c r="AX16" s="417"/>
      <c r="AY16" s="420"/>
      <c r="AZ16" s="223"/>
      <c r="BA16" s="419"/>
      <c r="BB16" s="223"/>
      <c r="BC16" s="223"/>
      <c r="BD16" s="223"/>
      <c r="BE16" s="223"/>
      <c r="BF16" s="416"/>
      <c r="BG16" s="418"/>
      <c r="BH16" s="416"/>
      <c r="BI16" s="416"/>
      <c r="BJ16" s="416"/>
      <c r="BK16" s="418"/>
      <c r="BL16" s="417"/>
      <c r="BM16" s="416"/>
      <c r="BN16" s="416"/>
      <c r="BO16" s="416"/>
      <c r="BP16" s="416"/>
      <c r="BQ16" s="416"/>
      <c r="BR16" s="416"/>
      <c r="BS16" s="416"/>
      <c r="BT16" s="389"/>
      <c r="BU16" s="389"/>
      <c r="BV16" s="389"/>
      <c r="BW16" s="389"/>
      <c r="BX16" s="415"/>
      <c r="BY16" s="389"/>
      <c r="BZ16" s="389"/>
      <c r="CA16" s="389"/>
      <c r="CB16" s="389"/>
      <c r="CC16" s="389"/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389"/>
      <c r="CP16" s="389"/>
      <c r="CQ16" s="389"/>
      <c r="CR16" s="389"/>
      <c r="CS16" s="415"/>
      <c r="CT16" s="389"/>
      <c r="CU16" s="389"/>
      <c r="CV16" s="389"/>
      <c r="CW16" s="389"/>
      <c r="CX16" s="389"/>
      <c r="CY16" s="389"/>
      <c r="CZ16" s="389"/>
      <c r="DA16" s="389"/>
      <c r="DB16" s="389"/>
      <c r="DC16" s="389"/>
      <c r="DD16" s="389"/>
      <c r="DE16" s="389"/>
      <c r="DF16" s="389"/>
      <c r="DG16" s="389"/>
      <c r="DH16" s="389"/>
      <c r="DI16" s="389"/>
      <c r="DJ16" s="389"/>
      <c r="DK16" s="389"/>
      <c r="DL16" s="389"/>
      <c r="DM16" s="389"/>
      <c r="DN16" s="414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136"/>
      <c r="ED16" s="136"/>
      <c r="EE16" s="136"/>
      <c r="EF16" s="136"/>
      <c r="EG16" s="136"/>
      <c r="EH16" s="136"/>
      <c r="EI16" s="136"/>
      <c r="EJ16" s="136"/>
      <c r="EK16" s="136"/>
      <c r="EL16" s="136"/>
      <c r="EM16" s="136"/>
      <c r="EN16" s="136"/>
      <c r="EO16" s="136"/>
      <c r="EP16" s="136"/>
      <c r="EQ16" s="136"/>
      <c r="ER16" s="136"/>
      <c r="ES16" s="136"/>
      <c r="ET16" s="136"/>
      <c r="EU16" s="136"/>
      <c r="EV16" s="136"/>
      <c r="EW16" s="136"/>
      <c r="EX16" s="136"/>
      <c r="EY16" s="136"/>
      <c r="EZ16" s="136"/>
      <c r="FA16" s="136"/>
      <c r="FB16" s="136"/>
      <c r="FC16" s="136"/>
      <c r="FD16" s="136"/>
      <c r="FE16" s="136"/>
      <c r="FF16" s="136"/>
      <c r="FG16" s="136"/>
      <c r="FH16" s="136"/>
      <c r="FI16" s="136"/>
      <c r="FJ16" s="136"/>
      <c r="FK16" s="136"/>
      <c r="FL16" s="136"/>
      <c r="FM16" s="136"/>
      <c r="FN16" s="39"/>
      <c r="FO16" s="39"/>
      <c r="FP16" s="39"/>
      <c r="FQ16" s="412"/>
      <c r="FR16" s="412"/>
      <c r="FS16" s="412"/>
      <c r="FT16" s="412"/>
      <c r="FU16" s="412"/>
      <c r="FV16" s="412"/>
      <c r="FW16" s="412"/>
      <c r="FX16" s="412"/>
      <c r="FY16" s="412"/>
      <c r="FZ16" s="412"/>
      <c r="GA16" s="412"/>
      <c r="GB16" s="412"/>
      <c r="GC16" s="412"/>
      <c r="GD16" s="412"/>
      <c r="GE16" s="412"/>
      <c r="GF16" s="412"/>
      <c r="GG16" s="412"/>
      <c r="GH16" s="412"/>
      <c r="GI16" s="412"/>
      <c r="GJ16" s="412"/>
      <c r="GK16" s="412"/>
      <c r="GL16" s="412"/>
      <c r="GM16" s="412"/>
      <c r="GN16" s="412"/>
      <c r="GO16" s="412"/>
      <c r="GP16" s="412"/>
      <c r="GQ16" s="412"/>
      <c r="GR16" s="412"/>
      <c r="GS16" s="412"/>
      <c r="GT16" s="412"/>
      <c r="GU16" s="412"/>
      <c r="GV16" s="412"/>
      <c r="GW16" s="412"/>
      <c r="GX16" s="412"/>
      <c r="GY16" s="412"/>
      <c r="GZ16" s="412"/>
      <c r="HA16" s="412"/>
      <c r="HB16" s="412"/>
      <c r="HC16" s="412"/>
      <c r="HD16" s="412"/>
      <c r="HE16" s="412"/>
      <c r="HF16" s="412"/>
      <c r="HG16" s="412"/>
      <c r="HH16" s="412"/>
      <c r="HI16" s="278"/>
      <c r="HJ16" s="277"/>
      <c r="HK16" s="277"/>
      <c r="HL16" s="277"/>
      <c r="HM16" s="277"/>
      <c r="HN16" s="277"/>
      <c r="HO16" s="277"/>
      <c r="HP16" s="277"/>
      <c r="HQ16" s="277"/>
      <c r="HR16" s="277"/>
      <c r="HS16" s="277"/>
      <c r="HT16" s="277"/>
      <c r="HU16" s="277"/>
      <c r="HV16" s="277"/>
      <c r="HW16" s="277"/>
      <c r="HX16" s="277"/>
      <c r="HY16" s="277"/>
      <c r="HZ16" s="277"/>
      <c r="IA16" s="277"/>
      <c r="IB16" s="277"/>
      <c r="IC16" s="412"/>
      <c r="ID16" s="412"/>
      <c r="IE16" s="412"/>
      <c r="IF16" s="412"/>
      <c r="IG16" s="412"/>
      <c r="IH16" s="412"/>
      <c r="II16" s="412"/>
      <c r="IJ16" s="412"/>
      <c r="IK16" s="412"/>
      <c r="IL16" s="412"/>
      <c r="IM16" s="412"/>
      <c r="IN16" s="412"/>
      <c r="IO16" s="413"/>
      <c r="IP16" s="389"/>
      <c r="IQ16" s="389"/>
      <c r="IR16" s="389"/>
      <c r="IS16" s="389"/>
      <c r="IT16" s="389"/>
      <c r="IU16" s="389"/>
      <c r="IV16" s="389"/>
      <c r="IW16" s="389"/>
      <c r="IX16" s="389"/>
      <c r="IY16" s="389"/>
      <c r="IZ16" s="389"/>
      <c r="JA16" s="389"/>
      <c r="JB16" s="389"/>
      <c r="JC16" s="389"/>
      <c r="JD16" s="389"/>
      <c r="JE16" s="389"/>
      <c r="JF16" s="389"/>
      <c r="JG16" s="389"/>
      <c r="JH16" s="389"/>
      <c r="JI16" s="389"/>
      <c r="JJ16" s="389"/>
      <c r="JK16" s="389"/>
      <c r="JL16" s="389"/>
      <c r="JM16" s="389"/>
      <c r="JN16" s="389"/>
      <c r="JO16" s="389"/>
      <c r="JP16" s="389"/>
      <c r="JQ16" s="389"/>
      <c r="JR16" s="389"/>
      <c r="JS16" s="596"/>
      <c r="JT16" s="389"/>
      <c r="JU16" s="389"/>
      <c r="JV16" s="389"/>
      <c r="JW16" s="389"/>
      <c r="JX16" s="389"/>
      <c r="JY16" s="389"/>
      <c r="JZ16" s="389"/>
      <c r="KA16" s="389"/>
      <c r="KB16" s="389"/>
      <c r="KC16" s="389"/>
      <c r="KD16" s="389"/>
      <c r="KE16" s="389"/>
      <c r="KF16" s="389"/>
      <c r="KG16" s="389"/>
      <c r="KH16" s="389"/>
      <c r="KI16" s="389"/>
      <c r="KJ16" s="389"/>
      <c r="KK16" s="389"/>
      <c r="KL16" s="389"/>
      <c r="KM16" s="389"/>
      <c r="KN16" s="389"/>
      <c r="KO16" s="389"/>
      <c r="KP16" s="389"/>
    </row>
    <row r="17" spans="1:302" ht="11.1" hidden="1" customHeight="1" outlineLevel="1">
      <c r="A17" s="8"/>
      <c r="B17" s="990"/>
      <c r="C17" s="990"/>
      <c r="D17" s="452">
        <f>COUPNCD(D14,C13,K15,AH17)</f>
        <v>45341</v>
      </c>
      <c r="E17" s="932" t="s">
        <v>182</v>
      </c>
      <c r="F17" s="451" t="str">
        <f>IF(E18=1,"87,5",IF(D13&lt;40908,87.5,IF(D13&lt;41820,"80","74")))</f>
        <v>74</v>
      </c>
      <c r="G17" s="986"/>
      <c r="H17" s="431"/>
      <c r="I17" s="528"/>
      <c r="J17" s="431"/>
      <c r="K17" s="987"/>
      <c r="L17" s="833"/>
      <c r="M17" s="720"/>
      <c r="N17" s="720"/>
      <c r="O17" s="223"/>
      <c r="P17" s="558"/>
      <c r="Q17" s="526"/>
      <c r="R17" s="526"/>
      <c r="S17" s="15"/>
      <c r="T17" s="431"/>
      <c r="U17" s="15"/>
      <c r="V17" s="15"/>
      <c r="W17" s="15"/>
      <c r="X17" s="442"/>
      <c r="Y17" s="430"/>
      <c r="Z17" s="430"/>
      <c r="AA17" s="430"/>
      <c r="AB17" s="78"/>
      <c r="AC17" s="431"/>
      <c r="AD17" s="78"/>
      <c r="AE17" s="431"/>
      <c r="AF17" s="557"/>
      <c r="AG17" s="490"/>
      <c r="AH17" s="419">
        <f>VLOOKUP(AH14,'[2]IBAN CONTI'!A:B,2,FALSE)</f>
        <v>1</v>
      </c>
      <c r="AI17" s="419"/>
      <c r="AJ17" s="989">
        <f>VLOOKUP(AJ15,'[2]IBAN CONTI'!A$67:B$77,2,FALSE)</f>
        <v>11</v>
      </c>
      <c r="AK17" s="992"/>
      <c r="AL17" s="965">
        <f>AL14</f>
        <v>100</v>
      </c>
      <c r="AM17" s="449">
        <f>IF(B18=1,YEARFRAC(D14,C13,AH17),IF(B18=2,YEARFRAC(AL13,D14,AH17)))</f>
        <v>3.2886089813800656</v>
      </c>
      <c r="AN17" s="530">
        <f>IF(B18=2,0,C13-D14-(365-AN16))</f>
        <v>1096</v>
      </c>
      <c r="AO17" s="424">
        <f>E13-AO16</f>
        <v>90.876660000000001</v>
      </c>
      <c r="AP17" s="447">
        <f>E13+AO18+AP16+0.1</f>
        <v>92.846522999999991</v>
      </c>
      <c r="AQ17" s="446"/>
      <c r="AR17" s="179">
        <f>IF(B18=3,F15*G13,F13*G13)</f>
        <v>26.25</v>
      </c>
      <c r="AS17" s="421">
        <f>AR13-AS16</f>
        <v>1010.576316</v>
      </c>
      <c r="AT17" s="419"/>
      <c r="AU17" s="420"/>
      <c r="AV17" s="223"/>
      <c r="AW17" s="420"/>
      <c r="AX17" s="417"/>
      <c r="AY17" s="420"/>
      <c r="AZ17" s="223"/>
      <c r="BA17" s="419"/>
      <c r="BB17" s="223"/>
      <c r="BC17" s="223"/>
      <c r="BD17" s="223"/>
      <c r="BE17" s="223"/>
      <c r="BF17" s="416"/>
      <c r="BG17" s="418"/>
      <c r="BH17" s="416"/>
      <c r="BI17" s="416"/>
      <c r="BJ17" s="416"/>
      <c r="BK17" s="418"/>
      <c r="BL17" s="417"/>
      <c r="BM17" s="416"/>
      <c r="BN17" s="416"/>
      <c r="BO17" s="416"/>
      <c r="BP17" s="416"/>
      <c r="BQ17" s="416"/>
      <c r="BR17" s="416"/>
      <c r="BS17" s="416"/>
      <c r="BT17" s="389"/>
      <c r="BU17" s="389"/>
      <c r="BV17" s="389"/>
      <c r="BW17" s="389"/>
      <c r="BX17" s="415"/>
      <c r="BY17" s="389"/>
      <c r="BZ17" s="389"/>
      <c r="CA17" s="389"/>
      <c r="CB17" s="389"/>
      <c r="CC17" s="389"/>
      <c r="CD17" s="389"/>
      <c r="CE17" s="389"/>
      <c r="CF17" s="389"/>
      <c r="CG17" s="389"/>
      <c r="CH17" s="389"/>
      <c r="CI17" s="389"/>
      <c r="CJ17" s="389"/>
      <c r="CK17" s="389"/>
      <c r="CL17" s="389"/>
      <c r="CM17" s="389"/>
      <c r="CN17" s="389"/>
      <c r="CO17" s="389"/>
      <c r="CP17" s="389"/>
      <c r="CQ17" s="389"/>
      <c r="CR17" s="389"/>
      <c r="CS17" s="415"/>
      <c r="CT17" s="389"/>
      <c r="CU17" s="389"/>
      <c r="CV17" s="389"/>
      <c r="CW17" s="389"/>
      <c r="CX17" s="389"/>
      <c r="CY17" s="389"/>
      <c r="CZ17" s="389"/>
      <c r="DA17" s="389"/>
      <c r="DB17" s="389"/>
      <c r="DC17" s="389"/>
      <c r="DD17" s="389"/>
      <c r="DE17" s="389"/>
      <c r="DF17" s="389"/>
      <c r="DG17" s="389"/>
      <c r="DH17" s="389"/>
      <c r="DI17" s="389"/>
      <c r="DJ17" s="389"/>
      <c r="DK17" s="389"/>
      <c r="DL17" s="389"/>
      <c r="DM17" s="389"/>
      <c r="DN17" s="414"/>
      <c r="DO17" s="39"/>
      <c r="DP17" s="39"/>
      <c r="DQ17" s="39"/>
      <c r="DR17" s="136"/>
      <c r="DS17" s="136"/>
      <c r="DT17" s="136"/>
      <c r="DU17" s="136"/>
      <c r="DV17" s="136"/>
      <c r="DW17" s="136"/>
      <c r="DX17" s="136"/>
      <c r="DY17" s="136"/>
      <c r="DZ17" s="136"/>
      <c r="EA17" s="136"/>
      <c r="EB17" s="136"/>
      <c r="EC17" s="136"/>
      <c r="ED17" s="136"/>
      <c r="EE17" s="136"/>
      <c r="EF17" s="136"/>
      <c r="EG17" s="136"/>
      <c r="EH17" s="136"/>
      <c r="EI17" s="136"/>
      <c r="EJ17" s="136"/>
      <c r="EK17" s="136"/>
      <c r="EL17" s="136"/>
      <c r="EM17" s="136"/>
      <c r="EN17" s="136"/>
      <c r="EO17" s="136"/>
      <c r="EP17" s="136"/>
      <c r="EQ17" s="136"/>
      <c r="ER17" s="136"/>
      <c r="ES17" s="136"/>
      <c r="ET17" s="136"/>
      <c r="EU17" s="136"/>
      <c r="EV17" s="136"/>
      <c r="EW17" s="136"/>
      <c r="EX17" s="136"/>
      <c r="EY17" s="136"/>
      <c r="EZ17" s="136"/>
      <c r="FA17" s="136"/>
      <c r="FB17" s="136"/>
      <c r="FC17" s="136"/>
      <c r="FD17" s="136"/>
      <c r="FE17" s="136"/>
      <c r="FF17" s="136"/>
      <c r="FG17" s="136"/>
      <c r="FH17" s="136"/>
      <c r="FI17" s="136"/>
      <c r="FJ17" s="136"/>
      <c r="FK17" s="136"/>
      <c r="FL17" s="136"/>
      <c r="FM17" s="136"/>
      <c r="FN17" s="136"/>
      <c r="FO17" s="136"/>
      <c r="FP17" s="136"/>
      <c r="FQ17" s="412"/>
      <c r="FR17" s="412"/>
      <c r="FS17" s="412"/>
      <c r="FT17" s="412"/>
      <c r="FU17" s="412"/>
      <c r="FV17" s="412"/>
      <c r="FW17" s="412"/>
      <c r="FX17" s="412"/>
      <c r="FY17" s="412"/>
      <c r="FZ17" s="412"/>
      <c r="GA17" s="412"/>
      <c r="GB17" s="412"/>
      <c r="GC17" s="412"/>
      <c r="GD17" s="412"/>
      <c r="GE17" s="412"/>
      <c r="GF17" s="412"/>
      <c r="GG17" s="412"/>
      <c r="GH17" s="412"/>
      <c r="GI17" s="412"/>
      <c r="GJ17" s="412"/>
      <c r="GK17" s="412"/>
      <c r="GL17" s="412"/>
      <c r="GM17" s="412"/>
      <c r="GN17" s="412"/>
      <c r="GO17" s="412"/>
      <c r="GP17" s="412"/>
      <c r="GQ17" s="412"/>
      <c r="GR17" s="412"/>
      <c r="GS17" s="412"/>
      <c r="GT17" s="412"/>
      <c r="GU17" s="412"/>
      <c r="GV17" s="412"/>
      <c r="GW17" s="412"/>
      <c r="GX17" s="412"/>
      <c r="GY17" s="412"/>
      <c r="GZ17" s="412"/>
      <c r="HA17" s="412"/>
      <c r="HB17" s="412"/>
      <c r="HC17" s="412"/>
      <c r="HD17" s="412"/>
      <c r="HE17" s="412"/>
      <c r="HF17" s="412"/>
      <c r="HG17" s="412"/>
      <c r="HH17" s="412"/>
      <c r="HI17" s="278"/>
      <c r="HJ17" s="277"/>
      <c r="HK17" s="277"/>
      <c r="HL17" s="277"/>
      <c r="HM17" s="277"/>
      <c r="HN17" s="277"/>
      <c r="HO17" s="277"/>
      <c r="HP17" s="277"/>
      <c r="HQ17" s="277"/>
      <c r="HR17" s="277"/>
      <c r="HS17" s="277"/>
      <c r="HT17" s="277"/>
      <c r="HU17" s="277"/>
      <c r="HV17" s="277"/>
      <c r="HW17" s="277"/>
      <c r="HX17" s="277"/>
      <c r="HY17" s="277"/>
      <c r="HZ17" s="277"/>
      <c r="IA17" s="277"/>
      <c r="IB17" s="277"/>
      <c r="IC17" s="412"/>
      <c r="ID17" s="412"/>
      <c r="IE17" s="412"/>
      <c r="IF17" s="412"/>
      <c r="IG17" s="412"/>
      <c r="IH17" s="412"/>
      <c r="II17" s="412"/>
      <c r="IJ17" s="412"/>
      <c r="IK17" s="412"/>
      <c r="IL17" s="412"/>
      <c r="IM17" s="412"/>
      <c r="IN17" s="412"/>
      <c r="IO17" s="413"/>
      <c r="IP17" s="389"/>
      <c r="IQ17" s="389"/>
      <c r="IR17" s="389"/>
      <c r="IS17" s="389"/>
      <c r="IT17" s="389"/>
      <c r="IU17" s="389"/>
      <c r="IV17" s="389"/>
      <c r="IW17" s="389"/>
      <c r="IX17" s="389"/>
      <c r="IY17" s="389"/>
      <c r="IZ17" s="389"/>
      <c r="JA17" s="389"/>
      <c r="JB17" s="389"/>
      <c r="JC17" s="389"/>
      <c r="JD17" s="389"/>
      <c r="JE17" s="389"/>
      <c r="JF17" s="389"/>
      <c r="JG17" s="389"/>
      <c r="JH17" s="389"/>
      <c r="JI17" s="389"/>
      <c r="JJ17" s="389"/>
      <c r="JK17" s="389"/>
      <c r="JL17" s="389"/>
      <c r="JM17" s="389"/>
      <c r="JN17" s="389"/>
      <c r="JO17" s="389"/>
      <c r="JP17" s="389"/>
      <c r="JQ17" s="389"/>
      <c r="JR17" s="389"/>
      <c r="JS17" s="596"/>
      <c r="JT17" s="389"/>
      <c r="JU17" s="389"/>
      <c r="JV17" s="389"/>
      <c r="JW17" s="389"/>
      <c r="JX17" s="389"/>
      <c r="JY17" s="389"/>
      <c r="JZ17" s="389"/>
      <c r="KA17" s="389"/>
      <c r="KB17" s="389"/>
      <c r="KC17" s="389"/>
      <c r="KD17" s="389"/>
      <c r="KE17" s="389"/>
      <c r="KF17" s="389"/>
      <c r="KG17" s="389"/>
      <c r="KH17" s="389"/>
      <c r="KI17" s="389"/>
      <c r="KJ17" s="389"/>
      <c r="KK17" s="389"/>
      <c r="KL17" s="389"/>
      <c r="KM17" s="389"/>
      <c r="KN17" s="389"/>
      <c r="KO17" s="389"/>
      <c r="KP17" s="389"/>
    </row>
    <row r="18" spans="1:302" ht="11.1" hidden="1" customHeight="1" outlineLevel="1">
      <c r="A18" s="529">
        <v>1</v>
      </c>
      <c r="B18" s="989">
        <f>VLOOKUP(B16,'[2]IBAN CONTI'!A$1:B$65562,2,FALSE)</f>
        <v>1</v>
      </c>
      <c r="C18" s="989"/>
      <c r="D18" s="431"/>
      <c r="E18" s="933">
        <f>VLOOKUP(E17,'[2]IBAN CONTI'!A:B,2,FALSE)</f>
        <v>2</v>
      </c>
      <c r="F18" s="444" t="str">
        <f>IF(E18=1,"87,5","74")</f>
        <v>74</v>
      </c>
      <c r="G18" s="443">
        <f>VLOOKUP(G16,'[2]IBAN CONTI'!A$244:B$273,2,FALSE)</f>
        <v>16</v>
      </c>
      <c r="H18" s="431"/>
      <c r="I18" s="528"/>
      <c r="J18" s="431"/>
      <c r="K18" s="433">
        <f>VLOOKUP(K16,'[2]IBAN CONTI'!A$80:B$101,2,FALSE)</f>
        <v>1</v>
      </c>
      <c r="L18" s="833"/>
      <c r="M18" s="720"/>
      <c r="N18" s="720"/>
      <c r="O18" s="223"/>
      <c r="P18" s="558"/>
      <c r="Q18" s="526"/>
      <c r="R18" s="526"/>
      <c r="S18" s="15"/>
      <c r="T18" s="431"/>
      <c r="U18" s="15"/>
      <c r="V18" s="15"/>
      <c r="W18" s="15"/>
      <c r="X18" s="594">
        <f ca="1">X13-$AF$2</f>
        <v>-4433.6850547453723</v>
      </c>
      <c r="Y18" s="430"/>
      <c r="Z18" s="430"/>
      <c r="AA18" s="430"/>
      <c r="AB18" s="78"/>
      <c r="AC18" s="431"/>
      <c r="AD18" s="117"/>
      <c r="AE18" s="431"/>
      <c r="AF18" s="1011">
        <v>-22776.52</v>
      </c>
      <c r="AG18" s="1011"/>
      <c r="AH18" s="552"/>
      <c r="AI18" s="551"/>
      <c r="AJ18" s="441" t="s">
        <v>172</v>
      </c>
      <c r="AK18" s="525">
        <f>VLOOKUP(AJ18,'[2]IBAN CONTI'!A$61:B$64,2,FALSE)</f>
        <v>1</v>
      </c>
      <c r="AL18" s="967">
        <f>AL15-AL16*(100-F18)/100</f>
        <v>100</v>
      </c>
      <c r="AM18" s="524" t="str">
        <f>IF(B18=2,10^((LOG(AL15/AL14))/AM15)-1,"")</f>
        <v/>
      </c>
      <c r="AN18" s="422">
        <f>IF(B18=4,A15*E13/100,IF(AF15=1,G13*E13/100,A14/E14*E13/100))</f>
        <v>908.76660000000004</v>
      </c>
      <c r="AO18" s="425">
        <f>-AO16*(100-F17)/100</f>
        <v>0</v>
      </c>
      <c r="AP18" s="438">
        <f>IF(B18=2,(AN18-AP15+AN13+AN14)/G13*100,(AN18-AP14+AN13+AN14)/G13*100)</f>
        <v>96.596660000000014</v>
      </c>
      <c r="AQ18" s="423"/>
      <c r="AR18" s="422">
        <f>AL14</f>
        <v>100</v>
      </c>
      <c r="AS18" s="421"/>
      <c r="AT18" s="419"/>
      <c r="AU18" s="420"/>
      <c r="AV18" s="223"/>
      <c r="AW18" s="420"/>
      <c r="AX18" s="417"/>
      <c r="AY18" s="420"/>
      <c r="AZ18" s="223"/>
      <c r="BA18" s="419"/>
      <c r="BB18" s="223"/>
      <c r="BC18" s="223"/>
      <c r="BD18" s="223"/>
      <c r="BE18" s="223"/>
      <c r="BF18" s="416"/>
      <c r="BG18" s="418"/>
      <c r="BH18" s="416"/>
      <c r="BI18" s="416"/>
      <c r="BJ18" s="416"/>
      <c r="BK18" s="418"/>
      <c r="BL18" s="417"/>
      <c r="BM18" s="416"/>
      <c r="BN18" s="416"/>
      <c r="BO18" s="416"/>
      <c r="BP18" s="416"/>
      <c r="BQ18" s="416"/>
      <c r="BR18" s="416"/>
      <c r="BS18" s="416"/>
      <c r="BT18" s="389"/>
      <c r="BU18" s="389"/>
      <c r="BV18" s="389"/>
      <c r="BW18" s="389"/>
      <c r="BX18" s="415"/>
      <c r="BY18" s="389"/>
      <c r="BZ18" s="389"/>
      <c r="CA18" s="389"/>
      <c r="CB18" s="389"/>
      <c r="CC18" s="389"/>
      <c r="CD18" s="389"/>
      <c r="CE18" s="389"/>
      <c r="CF18" s="389"/>
      <c r="CG18" s="389"/>
      <c r="CH18" s="389"/>
      <c r="CI18" s="389"/>
      <c r="CJ18" s="389"/>
      <c r="CK18" s="389"/>
      <c r="CL18" s="389"/>
      <c r="CM18" s="389"/>
      <c r="CN18" s="389"/>
      <c r="CO18" s="389"/>
      <c r="CP18" s="389"/>
      <c r="CQ18" s="389"/>
      <c r="CR18" s="389"/>
      <c r="CS18" s="415"/>
      <c r="CT18" s="389"/>
      <c r="CU18" s="389"/>
      <c r="CV18" s="389"/>
      <c r="CW18" s="389"/>
      <c r="CX18" s="389"/>
      <c r="CY18" s="389"/>
      <c r="CZ18" s="389"/>
      <c r="DA18" s="389"/>
      <c r="DB18" s="389"/>
      <c r="DC18" s="389"/>
      <c r="DD18" s="389"/>
      <c r="DE18" s="389"/>
      <c r="DF18" s="389"/>
      <c r="DG18" s="389"/>
      <c r="DH18" s="389"/>
      <c r="DI18" s="389"/>
      <c r="DJ18" s="389"/>
      <c r="DK18" s="389"/>
      <c r="DL18" s="389"/>
      <c r="DM18" s="389"/>
      <c r="DN18" s="414"/>
      <c r="DO18" s="39"/>
      <c r="DP18" s="39"/>
      <c r="DQ18" s="39"/>
      <c r="DR18" s="136"/>
      <c r="DS18" s="136"/>
      <c r="DT18" s="136"/>
      <c r="DU18" s="136"/>
      <c r="DV18" s="136"/>
      <c r="DW18" s="136"/>
      <c r="DX18" s="136"/>
      <c r="DY18" s="136"/>
      <c r="DZ18" s="136"/>
      <c r="EA18" s="136"/>
      <c r="EB18" s="136"/>
      <c r="EC18" s="136"/>
      <c r="ED18" s="136"/>
      <c r="EE18" s="136"/>
      <c r="EF18" s="136"/>
      <c r="EG18" s="136"/>
      <c r="EH18" s="136"/>
      <c r="EI18" s="136"/>
      <c r="EJ18" s="136"/>
      <c r="EK18" s="136"/>
      <c r="EL18" s="136"/>
      <c r="EM18" s="136"/>
      <c r="EN18" s="136"/>
      <c r="EO18" s="136"/>
      <c r="EP18" s="136"/>
      <c r="EQ18" s="136"/>
      <c r="ER18" s="136"/>
      <c r="ES18" s="136"/>
      <c r="ET18" s="136"/>
      <c r="EU18" s="136"/>
      <c r="EV18" s="136"/>
      <c r="EW18" s="136"/>
      <c r="EX18" s="136"/>
      <c r="EY18" s="136"/>
      <c r="EZ18" s="136"/>
      <c r="FA18" s="136"/>
      <c r="FB18" s="136"/>
      <c r="FC18" s="136"/>
      <c r="FD18" s="136"/>
      <c r="FE18" s="136"/>
      <c r="FF18" s="136"/>
      <c r="FG18" s="136"/>
      <c r="FH18" s="136"/>
      <c r="FI18" s="136"/>
      <c r="FJ18" s="136"/>
      <c r="FK18" s="136"/>
      <c r="FL18" s="136"/>
      <c r="FM18" s="136"/>
      <c r="FN18" s="136"/>
      <c r="FO18" s="136"/>
      <c r="FP18" s="136"/>
      <c r="FQ18" s="412"/>
      <c r="FR18" s="412"/>
      <c r="FS18" s="412"/>
      <c r="FT18" s="412"/>
      <c r="FU18" s="412"/>
      <c r="FV18" s="412"/>
      <c r="FW18" s="412"/>
      <c r="FX18" s="412"/>
      <c r="FY18" s="412"/>
      <c r="FZ18" s="412"/>
      <c r="GA18" s="412"/>
      <c r="GB18" s="412"/>
      <c r="GC18" s="412"/>
      <c r="GD18" s="412"/>
      <c r="GE18" s="412"/>
      <c r="GF18" s="412"/>
      <c r="GG18" s="412"/>
      <c r="GH18" s="412"/>
      <c r="GI18" s="412"/>
      <c r="GJ18" s="412"/>
      <c r="GK18" s="412"/>
      <c r="GL18" s="412"/>
      <c r="GM18" s="412"/>
      <c r="GN18" s="412"/>
      <c r="GO18" s="412"/>
      <c r="GP18" s="412"/>
      <c r="GQ18" s="412"/>
      <c r="GR18" s="412"/>
      <c r="GS18" s="412"/>
      <c r="GT18" s="412"/>
      <c r="GU18" s="412"/>
      <c r="GV18" s="412"/>
      <c r="GW18" s="412"/>
      <c r="GX18" s="412"/>
      <c r="GY18" s="412"/>
      <c r="GZ18" s="412"/>
      <c r="HA18" s="412"/>
      <c r="HB18" s="412"/>
      <c r="HC18" s="412"/>
      <c r="HD18" s="412"/>
      <c r="HE18" s="412"/>
      <c r="HF18" s="412"/>
      <c r="HG18" s="412"/>
      <c r="HH18" s="412"/>
      <c r="HI18" s="278"/>
      <c r="HJ18" s="277"/>
      <c r="HK18" s="277"/>
      <c r="HL18" s="277"/>
      <c r="HM18" s="277"/>
      <c r="HN18" s="277"/>
      <c r="HO18" s="277"/>
      <c r="HP18" s="277"/>
      <c r="HQ18" s="277"/>
      <c r="HR18" s="277"/>
      <c r="HS18" s="277"/>
      <c r="HT18" s="277"/>
      <c r="HU18" s="277"/>
      <c r="HV18" s="277"/>
      <c r="HW18" s="277"/>
      <c r="HX18" s="277"/>
      <c r="HY18" s="277"/>
      <c r="HZ18" s="277"/>
      <c r="IA18" s="277"/>
      <c r="IB18" s="277"/>
      <c r="IC18" s="412"/>
      <c r="ID18" s="412"/>
      <c r="IE18" s="412"/>
      <c r="IF18" s="412"/>
      <c r="IG18" s="412"/>
      <c r="IH18" s="412"/>
      <c r="II18" s="412"/>
      <c r="IJ18" s="412"/>
      <c r="IK18" s="412"/>
      <c r="IL18" s="412"/>
      <c r="IM18" s="412"/>
      <c r="IN18" s="412"/>
      <c r="IO18" s="413"/>
      <c r="IP18" s="389"/>
      <c r="IQ18" s="389"/>
      <c r="IR18" s="389"/>
      <c r="IS18" s="389"/>
      <c r="IT18" s="389"/>
      <c r="IU18" s="389"/>
      <c r="IV18" s="389"/>
      <c r="IW18" s="389"/>
      <c r="IX18" s="389"/>
      <c r="IY18" s="389"/>
      <c r="IZ18" s="389"/>
      <c r="JA18" s="389"/>
      <c r="JB18" s="389"/>
      <c r="JC18" s="389"/>
      <c r="JD18" s="389"/>
      <c r="JE18" s="389"/>
      <c r="JF18" s="389"/>
      <c r="JG18" s="389"/>
      <c r="JH18" s="389"/>
      <c r="JI18" s="389"/>
      <c r="JJ18" s="389"/>
      <c r="JK18" s="389"/>
      <c r="JL18" s="389"/>
      <c r="JM18" s="389"/>
      <c r="JN18" s="389"/>
      <c r="JO18" s="389"/>
      <c r="JP18" s="389"/>
      <c r="JQ18" s="389"/>
      <c r="JR18" s="389"/>
      <c r="JS18" s="596"/>
      <c r="JT18" s="389"/>
      <c r="JU18" s="389"/>
      <c r="JV18" s="389"/>
      <c r="JW18" s="389"/>
      <c r="JX18" s="389"/>
      <c r="JY18" s="389"/>
      <c r="JZ18" s="389"/>
      <c r="KA18" s="389"/>
      <c r="KB18" s="389"/>
      <c r="KC18" s="389"/>
      <c r="KD18" s="389"/>
      <c r="KE18" s="389"/>
      <c r="KF18" s="389"/>
      <c r="KG18" s="389"/>
      <c r="KH18" s="389"/>
      <c r="KI18" s="389"/>
      <c r="KJ18" s="389"/>
      <c r="KK18" s="389"/>
      <c r="KL18" s="389"/>
      <c r="KM18" s="389"/>
      <c r="KN18" s="389"/>
      <c r="KO18" s="389"/>
      <c r="KP18" s="389"/>
    </row>
    <row r="19" spans="1:302" ht="11.1" hidden="1" customHeight="1" outlineLevel="1">
      <c r="A19" s="8"/>
      <c r="B19" s="933"/>
      <c r="C19" s="933"/>
      <c r="D19" s="431"/>
      <c r="E19" s="933"/>
      <c r="F19" s="435"/>
      <c r="G19" s="431"/>
      <c r="H19" s="431"/>
      <c r="I19" s="528"/>
      <c r="J19" s="431"/>
      <c r="K19" s="433"/>
      <c r="L19" s="833"/>
      <c r="M19" s="720"/>
      <c r="N19" s="720"/>
      <c r="O19" s="223"/>
      <c r="P19" s="527"/>
      <c r="Q19" s="526"/>
      <c r="R19" s="526"/>
      <c r="S19" s="15"/>
      <c r="T19" s="431"/>
      <c r="U19" s="15"/>
      <c r="V19" s="15"/>
      <c r="W19" s="15"/>
      <c r="X19" s="442"/>
      <c r="Y19" s="430"/>
      <c r="Z19" s="430"/>
      <c r="AA19" s="430"/>
      <c r="AB19" s="78"/>
      <c r="AC19" s="431"/>
      <c r="AD19" s="117"/>
      <c r="AE19" s="431"/>
      <c r="AF19" s="934"/>
      <c r="AG19" s="934"/>
      <c r="AH19" s="552"/>
      <c r="AI19" s="551"/>
      <c r="AJ19" s="441"/>
      <c r="AK19" s="595"/>
      <c r="AL19" s="967"/>
      <c r="AM19" s="524"/>
      <c r="AN19" s="422"/>
      <c r="AO19" s="425"/>
      <c r="AP19" s="424"/>
      <c r="AQ19" s="424"/>
      <c r="AR19" s="422"/>
      <c r="AS19" s="421"/>
      <c r="AT19" s="223"/>
      <c r="AU19" s="420"/>
      <c r="AV19" s="223"/>
      <c r="AW19" s="420"/>
      <c r="AX19" s="417"/>
      <c r="AY19" s="420"/>
      <c r="AZ19" s="223"/>
      <c r="BA19" s="223"/>
      <c r="BB19" s="223"/>
      <c r="BC19" s="223"/>
      <c r="BD19" s="223"/>
      <c r="BE19" s="223"/>
      <c r="BF19" s="416"/>
      <c r="BG19" s="417"/>
      <c r="BH19" s="416"/>
      <c r="BI19" s="416"/>
      <c r="BJ19" s="416"/>
      <c r="BK19" s="417"/>
      <c r="BL19" s="417"/>
      <c r="BM19" s="416"/>
      <c r="BN19" s="416"/>
      <c r="BO19" s="416"/>
      <c r="BP19" s="416"/>
      <c r="BQ19" s="416"/>
      <c r="BR19" s="416"/>
      <c r="BS19" s="416"/>
      <c r="BT19" s="389"/>
      <c r="BU19" s="389"/>
      <c r="BV19" s="389"/>
      <c r="BW19" s="389"/>
      <c r="BX19" s="412"/>
      <c r="BY19" s="389"/>
      <c r="BZ19" s="389"/>
      <c r="CA19" s="389"/>
      <c r="CB19" s="389"/>
      <c r="CC19" s="389"/>
      <c r="CD19" s="389"/>
      <c r="CE19" s="389"/>
      <c r="CF19" s="389"/>
      <c r="CG19" s="389"/>
      <c r="CH19" s="389"/>
      <c r="CI19" s="389"/>
      <c r="CJ19" s="389"/>
      <c r="CK19" s="389"/>
      <c r="CL19" s="389"/>
      <c r="CM19" s="389"/>
      <c r="CN19" s="389"/>
      <c r="CO19" s="389"/>
      <c r="CP19" s="389"/>
      <c r="CQ19" s="389"/>
      <c r="CR19" s="389"/>
      <c r="CS19" s="412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136"/>
      <c r="DO19" s="39"/>
      <c r="DP19" s="39"/>
      <c r="DQ19" s="39"/>
      <c r="DR19" s="136"/>
      <c r="DS19" s="136"/>
      <c r="DT19" s="136"/>
      <c r="DU19" s="136"/>
      <c r="DV19" s="136"/>
      <c r="DW19" s="136"/>
      <c r="DX19" s="136"/>
      <c r="DY19" s="136"/>
      <c r="DZ19" s="136"/>
      <c r="EA19" s="136"/>
      <c r="EB19" s="136"/>
      <c r="EC19" s="136"/>
      <c r="ED19" s="136"/>
      <c r="EE19" s="136"/>
      <c r="EF19" s="136"/>
      <c r="EG19" s="136"/>
      <c r="EH19" s="136"/>
      <c r="EI19" s="136"/>
      <c r="EJ19" s="136"/>
      <c r="EK19" s="136"/>
      <c r="EL19" s="136"/>
      <c r="EM19" s="136"/>
      <c r="EN19" s="136"/>
      <c r="EO19" s="136"/>
      <c r="EP19" s="136"/>
      <c r="EQ19" s="136"/>
      <c r="ER19" s="136"/>
      <c r="ES19" s="136"/>
      <c r="ET19" s="136"/>
      <c r="EU19" s="136"/>
      <c r="EV19" s="136"/>
      <c r="EW19" s="136"/>
      <c r="EX19" s="136"/>
      <c r="EY19" s="136"/>
      <c r="EZ19" s="136"/>
      <c r="FA19" s="136"/>
      <c r="FB19" s="136"/>
      <c r="FC19" s="136"/>
      <c r="FD19" s="136"/>
      <c r="FE19" s="136"/>
      <c r="FF19" s="136"/>
      <c r="FG19" s="136"/>
      <c r="FH19" s="136"/>
      <c r="FI19" s="136"/>
      <c r="FJ19" s="136"/>
      <c r="FK19" s="136"/>
      <c r="FL19" s="136"/>
      <c r="FM19" s="136"/>
      <c r="FN19" s="136"/>
      <c r="FO19" s="136"/>
      <c r="FP19" s="136"/>
      <c r="FQ19" s="412"/>
      <c r="FR19" s="412"/>
      <c r="FS19" s="412"/>
      <c r="FT19" s="412"/>
      <c r="FU19" s="412"/>
      <c r="FV19" s="412"/>
      <c r="FW19" s="412"/>
      <c r="FX19" s="412"/>
      <c r="FY19" s="412"/>
      <c r="FZ19" s="412"/>
      <c r="GA19" s="412"/>
      <c r="GB19" s="412"/>
      <c r="GC19" s="412"/>
      <c r="GD19" s="412"/>
      <c r="GE19" s="412"/>
      <c r="GF19" s="412"/>
      <c r="GG19" s="412"/>
      <c r="GH19" s="412"/>
      <c r="GI19" s="412"/>
      <c r="GJ19" s="412"/>
      <c r="GK19" s="412"/>
      <c r="GL19" s="412"/>
      <c r="GM19" s="412"/>
      <c r="GN19" s="412"/>
      <c r="GO19" s="412"/>
      <c r="GP19" s="412"/>
      <c r="GQ19" s="412"/>
      <c r="GR19" s="412"/>
      <c r="GS19" s="412"/>
      <c r="GT19" s="412"/>
      <c r="GU19" s="412"/>
      <c r="GV19" s="412"/>
      <c r="GW19" s="412"/>
      <c r="GX19" s="412"/>
      <c r="GY19" s="412"/>
      <c r="GZ19" s="412"/>
      <c r="HA19" s="412"/>
      <c r="HB19" s="412"/>
      <c r="HC19" s="412"/>
      <c r="HD19" s="412"/>
      <c r="HE19" s="412"/>
      <c r="HF19" s="412"/>
      <c r="HG19" s="412"/>
      <c r="HH19" s="412"/>
      <c r="HI19" s="278"/>
      <c r="HJ19" s="277"/>
      <c r="HK19" s="277"/>
      <c r="HL19" s="277"/>
      <c r="HM19" s="277"/>
      <c r="HN19" s="277"/>
      <c r="HO19" s="277"/>
      <c r="HP19" s="277"/>
      <c r="HQ19" s="277"/>
      <c r="HR19" s="277"/>
      <c r="HS19" s="277"/>
      <c r="HT19" s="277"/>
      <c r="HU19" s="277"/>
      <c r="HV19" s="277"/>
      <c r="HW19" s="277"/>
      <c r="HX19" s="277"/>
      <c r="HY19" s="277"/>
      <c r="HZ19" s="277"/>
      <c r="IA19" s="277"/>
      <c r="IB19" s="277"/>
      <c r="IC19" s="412"/>
      <c r="ID19" s="412"/>
      <c r="IE19" s="412"/>
      <c r="IF19" s="412"/>
      <c r="IG19" s="412"/>
      <c r="IH19" s="412"/>
      <c r="II19" s="412"/>
      <c r="IJ19" s="412"/>
      <c r="IK19" s="412"/>
      <c r="IL19" s="412"/>
      <c r="IM19" s="412"/>
      <c r="IN19" s="412"/>
      <c r="IO19" s="412"/>
      <c r="IP19" s="389"/>
      <c r="IQ19" s="389"/>
      <c r="IR19" s="389"/>
      <c r="IS19" s="389"/>
      <c r="IT19" s="389"/>
      <c r="IU19" s="389"/>
      <c r="IV19" s="389"/>
      <c r="IW19" s="389"/>
      <c r="IX19" s="389"/>
      <c r="IY19" s="389"/>
      <c r="IZ19" s="389"/>
      <c r="JA19" s="389"/>
      <c r="JB19" s="389"/>
      <c r="JC19" s="389"/>
      <c r="JD19" s="389"/>
      <c r="JE19" s="389"/>
      <c r="JF19" s="389"/>
      <c r="JG19" s="389"/>
      <c r="JH19" s="389"/>
      <c r="JI19" s="389"/>
      <c r="JJ19" s="389"/>
      <c r="JK19" s="389"/>
      <c r="JL19" s="389"/>
      <c r="JM19" s="389"/>
      <c r="JN19" s="389"/>
      <c r="JO19" s="389"/>
      <c r="JP19" s="389"/>
      <c r="JQ19" s="389"/>
      <c r="JR19" s="389"/>
      <c r="JS19" s="596"/>
      <c r="JT19" s="389"/>
      <c r="JU19" s="389"/>
      <c r="JV19" s="389"/>
      <c r="JW19" s="389"/>
      <c r="JX19" s="389"/>
      <c r="JY19" s="389"/>
      <c r="JZ19" s="389"/>
      <c r="KA19" s="389"/>
      <c r="KB19" s="389"/>
      <c r="KC19" s="389"/>
      <c r="KD19" s="389"/>
      <c r="KE19" s="389"/>
      <c r="KF19" s="389"/>
      <c r="KG19" s="389"/>
      <c r="KH19" s="389"/>
      <c r="KI19" s="389"/>
      <c r="KJ19" s="389"/>
      <c r="KK19" s="389"/>
      <c r="KL19" s="389"/>
      <c r="KM19" s="389"/>
      <c r="KN19" s="389"/>
      <c r="KO19" s="389"/>
      <c r="KP19" s="389"/>
    </row>
    <row r="20" spans="1:302" s="14" customFormat="1" ht="5.0999999999999996" customHeight="1" collapsed="1">
      <c r="F20" s="23"/>
      <c r="G20" s="23"/>
      <c r="H20" s="23"/>
      <c r="I20" s="23"/>
      <c r="J20" s="23"/>
      <c r="L20" s="834"/>
      <c r="M20" s="720"/>
      <c r="N20" s="720"/>
      <c r="O20" s="223"/>
      <c r="P20" s="318"/>
      <c r="Q20" s="23"/>
      <c r="R20" s="23"/>
      <c r="S20" s="493"/>
      <c r="T20" s="23"/>
      <c r="AB20" s="23"/>
      <c r="AC20" s="23"/>
      <c r="AE20" s="23"/>
      <c r="AG20" s="44"/>
      <c r="AH20" s="608"/>
      <c r="AI20" s="608"/>
      <c r="AJ20" s="80"/>
      <c r="AK20" s="607"/>
      <c r="AM20" s="606"/>
      <c r="AN20" s="23"/>
      <c r="HU20" s="32"/>
      <c r="JT20" s="553"/>
    </row>
    <row r="21" spans="1:302" s="1" customFormat="1" ht="11.1" customHeight="1">
      <c r="A21" s="497" t="s">
        <v>500</v>
      </c>
      <c r="B21" s="496" t="s">
        <v>186</v>
      </c>
      <c r="C21" s="974">
        <v>46477</v>
      </c>
      <c r="D21" s="201">
        <v>45446</v>
      </c>
      <c r="E21" s="762">
        <v>93.47</v>
      </c>
      <c r="F21" s="561">
        <v>1.8749999999999999E-2</v>
      </c>
      <c r="G21" s="383">
        <v>1000</v>
      </c>
      <c r="H21" s="492">
        <f>G21</f>
        <v>1000</v>
      </c>
      <c r="I21" s="385">
        <f>G21*F21/100*F26</f>
        <v>13.875</v>
      </c>
      <c r="J21" s="492">
        <f>I21</f>
        <v>13.875</v>
      </c>
      <c r="K21" s="384" t="s">
        <v>204</v>
      </c>
      <c r="L21" s="833">
        <f>MONTH(C21)</f>
        <v>3</v>
      </c>
      <c r="M21" s="842" t="str">
        <f>IFERROR(IF(N21&gt;12,N21-12,N21),"")</f>
        <v/>
      </c>
      <c r="N21" s="842" t="str">
        <f>IF(K23=1,"",MONTH(C21)+6)</f>
        <v/>
      </c>
      <c r="O21" s="832">
        <f>IF(K23=1,I21,I21/2)</f>
        <v>13.875</v>
      </c>
      <c r="P21" s="215">
        <f>VLOOKUP(B22,[2]Prezzi!$A$2:$R$125,18,FALSE)</f>
        <v>95.935001373291016</v>
      </c>
      <c r="Q21" s="940"/>
      <c r="R21" s="940"/>
      <c r="S21" s="493">
        <f ca="1">MAX(0,IF(B26=5,I21/AM23*X21,(((((F21)*AF$2)/365)*G21*F26/100)+((((F21)*X26)/365)*G21*F26/100))))</f>
        <v>8.6291095890410929</v>
      </c>
      <c r="T21" s="492">
        <f ca="1">S21</f>
        <v>8.6291095890410929</v>
      </c>
      <c r="U21" s="469"/>
      <c r="V21" s="4"/>
      <c r="W21" s="469"/>
      <c r="X21" s="491">
        <f ca="1">IF(B26=4,COUPDAYBS($AB$2,C21,K23,AH25),IF($AB$2-AL21&lt;365,IF(K23&gt;1,FLOOR(365/K23-(E23-AB$2),1),IF(B26=2,0,IF(AL21&gt;$AB$2,0,IF(AND(E23-AL21&lt;365,$AB$2&lt;E23),$AB$2-AL21,COUPDAYBS($AB$2,C21,K23,AH25))))),COUPDAYBS($AB$2,C21,K23,AH25)))</f>
        <v>227</v>
      </c>
      <c r="Y21" s="456">
        <f ca="1">G21*AF21</f>
        <v>2260.7590503494685</v>
      </c>
      <c r="Z21" s="456">
        <f ca="1">IF(G21=0,"0",G21*AG21)</f>
        <v>27.292354851666161</v>
      </c>
      <c r="AA21" s="22"/>
      <c r="AB21" s="979">
        <f ca="1">IF(B26=5,(((I21/AM24)*X21)+(G21)),(G21*P21*A26/100)+(S21*A26))</f>
        <v>967.97912332195119</v>
      </c>
      <c r="AC21" s="383">
        <f ca="1">AB21</f>
        <v>967.97912332195119</v>
      </c>
      <c r="AD21" s="156">
        <f>IF(E22="",((P21-E21)/100)*G21,((((P21-E21)/100)*A22)/F22)+((A22/F22)-(A22/E22)))</f>
        <v>24.650013732910168</v>
      </c>
      <c r="AE21" s="383">
        <f>AD21</f>
        <v>24.650013732910168</v>
      </c>
      <c r="AF21" s="446">
        <f ca="1">IF(B26=1,MDURATION($AB$2,C21,F21,AG21,K23,AH25),IF(B26=2,YEARFRAC(C21,$AB$2,AH25)))</f>
        <v>2.2607590503494683</v>
      </c>
      <c r="AG21" s="824">
        <f ca="1">YIELD(AB$2,C21,F21,P21,AL23,K23,AH25)*F26/100</f>
        <v>2.7292354851666163E-2</v>
      </c>
      <c r="AH21" s="489">
        <f ca="1">(((F21)*X21)/365)*F26</f>
        <v>0.86291095890410952</v>
      </c>
      <c r="AI21" s="573"/>
      <c r="AJ21" s="180"/>
      <c r="AK21" s="546"/>
      <c r="AL21" s="201">
        <v>42094</v>
      </c>
      <c r="AM21" s="748" t="s">
        <v>471</v>
      </c>
      <c r="AN21" s="813">
        <f>IF(B26=4,MIN(G21*E21*A24*AZ$2/100,AV$4),IF(AF23=1,MIN(G21*E21*AZ$2/100,AV$4),MIN((A22*E21/E22*AZ$2/100),AV$4)+(((A22/E22*E21/100)+(A22/E22*E21*AZ$2/100)+AN22+AO21)*AZ$3)))</f>
        <v>0.93469999999999998</v>
      </c>
      <c r="AO21" s="784">
        <f>IF(B26=4,AP24*A23/100,IF(AF23=1,G21*AP24/100,A22/E22/100*AP24))</f>
        <v>3.3904100000000001</v>
      </c>
      <c r="AP21" s="188">
        <f>IF(B26=2,AN26+AN21+AN22+AP22,AN26+AN21+AN22+AO21+AO22+AP22)</f>
        <v>940.6507949126626</v>
      </c>
      <c r="AQ21" s="785">
        <f>AP21</f>
        <v>940.6507949126626</v>
      </c>
      <c r="AR21" s="810">
        <f>AR23+AR25+AR22</f>
        <v>1012.5776</v>
      </c>
      <c r="AS21" s="776">
        <f ca="1">AG21</f>
        <v>2.7292354851666163E-2</v>
      </c>
      <c r="AT21" s="419">
        <f>IF(B26=1,G21,"")</f>
        <v>1000</v>
      </c>
      <c r="AU21" s="420" t="str">
        <f>IF(B26=2,G21,"")</f>
        <v/>
      </c>
      <c r="AV21" s="223" t="str">
        <f>IF(B26=3,G21,"")</f>
        <v/>
      </c>
      <c r="AW21" s="420" t="str">
        <f>IF(B26=4,G21,"")</f>
        <v/>
      </c>
      <c r="AX21" s="417" t="str">
        <f>IF(B26=5,G21,"")</f>
        <v/>
      </c>
      <c r="AY21" s="420" t="str">
        <f>IF(B26=6,G21,"")</f>
        <v/>
      </c>
      <c r="AZ21" s="223" t="str">
        <f>IF(B26=7,G21,"")</f>
        <v/>
      </c>
      <c r="BA21" s="419" t="str">
        <f>IF(B23=1,G21,"")</f>
        <v/>
      </c>
      <c r="BB21" s="223" t="str">
        <f>IF(B23=2,G21,"")</f>
        <v/>
      </c>
      <c r="BC21" s="223" t="str">
        <f>IF(B23=3,G21,"")</f>
        <v/>
      </c>
      <c r="BD21" s="223">
        <f>IF(B23=4,G21,"")</f>
        <v>1000</v>
      </c>
      <c r="BE21" s="223" t="str">
        <f>IF(B23=5,G21,"")</f>
        <v/>
      </c>
      <c r="BF21" s="417" t="str">
        <f>IF(B23=6,G21,"")</f>
        <v/>
      </c>
      <c r="BG21" s="419">
        <f>IF(AK26=1,G21,"")</f>
        <v>1000</v>
      </c>
      <c r="BH21" s="223" t="str">
        <f>IF(AK26=2,G21,"")</f>
        <v/>
      </c>
      <c r="BI21" s="223" t="str">
        <f>IF(AK26=3,G21,"")</f>
        <v/>
      </c>
      <c r="BJ21" s="223" t="str">
        <f>IF(AK26=4,G21,"")</f>
        <v/>
      </c>
      <c r="BK21" s="419" t="str">
        <f>IF(AJ25=1,G21,"")</f>
        <v/>
      </c>
      <c r="BL21" s="482" t="str">
        <f>IF(BK21&lt;&gt;"",AB21,"")</f>
        <v/>
      </c>
      <c r="BM21" s="223" t="str">
        <f>IF(AJ25=2,G21,"")</f>
        <v/>
      </c>
      <c r="BN21" s="223" t="str">
        <f>IF(BM21&lt;&gt;"",AB21,"")</f>
        <v/>
      </c>
      <c r="BO21" s="223" t="str">
        <f>IF(AJ25=3,G21,"")</f>
        <v/>
      </c>
      <c r="BP21" s="223" t="str">
        <f>IF(AJ25=4,G21,"")</f>
        <v/>
      </c>
      <c r="BQ21" s="223" t="str">
        <f>IF(AJ25=5,G21,"")</f>
        <v/>
      </c>
      <c r="BR21" s="223" t="str">
        <f>IF(AJ25=6,G21,"")</f>
        <v/>
      </c>
      <c r="BS21" s="223" t="str">
        <f>IF(AJ25=7,G21,"")</f>
        <v/>
      </c>
      <c r="BT21" s="223">
        <f>IF(AJ25=8,G21,"")</f>
        <v>1000</v>
      </c>
      <c r="BU21" s="223" t="str">
        <f>IF(AJ25=9,G21,"")</f>
        <v/>
      </c>
      <c r="BV21" s="223" t="str">
        <f>IF(AJ25=10,G21,"")</f>
        <v/>
      </c>
      <c r="BW21" s="223" t="str">
        <f>IF(AJ25=11,G21,"")</f>
        <v/>
      </c>
      <c r="BX21" s="419">
        <f>IF(AF23=1,G21,"")</f>
        <v>1000</v>
      </c>
      <c r="BY21" s="223" t="str">
        <f>IF(AF23=2,G21,"")</f>
        <v/>
      </c>
      <c r="BZ21" s="223" t="str">
        <f>IF(AF23=3,G21,"")</f>
        <v/>
      </c>
      <c r="CA21" s="223" t="str">
        <f>IF(AF23=4,G21,"")</f>
        <v/>
      </c>
      <c r="CB21" s="223" t="str">
        <f>IF(AF23=5,G21,"")</f>
        <v/>
      </c>
      <c r="CC21" s="223" t="str">
        <f>IF(AF23=6,G21,"")</f>
        <v/>
      </c>
      <c r="CD21" s="223" t="str">
        <f>IF(AF23=7,G21,"")</f>
        <v/>
      </c>
      <c r="CE21" s="223" t="str">
        <f>IF(AF23=8,G21,"")</f>
        <v/>
      </c>
      <c r="CF21" s="223" t="str">
        <f>IF(AF23=9,G21,"")</f>
        <v/>
      </c>
      <c r="CG21" s="223" t="str">
        <f>IF(AF23=10,G21,"")</f>
        <v/>
      </c>
      <c r="CH21" s="223" t="str">
        <f>IF(AF23=11,G21,"")</f>
        <v/>
      </c>
      <c r="CI21" s="223" t="str">
        <f>IF(AF23=12,G21,"")</f>
        <v/>
      </c>
      <c r="CJ21" s="223" t="str">
        <f>IF(AF23=13,G21,"")</f>
        <v/>
      </c>
      <c r="CK21" s="223" t="str">
        <f>IF(AF23=14,G21,"")</f>
        <v/>
      </c>
      <c r="CL21" s="223" t="str">
        <f>IF(AF23=15,G21,"")</f>
        <v/>
      </c>
      <c r="CM21" s="223" t="str">
        <f>IF(AF23=16,G21,"")</f>
        <v/>
      </c>
      <c r="CN21" s="223" t="str">
        <f>IF(AF23=17,G21,"")</f>
        <v/>
      </c>
      <c r="CO21" s="223" t="str">
        <f>IF(AF23=18,G21,"")</f>
        <v/>
      </c>
      <c r="CP21" s="223" t="str">
        <f>IF(AF23=19,G21,"")</f>
        <v/>
      </c>
      <c r="CQ21" s="223" t="str">
        <f>IF(AF23=20,G21,"")</f>
        <v/>
      </c>
      <c r="CR21" s="223" t="str">
        <f>IF(AF23=21,G21,"")</f>
        <v/>
      </c>
      <c r="CS21" s="419" t="str">
        <f>IF(K26=1,G21,"")</f>
        <v/>
      </c>
      <c r="CT21" s="223" t="str">
        <f>IF(K26=2,G21,"")</f>
        <v/>
      </c>
      <c r="CU21" s="223" t="str">
        <f>IF(K26=3,G21,"")</f>
        <v/>
      </c>
      <c r="CV21" s="223" t="str">
        <f>IF(K26=4,G21,"")</f>
        <v/>
      </c>
      <c r="CW21" s="223" t="str">
        <f>IF(K26=5,G21,"")</f>
        <v/>
      </c>
      <c r="CX21" s="223" t="str">
        <f>IF(K26=6,G21,"")</f>
        <v/>
      </c>
      <c r="CY21" s="223" t="str">
        <f>IF(K26=7,G21,"")</f>
        <v/>
      </c>
      <c r="CZ21" s="223" t="str">
        <f>IF(K26=8,G21,"")</f>
        <v/>
      </c>
      <c r="DA21" s="223" t="str">
        <f>IF(K26=9,G21,"")</f>
        <v/>
      </c>
      <c r="DB21" s="223">
        <f>IF(K26=10,G21,"")</f>
        <v>1000</v>
      </c>
      <c r="DC21" s="223" t="str">
        <f>IF(K26=11,G21,"")</f>
        <v/>
      </c>
      <c r="DD21" s="223" t="str">
        <f>IF(K26=12,G21,"")</f>
        <v/>
      </c>
      <c r="DE21" s="223" t="str">
        <f>IF(K26=13,G21,"")</f>
        <v/>
      </c>
      <c r="DF21" s="223" t="str">
        <f>IF(K26=14,G21,"")</f>
        <v/>
      </c>
      <c r="DG21" s="223" t="str">
        <f>IF(K26=15,G21,"")</f>
        <v/>
      </c>
      <c r="DH21" s="223" t="str">
        <f>IF(K26=16,G21,"")</f>
        <v/>
      </c>
      <c r="DI21" s="223" t="str">
        <f>IF(K26=17,G21,"")</f>
        <v/>
      </c>
      <c r="DJ21" s="223" t="str">
        <f>IF(K26=18,G21,"")</f>
        <v/>
      </c>
      <c r="DK21" s="223" t="str">
        <f>IF(K26=19,G21,"")</f>
        <v/>
      </c>
      <c r="DL21" s="223" t="str">
        <f>IF(K26=20,G21,"")</f>
        <v/>
      </c>
      <c r="DM21" s="223"/>
      <c r="DN21" s="223"/>
      <c r="DO21" s="419" t="str">
        <f>IF(AG23=1,G21,"")</f>
        <v/>
      </c>
      <c r="DP21" s="223" t="str">
        <f>IF(AG23=2,G21,"")</f>
        <v/>
      </c>
      <c r="DQ21" s="223" t="str">
        <f>IF(AG23=3,G21,"")</f>
        <v/>
      </c>
      <c r="DR21" s="223" t="str">
        <f>IF(AG23=4,G21,"")</f>
        <v/>
      </c>
      <c r="DS21" s="223" t="str">
        <f>IF(AG23=5,G21,"")</f>
        <v/>
      </c>
      <c r="DT21" s="223" t="str">
        <f>IF(AG23=6,G21,"")</f>
        <v/>
      </c>
      <c r="DU21" s="223" t="str">
        <f>IF(AG23=7,G21,"")</f>
        <v/>
      </c>
      <c r="DV21" s="223" t="str">
        <f>IF(AG23=8,G21,"")</f>
        <v/>
      </c>
      <c r="DW21" s="136" t="str">
        <f>IF(AG23=9,G21,"")</f>
        <v/>
      </c>
      <c r="DX21" s="136" t="str">
        <f>IF(AG23=10,G21,"")</f>
        <v/>
      </c>
      <c r="DY21" s="136" t="str">
        <f>IF(AG23=11,G21,"")</f>
        <v/>
      </c>
      <c r="DZ21" s="136" t="str">
        <f>IF(AG23=12,G21,"")</f>
        <v/>
      </c>
      <c r="EA21" s="136" t="str">
        <f>IF(AG23=13,G21,"")</f>
        <v/>
      </c>
      <c r="EB21" s="136" t="str">
        <f>IF(AG23=14,G21,"")</f>
        <v/>
      </c>
      <c r="EC21" s="317" t="str">
        <f>IF(AG23=15,G21,"")</f>
        <v/>
      </c>
      <c r="ED21" s="136" t="str">
        <f>IF(AG23=16,G21,"")</f>
        <v/>
      </c>
      <c r="EE21" s="136" t="str">
        <f>IF(AG23=17,G21,"")</f>
        <v/>
      </c>
      <c r="EF21" s="136" t="str">
        <f>IF(AG23=18,G21,"")</f>
        <v/>
      </c>
      <c r="EG21" s="136" t="str">
        <f>IF(AG23=19,G21,"")</f>
        <v/>
      </c>
      <c r="EH21" s="136" t="str">
        <f>IF(AG23=20,G21,"")</f>
        <v/>
      </c>
      <c r="EI21" s="136" t="str">
        <f>IF(AG23=21,G21,"")</f>
        <v/>
      </c>
      <c r="EJ21" s="136" t="str">
        <f>IF(AG23=22,G21,"")</f>
        <v/>
      </c>
      <c r="EK21" s="136" t="str">
        <f>IF(AG23=23,G21,"")</f>
        <v/>
      </c>
      <c r="EL21" s="136" t="str">
        <f>IF(AG23=24,G21,"")</f>
        <v/>
      </c>
      <c r="EM21" s="136" t="str">
        <f>IF(AG23=25,G21,"")</f>
        <v/>
      </c>
      <c r="EN21" s="136" t="str">
        <f>IF(AG23=26,G21,"")</f>
        <v/>
      </c>
      <c r="EO21" s="136" t="str">
        <f>IF(AG23=27,G21,"")</f>
        <v/>
      </c>
      <c r="EP21" s="136" t="str">
        <f>IF(AG23=28,G21,"")</f>
        <v/>
      </c>
      <c r="EQ21" s="136">
        <f>IF(AG23=29,G21,"")</f>
        <v>1000</v>
      </c>
      <c r="ER21" s="136" t="str">
        <f>IF(AG23=30,G21,"")</f>
        <v/>
      </c>
      <c r="ES21" s="136" t="str">
        <f>IF(AG23=31,G21,"")</f>
        <v/>
      </c>
      <c r="ET21" s="136" t="str">
        <f>IF(AG23=32,G21,"")</f>
        <v/>
      </c>
      <c r="EU21" s="136" t="str">
        <f>IF(AG23=33,G21,"")</f>
        <v/>
      </c>
      <c r="EV21" s="136" t="str">
        <f>IF(AG23=34,G21,"")</f>
        <v/>
      </c>
      <c r="EW21" s="136" t="str">
        <f>IF(AG23=35,G21,"")</f>
        <v/>
      </c>
      <c r="EX21" s="136" t="str">
        <f>IF(AG23=36,G21,"")</f>
        <v/>
      </c>
      <c r="EY21" s="136" t="str">
        <f>IF(AG23=37,G21,"")</f>
        <v/>
      </c>
      <c r="EZ21" s="136" t="str">
        <f>IF(AG23=38,G21,"")</f>
        <v/>
      </c>
      <c r="FA21" s="136" t="str">
        <f>IF(AG23=39,G21,"")</f>
        <v/>
      </c>
      <c r="FB21" s="136" t="str">
        <f>IF(AG23=40,G21,"")</f>
        <v/>
      </c>
      <c r="FC21" s="136" t="str">
        <f>IF(AG23=41,G21,"")</f>
        <v/>
      </c>
      <c r="FD21" s="136" t="str">
        <f>IF(AG23=42,G21,"")</f>
        <v/>
      </c>
      <c r="FE21" s="136" t="str">
        <f>IF(AG23=43,G21,"")</f>
        <v/>
      </c>
      <c r="FF21" s="136" t="str">
        <f>IF(AG23=44,G21,"")</f>
        <v/>
      </c>
      <c r="FG21" s="136" t="str">
        <f>IF(AG23=45,G21,"")</f>
        <v/>
      </c>
      <c r="FH21" s="136" t="str">
        <f>IF(AG23=46,G21,"")</f>
        <v/>
      </c>
      <c r="FI21" s="136" t="str">
        <f>IF(AG23=47,G21,"")</f>
        <v/>
      </c>
      <c r="FJ21" s="136" t="str">
        <f>IF(AG23=48,G21,"")</f>
        <v/>
      </c>
      <c r="FK21" s="136" t="str">
        <f>IF(AG23=49,G21,"")</f>
        <v/>
      </c>
      <c r="FL21" s="136" t="str">
        <f>IF(AG23=50,G21,"")</f>
        <v/>
      </c>
      <c r="FM21" s="136" t="str">
        <f>IF(AG23=51,G21,"")</f>
        <v/>
      </c>
      <c r="FN21" s="136" t="str">
        <f>IF(AG23=52,G21,"")</f>
        <v/>
      </c>
      <c r="FO21" s="136" t="str">
        <f>IF(AG23=53,G21,"")</f>
        <v/>
      </c>
      <c r="FP21" s="136" t="str">
        <f>IF(AG23=54,G21,"")</f>
        <v/>
      </c>
      <c r="FQ21" s="136" t="str">
        <f>IF(AG23=55,G21,"")</f>
        <v/>
      </c>
      <c r="FR21" s="412" t="str">
        <f>IF(AG23=56,G21,"")</f>
        <v/>
      </c>
      <c r="FS21" s="412" t="str">
        <f>IF(AG23=57,G21,"")</f>
        <v/>
      </c>
      <c r="FT21" s="412" t="str">
        <f>IF(AG23=58,G21,"")</f>
        <v/>
      </c>
      <c r="FU21" s="412" t="str">
        <f>IF(AG23=59,G21,"")</f>
        <v/>
      </c>
      <c r="FV21" s="412" t="str">
        <f>IF(AG23=60,G21,"")</f>
        <v/>
      </c>
      <c r="FW21" s="412" t="str">
        <f>IF(AG23=61,G21,"")</f>
        <v/>
      </c>
      <c r="FX21" s="412" t="str">
        <f>IF(AG23=62,G21,"")</f>
        <v/>
      </c>
      <c r="FY21" s="412" t="str">
        <f>IF(AG23=63,G21,"")</f>
        <v/>
      </c>
      <c r="FZ21" s="412" t="str">
        <f>IF(AG23=64,G21,"")</f>
        <v/>
      </c>
      <c r="GA21" s="412" t="str">
        <f>IF(AG23=65,G21,"")</f>
        <v/>
      </c>
      <c r="GB21" s="412" t="str">
        <f>IF(AG23=66,G21,"")</f>
        <v/>
      </c>
      <c r="GC21" s="412" t="str">
        <f>IF(AG23=67,G21,"")</f>
        <v/>
      </c>
      <c r="GD21" s="412" t="str">
        <f>IF(AG23=68,G21,"")</f>
        <v/>
      </c>
      <c r="GE21" s="412" t="str">
        <f>IF(AG23=69,G21,"")</f>
        <v/>
      </c>
      <c r="GF21" s="412" t="str">
        <f>IF(AG23=70,G21,"")</f>
        <v/>
      </c>
      <c r="GG21" s="412" t="str">
        <f>IF(AG23=71,G21,"")</f>
        <v/>
      </c>
      <c r="GH21" s="412" t="str">
        <f>IF(AG23=72,G21,"")</f>
        <v/>
      </c>
      <c r="GI21" s="412" t="str">
        <f>IF(AG23=73,G21,"")</f>
        <v/>
      </c>
      <c r="GJ21" s="412" t="str">
        <f>IF(AG23=74,G21,"")</f>
        <v/>
      </c>
      <c r="GK21" s="412" t="str">
        <f>IF(AG23=75,G21,"")</f>
        <v/>
      </c>
      <c r="GL21" s="412" t="str">
        <f>IF(AG23=76,G21,"")</f>
        <v/>
      </c>
      <c r="GM21" s="412" t="str">
        <f>IF(AG23=77,G21,"")</f>
        <v/>
      </c>
      <c r="GN21" s="412" t="str">
        <f>IF(AG23=78,G21,"")</f>
        <v/>
      </c>
      <c r="GO21" s="412" t="str">
        <f>IF(AG23=79,G21,"")</f>
        <v/>
      </c>
      <c r="GP21" s="412" t="str">
        <f>IF(AG23=80,G21,"")</f>
        <v/>
      </c>
      <c r="GQ21" s="412" t="str">
        <f>IF(AG23=81,G21,"")</f>
        <v/>
      </c>
      <c r="GR21" s="412" t="str">
        <f>IF(AG23=82,G21,"")</f>
        <v/>
      </c>
      <c r="GS21" s="412" t="str">
        <f>IF(AG23=83,G21,"")</f>
        <v/>
      </c>
      <c r="GT21" s="412" t="str">
        <f>IF(AG23=84,G21,"")</f>
        <v/>
      </c>
      <c r="GU21" s="412"/>
      <c r="GV21" s="412"/>
      <c r="GW21" s="412"/>
      <c r="GX21" s="412"/>
      <c r="GY21" s="412"/>
      <c r="GZ21" s="412"/>
      <c r="HA21" s="412"/>
      <c r="HB21" s="412"/>
      <c r="HC21" s="412"/>
      <c r="HD21" s="412"/>
      <c r="HE21" s="412"/>
      <c r="HF21" s="412"/>
      <c r="HG21" s="412"/>
      <c r="HH21" s="412"/>
      <c r="HI21" s="412"/>
      <c r="HJ21" s="412"/>
      <c r="HK21" s="412"/>
      <c r="HL21" s="412"/>
      <c r="HM21" s="412"/>
      <c r="HN21" s="412"/>
      <c r="HO21" s="412"/>
      <c r="HP21" s="412"/>
      <c r="HQ21" s="412"/>
      <c r="HR21" s="412"/>
      <c r="HS21" s="412"/>
      <c r="HT21" s="412"/>
      <c r="HU21" s="278">
        <f ca="1">IF(AF23=1,AB21,"")</f>
        <v>967.97912332195119</v>
      </c>
      <c r="HV21" s="277" t="str">
        <f>IF(AF23=2,AB21,"")</f>
        <v/>
      </c>
      <c r="HW21" s="277" t="str">
        <f>IF(AF23=3,AB21,"")</f>
        <v/>
      </c>
      <c r="HX21" s="277" t="str">
        <f>IF(AF23=4,AB21,"")</f>
        <v/>
      </c>
      <c r="HY21" s="277" t="str">
        <f>IF(AF23=5,AB21,"")</f>
        <v/>
      </c>
      <c r="HZ21" s="277" t="str">
        <f>IF(AF23=6,AB21,"")</f>
        <v/>
      </c>
      <c r="IA21" s="277" t="str">
        <f>IF(AF23=7,AB21,"")</f>
        <v/>
      </c>
      <c r="IB21" s="277" t="str">
        <f>IF(AF23=8,AB21,"")</f>
        <v/>
      </c>
      <c r="IC21" s="277" t="str">
        <f>IF(AF23=9,AB21,"")</f>
        <v/>
      </c>
      <c r="ID21" s="412" t="str">
        <f>IF(AF23=10,AB21,"")</f>
        <v/>
      </c>
      <c r="IE21" s="223" t="str">
        <f>IF(AF23=11,AB21,"")</f>
        <v/>
      </c>
      <c r="IF21" s="223" t="str">
        <f>IF(AF23=12,AB21,"")</f>
        <v/>
      </c>
      <c r="IG21" s="223" t="str">
        <f>IF(AF23=13,AB21,"")</f>
        <v/>
      </c>
      <c r="IH21" s="223" t="str">
        <f>IF(AF23=14,AB21,"")</f>
        <v/>
      </c>
      <c r="II21" s="223" t="str">
        <f>IF(AF23=15,AB21,"")</f>
        <v/>
      </c>
      <c r="IJ21" s="223" t="str">
        <f>IF(AF23=16,AB21,"")</f>
        <v/>
      </c>
      <c r="IK21" s="223" t="str">
        <f>IF(AF23=17,AB21,"")</f>
        <v/>
      </c>
      <c r="IL21" s="223" t="str">
        <f>IF(AF23=18,AB21,"")</f>
        <v/>
      </c>
      <c r="IM21" s="223" t="str">
        <f>IF(AF23=19,AB21,"")</f>
        <v/>
      </c>
      <c r="IN21" s="223" t="str">
        <f>IF(AF23=20,AB21,"")</f>
        <v/>
      </c>
      <c r="IO21" s="223" t="str">
        <f>IF(AF23=21,AB21,"")</f>
        <v/>
      </c>
      <c r="IP21" s="413"/>
      <c r="IQ21" s="478" t="str">
        <f>IF(G26=6,G21,"")</f>
        <v/>
      </c>
      <c r="IR21" s="317" t="str">
        <f>IF(G26=7,G21,"")</f>
        <v/>
      </c>
      <c r="IS21" s="478" t="str">
        <f>IF(G26=8,G21,"")</f>
        <v/>
      </c>
      <c r="IT21" s="317" t="str">
        <f>IF(G26=9,G21,"")</f>
        <v/>
      </c>
      <c r="IU21" s="478" t="str">
        <f>IF(G26=10,G21,"")</f>
        <v/>
      </c>
      <c r="IV21" s="478" t="str">
        <f>IF(G26=11,G21,"")</f>
        <v/>
      </c>
      <c r="IW21" s="478" t="str">
        <f>IF(G26=12,G21,"")</f>
        <v/>
      </c>
      <c r="IX21" s="478" t="str">
        <f>IF(G26=13,G21,"")</f>
        <v/>
      </c>
      <c r="IY21" s="478" t="str">
        <f>IF(G26=14,G21,"")</f>
        <v/>
      </c>
      <c r="IZ21" s="478" t="str">
        <f>IF(G26=15,G21,"")</f>
        <v/>
      </c>
      <c r="JA21" s="478">
        <f>IF(G26=16,G21,"")</f>
        <v>1000</v>
      </c>
      <c r="JB21" s="478" t="str">
        <f>IF(G26=17,G21,"")</f>
        <v/>
      </c>
      <c r="JC21" s="478" t="str">
        <f>IF(G26=18,G21,"")</f>
        <v/>
      </c>
      <c r="JD21" s="478" t="str">
        <f>IF(G26=19,G21,"")</f>
        <v/>
      </c>
      <c r="JE21" s="478" t="str">
        <f>IF(G26=20,G21,"")</f>
        <v/>
      </c>
      <c r="JF21" s="478" t="str">
        <f>IF(G26=21,G21,"")</f>
        <v/>
      </c>
      <c r="JG21" s="478" t="str">
        <f>IF(G26=22,G21,"")</f>
        <v/>
      </c>
      <c r="JH21" s="478" t="str">
        <f>IF(G26=23,G21,"")</f>
        <v/>
      </c>
      <c r="JI21" s="478" t="str">
        <f>IF(G26=24,G21,"")</f>
        <v/>
      </c>
      <c r="JJ21" s="478" t="str">
        <f>IF(G26=25,G21,"")</f>
        <v/>
      </c>
      <c r="JK21" s="478" t="str">
        <f>IF(G26=26,G21,"")</f>
        <v/>
      </c>
      <c r="JL21" s="478" t="str">
        <f>IF(G26=27,G21,"")</f>
        <v/>
      </c>
      <c r="JM21" s="478" t="str">
        <f>IF(G26=28,G21,"")</f>
        <v/>
      </c>
      <c r="JN21" s="478" t="str">
        <f>IF(G26=29,G21,"")</f>
        <v/>
      </c>
      <c r="JO21" s="478" t="str">
        <f>IF(G26=30,G21,"")</f>
        <v/>
      </c>
      <c r="JP21" s="478"/>
      <c r="JQ21" s="481">
        <f>IF(AND(AJ25=4,K26=1,G26&lt;=3),G21,0)</f>
        <v>0</v>
      </c>
      <c r="JR21" s="445" t="str">
        <f>IF(AF23=2,G21*E22,"")</f>
        <v/>
      </c>
      <c r="JS21" s="445"/>
      <c r="JT21" s="480" t="str">
        <f>IF(AF23&gt;1,((A22/F22)-(A22/E22)),"")</f>
        <v/>
      </c>
      <c r="JU21" s="479" t="str">
        <f>IF(AF23=2,((A22/F22)-(A22/E22)),"")</f>
        <v/>
      </c>
      <c r="JV21" s="479" t="str">
        <f>IF(AF23=3,((A22/F22)-(A22/E22)),"")</f>
        <v/>
      </c>
      <c r="JW21" s="479" t="str">
        <f>IF(AF23=4,((A22/F22)-(A22/E22)),"")</f>
        <v/>
      </c>
      <c r="JX21" s="479" t="str">
        <f>IF(AF23=5,((A22/F22)-(A22/E22)),"")</f>
        <v/>
      </c>
      <c r="JY21" s="479" t="str">
        <f>IF(AF23=6,((A22/F22)-(A22/E22)),"")</f>
        <v/>
      </c>
      <c r="JZ21" s="479" t="str">
        <f>IF(AF23=7,((A22/F22)-(A22/E22)),"")</f>
        <v/>
      </c>
      <c r="KA21" s="478" t="str">
        <f>IF(AF23=8,((A22/F22)-(A22/E22)),"")</f>
        <v/>
      </c>
      <c r="KB21" s="478" t="str">
        <f>IF(AF23=9,((A22/F22)-(A22/E22)),"")</f>
        <v/>
      </c>
      <c r="KC21" s="478" t="str">
        <f>IF(AF23=10,((A22/F22)-(A22/E22)),"")</f>
        <v/>
      </c>
      <c r="KD21" s="478" t="str">
        <f>IF(AF23=11,((A22/F22)-(A22/E22)),"")</f>
        <v/>
      </c>
      <c r="KE21" s="478" t="str">
        <f>IF(AF23=12,((A22/F22)-(A22/E22)),"")</f>
        <v/>
      </c>
      <c r="KF21" s="478" t="str">
        <f>IF(AF23=13,((A22/F22)-(A22/E22)),"")</f>
        <v/>
      </c>
      <c r="KG21" s="478" t="str">
        <f>IF(AF23=14,((A22/F22)-(A22/E22)),"")</f>
        <v/>
      </c>
      <c r="KH21" s="478" t="str">
        <f>IF(AF23=15,((A22/F22)-(A22/E22)),"")</f>
        <v/>
      </c>
      <c r="KI21" s="478" t="str">
        <f>IF(AF23=16,((A22/F22)-(A22/E22)),"")</f>
        <v/>
      </c>
      <c r="KJ21" s="478" t="str">
        <f>IF(AF23=17,((A22/F22)-(A22/E22)),"")</f>
        <v/>
      </c>
      <c r="KK21" s="478" t="str">
        <f>IF(AF23=18,((A22/F22)-(A22/E22)),"")</f>
        <v/>
      </c>
      <c r="KL21" s="478" t="str">
        <f>IF(AF23=19,((A22/F22)-(A22/E22)),"")</f>
        <v/>
      </c>
      <c r="KM21" s="478" t="str">
        <f>IF(AF23=20,((A22/F22)-(A22/E22)),"")</f>
        <v/>
      </c>
      <c r="KN21" s="478"/>
      <c r="KO21" s="478"/>
      <c r="KP21" s="478"/>
    </row>
    <row r="22" spans="1:302" s="1" customFormat="1" ht="11.1" customHeight="1">
      <c r="A22" s="195"/>
      <c r="B22" s="598" t="s">
        <v>501</v>
      </c>
      <c r="C22" s="56"/>
      <c r="D22" s="828">
        <f>IF(WEEKDAY(D21,2)=4,D21+4,IF(WEEKDAY(D21,2)=5,D21+4,D21+2))</f>
        <v>45448</v>
      </c>
      <c r="E22" s="765"/>
      <c r="F22" s="747"/>
      <c r="G22" s="492"/>
      <c r="H22" s="492"/>
      <c r="I22" s="434"/>
      <c r="J22" s="492"/>
      <c r="K22" s="746">
        <v>1</v>
      </c>
      <c r="L22" s="722"/>
      <c r="M22" s="720"/>
      <c r="N22" s="720"/>
      <c r="O22" s="223"/>
      <c r="P22" s="706"/>
      <c r="Q22" s="539"/>
      <c r="R22" s="233"/>
      <c r="S22" s="4"/>
      <c r="T22" s="431"/>
      <c r="U22" s="469"/>
      <c r="V22" s="4"/>
      <c r="W22" s="469"/>
      <c r="X22" s="442"/>
      <c r="Y22" s="22"/>
      <c r="Z22" s="22"/>
      <c r="AA22" s="22"/>
      <c r="AB22" s="360"/>
      <c r="AC22" s="431"/>
      <c r="AD22" s="825">
        <f>IF(E22="",((P21-E21)/E21),((P21-E21)/E21)+(((1/F22)-(1/E22))/(1/E22)))</f>
        <v>2.6372112691676653E-2</v>
      </c>
      <c r="AE22" s="431"/>
      <c r="AF22" s="279" t="s">
        <v>65</v>
      </c>
      <c r="AG22" s="824"/>
      <c r="AH22" s="993" t="s">
        <v>177</v>
      </c>
      <c r="AI22" s="564"/>
      <c r="AJ22" s="824"/>
      <c r="AK22" s="538"/>
      <c r="AL22" s="22">
        <v>99.501000000000005</v>
      </c>
      <c r="AM22" s="537" t="s">
        <v>184</v>
      </c>
      <c r="AN22" s="213">
        <v>3.5</v>
      </c>
      <c r="AO22" s="783">
        <f>IF(B26=2,"0",AO21*-(100-F25)/100)</f>
        <v>-0.88150660000000003</v>
      </c>
      <c r="AP22" s="786">
        <f>IF(AP23&lt;0,0,AP23*-(100-F25)/100)</f>
        <v>-0.99280848733743066</v>
      </c>
      <c r="AQ22" s="783"/>
      <c r="AR22" s="786">
        <f>AR25*-(100-F26)/100</f>
        <v>-4.875</v>
      </c>
      <c r="AS22" s="787">
        <f>-AP21+AS25+(F21/365*AN25*F26/100)*G21</f>
        <v>85.407357294045028</v>
      </c>
      <c r="AT22" s="419"/>
      <c r="AU22" s="420"/>
      <c r="AV22" s="223"/>
      <c r="AW22" s="420"/>
      <c r="AX22" s="417"/>
      <c r="AY22" s="420"/>
      <c r="AZ22" s="223"/>
      <c r="BA22" s="419"/>
      <c r="BB22" s="223"/>
      <c r="BC22" s="223"/>
      <c r="BD22" s="223"/>
      <c r="BE22" s="223"/>
      <c r="BF22" s="416"/>
      <c r="BG22" s="418"/>
      <c r="BH22" s="416"/>
      <c r="BI22" s="416"/>
      <c r="BJ22" s="416"/>
      <c r="BK22" s="418"/>
      <c r="BL22" s="417"/>
      <c r="BM22" s="417"/>
      <c r="BN22" s="417"/>
      <c r="BO22" s="417"/>
      <c r="BP22" s="417"/>
      <c r="BQ22" s="417"/>
      <c r="BR22" s="417"/>
      <c r="BS22" s="417"/>
      <c r="BT22" s="412"/>
      <c r="BU22" s="412"/>
      <c r="BV22" s="412"/>
      <c r="BW22" s="412"/>
      <c r="BX22" s="415"/>
      <c r="BY22" s="389"/>
      <c r="BZ22" s="389"/>
      <c r="CA22" s="389"/>
      <c r="CB22" s="389"/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389"/>
      <c r="CP22" s="389"/>
      <c r="CQ22" s="389"/>
      <c r="CR22" s="389"/>
      <c r="CS22" s="415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414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136"/>
      <c r="EE22" s="136"/>
      <c r="EF22" s="136"/>
      <c r="EG22" s="136"/>
      <c r="EH22" s="136"/>
      <c r="EI22" s="136"/>
      <c r="EJ22" s="136"/>
      <c r="EK22" s="136"/>
      <c r="EL22" s="136"/>
      <c r="EM22" s="136"/>
      <c r="EN22" s="136"/>
      <c r="EO22" s="136"/>
      <c r="EP22" s="136"/>
      <c r="EQ22" s="136"/>
      <c r="ER22" s="136"/>
      <c r="ES22" s="136"/>
      <c r="ET22" s="136"/>
      <c r="EU22" s="136"/>
      <c r="EV22" s="136"/>
      <c r="EW22" s="136"/>
      <c r="EX22" s="136"/>
      <c r="EY22" s="136"/>
      <c r="EZ22" s="136"/>
      <c r="FA22" s="136"/>
      <c r="FB22" s="136"/>
      <c r="FC22" s="136"/>
      <c r="FD22" s="136"/>
      <c r="FE22" s="136"/>
      <c r="FF22" s="136"/>
      <c r="FG22" s="136"/>
      <c r="FH22" s="136"/>
      <c r="FI22" s="136"/>
      <c r="FJ22" s="136"/>
      <c r="FK22" s="136"/>
      <c r="FL22" s="136"/>
      <c r="FM22" s="136"/>
      <c r="FN22" s="136"/>
      <c r="FO22" s="39"/>
      <c r="FP22" s="39"/>
      <c r="FQ22" s="39"/>
      <c r="FR22" s="412"/>
      <c r="FS22" s="412"/>
      <c r="FT22" s="412"/>
      <c r="FU22" s="412"/>
      <c r="FV22" s="412"/>
      <c r="FW22" s="412"/>
      <c r="FX22" s="412"/>
      <c r="FY22" s="412"/>
      <c r="FZ22" s="412"/>
      <c r="GA22" s="412"/>
      <c r="GB22" s="412"/>
      <c r="GC22" s="412"/>
      <c r="GD22" s="412"/>
      <c r="GE22" s="412"/>
      <c r="GF22" s="412"/>
      <c r="GG22" s="412"/>
      <c r="GH22" s="412"/>
      <c r="GI22" s="412"/>
      <c r="GJ22" s="412"/>
      <c r="GK22" s="412"/>
      <c r="GL22" s="412"/>
      <c r="GM22" s="412"/>
      <c r="GN22" s="412"/>
      <c r="GO22" s="412"/>
      <c r="GP22" s="412"/>
      <c r="GQ22" s="412"/>
      <c r="GR22" s="412"/>
      <c r="GS22" s="412"/>
      <c r="GT22" s="412"/>
      <c r="GU22" s="412"/>
      <c r="GV22" s="412"/>
      <c r="GW22" s="412"/>
      <c r="GX22" s="412"/>
      <c r="GY22" s="412"/>
      <c r="GZ22" s="412"/>
      <c r="HA22" s="412"/>
      <c r="HB22" s="412"/>
      <c r="HC22" s="412"/>
      <c r="HD22" s="412"/>
      <c r="HE22" s="412"/>
      <c r="HF22" s="412"/>
      <c r="HG22" s="412"/>
      <c r="HH22" s="412"/>
      <c r="HI22" s="412"/>
      <c r="HJ22" s="412"/>
      <c r="HK22" s="412"/>
      <c r="HL22" s="412"/>
      <c r="HM22" s="412"/>
      <c r="HN22" s="412"/>
      <c r="HO22" s="412"/>
      <c r="HP22" s="412"/>
      <c r="HQ22" s="412"/>
      <c r="HR22" s="412"/>
      <c r="HS22" s="412"/>
      <c r="HT22" s="412"/>
      <c r="HU22" s="278"/>
      <c r="HV22" s="277"/>
      <c r="HW22" s="277"/>
      <c r="HX22" s="277"/>
      <c r="HY22" s="277"/>
      <c r="HZ22" s="277"/>
      <c r="IA22" s="277"/>
      <c r="IB22" s="277"/>
      <c r="IC22" s="277"/>
      <c r="ID22" s="412"/>
      <c r="IE22" s="412"/>
      <c r="IF22" s="412"/>
      <c r="IG22" s="412"/>
      <c r="IH22" s="412"/>
      <c r="II22" s="412"/>
      <c r="IJ22" s="412"/>
      <c r="IK22" s="412"/>
      <c r="IL22" s="412"/>
      <c r="IM22" s="412"/>
      <c r="IN22" s="412"/>
      <c r="IO22" s="412"/>
      <c r="IP22" s="413"/>
      <c r="IQ22" s="389"/>
      <c r="IR22" s="389"/>
      <c r="IS22" s="389"/>
      <c r="IT22" s="389"/>
      <c r="IU22" s="389"/>
      <c r="IV22" s="389"/>
      <c r="IW22" s="389"/>
      <c r="IX22" s="389"/>
      <c r="IY22" s="389"/>
      <c r="IZ22" s="389"/>
      <c r="JA22" s="389"/>
      <c r="JB22" s="389"/>
      <c r="JC22" s="389"/>
      <c r="JD22" s="389"/>
      <c r="JE22" s="389"/>
      <c r="JF22" s="389"/>
      <c r="JG22" s="389"/>
      <c r="JH22" s="389"/>
      <c r="JI22" s="389"/>
      <c r="JJ22" s="389"/>
      <c r="JK22" s="389"/>
      <c r="JL22" s="389"/>
      <c r="JM22" s="389"/>
      <c r="JN22" s="389"/>
      <c r="JO22" s="389"/>
      <c r="JP22" s="389"/>
      <c r="JQ22" s="389"/>
      <c r="JR22" s="389"/>
      <c r="JS22" s="389"/>
      <c r="JT22" s="596"/>
      <c r="JU22" s="389"/>
      <c r="JV22" s="389"/>
      <c r="JW22" s="389"/>
      <c r="JX22" s="389"/>
      <c r="JY22" s="389"/>
      <c r="JZ22" s="389"/>
      <c r="KA22" s="389"/>
      <c r="KB22" s="389"/>
      <c r="KC22" s="389"/>
      <c r="KD22" s="389"/>
      <c r="KE22" s="389"/>
      <c r="KF22" s="389"/>
      <c r="KG22" s="389"/>
      <c r="KH22" s="389"/>
      <c r="KI22" s="389"/>
      <c r="KJ22" s="389"/>
      <c r="KK22" s="389"/>
      <c r="KL22" s="389"/>
      <c r="KM22" s="389"/>
      <c r="KN22" s="389"/>
      <c r="KO22" s="389"/>
      <c r="KP22" s="389"/>
    </row>
    <row r="23" spans="1:302" s="1" customFormat="1" ht="11.1" hidden="1" customHeight="1" outlineLevel="1">
      <c r="A23" s="195"/>
      <c r="B23" s="468">
        <f>VLOOKUP(B21,'[2]IBAN CONTI'!A$53:B$58,2,FALSE)</f>
        <v>4</v>
      </c>
      <c r="C23" s="56"/>
      <c r="D23" s="707"/>
      <c r="E23" s="766">
        <f>IF(B26=2,C21,COUPNCD($Z$2,C21,K23,AH25))</f>
        <v>91</v>
      </c>
      <c r="F23" s="460"/>
      <c r="G23" s="383"/>
      <c r="H23" s="383"/>
      <c r="I23" s="434"/>
      <c r="J23" s="383"/>
      <c r="K23" s="67">
        <v>1</v>
      </c>
      <c r="L23" s="835"/>
      <c r="M23" s="843"/>
      <c r="N23" s="843"/>
      <c r="O23" s="39"/>
      <c r="P23" s="470"/>
      <c r="Q23" s="218"/>
      <c r="R23" s="218"/>
      <c r="S23" s="4"/>
      <c r="T23" s="431"/>
      <c r="U23" s="469"/>
      <c r="V23" s="4"/>
      <c r="W23" s="469"/>
      <c r="X23" s="442"/>
      <c r="Y23" s="22"/>
      <c r="Z23" s="22"/>
      <c r="AA23" s="22"/>
      <c r="AB23" s="979"/>
      <c r="AC23" s="383"/>
      <c r="AD23" s="219"/>
      <c r="AE23" s="383"/>
      <c r="AF23" s="468">
        <f>VLOOKUP(AF22,'[2]IBAN CONTI'!A$106:B$122,2,FALSE)</f>
        <v>1</v>
      </c>
      <c r="AG23" s="467">
        <f>VLOOKUP(A21,'[2]IBAN CONTI'!A$134:B$211,2,FALSE)</f>
        <v>29</v>
      </c>
      <c r="AH23" s="993"/>
      <c r="AI23" s="954"/>
      <c r="AJ23" s="990" t="s">
        <v>433</v>
      </c>
      <c r="AK23" s="991"/>
      <c r="AL23" s="22">
        <v>100</v>
      </c>
      <c r="AM23" s="730">
        <f>YEARFRAC(C21,AL21)</f>
        <v>12</v>
      </c>
      <c r="AN23" s="456">
        <f>IF(B26=2,0,D22-AL21)</f>
        <v>3354</v>
      </c>
      <c r="AO23" s="464">
        <f>IF(B26=2,AL22*(1+AM26)^AM25,AO24+AL22)</f>
        <v>99.882849418206703</v>
      </c>
      <c r="AP23" s="463">
        <f>IF(AF23=1,G21*AO24/100,A22/E22/100*AO24)</f>
        <v>3.8184941820670413</v>
      </c>
      <c r="AQ23" s="221"/>
      <c r="AR23" s="179">
        <f>AL26*G21/100</f>
        <v>998.70259999999996</v>
      </c>
      <c r="AS23" s="462">
        <f>(AR26-AP26)*G21/100</f>
        <v>54.882491512662597</v>
      </c>
      <c r="AT23" s="419"/>
      <c r="AU23" s="420"/>
      <c r="AV23" s="223"/>
      <c r="AW23" s="420"/>
      <c r="AX23" s="417"/>
      <c r="AY23" s="420"/>
      <c r="AZ23" s="223"/>
      <c r="BA23" s="419"/>
      <c r="BB23" s="223"/>
      <c r="BC23" s="223"/>
      <c r="BD23" s="223"/>
      <c r="BE23" s="223"/>
      <c r="BF23" s="416"/>
      <c r="BG23" s="418"/>
      <c r="BH23" s="416"/>
      <c r="BI23" s="416"/>
      <c r="BJ23" s="416"/>
      <c r="BK23" s="418"/>
      <c r="BL23" s="417"/>
      <c r="BM23" s="416"/>
      <c r="BN23" s="416"/>
      <c r="BO23" s="416"/>
      <c r="BP23" s="416"/>
      <c r="BQ23" s="416"/>
      <c r="BR23" s="416"/>
      <c r="BS23" s="416"/>
      <c r="BT23" s="389"/>
      <c r="BU23" s="389"/>
      <c r="BV23" s="389"/>
      <c r="BW23" s="389"/>
      <c r="BX23" s="415"/>
      <c r="BY23" s="389"/>
      <c r="BZ23" s="389"/>
      <c r="CA23" s="389"/>
      <c r="CB23" s="389"/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389"/>
      <c r="CP23" s="389"/>
      <c r="CQ23" s="389"/>
      <c r="CR23" s="389"/>
      <c r="CS23" s="415"/>
      <c r="CT23" s="389"/>
      <c r="CU23" s="389"/>
      <c r="CV23" s="389"/>
      <c r="CW23" s="389"/>
      <c r="CX23" s="389"/>
      <c r="CY23" s="389"/>
      <c r="CZ23" s="389"/>
      <c r="DA23" s="389"/>
      <c r="DB23" s="389"/>
      <c r="DC23" s="389"/>
      <c r="DD23" s="389"/>
      <c r="DE23" s="389"/>
      <c r="DF23" s="389"/>
      <c r="DG23" s="389"/>
      <c r="DH23" s="389"/>
      <c r="DI23" s="389"/>
      <c r="DJ23" s="389"/>
      <c r="DK23" s="389"/>
      <c r="DL23" s="389"/>
      <c r="DM23" s="389"/>
      <c r="DN23" s="389"/>
      <c r="DO23" s="414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136"/>
      <c r="EE23" s="136"/>
      <c r="EF23" s="136"/>
      <c r="EG23" s="136"/>
      <c r="EH23" s="136"/>
      <c r="EI23" s="136"/>
      <c r="EJ23" s="136"/>
      <c r="EK23" s="136"/>
      <c r="EL23" s="136"/>
      <c r="EM23" s="136"/>
      <c r="EN23" s="136"/>
      <c r="EO23" s="136"/>
      <c r="EP23" s="136"/>
      <c r="EQ23" s="136"/>
      <c r="ER23" s="136"/>
      <c r="ES23" s="136"/>
      <c r="ET23" s="136"/>
      <c r="EU23" s="136"/>
      <c r="EV23" s="136"/>
      <c r="EW23" s="136"/>
      <c r="EX23" s="136"/>
      <c r="EY23" s="136"/>
      <c r="EZ23" s="136"/>
      <c r="FA23" s="136"/>
      <c r="FB23" s="136"/>
      <c r="FC23" s="136"/>
      <c r="FD23" s="136"/>
      <c r="FE23" s="136"/>
      <c r="FF23" s="136"/>
      <c r="FG23" s="136"/>
      <c r="FH23" s="136"/>
      <c r="FI23" s="136"/>
      <c r="FJ23" s="136"/>
      <c r="FK23" s="136"/>
      <c r="FL23" s="136"/>
      <c r="FM23" s="136"/>
      <c r="FN23" s="136"/>
      <c r="FO23" s="39"/>
      <c r="FP23" s="39"/>
      <c r="FQ23" s="39"/>
      <c r="FR23" s="412"/>
      <c r="FS23" s="412"/>
      <c r="FT23" s="412"/>
      <c r="FU23" s="412"/>
      <c r="FV23" s="412"/>
      <c r="FW23" s="412"/>
      <c r="FX23" s="412"/>
      <c r="FY23" s="412"/>
      <c r="FZ23" s="412"/>
      <c r="GA23" s="412"/>
      <c r="GB23" s="412"/>
      <c r="GC23" s="412"/>
      <c r="GD23" s="412"/>
      <c r="GE23" s="412"/>
      <c r="GF23" s="412"/>
      <c r="GG23" s="412"/>
      <c r="GH23" s="412"/>
      <c r="GI23" s="412"/>
      <c r="GJ23" s="412"/>
      <c r="GK23" s="412"/>
      <c r="GL23" s="412"/>
      <c r="GM23" s="412"/>
      <c r="GN23" s="412"/>
      <c r="GO23" s="412"/>
      <c r="GP23" s="412"/>
      <c r="GQ23" s="412"/>
      <c r="GR23" s="412"/>
      <c r="GS23" s="412"/>
      <c r="GT23" s="412"/>
      <c r="GU23" s="412"/>
      <c r="GV23" s="412"/>
      <c r="GW23" s="412"/>
      <c r="GX23" s="412"/>
      <c r="GY23" s="412"/>
      <c r="GZ23" s="412"/>
      <c r="HA23" s="412"/>
      <c r="HB23" s="412"/>
      <c r="HC23" s="412"/>
      <c r="HD23" s="412"/>
      <c r="HE23" s="412"/>
      <c r="HF23" s="412"/>
      <c r="HG23" s="412"/>
      <c r="HH23" s="412"/>
      <c r="HI23" s="412"/>
      <c r="HJ23" s="412"/>
      <c r="HK23" s="412"/>
      <c r="HL23" s="412"/>
      <c r="HM23" s="412"/>
      <c r="HN23" s="412"/>
      <c r="HO23" s="412"/>
      <c r="HP23" s="412"/>
      <c r="HQ23" s="412"/>
      <c r="HR23" s="412"/>
      <c r="HS23" s="412"/>
      <c r="HT23" s="412"/>
      <c r="HU23" s="278"/>
      <c r="HV23" s="277"/>
      <c r="HW23" s="277"/>
      <c r="HX23" s="277"/>
      <c r="HY23" s="277"/>
      <c r="HZ23" s="277"/>
      <c r="IA23" s="277"/>
      <c r="IB23" s="277"/>
      <c r="IC23" s="277"/>
      <c r="ID23" s="412"/>
      <c r="IE23" s="412"/>
      <c r="IF23" s="412"/>
      <c r="IG23" s="412"/>
      <c r="IH23" s="412"/>
      <c r="II23" s="412"/>
      <c r="IJ23" s="412"/>
      <c r="IK23" s="412"/>
      <c r="IL23" s="412"/>
      <c r="IM23" s="412"/>
      <c r="IN23" s="412"/>
      <c r="IO23" s="412"/>
      <c r="IP23" s="413"/>
      <c r="IQ23" s="389"/>
      <c r="IR23" s="389"/>
      <c r="IS23" s="389"/>
      <c r="IT23" s="389"/>
      <c r="IU23" s="389"/>
      <c r="IV23" s="389"/>
      <c r="IW23" s="389"/>
      <c r="IX23" s="389"/>
      <c r="IY23" s="389"/>
      <c r="IZ23" s="389"/>
      <c r="JA23" s="389"/>
      <c r="JB23" s="389"/>
      <c r="JC23" s="389"/>
      <c r="JD23" s="389"/>
      <c r="JE23" s="389"/>
      <c r="JF23" s="389"/>
      <c r="JG23" s="389"/>
      <c r="JH23" s="389"/>
      <c r="JI23" s="389"/>
      <c r="JJ23" s="389"/>
      <c r="JK23" s="389"/>
      <c r="JL23" s="389"/>
      <c r="JM23" s="389"/>
      <c r="JN23" s="389"/>
      <c r="JO23" s="389"/>
      <c r="JP23" s="389"/>
      <c r="JQ23" s="389"/>
      <c r="JR23" s="389"/>
      <c r="JS23" s="389"/>
      <c r="JT23" s="596"/>
      <c r="JU23" s="389"/>
      <c r="JV23" s="389"/>
      <c r="JW23" s="389"/>
      <c r="JX23" s="389"/>
      <c r="JY23" s="389"/>
      <c r="JZ23" s="389"/>
      <c r="KA23" s="389"/>
      <c r="KB23" s="389"/>
      <c r="KC23" s="389"/>
      <c r="KD23" s="389"/>
      <c r="KE23" s="389"/>
      <c r="KF23" s="389"/>
      <c r="KG23" s="389"/>
      <c r="KH23" s="389"/>
      <c r="KI23" s="389"/>
      <c r="KJ23" s="389"/>
      <c r="KK23" s="389"/>
      <c r="KL23" s="389"/>
      <c r="KM23" s="389"/>
      <c r="KN23" s="389"/>
      <c r="KO23" s="389"/>
      <c r="KP23" s="389"/>
    </row>
    <row r="24" spans="1:302" s="1" customFormat="1" ht="11.1" hidden="1" customHeight="1" outlineLevel="1">
      <c r="A24" s="461">
        <v>1</v>
      </c>
      <c r="B24" s="990" t="s">
        <v>183</v>
      </c>
      <c r="C24" s="990"/>
      <c r="D24" s="452">
        <f>COUPPCD(D22,C21,K23,AH25)</f>
        <v>45382</v>
      </c>
      <c r="E24" s="771"/>
      <c r="F24" s="460"/>
      <c r="G24" s="985">
        <v>2027</v>
      </c>
      <c r="H24" s="383"/>
      <c r="I24" s="434"/>
      <c r="J24" s="383"/>
      <c r="K24" s="987" t="s">
        <v>448</v>
      </c>
      <c r="L24" s="835"/>
      <c r="M24" s="843"/>
      <c r="N24" s="843"/>
      <c r="O24" s="39"/>
      <c r="P24" s="197"/>
      <c r="Q24" s="218"/>
      <c r="R24" s="218"/>
      <c r="S24" s="15"/>
      <c r="T24" s="431"/>
      <c r="U24" s="15"/>
      <c r="V24" s="15"/>
      <c r="W24" s="15"/>
      <c r="X24" s="442"/>
      <c r="Y24" s="430"/>
      <c r="Z24" s="430"/>
      <c r="AA24" s="430"/>
      <c r="AB24" s="9"/>
      <c r="AC24" s="383"/>
      <c r="AD24" s="219"/>
      <c r="AE24" s="383"/>
      <c r="AF24" s="459"/>
      <c r="AG24" s="458"/>
      <c r="AH24" s="457"/>
      <c r="AI24" s="457"/>
      <c r="AJ24" s="990"/>
      <c r="AK24" s="991"/>
      <c r="AL24" s="22">
        <f>IF(AL22&gt;100,0,AL23-AL22)</f>
        <v>0.49899999999999523</v>
      </c>
      <c r="AM24" s="729">
        <f>C21-AL21</f>
        <v>4383</v>
      </c>
      <c r="AN24" s="530">
        <f>IF(OR(K23&lt;&gt;1,AN23&gt;365),COUPDAYBS(D22,C21,K23,AH25),AN23)</f>
        <v>66</v>
      </c>
      <c r="AO24" s="424">
        <f>IF(B26=2,AO23-AL22,AL24/AM24*AN23)</f>
        <v>0.38184941820670409</v>
      </c>
      <c r="AP24" s="455">
        <f>IF(B26=4,FLOOR(F21/K23*AN24/(D25-D24)*100,0.000001),IF(AH25=4,YEARFRAC(D24,D22,0)*F21*100,IF(B26=3,IF(OR(AH25=4,AH25=2),(F23*(AN24))/(360)*100,(F23*(AN24))/(365)*100),FLOOR(F21/K23*AN24/(D25-D24)*100,0.000001))))</f>
        <v>0.33904099999999998</v>
      </c>
      <c r="AQ24" s="454"/>
      <c r="AR24" s="422">
        <f>AL24*G21/100</f>
        <v>4.9899999999999523</v>
      </c>
      <c r="AS24" s="422">
        <f>IF(AS23&lt;0,0,AS23*(100-F26)/100)</f>
        <v>14.269447793292274</v>
      </c>
      <c r="AT24" s="419"/>
      <c r="AU24" s="420"/>
      <c r="AV24" s="223"/>
      <c r="AW24" s="420"/>
      <c r="AX24" s="417"/>
      <c r="AY24" s="420"/>
      <c r="AZ24" s="223"/>
      <c r="BA24" s="419"/>
      <c r="BB24" s="223"/>
      <c r="BC24" s="223"/>
      <c r="BD24" s="223"/>
      <c r="BE24" s="223"/>
      <c r="BF24" s="416"/>
      <c r="BG24" s="418"/>
      <c r="BH24" s="416"/>
      <c r="BI24" s="416"/>
      <c r="BJ24" s="416"/>
      <c r="BK24" s="418"/>
      <c r="BL24" s="417"/>
      <c r="BM24" s="416"/>
      <c r="BN24" s="416"/>
      <c r="BO24" s="416"/>
      <c r="BP24" s="416"/>
      <c r="BQ24" s="416"/>
      <c r="BR24" s="416"/>
      <c r="BS24" s="416"/>
      <c r="BT24" s="389"/>
      <c r="BU24" s="389"/>
      <c r="BV24" s="389"/>
      <c r="BW24" s="389"/>
      <c r="BX24" s="415"/>
      <c r="BY24" s="389"/>
      <c r="BZ24" s="389"/>
      <c r="CA24" s="389"/>
      <c r="CB24" s="389"/>
      <c r="CC24" s="389"/>
      <c r="CD24" s="389"/>
      <c r="CE24" s="389"/>
      <c r="CF24" s="389"/>
      <c r="CG24" s="389"/>
      <c r="CH24" s="389"/>
      <c r="CI24" s="389"/>
      <c r="CJ24" s="389"/>
      <c r="CK24" s="389"/>
      <c r="CL24" s="389"/>
      <c r="CM24" s="389"/>
      <c r="CN24" s="389"/>
      <c r="CO24" s="389"/>
      <c r="CP24" s="389"/>
      <c r="CQ24" s="389"/>
      <c r="CR24" s="389"/>
      <c r="CS24" s="415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414"/>
      <c r="DP24" s="39"/>
      <c r="DQ24" s="39"/>
      <c r="DR24" s="39"/>
      <c r="DS24" s="39"/>
      <c r="DT24" s="39"/>
      <c r="DU24" s="39"/>
      <c r="DV24" s="39"/>
      <c r="DW24" s="39"/>
      <c r="DX24" s="39"/>
      <c r="DY24" s="39"/>
      <c r="DZ24" s="39"/>
      <c r="EA24" s="39"/>
      <c r="EB24" s="39"/>
      <c r="EC24" s="39"/>
      <c r="ED24" s="136"/>
      <c r="EE24" s="136"/>
      <c r="EF24" s="136"/>
      <c r="EG24" s="136"/>
      <c r="EH24" s="136"/>
      <c r="EI24" s="136"/>
      <c r="EJ24" s="136"/>
      <c r="EK24" s="136"/>
      <c r="EL24" s="136"/>
      <c r="EM24" s="136"/>
      <c r="EN24" s="136"/>
      <c r="EO24" s="136"/>
      <c r="EP24" s="136"/>
      <c r="EQ24" s="136"/>
      <c r="ER24" s="136"/>
      <c r="ES24" s="136"/>
      <c r="ET24" s="136"/>
      <c r="EU24" s="136"/>
      <c r="EV24" s="136"/>
      <c r="EW24" s="136"/>
      <c r="EX24" s="136"/>
      <c r="EY24" s="136"/>
      <c r="EZ24" s="136"/>
      <c r="FA24" s="136"/>
      <c r="FB24" s="136"/>
      <c r="FC24" s="136"/>
      <c r="FD24" s="136"/>
      <c r="FE24" s="136"/>
      <c r="FF24" s="136"/>
      <c r="FG24" s="136"/>
      <c r="FH24" s="136"/>
      <c r="FI24" s="136"/>
      <c r="FJ24" s="136"/>
      <c r="FK24" s="136"/>
      <c r="FL24" s="136"/>
      <c r="FM24" s="136"/>
      <c r="FN24" s="136"/>
      <c r="FO24" s="39"/>
      <c r="FP24" s="39"/>
      <c r="FQ24" s="39"/>
      <c r="FR24" s="412"/>
      <c r="FS24" s="412"/>
      <c r="FT24" s="412"/>
      <c r="FU24" s="412"/>
      <c r="FV24" s="412"/>
      <c r="FW24" s="412"/>
      <c r="FX24" s="412"/>
      <c r="FY24" s="412"/>
      <c r="FZ24" s="412"/>
      <c r="GA24" s="412"/>
      <c r="GB24" s="412"/>
      <c r="GC24" s="412"/>
      <c r="GD24" s="412"/>
      <c r="GE24" s="412"/>
      <c r="GF24" s="412"/>
      <c r="GG24" s="412"/>
      <c r="GH24" s="412"/>
      <c r="GI24" s="412"/>
      <c r="GJ24" s="412"/>
      <c r="GK24" s="412"/>
      <c r="GL24" s="412"/>
      <c r="GM24" s="412"/>
      <c r="GN24" s="412"/>
      <c r="GO24" s="412"/>
      <c r="GP24" s="412"/>
      <c r="GQ24" s="412"/>
      <c r="GR24" s="412"/>
      <c r="GS24" s="412"/>
      <c r="GT24" s="412"/>
      <c r="GU24" s="412"/>
      <c r="GV24" s="412"/>
      <c r="GW24" s="412"/>
      <c r="GX24" s="412"/>
      <c r="GY24" s="412"/>
      <c r="GZ24" s="412"/>
      <c r="HA24" s="412"/>
      <c r="HB24" s="412"/>
      <c r="HC24" s="412"/>
      <c r="HD24" s="412"/>
      <c r="HE24" s="412"/>
      <c r="HF24" s="412"/>
      <c r="HG24" s="412"/>
      <c r="HH24" s="412"/>
      <c r="HI24" s="412"/>
      <c r="HJ24" s="412"/>
      <c r="HK24" s="412"/>
      <c r="HL24" s="412"/>
      <c r="HM24" s="412"/>
      <c r="HN24" s="412"/>
      <c r="HO24" s="412"/>
      <c r="HP24" s="412"/>
      <c r="HQ24" s="412"/>
      <c r="HR24" s="412"/>
      <c r="HS24" s="412"/>
      <c r="HT24" s="412"/>
      <c r="HU24" s="278"/>
      <c r="HV24" s="277"/>
      <c r="HW24" s="277"/>
      <c r="HX24" s="277"/>
      <c r="HY24" s="277"/>
      <c r="HZ24" s="277"/>
      <c r="IA24" s="277"/>
      <c r="IB24" s="277"/>
      <c r="IC24" s="277"/>
      <c r="ID24" s="412"/>
      <c r="IE24" s="412"/>
      <c r="IF24" s="412"/>
      <c r="IG24" s="412"/>
      <c r="IH24" s="412"/>
      <c r="II24" s="412"/>
      <c r="IJ24" s="412"/>
      <c r="IK24" s="412"/>
      <c r="IL24" s="412"/>
      <c r="IM24" s="412"/>
      <c r="IN24" s="412"/>
      <c r="IO24" s="412"/>
      <c r="IP24" s="413"/>
      <c r="IQ24" s="389"/>
      <c r="IR24" s="389"/>
      <c r="IS24" s="389"/>
      <c r="IT24" s="389"/>
      <c r="IU24" s="389"/>
      <c r="IV24" s="389"/>
      <c r="IW24" s="389"/>
      <c r="IX24" s="389"/>
      <c r="IY24" s="389"/>
      <c r="IZ24" s="389"/>
      <c r="JA24" s="389"/>
      <c r="JB24" s="389"/>
      <c r="JC24" s="389"/>
      <c r="JD24" s="389"/>
      <c r="JE24" s="389"/>
      <c r="JF24" s="389"/>
      <c r="JG24" s="389"/>
      <c r="JH24" s="389"/>
      <c r="JI24" s="389"/>
      <c r="JJ24" s="389"/>
      <c r="JK24" s="389"/>
      <c r="JL24" s="389"/>
      <c r="JM24" s="389"/>
      <c r="JN24" s="389"/>
      <c r="JO24" s="389"/>
      <c r="JP24" s="389"/>
      <c r="JQ24" s="389"/>
      <c r="JR24" s="389"/>
      <c r="JS24" s="389"/>
      <c r="JT24" s="596"/>
      <c r="JU24" s="389"/>
      <c r="JV24" s="389"/>
      <c r="JW24" s="389"/>
      <c r="JX24" s="389"/>
      <c r="JY24" s="389"/>
      <c r="JZ24" s="389"/>
      <c r="KA24" s="389"/>
      <c r="KB24" s="389"/>
      <c r="KC24" s="389"/>
      <c r="KD24" s="389"/>
      <c r="KE24" s="389"/>
      <c r="KF24" s="389"/>
      <c r="KG24" s="389"/>
      <c r="KH24" s="389"/>
      <c r="KI24" s="389"/>
      <c r="KJ24" s="389"/>
      <c r="KK24" s="389"/>
      <c r="KL24" s="389"/>
      <c r="KM24" s="389"/>
      <c r="KN24" s="389"/>
      <c r="KO24" s="389"/>
      <c r="KP24" s="389"/>
    </row>
    <row r="25" spans="1:302" s="1" customFormat="1" ht="11.1" hidden="1" customHeight="1" outlineLevel="1">
      <c r="A25" s="195"/>
      <c r="B25" s="990"/>
      <c r="C25" s="990"/>
      <c r="D25" s="452">
        <f>COUPNCD(D22,C21,K23,AH25)</f>
        <v>45747</v>
      </c>
      <c r="E25" s="932" t="s">
        <v>182</v>
      </c>
      <c r="F25" s="451" t="str">
        <f>IF(E26=1,"87,5",IF(D21&lt;40908,87.5,IF(D21&lt;41820,"80","74")))</f>
        <v>74</v>
      </c>
      <c r="G25" s="986"/>
      <c r="H25" s="383"/>
      <c r="I25" s="434"/>
      <c r="J25" s="383"/>
      <c r="K25" s="987"/>
      <c r="L25" s="835"/>
      <c r="M25" s="843"/>
      <c r="N25" s="843"/>
      <c r="O25" s="39"/>
      <c r="P25" s="197"/>
      <c r="Q25" s="218"/>
      <c r="R25" s="218"/>
      <c r="S25" s="15"/>
      <c r="T25" s="431"/>
      <c r="U25" s="15"/>
      <c r="V25" s="15"/>
      <c r="W25" s="15"/>
      <c r="X25" s="442"/>
      <c r="Y25" s="430"/>
      <c r="Z25" s="430"/>
      <c r="AA25" s="430"/>
      <c r="AB25" s="9"/>
      <c r="AC25" s="383"/>
      <c r="AD25" s="219"/>
      <c r="AE25" s="383"/>
      <c r="AF25" s="15"/>
      <c r="AG25" s="75"/>
      <c r="AH25" s="419">
        <f>VLOOKUP(AH22,'[2]IBAN CONTI'!A:B,2,FALSE)</f>
        <v>1</v>
      </c>
      <c r="AI25" s="419"/>
      <c r="AJ25" s="989">
        <f>VLOOKUP(AJ23,'[2]IBAN CONTI'!A$67:B$77,2,FALSE)</f>
        <v>8</v>
      </c>
      <c r="AK25" s="992"/>
      <c r="AL25" s="579">
        <f>AL22</f>
        <v>99.501000000000005</v>
      </c>
      <c r="AM25" s="449">
        <f>YEARFRAC(D22,C21,AH25)</f>
        <v>2.817248459958932</v>
      </c>
      <c r="AN25" s="530">
        <f>IF(B26=2,0,C21-D22-(365-AN24))</f>
        <v>730</v>
      </c>
      <c r="AO25" s="424">
        <f>E21-AO24</f>
        <v>93.0881505817933</v>
      </c>
      <c r="AP25" s="447">
        <f>E21+AO26+AP24+0.1</f>
        <v>93.809760151266246</v>
      </c>
      <c r="AQ25" s="446"/>
      <c r="AR25" s="179">
        <f>IF(B26=3,F23*G21,F21*G21)</f>
        <v>18.75</v>
      </c>
      <c r="AS25" s="421">
        <f>AR21-AS24</f>
        <v>998.30815220670763</v>
      </c>
      <c r="AT25" s="419"/>
      <c r="AU25" s="420"/>
      <c r="AV25" s="223"/>
      <c r="AW25" s="420"/>
      <c r="AX25" s="417"/>
      <c r="AY25" s="420"/>
      <c r="AZ25" s="223"/>
      <c r="BA25" s="419"/>
      <c r="BB25" s="223"/>
      <c r="BC25" s="223"/>
      <c r="BD25" s="223"/>
      <c r="BE25" s="223"/>
      <c r="BF25" s="416"/>
      <c r="BG25" s="418"/>
      <c r="BH25" s="416"/>
      <c r="BI25" s="416"/>
      <c r="BJ25" s="416"/>
      <c r="BK25" s="418"/>
      <c r="BL25" s="417"/>
      <c r="BM25" s="416"/>
      <c r="BN25" s="416"/>
      <c r="BO25" s="416"/>
      <c r="BP25" s="416"/>
      <c r="BQ25" s="416"/>
      <c r="BR25" s="416"/>
      <c r="BS25" s="416"/>
      <c r="BT25" s="389"/>
      <c r="BU25" s="389"/>
      <c r="BV25" s="389"/>
      <c r="BW25" s="389"/>
      <c r="BX25" s="415"/>
      <c r="BY25" s="389"/>
      <c r="BZ25" s="389"/>
      <c r="CA25" s="389"/>
      <c r="CB25" s="389"/>
      <c r="CC25" s="389"/>
      <c r="CD25" s="389"/>
      <c r="CE25" s="389"/>
      <c r="CF25" s="389"/>
      <c r="CG25" s="389"/>
      <c r="CH25" s="389"/>
      <c r="CI25" s="389"/>
      <c r="CJ25" s="389"/>
      <c r="CK25" s="389"/>
      <c r="CL25" s="389"/>
      <c r="CM25" s="389"/>
      <c r="CN25" s="389"/>
      <c r="CO25" s="389"/>
      <c r="CP25" s="389"/>
      <c r="CQ25" s="389"/>
      <c r="CR25" s="389"/>
      <c r="CS25" s="415"/>
      <c r="CT25" s="389"/>
      <c r="CU25" s="389"/>
      <c r="CV25" s="389"/>
      <c r="CW25" s="389"/>
      <c r="CX25" s="389"/>
      <c r="CY25" s="389"/>
      <c r="CZ25" s="389"/>
      <c r="DA25" s="389"/>
      <c r="DB25" s="389"/>
      <c r="DC25" s="389"/>
      <c r="DD25" s="389"/>
      <c r="DE25" s="389"/>
      <c r="DF25" s="389"/>
      <c r="DG25" s="389"/>
      <c r="DH25" s="389"/>
      <c r="DI25" s="389"/>
      <c r="DJ25" s="389"/>
      <c r="DK25" s="389"/>
      <c r="DL25" s="389"/>
      <c r="DM25" s="389"/>
      <c r="DN25" s="389"/>
      <c r="DO25" s="414"/>
      <c r="DP25" s="39"/>
      <c r="DQ25" s="39"/>
      <c r="DR25" s="39"/>
      <c r="DS25" s="136"/>
      <c r="DT25" s="136"/>
      <c r="DU25" s="136"/>
      <c r="DV25" s="136"/>
      <c r="DW25" s="136"/>
      <c r="DX25" s="136"/>
      <c r="DY25" s="136"/>
      <c r="DZ25" s="136"/>
      <c r="EA25" s="136"/>
      <c r="EB25" s="136"/>
      <c r="EC25" s="136"/>
      <c r="ED25" s="136"/>
      <c r="EE25" s="136"/>
      <c r="EF25" s="136"/>
      <c r="EG25" s="136"/>
      <c r="EH25" s="136"/>
      <c r="EI25" s="136"/>
      <c r="EJ25" s="136"/>
      <c r="EK25" s="136"/>
      <c r="EL25" s="136"/>
      <c r="EM25" s="136"/>
      <c r="EN25" s="136"/>
      <c r="EO25" s="136"/>
      <c r="EP25" s="136"/>
      <c r="EQ25" s="136"/>
      <c r="ER25" s="136"/>
      <c r="ES25" s="136"/>
      <c r="ET25" s="136"/>
      <c r="EU25" s="136"/>
      <c r="EV25" s="136"/>
      <c r="EW25" s="136"/>
      <c r="EX25" s="136"/>
      <c r="EY25" s="136"/>
      <c r="EZ25" s="136"/>
      <c r="FA25" s="136"/>
      <c r="FB25" s="136"/>
      <c r="FC25" s="136"/>
      <c r="FD25" s="136"/>
      <c r="FE25" s="136"/>
      <c r="FF25" s="136"/>
      <c r="FG25" s="136"/>
      <c r="FH25" s="136"/>
      <c r="FI25" s="136"/>
      <c r="FJ25" s="136"/>
      <c r="FK25" s="136"/>
      <c r="FL25" s="136"/>
      <c r="FM25" s="136"/>
      <c r="FN25" s="136"/>
      <c r="FO25" s="136"/>
      <c r="FP25" s="136"/>
      <c r="FQ25" s="136"/>
      <c r="FR25" s="412"/>
      <c r="FS25" s="412"/>
      <c r="FT25" s="412"/>
      <c r="FU25" s="412"/>
      <c r="FV25" s="412"/>
      <c r="FW25" s="412"/>
      <c r="FX25" s="412"/>
      <c r="FY25" s="412"/>
      <c r="FZ25" s="412"/>
      <c r="GA25" s="412"/>
      <c r="GB25" s="412"/>
      <c r="GC25" s="412"/>
      <c r="GD25" s="412"/>
      <c r="GE25" s="412"/>
      <c r="GF25" s="412"/>
      <c r="GG25" s="412"/>
      <c r="GH25" s="412"/>
      <c r="GI25" s="412"/>
      <c r="GJ25" s="412"/>
      <c r="GK25" s="412"/>
      <c r="GL25" s="412"/>
      <c r="GM25" s="412"/>
      <c r="GN25" s="412"/>
      <c r="GO25" s="412"/>
      <c r="GP25" s="412"/>
      <c r="GQ25" s="412"/>
      <c r="GR25" s="412"/>
      <c r="GS25" s="412"/>
      <c r="GT25" s="412"/>
      <c r="GU25" s="412"/>
      <c r="GV25" s="412"/>
      <c r="GW25" s="412"/>
      <c r="GX25" s="412"/>
      <c r="GY25" s="412"/>
      <c r="GZ25" s="412"/>
      <c r="HA25" s="412"/>
      <c r="HB25" s="412"/>
      <c r="HC25" s="412"/>
      <c r="HD25" s="412"/>
      <c r="HE25" s="412"/>
      <c r="HF25" s="412"/>
      <c r="HG25" s="412"/>
      <c r="HH25" s="412"/>
      <c r="HI25" s="412"/>
      <c r="HJ25" s="412"/>
      <c r="HK25" s="412"/>
      <c r="HL25" s="412"/>
      <c r="HM25" s="412"/>
      <c r="HN25" s="412"/>
      <c r="HO25" s="412"/>
      <c r="HP25" s="412"/>
      <c r="HQ25" s="412"/>
      <c r="HR25" s="412"/>
      <c r="HS25" s="412"/>
      <c r="HT25" s="412"/>
      <c r="HU25" s="278"/>
      <c r="HV25" s="277"/>
      <c r="HW25" s="277"/>
      <c r="HX25" s="277"/>
      <c r="HY25" s="277"/>
      <c r="HZ25" s="277"/>
      <c r="IA25" s="277"/>
      <c r="IB25" s="277"/>
      <c r="IC25" s="277"/>
      <c r="ID25" s="412"/>
      <c r="IE25" s="412"/>
      <c r="IF25" s="412"/>
      <c r="IG25" s="412"/>
      <c r="IH25" s="412"/>
      <c r="II25" s="412"/>
      <c r="IJ25" s="412"/>
      <c r="IK25" s="412"/>
      <c r="IL25" s="412"/>
      <c r="IM25" s="412"/>
      <c r="IN25" s="412"/>
      <c r="IO25" s="412"/>
      <c r="IP25" s="413"/>
      <c r="IQ25" s="389"/>
      <c r="IR25" s="389"/>
      <c r="IS25" s="389"/>
      <c r="IT25" s="389"/>
      <c r="IU25" s="389"/>
      <c r="IV25" s="389"/>
      <c r="IW25" s="389"/>
      <c r="IX25" s="389"/>
      <c r="IY25" s="389"/>
      <c r="IZ25" s="389"/>
      <c r="JA25" s="389"/>
      <c r="JB25" s="389"/>
      <c r="JC25" s="389"/>
      <c r="JD25" s="389"/>
      <c r="JE25" s="389"/>
      <c r="JF25" s="389"/>
      <c r="JG25" s="389"/>
      <c r="JH25" s="389"/>
      <c r="JI25" s="389"/>
      <c r="JJ25" s="389"/>
      <c r="JK25" s="389"/>
      <c r="JL25" s="389"/>
      <c r="JM25" s="389"/>
      <c r="JN25" s="389"/>
      <c r="JO25" s="389"/>
      <c r="JP25" s="389"/>
      <c r="JQ25" s="389"/>
      <c r="JR25" s="389"/>
      <c r="JS25" s="389"/>
      <c r="JT25" s="596"/>
      <c r="JU25" s="389"/>
      <c r="JV25" s="389"/>
      <c r="JW25" s="389"/>
      <c r="JX25" s="389"/>
      <c r="JY25" s="389"/>
      <c r="JZ25" s="389"/>
      <c r="KA25" s="389"/>
      <c r="KB25" s="389"/>
      <c r="KC25" s="389"/>
      <c r="KD25" s="389"/>
      <c r="KE25" s="389"/>
      <c r="KF25" s="389"/>
      <c r="KG25" s="389"/>
      <c r="KH25" s="389"/>
      <c r="KI25" s="389"/>
      <c r="KJ25" s="389"/>
      <c r="KK25" s="389"/>
      <c r="KL25" s="389"/>
      <c r="KM25" s="389"/>
      <c r="KN25" s="389"/>
      <c r="KO25" s="389"/>
      <c r="KP25" s="389"/>
    </row>
    <row r="26" spans="1:302" s="1" customFormat="1" ht="11.1" hidden="1" customHeight="1" outlineLevel="1">
      <c r="A26" s="529">
        <v>1</v>
      </c>
      <c r="B26" s="989">
        <f>VLOOKUP(B24,'[2]IBAN CONTI'!A$1:B$65562,2,FALSE)</f>
        <v>1</v>
      </c>
      <c r="C26" s="989"/>
      <c r="D26" s="436">
        <f>COUPNCD(AL21,C21,K23,AH25)</f>
        <v>42460</v>
      </c>
      <c r="E26" s="932">
        <f>VLOOKUP(E25,'[2]IBAN CONTI'!A:B,2,FALSE)</f>
        <v>2</v>
      </c>
      <c r="F26" s="444" t="str">
        <f>IF(E26=1,"87,5","74")</f>
        <v>74</v>
      </c>
      <c r="G26" s="443">
        <f>VLOOKUP(G24,'[2]IBAN CONTI'!A$244:B$273,2,FALSE)</f>
        <v>16</v>
      </c>
      <c r="H26" s="383"/>
      <c r="I26" s="434"/>
      <c r="J26" s="383"/>
      <c r="K26" s="433">
        <f>VLOOKUP(K24,'[2]IBAN CONTI'!A$80:B$101,2,FALSE)</f>
        <v>10</v>
      </c>
      <c r="L26" s="835"/>
      <c r="M26" s="843"/>
      <c r="N26" s="843"/>
      <c r="O26" s="39"/>
      <c r="P26" s="318"/>
      <c r="Q26" s="218"/>
      <c r="R26" s="218"/>
      <c r="S26" s="15"/>
      <c r="T26" s="431"/>
      <c r="U26" s="15"/>
      <c r="V26" s="15"/>
      <c r="W26" s="15"/>
      <c r="X26" s="594">
        <f ca="1">X21-$AF$2</f>
        <v>-4474.6850547453723</v>
      </c>
      <c r="Y26" s="430"/>
      <c r="Z26" s="430"/>
      <c r="AA26" s="430"/>
      <c r="AB26" s="9"/>
      <c r="AC26" s="383"/>
      <c r="AD26" s="219"/>
      <c r="AE26" s="383"/>
      <c r="AF26" s="1011">
        <v>93718.58</v>
      </c>
      <c r="AG26" s="1011"/>
      <c r="AH26" s="54"/>
      <c r="AI26" s="54"/>
      <c r="AJ26" s="441" t="s">
        <v>172</v>
      </c>
      <c r="AK26" s="525">
        <f>VLOOKUP(AJ26,'[2]IBAN CONTI'!A$61:B$64,2,FALSE)</f>
        <v>1</v>
      </c>
      <c r="AL26" s="967">
        <f>AL23-AL24*(100-F26)/100</f>
        <v>99.870260000000002</v>
      </c>
      <c r="AM26" s="732" t="str">
        <f>IF(B26=2,10^((LOG(AL23/AL22))/AM23)-1,"")</f>
        <v/>
      </c>
      <c r="AN26" s="422">
        <f>IF(B26=4,A23*E21/100,IF(AF23=1,G21*E21/100,A22/E22*E21/100))</f>
        <v>934.7</v>
      </c>
      <c r="AO26" s="425">
        <f>-AO24*(100-F25)/100</f>
        <v>-9.9280848733743057E-2</v>
      </c>
      <c r="AP26" s="438">
        <f>IF(B26=2,(AN26-AP23+AN21+AN22)/G21*100,(AN26-AP22+AN21+AN22)/G21*100)</f>
        <v>94.012750848733745</v>
      </c>
      <c r="AQ26" s="423"/>
      <c r="AR26" s="422">
        <f>AL22</f>
        <v>99.501000000000005</v>
      </c>
      <c r="AS26" s="421"/>
      <c r="AT26" s="419"/>
      <c r="AU26" s="420"/>
      <c r="AV26" s="223"/>
      <c r="AW26" s="420"/>
      <c r="AX26" s="417"/>
      <c r="AY26" s="420"/>
      <c r="AZ26" s="223"/>
      <c r="BA26" s="419"/>
      <c r="BB26" s="223"/>
      <c r="BC26" s="223"/>
      <c r="BD26" s="223"/>
      <c r="BE26" s="223"/>
      <c r="BF26" s="416"/>
      <c r="BG26" s="418"/>
      <c r="BH26" s="416"/>
      <c r="BI26" s="416"/>
      <c r="BJ26" s="416"/>
      <c r="BK26" s="418"/>
      <c r="BL26" s="417"/>
      <c r="BM26" s="416"/>
      <c r="BN26" s="416"/>
      <c r="BO26" s="416"/>
      <c r="BP26" s="416"/>
      <c r="BQ26" s="416"/>
      <c r="BR26" s="416"/>
      <c r="BS26" s="416"/>
      <c r="BT26" s="389"/>
      <c r="BU26" s="389"/>
      <c r="BV26" s="389"/>
      <c r="BW26" s="389"/>
      <c r="BX26" s="415"/>
      <c r="BY26" s="389"/>
      <c r="BZ26" s="389"/>
      <c r="CA26" s="389"/>
      <c r="CB26" s="389"/>
      <c r="CC26" s="389"/>
      <c r="CD26" s="389"/>
      <c r="CE26" s="389"/>
      <c r="CF26" s="389"/>
      <c r="CG26" s="389"/>
      <c r="CH26" s="389"/>
      <c r="CI26" s="389"/>
      <c r="CJ26" s="389"/>
      <c r="CK26" s="389"/>
      <c r="CL26" s="389"/>
      <c r="CM26" s="389"/>
      <c r="CN26" s="389"/>
      <c r="CO26" s="389"/>
      <c r="CP26" s="389"/>
      <c r="CQ26" s="389"/>
      <c r="CR26" s="389"/>
      <c r="CS26" s="415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414"/>
      <c r="DP26" s="39"/>
      <c r="DQ26" s="39"/>
      <c r="DR26" s="39"/>
      <c r="DS26" s="136"/>
      <c r="DT26" s="136"/>
      <c r="DU26" s="136"/>
      <c r="DV26" s="136"/>
      <c r="DW26" s="136"/>
      <c r="DX26" s="136"/>
      <c r="DY26" s="136"/>
      <c r="DZ26" s="136"/>
      <c r="EA26" s="136"/>
      <c r="EB26" s="136"/>
      <c r="EC26" s="136"/>
      <c r="ED26" s="136"/>
      <c r="EE26" s="136"/>
      <c r="EF26" s="136"/>
      <c r="EG26" s="136"/>
      <c r="EH26" s="136"/>
      <c r="EI26" s="136"/>
      <c r="EJ26" s="136"/>
      <c r="EK26" s="136"/>
      <c r="EL26" s="136"/>
      <c r="EM26" s="136"/>
      <c r="EN26" s="136"/>
      <c r="EO26" s="136"/>
      <c r="EP26" s="136"/>
      <c r="EQ26" s="136"/>
      <c r="ER26" s="136"/>
      <c r="ES26" s="136"/>
      <c r="ET26" s="136"/>
      <c r="EU26" s="136"/>
      <c r="EV26" s="136"/>
      <c r="EW26" s="136"/>
      <c r="EX26" s="136"/>
      <c r="EY26" s="136"/>
      <c r="EZ26" s="136"/>
      <c r="FA26" s="136"/>
      <c r="FB26" s="136"/>
      <c r="FC26" s="136"/>
      <c r="FD26" s="136"/>
      <c r="FE26" s="136"/>
      <c r="FF26" s="136"/>
      <c r="FG26" s="136"/>
      <c r="FH26" s="136"/>
      <c r="FI26" s="136"/>
      <c r="FJ26" s="136"/>
      <c r="FK26" s="136"/>
      <c r="FL26" s="136"/>
      <c r="FM26" s="136"/>
      <c r="FN26" s="136"/>
      <c r="FO26" s="136"/>
      <c r="FP26" s="136"/>
      <c r="FQ26" s="136"/>
      <c r="FR26" s="412"/>
      <c r="FS26" s="412"/>
      <c r="FT26" s="412"/>
      <c r="FU26" s="412"/>
      <c r="FV26" s="412"/>
      <c r="FW26" s="412"/>
      <c r="FX26" s="412"/>
      <c r="FY26" s="412"/>
      <c r="FZ26" s="412"/>
      <c r="GA26" s="412"/>
      <c r="GB26" s="412"/>
      <c r="GC26" s="412"/>
      <c r="GD26" s="412"/>
      <c r="GE26" s="412"/>
      <c r="GF26" s="412"/>
      <c r="GG26" s="412"/>
      <c r="GH26" s="412"/>
      <c r="GI26" s="412"/>
      <c r="GJ26" s="412"/>
      <c r="GK26" s="412"/>
      <c r="GL26" s="412"/>
      <c r="GM26" s="412"/>
      <c r="GN26" s="412"/>
      <c r="GO26" s="412"/>
      <c r="GP26" s="412"/>
      <c r="GQ26" s="412"/>
      <c r="GR26" s="412"/>
      <c r="GS26" s="412"/>
      <c r="GT26" s="412"/>
      <c r="GU26" s="412"/>
      <c r="GV26" s="412"/>
      <c r="GW26" s="412"/>
      <c r="GX26" s="412"/>
      <c r="GY26" s="412"/>
      <c r="GZ26" s="412"/>
      <c r="HA26" s="412"/>
      <c r="HB26" s="412"/>
      <c r="HC26" s="412"/>
      <c r="HD26" s="412"/>
      <c r="HE26" s="412"/>
      <c r="HF26" s="412"/>
      <c r="HG26" s="412"/>
      <c r="HH26" s="412"/>
      <c r="HI26" s="412"/>
      <c r="HJ26" s="412"/>
      <c r="HK26" s="412"/>
      <c r="HL26" s="412"/>
      <c r="HM26" s="412"/>
      <c r="HN26" s="412"/>
      <c r="HO26" s="412"/>
      <c r="HP26" s="412"/>
      <c r="HQ26" s="412"/>
      <c r="HR26" s="412"/>
      <c r="HS26" s="412"/>
      <c r="HT26" s="412"/>
      <c r="HU26" s="278"/>
      <c r="HV26" s="277"/>
      <c r="HW26" s="277"/>
      <c r="HX26" s="277"/>
      <c r="HY26" s="277"/>
      <c r="HZ26" s="277"/>
      <c r="IA26" s="277"/>
      <c r="IB26" s="277"/>
      <c r="IC26" s="277"/>
      <c r="ID26" s="412"/>
      <c r="IE26" s="412"/>
      <c r="IF26" s="412"/>
      <c r="IG26" s="412"/>
      <c r="IH26" s="412"/>
      <c r="II26" s="412"/>
      <c r="IJ26" s="412"/>
      <c r="IK26" s="412"/>
      <c r="IL26" s="412"/>
      <c r="IM26" s="412"/>
      <c r="IN26" s="412"/>
      <c r="IO26" s="412"/>
      <c r="IP26" s="413"/>
      <c r="IQ26" s="389"/>
      <c r="IR26" s="389"/>
      <c r="IS26" s="389"/>
      <c r="IT26" s="389"/>
      <c r="IU26" s="389"/>
      <c r="IV26" s="389"/>
      <c r="IW26" s="389"/>
      <c r="IX26" s="389"/>
      <c r="IY26" s="389"/>
      <c r="IZ26" s="389"/>
      <c r="JA26" s="389"/>
      <c r="JB26" s="389"/>
      <c r="JC26" s="389"/>
      <c r="JD26" s="389"/>
      <c r="JE26" s="389"/>
      <c r="JF26" s="389"/>
      <c r="JG26" s="389"/>
      <c r="JH26" s="389"/>
      <c r="JI26" s="389"/>
      <c r="JJ26" s="389"/>
      <c r="JK26" s="389"/>
      <c r="JL26" s="389"/>
      <c r="JM26" s="389"/>
      <c r="JN26" s="389"/>
      <c r="JO26" s="389"/>
      <c r="JP26" s="389"/>
      <c r="JQ26" s="389"/>
      <c r="JR26" s="389"/>
      <c r="JS26" s="389"/>
      <c r="JT26" s="596"/>
      <c r="JU26" s="389"/>
      <c r="JV26" s="389"/>
      <c r="JW26" s="389"/>
      <c r="JX26" s="389"/>
      <c r="JY26" s="389"/>
      <c r="JZ26" s="389"/>
      <c r="KA26" s="389"/>
      <c r="KB26" s="389"/>
      <c r="KC26" s="389"/>
      <c r="KD26" s="389"/>
      <c r="KE26" s="389"/>
      <c r="KF26" s="389"/>
      <c r="KG26" s="389"/>
      <c r="KH26" s="389"/>
      <c r="KI26" s="389"/>
      <c r="KJ26" s="389"/>
      <c r="KK26" s="389"/>
      <c r="KL26" s="389"/>
      <c r="KM26" s="389"/>
      <c r="KN26" s="389"/>
      <c r="KO26" s="389"/>
      <c r="KP26" s="389"/>
    </row>
    <row r="27" spans="1:302" s="1" customFormat="1" ht="11.1" hidden="1" customHeight="1" outlineLevel="1">
      <c r="A27" s="529"/>
      <c r="B27" s="933"/>
      <c r="C27" s="933"/>
      <c r="D27" s="436"/>
      <c r="E27" s="932"/>
      <c r="F27" s="435"/>
      <c r="G27" s="433"/>
      <c r="H27" s="383"/>
      <c r="I27" s="434"/>
      <c r="J27" s="383"/>
      <c r="K27" s="433"/>
      <c r="L27" s="835"/>
      <c r="M27" s="843"/>
      <c r="N27" s="843"/>
      <c r="O27" s="39"/>
      <c r="P27" s="318"/>
      <c r="Q27" s="218"/>
      <c r="R27" s="218"/>
      <c r="S27" s="15"/>
      <c r="T27" s="383"/>
      <c r="U27" s="15"/>
      <c r="V27" s="15"/>
      <c r="W27" s="15"/>
      <c r="X27" s="442"/>
      <c r="Y27" s="430"/>
      <c r="Z27" s="430"/>
      <c r="AA27" s="430"/>
      <c r="AB27" s="9"/>
      <c r="AC27" s="383"/>
      <c r="AD27" s="219"/>
      <c r="AE27" s="383"/>
      <c r="AF27" s="934"/>
      <c r="AG27" s="934"/>
      <c r="AH27" s="54"/>
      <c r="AI27" s="54"/>
      <c r="AJ27" s="441"/>
      <c r="AK27" s="595"/>
      <c r="AL27" s="967"/>
      <c r="AM27" s="727"/>
      <c r="AN27" s="422"/>
      <c r="AO27" s="425"/>
      <c r="AP27" s="424"/>
      <c r="AQ27" s="424"/>
      <c r="AR27" s="422"/>
      <c r="AS27" s="421"/>
      <c r="AT27" s="223"/>
      <c r="AU27" s="420"/>
      <c r="AV27" s="223"/>
      <c r="AW27" s="420"/>
      <c r="AX27" s="417"/>
      <c r="AY27" s="420"/>
      <c r="AZ27" s="223"/>
      <c r="BA27" s="223"/>
      <c r="BB27" s="223"/>
      <c r="BC27" s="223"/>
      <c r="BD27" s="223"/>
      <c r="BE27" s="223"/>
      <c r="BF27" s="416"/>
      <c r="BG27" s="417"/>
      <c r="BH27" s="416"/>
      <c r="BI27" s="416"/>
      <c r="BJ27" s="416"/>
      <c r="BK27" s="417"/>
      <c r="BL27" s="417"/>
      <c r="BM27" s="416"/>
      <c r="BN27" s="416"/>
      <c r="BO27" s="416"/>
      <c r="BP27" s="416"/>
      <c r="BQ27" s="416"/>
      <c r="BR27" s="416"/>
      <c r="BS27" s="416"/>
      <c r="BT27" s="389"/>
      <c r="BU27" s="389"/>
      <c r="BV27" s="389"/>
      <c r="BW27" s="389"/>
      <c r="BX27" s="412"/>
      <c r="BY27" s="389"/>
      <c r="BZ27" s="389"/>
      <c r="CA27" s="389"/>
      <c r="CB27" s="389"/>
      <c r="CC27" s="389"/>
      <c r="CD27" s="389"/>
      <c r="CE27" s="389"/>
      <c r="CF27" s="389"/>
      <c r="CG27" s="389"/>
      <c r="CH27" s="389"/>
      <c r="CI27" s="389"/>
      <c r="CJ27" s="389"/>
      <c r="CK27" s="389"/>
      <c r="CL27" s="389"/>
      <c r="CM27" s="389"/>
      <c r="CN27" s="389"/>
      <c r="CO27" s="389"/>
      <c r="CP27" s="389"/>
      <c r="CQ27" s="389"/>
      <c r="CR27" s="389"/>
      <c r="CS27" s="412"/>
      <c r="CT27" s="389"/>
      <c r="CU27" s="389"/>
      <c r="CV27" s="389"/>
      <c r="CW27" s="389"/>
      <c r="CX27" s="389"/>
      <c r="CY27" s="389"/>
      <c r="CZ27" s="389"/>
      <c r="DA27" s="389"/>
      <c r="DB27" s="389"/>
      <c r="DC27" s="389"/>
      <c r="DD27" s="389"/>
      <c r="DE27" s="389"/>
      <c r="DF27" s="389"/>
      <c r="DG27" s="389"/>
      <c r="DH27" s="389"/>
      <c r="DI27" s="389"/>
      <c r="DJ27" s="389"/>
      <c r="DK27" s="389"/>
      <c r="DL27" s="389"/>
      <c r="DM27" s="389"/>
      <c r="DN27" s="389"/>
      <c r="DO27" s="136"/>
      <c r="DP27" s="39"/>
      <c r="DQ27" s="39"/>
      <c r="DR27" s="39"/>
      <c r="DS27" s="136"/>
      <c r="DT27" s="136"/>
      <c r="DU27" s="136"/>
      <c r="DV27" s="136"/>
      <c r="DW27" s="136"/>
      <c r="DX27" s="136"/>
      <c r="DY27" s="136"/>
      <c r="DZ27" s="136"/>
      <c r="EA27" s="136"/>
      <c r="EB27" s="136"/>
      <c r="EC27" s="136"/>
      <c r="ED27" s="136"/>
      <c r="EE27" s="136"/>
      <c r="EF27" s="136"/>
      <c r="EG27" s="136"/>
      <c r="EH27" s="136"/>
      <c r="EI27" s="136"/>
      <c r="EJ27" s="136"/>
      <c r="EK27" s="136"/>
      <c r="EL27" s="136"/>
      <c r="EM27" s="136"/>
      <c r="EN27" s="136"/>
      <c r="EO27" s="136"/>
      <c r="EP27" s="136"/>
      <c r="EQ27" s="136"/>
      <c r="ER27" s="136"/>
      <c r="ES27" s="136"/>
      <c r="ET27" s="136"/>
      <c r="EU27" s="136"/>
      <c r="EV27" s="136"/>
      <c r="EW27" s="136"/>
      <c r="EX27" s="136"/>
      <c r="EY27" s="136"/>
      <c r="EZ27" s="136"/>
      <c r="FA27" s="136"/>
      <c r="FB27" s="136"/>
      <c r="FC27" s="136"/>
      <c r="FD27" s="136"/>
      <c r="FE27" s="136"/>
      <c r="FF27" s="136"/>
      <c r="FG27" s="136"/>
      <c r="FH27" s="136"/>
      <c r="FI27" s="136"/>
      <c r="FJ27" s="136"/>
      <c r="FK27" s="136"/>
      <c r="FL27" s="136"/>
      <c r="FM27" s="136"/>
      <c r="FN27" s="136"/>
      <c r="FO27" s="136"/>
      <c r="FP27" s="136"/>
      <c r="FQ27" s="136"/>
      <c r="FR27" s="412"/>
      <c r="FS27" s="412"/>
      <c r="FT27" s="412"/>
      <c r="FU27" s="412"/>
      <c r="FV27" s="412"/>
      <c r="FW27" s="412"/>
      <c r="FX27" s="412"/>
      <c r="FY27" s="412"/>
      <c r="FZ27" s="412"/>
      <c r="GA27" s="412"/>
      <c r="GB27" s="412"/>
      <c r="GC27" s="412"/>
      <c r="GD27" s="412"/>
      <c r="GE27" s="412"/>
      <c r="GF27" s="412"/>
      <c r="GG27" s="412"/>
      <c r="GH27" s="412"/>
      <c r="GI27" s="412"/>
      <c r="GJ27" s="412"/>
      <c r="GK27" s="412"/>
      <c r="GL27" s="412"/>
      <c r="GM27" s="412"/>
      <c r="GN27" s="412"/>
      <c r="GO27" s="412"/>
      <c r="GP27" s="412"/>
      <c r="GQ27" s="412"/>
      <c r="GR27" s="412"/>
      <c r="GS27" s="412"/>
      <c r="GT27" s="412"/>
      <c r="GU27" s="412"/>
      <c r="GV27" s="412"/>
      <c r="GW27" s="412"/>
      <c r="GX27" s="412"/>
      <c r="GY27" s="412"/>
      <c r="GZ27" s="412"/>
      <c r="HA27" s="412"/>
      <c r="HB27" s="412"/>
      <c r="HC27" s="412"/>
      <c r="HD27" s="412"/>
      <c r="HE27" s="412"/>
      <c r="HF27" s="412"/>
      <c r="HG27" s="412"/>
      <c r="HH27" s="412"/>
      <c r="HI27" s="412"/>
      <c r="HJ27" s="412"/>
      <c r="HK27" s="412"/>
      <c r="HL27" s="412"/>
      <c r="HM27" s="412"/>
      <c r="HN27" s="412"/>
      <c r="HO27" s="412"/>
      <c r="HP27" s="412"/>
      <c r="HQ27" s="412"/>
      <c r="HR27" s="412"/>
      <c r="HS27" s="412"/>
      <c r="HT27" s="412"/>
      <c r="HU27" s="277"/>
      <c r="HV27" s="277"/>
      <c r="HW27" s="277"/>
      <c r="HX27" s="277"/>
      <c r="HY27" s="277"/>
      <c r="HZ27" s="277"/>
      <c r="IA27" s="277"/>
      <c r="IB27" s="277"/>
      <c r="IC27" s="277"/>
      <c r="ID27" s="412"/>
      <c r="IE27" s="412"/>
      <c r="IF27" s="412"/>
      <c r="IG27" s="412"/>
      <c r="IH27" s="412"/>
      <c r="II27" s="412"/>
      <c r="IJ27" s="412"/>
      <c r="IK27" s="412"/>
      <c r="IL27" s="412"/>
      <c r="IM27" s="412"/>
      <c r="IN27" s="412"/>
      <c r="IO27" s="412"/>
      <c r="IP27" s="412"/>
      <c r="IQ27" s="389"/>
      <c r="IR27" s="389"/>
      <c r="IS27" s="389"/>
      <c r="IT27" s="389"/>
      <c r="IU27" s="389"/>
      <c r="IV27" s="389"/>
      <c r="IW27" s="389"/>
      <c r="IX27" s="389"/>
      <c r="IY27" s="389"/>
      <c r="IZ27" s="389"/>
      <c r="JA27" s="389"/>
      <c r="JB27" s="389"/>
      <c r="JC27" s="389"/>
      <c r="JD27" s="389"/>
      <c r="JE27" s="389"/>
      <c r="JF27" s="389"/>
      <c r="JG27" s="389"/>
      <c r="JH27" s="389"/>
      <c r="JI27" s="389"/>
      <c r="JJ27" s="389"/>
      <c r="JK27" s="389"/>
      <c r="JL27" s="389"/>
      <c r="JM27" s="389"/>
      <c r="JN27" s="389"/>
      <c r="JO27" s="389"/>
      <c r="JP27" s="389"/>
      <c r="JQ27" s="389"/>
      <c r="JR27" s="389"/>
      <c r="JS27" s="389"/>
      <c r="JT27" s="596"/>
      <c r="JU27" s="389"/>
      <c r="JV27" s="389"/>
      <c r="JW27" s="389"/>
      <c r="JX27" s="389"/>
      <c r="JY27" s="389"/>
      <c r="JZ27" s="389"/>
      <c r="KA27" s="389"/>
      <c r="KB27" s="389"/>
      <c r="KC27" s="389"/>
      <c r="KD27" s="389"/>
      <c r="KE27" s="389"/>
      <c r="KF27" s="389"/>
      <c r="KG27" s="389"/>
      <c r="KH27" s="389"/>
      <c r="KI27" s="389"/>
      <c r="KJ27" s="389"/>
      <c r="KK27" s="389"/>
      <c r="KL27" s="389"/>
      <c r="KM27" s="389"/>
      <c r="KN27" s="389"/>
      <c r="KO27" s="389"/>
      <c r="KP27" s="389"/>
    </row>
    <row r="28" spans="1:302" s="23" customFormat="1" ht="5.0999999999999996" customHeight="1" collapsed="1" thickBot="1">
      <c r="A28" s="232"/>
      <c r="B28" s="507"/>
      <c r="C28" s="431"/>
      <c r="D28" s="431"/>
      <c r="E28" s="475"/>
      <c r="F28" s="431"/>
      <c r="G28" s="431"/>
      <c r="H28" s="431"/>
      <c r="I28" s="385"/>
      <c r="J28" s="431"/>
      <c r="K28" s="431"/>
      <c r="L28" s="601"/>
      <c r="M28" s="844"/>
      <c r="N28" s="844"/>
      <c r="O28" s="505"/>
      <c r="P28" s="584" t="s">
        <v>30</v>
      </c>
      <c r="Q28" s="280"/>
      <c r="R28" s="974"/>
      <c r="S28" s="981"/>
      <c r="T28" s="431"/>
      <c r="U28" s="981"/>
      <c r="V28" s="981"/>
      <c r="W28" s="981"/>
      <c r="X28" s="498"/>
      <c r="Y28" s="498"/>
      <c r="Z28" s="498"/>
      <c r="AA28" s="498"/>
      <c r="AB28" s="982"/>
      <c r="AC28" s="431"/>
      <c r="AD28" s="78"/>
      <c r="AE28" s="431"/>
      <c r="AF28" s="504"/>
      <c r="AG28" s="307"/>
      <c r="AH28" s="593"/>
      <c r="AI28" s="593"/>
      <c r="AJ28" s="592"/>
      <c r="AK28" s="501"/>
      <c r="AL28" s="54"/>
      <c r="AM28" s="22"/>
      <c r="AN28" s="54"/>
      <c r="AO28" s="22"/>
      <c r="AP28" s="374"/>
      <c r="AQ28" s="22"/>
      <c r="AR28" s="22"/>
      <c r="AS28" s="22"/>
      <c r="AT28" s="31"/>
      <c r="AU28" s="13"/>
      <c r="AV28" s="13"/>
      <c r="AW28" s="13"/>
      <c r="AX28" s="13"/>
      <c r="AY28" s="13"/>
      <c r="AZ28" s="13"/>
      <c r="BA28" s="31"/>
      <c r="BB28" s="13"/>
      <c r="BC28" s="13"/>
      <c r="BD28" s="13"/>
      <c r="BE28" s="13"/>
      <c r="BF28" s="13"/>
      <c r="BG28" s="31"/>
      <c r="BH28" s="13"/>
      <c r="BI28" s="13"/>
      <c r="BJ28" s="13"/>
      <c r="BK28" s="31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31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31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591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31"/>
      <c r="HV28" s="15"/>
      <c r="HW28" s="15"/>
      <c r="HX28" s="15"/>
      <c r="HY28" s="15"/>
      <c r="HZ28" s="15"/>
      <c r="IA28" s="15"/>
      <c r="IB28" s="15"/>
      <c r="IC28" s="15"/>
      <c r="ID28" s="15"/>
      <c r="IE28" s="15"/>
      <c r="IL28" s="14"/>
      <c r="IM28" s="14"/>
      <c r="IN28" s="14"/>
      <c r="IO28" s="14"/>
      <c r="IP28" s="3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</row>
    <row r="29" spans="1:302" s="14" customFormat="1" ht="11.1" customHeight="1">
      <c r="A29" s="497" t="s">
        <v>197</v>
      </c>
      <c r="B29" s="590" t="s">
        <v>194</v>
      </c>
      <c r="C29" s="387">
        <v>46694</v>
      </c>
      <c r="D29" s="946">
        <v>44523</v>
      </c>
      <c r="E29" s="818">
        <v>95.339749999999995</v>
      </c>
      <c r="F29" s="490">
        <v>2.2499999999999999E-2</v>
      </c>
      <c r="G29" s="383">
        <v>1000</v>
      </c>
      <c r="H29" s="383">
        <f>G29</f>
        <v>1000</v>
      </c>
      <c r="I29" s="385">
        <f>G29*F29/100*F34</f>
        <v>16.650000000000002</v>
      </c>
      <c r="J29" s="383">
        <f>I29</f>
        <v>16.650000000000002</v>
      </c>
      <c r="K29" s="384" t="s">
        <v>185</v>
      </c>
      <c r="L29" s="833">
        <f>MONTH(C29)</f>
        <v>11</v>
      </c>
      <c r="M29" s="842" t="str">
        <f>IFERROR(IF(N29&gt;12,N29-12,N29),"")</f>
        <v/>
      </c>
      <c r="N29" s="842" t="str">
        <f>IF(K31=1,"",MONTH(C29)+6)</f>
        <v/>
      </c>
      <c r="O29" s="832">
        <f>IF(K31=1,I29,I29/2)</f>
        <v>16.650000000000002</v>
      </c>
      <c r="P29" s="215">
        <f>VLOOKUP(B30,[2]Prezzi!$A$2:$R$125,18,FALSE)</f>
        <v>95.25</v>
      </c>
      <c r="Q29" s="280"/>
      <c r="R29" s="15"/>
      <c r="S29" s="493">
        <f ca="1">MAX(0,IF(B34=5,I29/AM31*X29,(((((F29)*AF$2)/365)*G29*F34/100)+((((F29)*X34)/365)*G29*F34/100))))</f>
        <v>0.45616438356162803</v>
      </c>
      <c r="T29" s="492">
        <f ca="1">S29</f>
        <v>0.45616438356162803</v>
      </c>
      <c r="U29" s="469"/>
      <c r="V29" s="4"/>
      <c r="W29" s="469"/>
      <c r="X29" s="491">
        <f ca="1">IF(B34=4,COUPDAYBS($AB$2,C29,K31,AH33),IF($AB$2-AL29&lt;365,IF(K31&gt;1,FLOOR(365/K31-(E31-AB$2),1),IF(B34=2,0,IF(AL29&gt;$AB$2,0,IF(AND(E31-AL29&lt;365,$AB$2&lt;E31),$AB$2-AL29,COUPDAYBS($AB$2,C29,K31,AH33))))),COUPDAYBS($AB$2,C29,K31,AH33)))</f>
        <v>10</v>
      </c>
      <c r="Y29" s="456">
        <f ca="1">G29*AF29</f>
        <v>2823.3049796180139</v>
      </c>
      <c r="Z29" s="456">
        <f ca="1">IF(G29=0,"0",G29*AG29)</f>
        <v>29.417186063256246</v>
      </c>
      <c r="AA29" s="22"/>
      <c r="AB29" s="979">
        <f ca="1">IF(B34=5,(((I29/AM32)*X29)+(G29)),(G29*P29*A34/100)+(S29*A34))</f>
        <v>952.9561643835616</v>
      </c>
      <c r="AC29" s="383">
        <f ca="1">AB29</f>
        <v>952.9561643835616</v>
      </c>
      <c r="AD29" s="156">
        <f>IF(E30="",((P29-E29)/100)*G29,((((P29-E29)/100)*A30)/F30)+((A30/F30)-(A30/E30)))</f>
        <v>-0.89749999999995111</v>
      </c>
      <c r="AE29" s="383">
        <f>AD29</f>
        <v>-0.89749999999995111</v>
      </c>
      <c r="AF29" s="446">
        <f ca="1">IF(B34=1,MDURATION($AB$2,C29,F29,AG29,K31,AH33),IF(B34=2,YEARFRAC(C29,$AB$2,AH33)))</f>
        <v>2.8233049796180141</v>
      </c>
      <c r="AG29" s="824">
        <f ca="1">YIELD(AB$2,C29,F29,P29,AL31,K31,AH33)*F34/100</f>
        <v>2.9417186063256245E-2</v>
      </c>
      <c r="AH29" s="589">
        <f ca="1">(((F29)*X29)/365)*F34</f>
        <v>4.5616438356164385E-2</v>
      </c>
      <c r="AI29" s="588"/>
      <c r="AJ29" s="587"/>
      <c r="AK29" s="571"/>
      <c r="AL29" s="570">
        <v>44503</v>
      </c>
      <c r="AM29" s="460" t="s">
        <v>430</v>
      </c>
      <c r="AN29" s="179">
        <f>IF(B34=4,MIN(G29*E29*A32*AV$3/100,AV$4),IF(AF31=1,MIN(G29*E29*AV$3/100,AV$4),MIN((A30*E29/E30*AV$3/100),AV$4)+(((A30/E30*E29/100)+(A30/E30*E29*AV$3/100)+AN30+AO29)*AZ$3)))</f>
        <v>0.9533974999999999</v>
      </c>
      <c r="AO29" s="484">
        <f>IF(B34=4,AP32*A31/100,IF(AF31=1,G29*AP32/100,A30/E30/100*AP32))</f>
        <v>1.3561599999999998</v>
      </c>
      <c r="AP29" s="188">
        <f>IF(B34=2,AN34+AN29+AN30+AP30,AN34+AN29+AN30+AO29+AO30+AP30)</f>
        <v>958.85445590000018</v>
      </c>
      <c r="AQ29" s="326">
        <f>AP29</f>
        <v>958.85445590000018</v>
      </c>
      <c r="AR29" s="569">
        <f>AR31+AR33+AR30</f>
        <v>1016.65</v>
      </c>
      <c r="AS29" s="825">
        <f ca="1">AG29</f>
        <v>2.9417186063256245E-2</v>
      </c>
      <c r="AT29" s="419">
        <f>IF(B34=1,G29,"")</f>
        <v>1000</v>
      </c>
      <c r="AU29" s="420" t="str">
        <f>IF(B34=2,G29,"")</f>
        <v/>
      </c>
      <c r="AV29" s="223" t="str">
        <f>IF(B34=3,G29,"")</f>
        <v/>
      </c>
      <c r="AW29" s="420" t="str">
        <f>IF(B34=4,G29,"")</f>
        <v/>
      </c>
      <c r="AX29" s="417" t="str">
        <f>IF(B34=5,G29,"")</f>
        <v/>
      </c>
      <c r="AY29" s="420" t="str">
        <f>IF(B34=6,G29,"")</f>
        <v/>
      </c>
      <c r="AZ29" s="223" t="str">
        <f>IF(B34=7,G29,"")</f>
        <v/>
      </c>
      <c r="BA29" s="419" t="str">
        <f>IF(B31=1,G29,"")</f>
        <v/>
      </c>
      <c r="BB29" s="223" t="str">
        <f>IF(B31=2,G29,"")</f>
        <v/>
      </c>
      <c r="BC29" s="223" t="str">
        <f>IF(B31=3,G29,"")</f>
        <v/>
      </c>
      <c r="BD29" s="223" t="str">
        <f>IF(B31=4,G29,"")</f>
        <v/>
      </c>
      <c r="BE29" s="223" t="str">
        <f>IF(B31=5,G29,"")</f>
        <v/>
      </c>
      <c r="BF29" s="417">
        <f>IF(B31=6,G29,"")</f>
        <v>1000</v>
      </c>
      <c r="BG29" s="419">
        <f>IF(AK34=1,G29,"")</f>
        <v>1000</v>
      </c>
      <c r="BH29" s="223" t="str">
        <f>IF(AK34=2,G29,"")</f>
        <v/>
      </c>
      <c r="BI29" s="223" t="str">
        <f>IF(AK34=3,G29,"")</f>
        <v/>
      </c>
      <c r="BJ29" s="223" t="str">
        <f>IF(AK34=4,G29,"")</f>
        <v/>
      </c>
      <c r="BK29" s="419" t="str">
        <f>IF(AJ33=1,G29,"")</f>
        <v/>
      </c>
      <c r="BL29" s="482" t="str">
        <f>IF(BK29&lt;&gt;"",AB29,"")</f>
        <v/>
      </c>
      <c r="BM29" s="223" t="str">
        <f>IF(AJ33=2,G29,"")</f>
        <v/>
      </c>
      <c r="BN29" s="223" t="str">
        <f>IF(BM29&lt;&gt;"",AB29,"")</f>
        <v/>
      </c>
      <c r="BO29" s="223" t="str">
        <f>IF(AJ33=3,G29,"")</f>
        <v/>
      </c>
      <c r="BP29" s="223" t="str">
        <f>IF(AJ33=4,G29,"")</f>
        <v/>
      </c>
      <c r="BQ29" s="223" t="str">
        <f>IF(AJ33=5,G29,"")</f>
        <v/>
      </c>
      <c r="BR29" s="223">
        <f>IF(AJ33=6,G29,"")</f>
        <v>1000</v>
      </c>
      <c r="BS29" s="223" t="str">
        <f>IF(AJ33=7,G29,"")</f>
        <v/>
      </c>
      <c r="BT29" s="223" t="str">
        <f>IF(AJ33=8,G29,"")</f>
        <v/>
      </c>
      <c r="BU29" s="223" t="str">
        <f>IF(AJ33=9,G29,"")</f>
        <v/>
      </c>
      <c r="BV29" s="223" t="str">
        <f>IF(AJ33=10,G29,"")</f>
        <v/>
      </c>
      <c r="BW29" s="223" t="str">
        <f>IF(AJ33=11,G29,"")</f>
        <v/>
      </c>
      <c r="BX29" s="419">
        <f>IF(AF31=1,G29,"")</f>
        <v>1000</v>
      </c>
      <c r="BY29" s="223" t="str">
        <f>IF(AF31=2,G29,"")</f>
        <v/>
      </c>
      <c r="BZ29" s="223" t="str">
        <f>IF(AF31=3,G29,"")</f>
        <v/>
      </c>
      <c r="CA29" s="223" t="str">
        <f>IF(AF31=4,G29,"")</f>
        <v/>
      </c>
      <c r="CB29" s="223" t="str">
        <f>IF(AF31=5,G29,"")</f>
        <v/>
      </c>
      <c r="CC29" s="223" t="str">
        <f>IF(AF31=6,G29,"")</f>
        <v/>
      </c>
      <c r="CD29" s="223" t="str">
        <f>IF(AF31=7,G29,"")</f>
        <v/>
      </c>
      <c r="CE29" s="223" t="str">
        <f>IF(AF31=8,G29,"")</f>
        <v/>
      </c>
      <c r="CF29" s="223" t="str">
        <f>IF(AF31=9,G29,"")</f>
        <v/>
      </c>
      <c r="CG29" s="223" t="str">
        <f>IF(AF31=10,G29,"")</f>
        <v/>
      </c>
      <c r="CH29" s="223" t="str">
        <f>IF(AF31=11,G29,"")</f>
        <v/>
      </c>
      <c r="CI29" s="223" t="str">
        <f>IF(AF31=12,G29,"")</f>
        <v/>
      </c>
      <c r="CJ29" s="223" t="str">
        <f>IF(AF31=13,G29,"")</f>
        <v/>
      </c>
      <c r="CK29" s="223" t="str">
        <f>IF(AF31=14,G29,"")</f>
        <v/>
      </c>
      <c r="CL29" s="223" t="str">
        <f>IF(AF31=15,G29,"")</f>
        <v/>
      </c>
      <c r="CM29" s="223" t="str">
        <f>IF(AF31=16,G29,"")</f>
        <v/>
      </c>
      <c r="CN29" s="223" t="str">
        <f>IF(AF31=17,G29,"")</f>
        <v/>
      </c>
      <c r="CO29" s="223" t="str">
        <f>IF(AF31=18,G29,"")</f>
        <v/>
      </c>
      <c r="CP29" s="223" t="str">
        <f>IF(AF31=19,G29,"")</f>
        <v/>
      </c>
      <c r="CQ29" s="223" t="str">
        <f>IF(AF31=20,G29,"")</f>
        <v/>
      </c>
      <c r="CR29" s="223" t="str">
        <f>IF(AF31=21,G29,"")</f>
        <v/>
      </c>
      <c r="CS29" s="419">
        <f>IF(K34=1,G29,"")</f>
        <v>1000</v>
      </c>
      <c r="CT29" s="223" t="str">
        <f>IF(K34=2,G29,"")</f>
        <v/>
      </c>
      <c r="CU29" s="223" t="str">
        <f>IF(K34=3,G29,"")</f>
        <v/>
      </c>
      <c r="CV29" s="223" t="str">
        <f>IF(K34=4,G29,"")</f>
        <v/>
      </c>
      <c r="CW29" s="223" t="str">
        <f>IF(K34=5,G29,"")</f>
        <v/>
      </c>
      <c r="CX29" s="223" t="str">
        <f>IF(K34=6,G29,"")</f>
        <v/>
      </c>
      <c r="CY29" s="223" t="str">
        <f>IF(K34=7,G29,"")</f>
        <v/>
      </c>
      <c r="CZ29" s="223" t="str">
        <f>IF(K34=8,G29,"")</f>
        <v/>
      </c>
      <c r="DA29" s="223" t="str">
        <f>IF(K34=9,G29,"")</f>
        <v/>
      </c>
      <c r="DB29" s="223" t="str">
        <f>IF(K34=10,G29,"")</f>
        <v/>
      </c>
      <c r="DC29" s="223" t="str">
        <f>IF(K34=11,G29,"")</f>
        <v/>
      </c>
      <c r="DD29" s="223" t="str">
        <f>IF(K34=12,G29,"")</f>
        <v/>
      </c>
      <c r="DE29" s="223" t="str">
        <f>IF(K34=13,G29,"")</f>
        <v/>
      </c>
      <c r="DF29" s="223" t="str">
        <f>IF(K34=14,G29,"")</f>
        <v/>
      </c>
      <c r="DG29" s="223" t="str">
        <f>IF(K34=15,G29,"")</f>
        <v/>
      </c>
      <c r="DH29" s="223" t="str">
        <f>IF(K34=16,G29,"")</f>
        <v/>
      </c>
      <c r="DI29" s="223" t="str">
        <f>IF(K34=17,G29,"")</f>
        <v/>
      </c>
      <c r="DJ29" s="223" t="str">
        <f>IF(K34=18,G29,"")</f>
        <v/>
      </c>
      <c r="DK29" s="223" t="str">
        <f>IF(K34=19,G29,"")</f>
        <v/>
      </c>
      <c r="DL29" s="223" t="str">
        <f>IF(K34=20,G29,"")</f>
        <v/>
      </c>
      <c r="DM29" s="223"/>
      <c r="DN29" s="223"/>
      <c r="DO29" s="419" t="str">
        <f>IF(AG31=1,G29,"")</f>
        <v/>
      </c>
      <c r="DP29" s="223" t="str">
        <f>IF(AG31=2,G29,"")</f>
        <v/>
      </c>
      <c r="DQ29" s="223" t="str">
        <f>IF(AG31=3,G29,"")</f>
        <v/>
      </c>
      <c r="DR29" s="223" t="str">
        <f>IF(AG31=4,G29,"")</f>
        <v/>
      </c>
      <c r="DS29" s="223" t="str">
        <f>IF(AG31=5,G29,"")</f>
        <v/>
      </c>
      <c r="DT29" s="223" t="str">
        <f>IF(AG31=6,G29,"")</f>
        <v/>
      </c>
      <c r="DU29" s="223" t="str">
        <f>IF(AG31=7,G29,"")</f>
        <v/>
      </c>
      <c r="DV29" s="223" t="str">
        <f>IF(AG31=8,G29,"")</f>
        <v/>
      </c>
      <c r="DW29" s="136" t="str">
        <f>IF(AG31=9,G29,"")</f>
        <v/>
      </c>
      <c r="DX29" s="136" t="str">
        <f>IF(AG31=10,G29,"")</f>
        <v/>
      </c>
      <c r="DY29" s="136" t="str">
        <f>IF(AG31=11,G29,"")</f>
        <v/>
      </c>
      <c r="DZ29" s="136" t="str">
        <f>IF(AG31=12,G29,"")</f>
        <v/>
      </c>
      <c r="EA29" s="136" t="str">
        <f>IF(AG31=13,G29,"")</f>
        <v/>
      </c>
      <c r="EB29" s="136" t="str">
        <f>IF(AG31=14,G29,"")</f>
        <v/>
      </c>
      <c r="EC29" s="317" t="str">
        <f>IF(AG31=15,G29,"")</f>
        <v/>
      </c>
      <c r="ED29" s="136" t="str">
        <f>IF(AG31=16,G29,"")</f>
        <v/>
      </c>
      <c r="EE29" s="136" t="str">
        <f>IF(AG31=17,G29,"")</f>
        <v/>
      </c>
      <c r="EF29" s="136" t="str">
        <f>IF(AG31=18,G29,"")</f>
        <v/>
      </c>
      <c r="EG29" s="136" t="str">
        <f>IF(AG31=19,G29,"")</f>
        <v/>
      </c>
      <c r="EH29" s="136" t="str">
        <f>IF(AG31=20,G29,"")</f>
        <v/>
      </c>
      <c r="EI29" s="136" t="str">
        <f>IF(AG31=21,G29,"")</f>
        <v/>
      </c>
      <c r="EJ29" s="136" t="str">
        <f>IF(AG31=22,G29,"")</f>
        <v/>
      </c>
      <c r="EK29" s="136" t="str">
        <f>IF(AG31=23,G29,"")</f>
        <v/>
      </c>
      <c r="EL29" s="136" t="str">
        <f>IF(AG31=24,G29,"")</f>
        <v/>
      </c>
      <c r="EM29" s="136" t="str">
        <f>IF(AG31=25,G29,"")</f>
        <v/>
      </c>
      <c r="EN29" s="136" t="str">
        <f>IF(AG31=26,G29,"")</f>
        <v/>
      </c>
      <c r="EO29" s="136" t="str">
        <f>IF(AG31=27,G29,"")</f>
        <v/>
      </c>
      <c r="EP29" s="136" t="str">
        <f>IF(AG31=28,G29,"")</f>
        <v/>
      </c>
      <c r="EQ29" s="136" t="str">
        <f>IF(AG31=29,G29,"")</f>
        <v/>
      </c>
      <c r="ER29" s="136" t="str">
        <f>IF(AG31=30,G29,"")</f>
        <v/>
      </c>
      <c r="ES29" s="136" t="str">
        <f>IF(AG31=31,G29,"")</f>
        <v/>
      </c>
      <c r="ET29" s="136" t="str">
        <f>IF(AG31=32,G29,"")</f>
        <v/>
      </c>
      <c r="EU29" s="136" t="str">
        <f>IF(AG31=33,G29,"")</f>
        <v/>
      </c>
      <c r="EV29" s="136" t="str">
        <f>IF(AG31=34,G29,"")</f>
        <v/>
      </c>
      <c r="EW29" s="136" t="str">
        <f>IF(AG31=35,G29,"")</f>
        <v/>
      </c>
      <c r="EX29" s="136" t="str">
        <f>IF(AG31=36,G29,"")</f>
        <v/>
      </c>
      <c r="EY29" s="136" t="str">
        <f>IF(AG31=37,G29,"")</f>
        <v/>
      </c>
      <c r="EZ29" s="136" t="str">
        <f>IF(AG31=38,G29,"")</f>
        <v/>
      </c>
      <c r="FA29" s="136" t="str">
        <f>IF(AG31=39,G29,"")</f>
        <v/>
      </c>
      <c r="FB29" s="136" t="str">
        <f>IF(AG31=40,G29,"")</f>
        <v/>
      </c>
      <c r="FC29" s="136" t="str">
        <f>IF(AG31=41,G29,"")</f>
        <v/>
      </c>
      <c r="FD29" s="136" t="str">
        <f>IF(AG31=42,G29,"")</f>
        <v/>
      </c>
      <c r="FE29" s="136" t="str">
        <f>IF(AG31=43,G29,"")</f>
        <v/>
      </c>
      <c r="FF29" s="136" t="str">
        <f>IF(AG31=44,G29,"")</f>
        <v/>
      </c>
      <c r="FG29" s="136">
        <f>IF(AG31=45,G29,"")</f>
        <v>1000</v>
      </c>
      <c r="FH29" s="136" t="str">
        <f>IF(AG31=46,G29,"")</f>
        <v/>
      </c>
      <c r="FI29" s="136" t="str">
        <f>IF(AG31=47,G29,"")</f>
        <v/>
      </c>
      <c r="FJ29" s="136" t="str">
        <f>IF(AG31=48,G29,"")</f>
        <v/>
      </c>
      <c r="FK29" s="136" t="str">
        <f>IF(AG31=49,G29,"")</f>
        <v/>
      </c>
      <c r="FL29" s="136" t="str">
        <f>IF(AG31=50,G29,"")</f>
        <v/>
      </c>
      <c r="FM29" s="136" t="str">
        <f>IF(AG31=51,G29,"")</f>
        <v/>
      </c>
      <c r="FN29" s="136" t="str">
        <f>IF(AG31=52,G29,"")</f>
        <v/>
      </c>
      <c r="FO29" s="136" t="str">
        <f>IF(AG31=53,G29,"")</f>
        <v/>
      </c>
      <c r="FP29" s="136" t="str">
        <f>IF(AG31=54,G29,"")</f>
        <v/>
      </c>
      <c r="FQ29" s="136" t="str">
        <f>IF(AG31=55,G29,"")</f>
        <v/>
      </c>
      <c r="FR29" s="412" t="str">
        <f>IF(AG31=56,G29,"")</f>
        <v/>
      </c>
      <c r="FS29" s="412" t="str">
        <f>IF(AG31=57,G29,"")</f>
        <v/>
      </c>
      <c r="FT29" s="412" t="str">
        <f>IF(AG31=58,G29,"")</f>
        <v/>
      </c>
      <c r="FU29" s="412" t="str">
        <f>IF(AG31=59,G29,"")</f>
        <v/>
      </c>
      <c r="FV29" s="412" t="str">
        <f>IF(AG31=60,G29,"")</f>
        <v/>
      </c>
      <c r="FW29" s="412" t="str">
        <f>IF(AG31=61,G29,"")</f>
        <v/>
      </c>
      <c r="FX29" s="412" t="str">
        <f>IF(AG31=62,G29,"")</f>
        <v/>
      </c>
      <c r="FY29" s="412" t="str">
        <f>IF(AG31=63,G29,"")</f>
        <v/>
      </c>
      <c r="FZ29" s="412" t="str">
        <f>IF(AG31=64,G29,"")</f>
        <v/>
      </c>
      <c r="GA29" s="412" t="str">
        <f>IF(AG31=65,G29,"")</f>
        <v/>
      </c>
      <c r="GB29" s="412" t="str">
        <f>IF(AG31=66,G29,"")</f>
        <v/>
      </c>
      <c r="GC29" s="412" t="str">
        <f>IF(AG31=67,G29,"")</f>
        <v/>
      </c>
      <c r="GD29" s="412" t="str">
        <f>IF(AG31=68,G29,"")</f>
        <v/>
      </c>
      <c r="GE29" s="412" t="str">
        <f>IF(AG31=69,G29,"")</f>
        <v/>
      </c>
      <c r="GF29" s="412" t="str">
        <f>IF(AG31=70,G29,"")</f>
        <v/>
      </c>
      <c r="GG29" s="412" t="str">
        <f>IF(AG31=71,G29,"")</f>
        <v/>
      </c>
      <c r="GH29" s="412" t="str">
        <f>IF(AG31=72,G29,"")</f>
        <v/>
      </c>
      <c r="GI29" s="412" t="str">
        <f>IF(AG31=73,G29,"")</f>
        <v/>
      </c>
      <c r="GJ29" s="412" t="str">
        <f>IF(AG31=74,G29,"")</f>
        <v/>
      </c>
      <c r="GK29" s="412" t="str">
        <f>IF(AG31=75,G29,"")</f>
        <v/>
      </c>
      <c r="GL29" s="412" t="str">
        <f>IF(AG31=76,G29,"")</f>
        <v/>
      </c>
      <c r="GM29" s="412" t="str">
        <f>IF(AG31=77,G29,"")</f>
        <v/>
      </c>
      <c r="GN29" s="412" t="str">
        <f>IF(AG31=78,G29,"")</f>
        <v/>
      </c>
      <c r="GO29" s="412" t="str">
        <f>IF(AG31=79,G29,"")</f>
        <v/>
      </c>
      <c r="GP29" s="412" t="str">
        <f>IF(AG31=80,G29,"")</f>
        <v/>
      </c>
      <c r="GQ29" s="412" t="str">
        <f>IF(AG31=81,G29,"")</f>
        <v/>
      </c>
      <c r="GR29" s="412" t="str">
        <f>IF(AG31=82,G29,"")</f>
        <v/>
      </c>
      <c r="GS29" s="412" t="str">
        <f>IF(AG31=83,G29,"")</f>
        <v/>
      </c>
      <c r="GT29" s="412" t="str">
        <f>IF(AG31=84,G29,"")</f>
        <v/>
      </c>
      <c r="GU29" s="412"/>
      <c r="GV29" s="412"/>
      <c r="GW29" s="412"/>
      <c r="GX29" s="412"/>
      <c r="GY29" s="412"/>
      <c r="GZ29" s="412"/>
      <c r="HA29" s="412"/>
      <c r="HB29" s="412"/>
      <c r="HC29" s="412"/>
      <c r="HD29" s="412"/>
      <c r="HE29" s="412"/>
      <c r="HF29" s="412"/>
      <c r="HG29" s="136"/>
      <c r="HH29" s="136"/>
      <c r="HI29" s="136"/>
      <c r="HJ29" s="136"/>
      <c r="HK29" s="136"/>
      <c r="HL29" s="136"/>
      <c r="HM29" s="136"/>
      <c r="HN29" s="136"/>
      <c r="HO29" s="136"/>
      <c r="HP29" s="136"/>
      <c r="HQ29" s="136"/>
      <c r="HR29" s="136"/>
      <c r="HS29" s="136"/>
      <c r="HT29" s="136"/>
      <c r="HU29" s="278">
        <f ca="1">IF(AF31=1,AB29,"")</f>
        <v>952.9561643835616</v>
      </c>
      <c r="HV29" s="277" t="str">
        <f>IF(AF31=2,AB29,"")</f>
        <v/>
      </c>
      <c r="HW29" s="277" t="str">
        <f>IF(AF31=3,AB29,"")</f>
        <v/>
      </c>
      <c r="HX29" s="277" t="str">
        <f>IF(AF31=4,AB29,"")</f>
        <v/>
      </c>
      <c r="HY29" s="277" t="str">
        <f>IF(AF31=5,AB29,"")</f>
        <v/>
      </c>
      <c r="HZ29" s="277" t="str">
        <f>IF(AF31=6,AB29,"")</f>
        <v/>
      </c>
      <c r="IA29" s="277" t="str">
        <f>IF(AF31=7,AB29,"")</f>
        <v/>
      </c>
      <c r="IB29" s="277" t="str">
        <f>IF(AF31=8,AB29,"")</f>
        <v/>
      </c>
      <c r="IC29" s="277" t="str">
        <f>IF(AF31=9,AB29,"")</f>
        <v/>
      </c>
      <c r="ID29" s="412" t="str">
        <f>IF(AF31=10,AB29,"")</f>
        <v/>
      </c>
      <c r="IE29" s="223" t="str">
        <f>IF(AF31=11,AB29,"")</f>
        <v/>
      </c>
      <c r="IF29" s="223" t="str">
        <f>IF(AF31=12,AB29,"")</f>
        <v/>
      </c>
      <c r="IG29" s="223" t="str">
        <f>IF(AF31=13,AB29,"")</f>
        <v/>
      </c>
      <c r="IH29" s="223" t="str">
        <f>IF(AF31=14,AB29,"")</f>
        <v/>
      </c>
      <c r="II29" s="223" t="str">
        <f>IF(AF31=15,AB29,"")</f>
        <v/>
      </c>
      <c r="IJ29" s="223" t="str">
        <f>IF(AF31=16,AB29,"")</f>
        <v/>
      </c>
      <c r="IK29" s="223" t="str">
        <f>IF(AF31=17,AB29,"")</f>
        <v/>
      </c>
      <c r="IL29" s="223" t="str">
        <f>IF(AF31=18,AB29,"")</f>
        <v/>
      </c>
      <c r="IM29" s="223" t="str">
        <f>IF(AF31=19,AB29,"")</f>
        <v/>
      </c>
      <c r="IN29" s="223" t="str">
        <f>IF(AF31=20,AB29,"")</f>
        <v/>
      </c>
      <c r="IO29" s="223" t="str">
        <f>IF(AF31=21,AB29,"")</f>
        <v/>
      </c>
      <c r="IP29" s="413"/>
      <c r="IQ29" s="478" t="str">
        <f>IF(G34=6,G29,"")</f>
        <v/>
      </c>
      <c r="IR29" s="317" t="str">
        <f>IF(G34=7,G29,"")</f>
        <v/>
      </c>
      <c r="IS29" s="478" t="str">
        <f>IF(G34=8,G29,"")</f>
        <v/>
      </c>
      <c r="IT29" s="317" t="str">
        <f>IF(G34=9,G29,"")</f>
        <v/>
      </c>
      <c r="IU29" s="478" t="str">
        <f>IF(G34=10,G29,"")</f>
        <v/>
      </c>
      <c r="IV29" s="478" t="str">
        <f>IF(G34=11,G29,"")</f>
        <v/>
      </c>
      <c r="IW29" s="478" t="str">
        <f>IF(G34=12,G29,"")</f>
        <v/>
      </c>
      <c r="IX29" s="478" t="str">
        <f>IF(G34=13,G29,"")</f>
        <v/>
      </c>
      <c r="IY29" s="478" t="str">
        <f>IF(G34=14,G29,"")</f>
        <v/>
      </c>
      <c r="IZ29" s="478" t="str">
        <f>IF(G34=15,G29,"")</f>
        <v/>
      </c>
      <c r="JA29" s="478">
        <f>IF(G34=16,G29,"")</f>
        <v>1000</v>
      </c>
      <c r="JB29" s="478" t="str">
        <f>IF(G34=17,G29,"")</f>
        <v/>
      </c>
      <c r="JC29" s="478" t="str">
        <f>IF(G34=18,G29,"")</f>
        <v/>
      </c>
      <c r="JD29" s="478" t="str">
        <f>IF(G34=19,G29,"")</f>
        <v/>
      </c>
      <c r="JE29" s="478" t="str">
        <f>IF(G34=20,G29,"")</f>
        <v/>
      </c>
      <c r="JF29" s="478" t="str">
        <f>IF(G34=21,G29,"")</f>
        <v/>
      </c>
      <c r="JG29" s="478" t="str">
        <f>IF(G34=22,G29,"")</f>
        <v/>
      </c>
      <c r="JH29" s="478" t="str">
        <f>IF(G34=23,G29,"")</f>
        <v/>
      </c>
      <c r="JI29" s="478" t="str">
        <f>IF(G34=24,G29,"")</f>
        <v/>
      </c>
      <c r="JJ29" s="478" t="str">
        <f>IF(G34=25,G29,"")</f>
        <v/>
      </c>
      <c r="JK29" s="478" t="str">
        <f>IF(G34=26,G29,"")</f>
        <v/>
      </c>
      <c r="JL29" s="478" t="str">
        <f>IF(G34=27,G29,"")</f>
        <v/>
      </c>
      <c r="JM29" s="478" t="str">
        <f>IF(G34=28,G29,"")</f>
        <v/>
      </c>
      <c r="JN29" s="478" t="str">
        <f>IF(G34=29,G29,"")</f>
        <v/>
      </c>
      <c r="JO29" s="478" t="str">
        <f>IF(G34=30,G29,"")</f>
        <v/>
      </c>
      <c r="JP29" s="478"/>
      <c r="JQ29" s="481">
        <f>IF(AND(AJ33=4,K34=1,G34&lt;=3),G29,0)</f>
        <v>0</v>
      </c>
      <c r="JR29" s="445" t="str">
        <f>IF(AF31=2,G29*E30,"")</f>
        <v/>
      </c>
      <c r="JS29" s="544" t="str">
        <f>IF(AF31&gt;1,((A30/F30)-(A30/E30)),"")</f>
        <v/>
      </c>
      <c r="JT29" s="543" t="str">
        <f>IF(AF31=2,((A30/F30)-(A30/E30)),"")</f>
        <v/>
      </c>
      <c r="JU29" s="543" t="str">
        <f>IF(AF31=3,((A30/F30)-(A30/E30)),"")</f>
        <v/>
      </c>
      <c r="JV29" s="543" t="str">
        <f>IF(AF31=4,((A30/F30)-(A30/E30)),"")</f>
        <v/>
      </c>
      <c r="JW29" s="543" t="str">
        <f>IF(AF31=5,((A30/F30)-(A30/E30)),"")</f>
        <v/>
      </c>
      <c r="JX29" s="543" t="str">
        <f>IF(AF31=6,((A30/F30)-(A30/E30)),"")</f>
        <v/>
      </c>
      <c r="JY29" s="543" t="str">
        <f>IF(AF31=7,((A30/F30)-(A30/E30)),"")</f>
        <v/>
      </c>
      <c r="JZ29" s="542" t="str">
        <f>IF(AF31=8,((A30/F30)-(A30/E30)),"")</f>
        <v/>
      </c>
      <c r="KA29" s="542" t="str">
        <f>IF(AF31=9,((A30/F30)-(A30/E30)),"")</f>
        <v/>
      </c>
      <c r="KB29" s="542" t="str">
        <f>IF(AF31=10,((A30/F30)-(A30/E30)),"")</f>
        <v/>
      </c>
      <c r="KC29" s="542" t="str">
        <f>IF(AF31=11,((A30/F30)-(A30/E30)),"")</f>
        <v/>
      </c>
      <c r="KD29" s="542" t="str">
        <f>IF(AF31=12,((A30/F30)-(A30/E30)),"")</f>
        <v/>
      </c>
      <c r="KE29" s="542" t="str">
        <f>IF(AF31=13,((A30/F30)-(A30/E30)),"")</f>
        <v/>
      </c>
      <c r="KF29" s="542" t="str">
        <f>IF(AF31=14,((A30/F30)-(A30/E30)),"")</f>
        <v/>
      </c>
      <c r="KG29" s="542" t="str">
        <f>IF(AF31=15,((A30/F30)-(A30/E30)),"")</f>
        <v/>
      </c>
      <c r="KH29" s="542" t="str">
        <f>IF(AF31=16,((A30/F30)-(A30/E30)),"")</f>
        <v/>
      </c>
      <c r="KI29" s="542" t="str">
        <f>IF(AF31=17,((A30/F30)-(A30/E30)),"")</f>
        <v/>
      </c>
      <c r="KJ29" s="542" t="str">
        <f>IF(AF31=18,((A30/F30)-(A30/E30)),"")</f>
        <v/>
      </c>
      <c r="KK29" s="542" t="str">
        <f>IF(AF31=19,((A30/F30)-(A30/E30)),"")</f>
        <v/>
      </c>
      <c r="KL29" s="542" t="str">
        <f>IF(AF31=20,((A30/F30)-(A30/E30)),"")</f>
        <v/>
      </c>
      <c r="KM29" s="542" t="str">
        <f>IF(AF31=21,((A30/F30)-(A30/E30)),"")</f>
        <v/>
      </c>
      <c r="KN29" s="445"/>
      <c r="KO29" s="445"/>
      <c r="KP29" s="445"/>
    </row>
    <row r="30" spans="1:302" s="23" customFormat="1" ht="11.1" customHeight="1" thickBot="1">
      <c r="A30" s="4"/>
      <c r="B30" s="541" t="s">
        <v>452</v>
      </c>
      <c r="C30" s="15"/>
      <c r="D30" s="828">
        <f>IF(WEEKDAY(D29,2)=4,D29+4,IF(WEEKDAY(D29,2)=5,D29+4,D29+2))</f>
        <v>44525</v>
      </c>
      <c r="E30" s="823"/>
      <c r="F30" s="482"/>
      <c r="G30" s="223"/>
      <c r="H30" s="223"/>
      <c r="I30" s="586"/>
      <c r="J30" s="223"/>
      <c r="K30" s="585">
        <v>1</v>
      </c>
      <c r="L30" s="722"/>
      <c r="M30" s="720"/>
      <c r="N30" s="720"/>
      <c r="O30" s="223"/>
      <c r="P30" s="584"/>
      <c r="Q30" s="280"/>
      <c r="R30" s="526"/>
      <c r="S30" s="4"/>
      <c r="T30" s="431"/>
      <c r="U30" s="469"/>
      <c r="V30" s="4"/>
      <c r="W30" s="469"/>
      <c r="X30" s="442"/>
      <c r="Y30" s="456"/>
      <c r="Z30" s="456"/>
      <c r="AA30" s="22"/>
      <c r="AB30" s="360"/>
      <c r="AC30" s="431"/>
      <c r="AD30" s="825">
        <f>IF(E30="",((P29-E29)/E29),((P29-E29)/E29)+(((1/F30)-(1/E30))/(1/E30)))</f>
        <v>-9.4137020497741099E-4</v>
      </c>
      <c r="AE30" s="431"/>
      <c r="AF30" s="279" t="s">
        <v>65</v>
      </c>
      <c r="AG30" s="824"/>
      <c r="AH30" s="1010" t="s">
        <v>177</v>
      </c>
      <c r="AI30" s="583"/>
      <c r="AJ30" s="582"/>
      <c r="AK30" s="562"/>
      <c r="AL30" s="171">
        <v>100</v>
      </c>
      <c r="AM30" s="581" t="s">
        <v>176</v>
      </c>
      <c r="AN30" s="213">
        <v>3.5</v>
      </c>
      <c r="AO30" s="179">
        <f>IF(B34=2,"0",AO29*-(100-F33)/100)</f>
        <v>-0.3526015999999999</v>
      </c>
      <c r="AP30" s="463">
        <f>IF(AP31&lt;0,0,AP31*-(100-F33)/100)</f>
        <v>0</v>
      </c>
      <c r="AQ30" s="179"/>
      <c r="AR30" s="463">
        <f>AR33*-(100-F34)/100</f>
        <v>-5.85</v>
      </c>
      <c r="AS30" s="471">
        <f>-AP29+AS33+(F29/365*AN33*F34/100)*G29</f>
        <v>130.13239388835603</v>
      </c>
      <c r="AT30" s="419"/>
      <c r="AU30" s="420"/>
      <c r="AV30" s="223"/>
      <c r="AW30" s="420"/>
      <c r="AX30" s="417"/>
      <c r="AY30" s="420"/>
      <c r="AZ30" s="223"/>
      <c r="BA30" s="419"/>
      <c r="BB30" s="223"/>
      <c r="BC30" s="223"/>
      <c r="BD30" s="223"/>
      <c r="BE30" s="223"/>
      <c r="BF30" s="416"/>
      <c r="BG30" s="418"/>
      <c r="BH30" s="416"/>
      <c r="BI30" s="416"/>
      <c r="BJ30" s="416"/>
      <c r="BK30" s="418"/>
      <c r="BL30" s="417"/>
      <c r="BM30" s="417"/>
      <c r="BN30" s="417"/>
      <c r="BO30" s="417"/>
      <c r="BP30" s="417"/>
      <c r="BQ30" s="417"/>
      <c r="BR30" s="417"/>
      <c r="BS30" s="417"/>
      <c r="BT30" s="412"/>
      <c r="BU30" s="412"/>
      <c r="BV30" s="412"/>
      <c r="BW30" s="412"/>
      <c r="BX30" s="415"/>
      <c r="BY30" s="389"/>
      <c r="BZ30" s="389"/>
      <c r="CA30" s="389"/>
      <c r="CB30" s="389"/>
      <c r="CC30" s="389"/>
      <c r="CD30" s="389"/>
      <c r="CE30" s="389"/>
      <c r="CF30" s="389"/>
      <c r="CG30" s="389"/>
      <c r="CH30" s="389"/>
      <c r="CI30" s="389"/>
      <c r="CJ30" s="389"/>
      <c r="CK30" s="389"/>
      <c r="CL30" s="389"/>
      <c r="CM30" s="389"/>
      <c r="CN30" s="389"/>
      <c r="CO30" s="389"/>
      <c r="CP30" s="389"/>
      <c r="CQ30" s="389"/>
      <c r="CR30" s="389"/>
      <c r="CS30" s="415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414"/>
      <c r="DP30" s="39"/>
      <c r="DQ30" s="39"/>
      <c r="DR30" s="39"/>
      <c r="DS30" s="39"/>
      <c r="DT30" s="39"/>
      <c r="DU30" s="39"/>
      <c r="DV30" s="39"/>
      <c r="DW30" s="39"/>
      <c r="DX30" s="39"/>
      <c r="DY30" s="39"/>
      <c r="DZ30" s="39"/>
      <c r="EA30" s="39"/>
      <c r="EB30" s="39"/>
      <c r="EC30" s="39"/>
      <c r="ED30" s="136"/>
      <c r="EE30" s="136"/>
      <c r="EF30" s="136"/>
      <c r="EG30" s="136"/>
      <c r="EH30" s="136"/>
      <c r="EI30" s="136"/>
      <c r="EJ30" s="136"/>
      <c r="EK30" s="136"/>
      <c r="EL30" s="136"/>
      <c r="EM30" s="136"/>
      <c r="EN30" s="136"/>
      <c r="EO30" s="136"/>
      <c r="EP30" s="136"/>
      <c r="EQ30" s="136"/>
      <c r="ER30" s="136"/>
      <c r="ES30" s="136"/>
      <c r="ET30" s="136"/>
      <c r="EU30" s="136"/>
      <c r="EV30" s="136"/>
      <c r="EW30" s="136"/>
      <c r="EX30" s="136"/>
      <c r="EY30" s="136"/>
      <c r="EZ30" s="136"/>
      <c r="FA30" s="136"/>
      <c r="FB30" s="136"/>
      <c r="FC30" s="136"/>
      <c r="FD30" s="136"/>
      <c r="FE30" s="136"/>
      <c r="FF30" s="136"/>
      <c r="FG30" s="136"/>
      <c r="FH30" s="136"/>
      <c r="FI30" s="136"/>
      <c r="FJ30" s="136"/>
      <c r="FK30" s="136"/>
      <c r="FL30" s="136"/>
      <c r="FM30" s="136"/>
      <c r="FN30" s="136"/>
      <c r="FO30" s="39"/>
      <c r="FP30" s="39"/>
      <c r="FQ30" s="39"/>
      <c r="FR30" s="412"/>
      <c r="FS30" s="412"/>
      <c r="FT30" s="412"/>
      <c r="FU30" s="412"/>
      <c r="FV30" s="412"/>
      <c r="FW30" s="412"/>
      <c r="FX30" s="412"/>
      <c r="FY30" s="412"/>
      <c r="FZ30" s="412"/>
      <c r="GA30" s="412"/>
      <c r="GB30" s="412"/>
      <c r="GC30" s="412"/>
      <c r="GD30" s="412"/>
      <c r="GE30" s="412"/>
      <c r="GF30" s="412"/>
      <c r="GG30" s="412"/>
      <c r="GH30" s="412"/>
      <c r="GI30" s="412"/>
      <c r="GJ30" s="412"/>
      <c r="GK30" s="412"/>
      <c r="GL30" s="412"/>
      <c r="GM30" s="412"/>
      <c r="GN30" s="412"/>
      <c r="GO30" s="412"/>
      <c r="GP30" s="412"/>
      <c r="GQ30" s="412"/>
      <c r="GR30" s="412"/>
      <c r="GS30" s="412"/>
      <c r="GT30" s="412"/>
      <c r="GU30" s="412"/>
      <c r="GV30" s="412"/>
      <c r="GW30" s="412"/>
      <c r="GX30" s="412"/>
      <c r="GY30" s="412"/>
      <c r="GZ30" s="412"/>
      <c r="HA30" s="412"/>
      <c r="HB30" s="412"/>
      <c r="HC30" s="412"/>
      <c r="HD30" s="412"/>
      <c r="HE30" s="412"/>
      <c r="HF30" s="412"/>
      <c r="HG30" s="136"/>
      <c r="HH30" s="136"/>
      <c r="HI30" s="136"/>
      <c r="HJ30" s="136"/>
      <c r="HK30" s="136"/>
      <c r="HL30" s="136"/>
      <c r="HM30" s="136"/>
      <c r="HN30" s="136"/>
      <c r="HO30" s="136"/>
      <c r="HP30" s="136"/>
      <c r="HQ30" s="136"/>
      <c r="HR30" s="136"/>
      <c r="HS30" s="136"/>
      <c r="HT30" s="136"/>
      <c r="HU30" s="278"/>
      <c r="HV30" s="277"/>
      <c r="HW30" s="277"/>
      <c r="HX30" s="277"/>
      <c r="HY30" s="277"/>
      <c r="HZ30" s="277"/>
      <c r="IA30" s="277"/>
      <c r="IB30" s="277"/>
      <c r="IC30" s="277"/>
      <c r="ID30" s="412"/>
      <c r="IE30" s="412"/>
      <c r="IF30" s="412"/>
      <c r="IG30" s="412"/>
      <c r="IH30" s="412"/>
      <c r="II30" s="412"/>
      <c r="IJ30" s="412"/>
      <c r="IK30" s="412"/>
      <c r="IL30" s="412"/>
      <c r="IM30" s="412"/>
      <c r="IN30" s="412"/>
      <c r="IO30" s="412"/>
      <c r="IP30" s="413"/>
      <c r="IQ30" s="389"/>
      <c r="IR30" s="389"/>
      <c r="IS30" s="389"/>
      <c r="IT30" s="389"/>
      <c r="IU30" s="389"/>
      <c r="IV30" s="389"/>
      <c r="IW30" s="389"/>
      <c r="IX30" s="389"/>
      <c r="IY30" s="389"/>
      <c r="IZ30" s="389"/>
      <c r="JA30" s="389"/>
      <c r="JB30" s="389"/>
      <c r="JC30" s="389"/>
      <c r="JD30" s="389"/>
      <c r="JE30" s="389"/>
      <c r="JF30" s="389"/>
      <c r="JG30" s="389"/>
      <c r="JH30" s="389"/>
      <c r="JI30" s="389"/>
      <c r="JJ30" s="389"/>
      <c r="JK30" s="389"/>
      <c r="JL30" s="389"/>
      <c r="JM30" s="389"/>
      <c r="JN30" s="389"/>
      <c r="JO30" s="389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</row>
    <row r="31" spans="1:302" s="14" customFormat="1" ht="11.1" hidden="1" customHeight="1" outlineLevel="1">
      <c r="A31" s="8"/>
      <c r="B31" s="468">
        <f>VLOOKUP(B29,'[2]IBAN CONTI'!A$53:B$58,2,FALSE)</f>
        <v>6</v>
      </c>
      <c r="C31" s="536"/>
      <c r="D31" s="536"/>
      <c r="E31" s="766">
        <f ca="1">IF(B34=2,C29,COUPNCD($AB$2,C29,K31,AH33))</f>
        <v>45964</v>
      </c>
      <c r="F31" s="431"/>
      <c r="G31" s="431"/>
      <c r="H31" s="431"/>
      <c r="I31" s="528"/>
      <c r="J31" s="431"/>
      <c r="K31" s="223">
        <v>1</v>
      </c>
      <c r="L31" s="720"/>
      <c r="M31" s="845"/>
      <c r="N31" s="845"/>
      <c r="O31" s="136"/>
      <c r="P31" s="470"/>
      <c r="Q31" s="280"/>
      <c r="R31" s="280"/>
      <c r="S31" s="4"/>
      <c r="T31" s="431"/>
      <c r="U31" s="469"/>
      <c r="V31" s="4"/>
      <c r="W31" s="469"/>
      <c r="X31" s="442"/>
      <c r="Y31" s="456"/>
      <c r="Z31" s="456"/>
      <c r="AA31" s="22"/>
      <c r="AB31" s="16"/>
      <c r="AC31" s="431"/>
      <c r="AD31" s="117"/>
      <c r="AE31" s="431"/>
      <c r="AF31" s="468">
        <f>VLOOKUP(AF30,'[2]IBAN CONTI'!A$106:B$122,2,FALSE)</f>
        <v>1</v>
      </c>
      <c r="AG31" s="467">
        <f>VLOOKUP(A29,'[2]IBAN CONTI'!A$134:B$211,2,FALSE)</f>
        <v>45</v>
      </c>
      <c r="AH31" s="1010"/>
      <c r="AI31" s="580"/>
      <c r="AJ31" s="1035" t="s">
        <v>196</v>
      </c>
      <c r="AK31" s="1039"/>
      <c r="AL31" s="54">
        <v>100</v>
      </c>
      <c r="AM31" s="579">
        <f>YEARFRAC(C29,AL29,AH33)</f>
        <v>6.0003912363067284</v>
      </c>
      <c r="AN31" s="465">
        <f>IF(B34=2,0,D30-AL29)</f>
        <v>22</v>
      </c>
      <c r="AO31" s="464">
        <f>IF(B34=2,AL30*(1+AM34)^AM33,AO32+AL30)</f>
        <v>100</v>
      </c>
      <c r="AP31" s="463">
        <f>IF(AF31=1,G29*AO32/100,A30/E30/100*AO32)</f>
        <v>0</v>
      </c>
      <c r="AQ31" s="179"/>
      <c r="AR31" s="463">
        <f>AL34*G29/100</f>
        <v>1000</v>
      </c>
      <c r="AS31" s="462">
        <f>(AR34-AP34)*G29/100</f>
        <v>42.149102499999884</v>
      </c>
      <c r="AT31" s="419"/>
      <c r="AU31" s="420"/>
      <c r="AV31" s="223"/>
      <c r="AW31" s="420"/>
      <c r="AX31" s="417"/>
      <c r="AY31" s="420"/>
      <c r="AZ31" s="223"/>
      <c r="BA31" s="419"/>
      <c r="BB31" s="223"/>
      <c r="BC31" s="223"/>
      <c r="BD31" s="223"/>
      <c r="BE31" s="223"/>
      <c r="BF31" s="416"/>
      <c r="BG31" s="418"/>
      <c r="BH31" s="416"/>
      <c r="BI31" s="416"/>
      <c r="BJ31" s="416"/>
      <c r="BK31" s="418"/>
      <c r="BL31" s="417"/>
      <c r="BM31" s="416"/>
      <c r="BN31" s="416"/>
      <c r="BO31" s="416"/>
      <c r="BP31" s="416"/>
      <c r="BQ31" s="416"/>
      <c r="BR31" s="416"/>
      <c r="BS31" s="416"/>
      <c r="BT31" s="389"/>
      <c r="BU31" s="389"/>
      <c r="BV31" s="389"/>
      <c r="BW31" s="389"/>
      <c r="BX31" s="415"/>
      <c r="BY31" s="389"/>
      <c r="BZ31" s="389"/>
      <c r="CA31" s="389"/>
      <c r="CB31" s="389"/>
      <c r="CC31" s="389"/>
      <c r="CD31" s="389"/>
      <c r="CE31" s="389"/>
      <c r="CF31" s="389"/>
      <c r="CG31" s="389"/>
      <c r="CH31" s="389"/>
      <c r="CI31" s="389"/>
      <c r="CJ31" s="389"/>
      <c r="CK31" s="389"/>
      <c r="CL31" s="389"/>
      <c r="CM31" s="389"/>
      <c r="CN31" s="389"/>
      <c r="CO31" s="389"/>
      <c r="CP31" s="389"/>
      <c r="CQ31" s="389"/>
      <c r="CR31" s="389"/>
      <c r="CS31" s="415"/>
      <c r="CT31" s="389"/>
      <c r="CU31" s="389"/>
      <c r="CV31" s="389"/>
      <c r="CW31" s="389"/>
      <c r="CX31" s="389"/>
      <c r="CY31" s="389"/>
      <c r="CZ31" s="389"/>
      <c r="DA31" s="389"/>
      <c r="DB31" s="389"/>
      <c r="DC31" s="389"/>
      <c r="DD31" s="389"/>
      <c r="DE31" s="389"/>
      <c r="DF31" s="389"/>
      <c r="DG31" s="389"/>
      <c r="DH31" s="389"/>
      <c r="DI31" s="389"/>
      <c r="DJ31" s="389"/>
      <c r="DK31" s="389"/>
      <c r="DL31" s="389"/>
      <c r="DM31" s="389"/>
      <c r="DN31" s="389"/>
      <c r="DO31" s="414"/>
      <c r="DP31" s="39"/>
      <c r="DQ31" s="39"/>
      <c r="DR31" s="39"/>
      <c r="DS31" s="39"/>
      <c r="DT31" s="39"/>
      <c r="DU31" s="39"/>
      <c r="DV31" s="39"/>
      <c r="DW31" s="39"/>
      <c r="DX31" s="39"/>
      <c r="DY31" s="39"/>
      <c r="DZ31" s="39"/>
      <c r="EA31" s="39"/>
      <c r="EB31" s="39"/>
      <c r="EC31" s="39"/>
      <c r="ED31" s="136"/>
      <c r="EE31" s="136"/>
      <c r="EF31" s="136"/>
      <c r="EG31" s="136"/>
      <c r="EH31" s="136"/>
      <c r="EI31" s="136"/>
      <c r="EJ31" s="136"/>
      <c r="EK31" s="136"/>
      <c r="EL31" s="136"/>
      <c r="EM31" s="136"/>
      <c r="EN31" s="136"/>
      <c r="EO31" s="136"/>
      <c r="EP31" s="136"/>
      <c r="EQ31" s="136"/>
      <c r="ER31" s="136"/>
      <c r="ES31" s="136"/>
      <c r="ET31" s="136"/>
      <c r="EU31" s="136"/>
      <c r="EV31" s="136"/>
      <c r="EW31" s="136"/>
      <c r="EX31" s="136"/>
      <c r="EY31" s="136"/>
      <c r="EZ31" s="136"/>
      <c r="FA31" s="136"/>
      <c r="FB31" s="136"/>
      <c r="FC31" s="136"/>
      <c r="FD31" s="136"/>
      <c r="FE31" s="136"/>
      <c r="FF31" s="136"/>
      <c r="FG31" s="136"/>
      <c r="FH31" s="136"/>
      <c r="FI31" s="136"/>
      <c r="FJ31" s="136"/>
      <c r="FK31" s="136"/>
      <c r="FL31" s="136"/>
      <c r="FM31" s="136"/>
      <c r="FN31" s="136"/>
      <c r="FO31" s="39"/>
      <c r="FP31" s="39"/>
      <c r="FQ31" s="39"/>
      <c r="FR31" s="412"/>
      <c r="FS31" s="412"/>
      <c r="FT31" s="412"/>
      <c r="FU31" s="412"/>
      <c r="FV31" s="412"/>
      <c r="FW31" s="412"/>
      <c r="FX31" s="412"/>
      <c r="FY31" s="412"/>
      <c r="FZ31" s="412"/>
      <c r="GA31" s="412"/>
      <c r="GB31" s="412"/>
      <c r="GC31" s="412"/>
      <c r="GD31" s="412"/>
      <c r="GE31" s="412"/>
      <c r="GF31" s="412"/>
      <c r="GG31" s="412"/>
      <c r="GH31" s="412"/>
      <c r="GI31" s="412"/>
      <c r="GJ31" s="412"/>
      <c r="GK31" s="412"/>
      <c r="GL31" s="412"/>
      <c r="GM31" s="412"/>
      <c r="GN31" s="412"/>
      <c r="GO31" s="412"/>
      <c r="GP31" s="412"/>
      <c r="GQ31" s="412"/>
      <c r="GR31" s="412"/>
      <c r="GS31" s="412"/>
      <c r="GT31" s="412"/>
      <c r="GU31" s="412"/>
      <c r="GV31" s="412"/>
      <c r="GW31" s="412"/>
      <c r="GX31" s="412"/>
      <c r="GY31" s="412"/>
      <c r="GZ31" s="412"/>
      <c r="HA31" s="412"/>
      <c r="HB31" s="412"/>
      <c r="HC31" s="412"/>
      <c r="HD31" s="412"/>
      <c r="HE31" s="412"/>
      <c r="HF31" s="412"/>
      <c r="HG31" s="136"/>
      <c r="HH31" s="136"/>
      <c r="HI31" s="136"/>
      <c r="HJ31" s="136"/>
      <c r="HK31" s="136"/>
      <c r="HL31" s="136"/>
      <c r="HM31" s="136"/>
      <c r="HN31" s="136"/>
      <c r="HO31" s="136"/>
      <c r="HP31" s="136"/>
      <c r="HQ31" s="136"/>
      <c r="HR31" s="136"/>
      <c r="HS31" s="136"/>
      <c r="HT31" s="136"/>
      <c r="HU31" s="278"/>
      <c r="HV31" s="277"/>
      <c r="HW31" s="277"/>
      <c r="HX31" s="277"/>
      <c r="HY31" s="277"/>
      <c r="HZ31" s="277"/>
      <c r="IA31" s="277"/>
      <c r="IB31" s="277"/>
      <c r="IC31" s="277"/>
      <c r="ID31" s="412"/>
      <c r="IE31" s="412"/>
      <c r="IF31" s="412"/>
      <c r="IG31" s="412"/>
      <c r="IH31" s="412"/>
      <c r="II31" s="412"/>
      <c r="IJ31" s="412"/>
      <c r="IK31" s="412"/>
      <c r="IL31" s="412"/>
      <c r="IM31" s="412"/>
      <c r="IN31" s="412"/>
      <c r="IO31" s="412"/>
      <c r="IP31" s="413"/>
      <c r="IQ31" s="389"/>
      <c r="IR31" s="389"/>
      <c r="IS31" s="389"/>
      <c r="IT31" s="389"/>
      <c r="IU31" s="389"/>
      <c r="IV31" s="389"/>
      <c r="IW31" s="389"/>
      <c r="IX31" s="389"/>
      <c r="IY31" s="389"/>
      <c r="IZ31" s="389"/>
      <c r="JA31" s="389"/>
      <c r="JB31" s="389"/>
      <c r="JC31" s="389"/>
      <c r="JD31" s="389"/>
      <c r="JE31" s="389"/>
      <c r="JF31" s="389"/>
      <c r="JG31" s="389"/>
      <c r="JH31" s="389"/>
      <c r="JI31" s="389"/>
      <c r="JJ31" s="389"/>
      <c r="JK31" s="389"/>
      <c r="JL31" s="389"/>
      <c r="JM31" s="389"/>
      <c r="JN31" s="389"/>
      <c r="JO31" s="389"/>
    </row>
    <row r="32" spans="1:302" s="14" customFormat="1" ht="11.1" hidden="1" customHeight="1" outlineLevel="1">
      <c r="A32" s="559">
        <v>1</v>
      </c>
      <c r="B32" s="990" t="s">
        <v>183</v>
      </c>
      <c r="C32" s="990"/>
      <c r="D32" s="452">
        <f>COUPPCD(D30,C29,K31,AH33)</f>
        <v>44503</v>
      </c>
      <c r="E32" s="767"/>
      <c r="F32" s="431"/>
      <c r="G32" s="985">
        <v>2027</v>
      </c>
      <c r="H32" s="431"/>
      <c r="I32" s="528"/>
      <c r="J32" s="431"/>
      <c r="K32" s="987" t="s">
        <v>174</v>
      </c>
      <c r="L32" s="829"/>
      <c r="M32" s="846"/>
      <c r="N32" s="720"/>
      <c r="O32" s="223"/>
      <c r="P32" s="21"/>
      <c r="Q32" s="280"/>
      <c r="R32" s="526"/>
      <c r="S32" s="15"/>
      <c r="T32" s="431"/>
      <c r="U32" s="15"/>
      <c r="V32" s="15"/>
      <c r="W32" s="15"/>
      <c r="X32" s="442"/>
      <c r="Y32" s="430"/>
      <c r="Z32" s="430"/>
      <c r="AA32" s="430"/>
      <c r="AB32" s="578"/>
      <c r="AC32" s="431"/>
      <c r="AD32" s="117"/>
      <c r="AE32" s="431"/>
      <c r="AH32" s="457"/>
      <c r="AI32" s="457"/>
      <c r="AJ32" s="1037"/>
      <c r="AK32" s="990"/>
      <c r="AL32" s="427">
        <f>AL31-AL30</f>
        <v>0</v>
      </c>
      <c r="AM32" s="530">
        <f>C29-AL29</f>
        <v>2191</v>
      </c>
      <c r="AN32" s="448">
        <f>IF(OR(K31&lt;&gt;1,AN31&gt;365),COUPDAYBS(D30,C29,K31,AH33),AN31)</f>
        <v>22</v>
      </c>
      <c r="AO32" s="424">
        <f>IF(B34=2,AO31-AL30,AL32/AM32*AN31)</f>
        <v>0</v>
      </c>
      <c r="AP32" s="455">
        <f>IF(B34=4,FLOOR(F29/K31*AN32/(D33-D32)*100,0.000001),IF(AH33=4,YEARFRAC(D32,D30,0)*F29*100,IF(B34=3,IF(OR(AH33=4,AH33=2),(F31*(AN32))/(360)*100,(F31*(AN32))/(365)*100),FLOOR(F29/K31*AN32/(D33-D32)*100,0.000001))))</f>
        <v>0.13561599999999999</v>
      </c>
      <c r="AQ32" s="454"/>
      <c r="AR32" s="555">
        <f>AL32*G29/100</f>
        <v>0</v>
      </c>
      <c r="AS32" s="422">
        <f>IF(AS31&lt;0,0,AS31*(100-F34)/100)</f>
        <v>10.958766649999971</v>
      </c>
      <c r="AT32" s="419"/>
      <c r="AU32" s="420"/>
      <c r="AV32" s="223"/>
      <c r="AW32" s="420"/>
      <c r="AX32" s="417"/>
      <c r="AY32" s="420"/>
      <c r="AZ32" s="223"/>
      <c r="BA32" s="419"/>
      <c r="BB32" s="223"/>
      <c r="BC32" s="223"/>
      <c r="BD32" s="223"/>
      <c r="BE32" s="223"/>
      <c r="BF32" s="416"/>
      <c r="BG32" s="418"/>
      <c r="BH32" s="416"/>
      <c r="BI32" s="416"/>
      <c r="BJ32" s="416"/>
      <c r="BK32" s="418"/>
      <c r="BL32" s="417"/>
      <c r="BM32" s="416"/>
      <c r="BN32" s="416"/>
      <c r="BO32" s="416"/>
      <c r="BP32" s="416"/>
      <c r="BQ32" s="416"/>
      <c r="BR32" s="416"/>
      <c r="BS32" s="416"/>
      <c r="BT32" s="389"/>
      <c r="BU32" s="389"/>
      <c r="BV32" s="389"/>
      <c r="BW32" s="389"/>
      <c r="BX32" s="415"/>
      <c r="BY32" s="389"/>
      <c r="BZ32" s="389"/>
      <c r="CA32" s="389"/>
      <c r="CB32" s="389"/>
      <c r="CC32" s="389"/>
      <c r="CD32" s="389"/>
      <c r="CE32" s="389"/>
      <c r="CF32" s="389"/>
      <c r="CG32" s="389"/>
      <c r="CH32" s="389"/>
      <c r="CI32" s="389"/>
      <c r="CJ32" s="389"/>
      <c r="CK32" s="389"/>
      <c r="CL32" s="389"/>
      <c r="CM32" s="389"/>
      <c r="CN32" s="389"/>
      <c r="CO32" s="389"/>
      <c r="CP32" s="389"/>
      <c r="CQ32" s="389"/>
      <c r="CR32" s="389"/>
      <c r="CS32" s="415"/>
      <c r="CT32" s="389"/>
      <c r="CU32" s="389"/>
      <c r="CV32" s="389"/>
      <c r="CW32" s="389"/>
      <c r="CX32" s="389"/>
      <c r="CY32" s="389"/>
      <c r="CZ32" s="389"/>
      <c r="DA32" s="389"/>
      <c r="DB32" s="389"/>
      <c r="DC32" s="389"/>
      <c r="DD32" s="389"/>
      <c r="DE32" s="389"/>
      <c r="DF32" s="389"/>
      <c r="DG32" s="389"/>
      <c r="DH32" s="389"/>
      <c r="DI32" s="389"/>
      <c r="DJ32" s="389"/>
      <c r="DK32" s="389"/>
      <c r="DL32" s="389"/>
      <c r="DM32" s="389"/>
      <c r="DN32" s="389"/>
      <c r="DO32" s="414"/>
      <c r="DP32" s="39"/>
      <c r="DQ32" s="39"/>
      <c r="DR32" s="39"/>
      <c r="DS32" s="39"/>
      <c r="DT32" s="39"/>
      <c r="DU32" s="39"/>
      <c r="DV32" s="39"/>
      <c r="DW32" s="39"/>
      <c r="DX32" s="39"/>
      <c r="DY32" s="39"/>
      <c r="DZ32" s="39"/>
      <c r="EA32" s="39"/>
      <c r="EB32" s="39"/>
      <c r="EC32" s="39"/>
      <c r="ED32" s="136"/>
      <c r="EE32" s="136"/>
      <c r="EF32" s="136"/>
      <c r="EG32" s="136"/>
      <c r="EH32" s="136"/>
      <c r="EI32" s="136"/>
      <c r="EJ32" s="136"/>
      <c r="EK32" s="136"/>
      <c r="EL32" s="136"/>
      <c r="EM32" s="136"/>
      <c r="EN32" s="136"/>
      <c r="EO32" s="136"/>
      <c r="EP32" s="136"/>
      <c r="EQ32" s="136"/>
      <c r="ER32" s="136"/>
      <c r="ES32" s="136"/>
      <c r="ET32" s="136"/>
      <c r="EU32" s="136"/>
      <c r="EV32" s="136"/>
      <c r="EW32" s="136"/>
      <c r="EX32" s="136"/>
      <c r="EY32" s="136"/>
      <c r="EZ32" s="136"/>
      <c r="FA32" s="136"/>
      <c r="FB32" s="136"/>
      <c r="FC32" s="136"/>
      <c r="FD32" s="136"/>
      <c r="FE32" s="136"/>
      <c r="FF32" s="136"/>
      <c r="FG32" s="136"/>
      <c r="FH32" s="136"/>
      <c r="FI32" s="136"/>
      <c r="FJ32" s="136"/>
      <c r="FK32" s="136"/>
      <c r="FL32" s="136"/>
      <c r="FM32" s="136"/>
      <c r="FN32" s="136"/>
      <c r="FO32" s="39"/>
      <c r="FP32" s="39"/>
      <c r="FQ32" s="39"/>
      <c r="FR32" s="412"/>
      <c r="FS32" s="412"/>
      <c r="FT32" s="412"/>
      <c r="FU32" s="412"/>
      <c r="FV32" s="412"/>
      <c r="FW32" s="412"/>
      <c r="FX32" s="412"/>
      <c r="FY32" s="412"/>
      <c r="FZ32" s="412"/>
      <c r="GA32" s="412"/>
      <c r="GB32" s="412"/>
      <c r="GC32" s="412"/>
      <c r="GD32" s="412"/>
      <c r="GE32" s="412"/>
      <c r="GF32" s="412"/>
      <c r="GG32" s="412"/>
      <c r="GH32" s="412"/>
      <c r="GI32" s="412"/>
      <c r="GJ32" s="412"/>
      <c r="GK32" s="412"/>
      <c r="GL32" s="412"/>
      <c r="GM32" s="412"/>
      <c r="GN32" s="412"/>
      <c r="GO32" s="412"/>
      <c r="GP32" s="412"/>
      <c r="GQ32" s="412"/>
      <c r="GR32" s="412"/>
      <c r="GS32" s="412"/>
      <c r="GT32" s="412"/>
      <c r="GU32" s="412"/>
      <c r="GV32" s="412"/>
      <c r="GW32" s="412"/>
      <c r="GX32" s="412"/>
      <c r="GY32" s="412"/>
      <c r="GZ32" s="412"/>
      <c r="HA32" s="412"/>
      <c r="HB32" s="412"/>
      <c r="HC32" s="412"/>
      <c r="HD32" s="412"/>
      <c r="HE32" s="412"/>
      <c r="HF32" s="412"/>
      <c r="HG32" s="136"/>
      <c r="HH32" s="136"/>
      <c r="HI32" s="136"/>
      <c r="HJ32" s="136"/>
      <c r="HK32" s="136"/>
      <c r="HL32" s="136"/>
      <c r="HM32" s="136"/>
      <c r="HN32" s="136"/>
      <c r="HO32" s="136"/>
      <c r="HP32" s="136"/>
      <c r="HQ32" s="136"/>
      <c r="HR32" s="136"/>
      <c r="HS32" s="136"/>
      <c r="HT32" s="136"/>
      <c r="HU32" s="278"/>
      <c r="HV32" s="277"/>
      <c r="HW32" s="277"/>
      <c r="HX32" s="277"/>
      <c r="HY32" s="277"/>
      <c r="HZ32" s="277"/>
      <c r="IA32" s="277"/>
      <c r="IB32" s="277"/>
      <c r="IC32" s="277"/>
      <c r="ID32" s="412"/>
      <c r="IE32" s="412"/>
      <c r="IF32" s="412"/>
      <c r="IG32" s="412"/>
      <c r="IH32" s="412"/>
      <c r="II32" s="412"/>
      <c r="IJ32" s="412"/>
      <c r="IK32" s="412"/>
      <c r="IL32" s="412"/>
      <c r="IM32" s="412"/>
      <c r="IN32" s="412"/>
      <c r="IO32" s="412"/>
      <c r="IP32" s="413"/>
      <c r="IQ32" s="389"/>
      <c r="IR32" s="389"/>
      <c r="IS32" s="389"/>
      <c r="IT32" s="389"/>
      <c r="IU32" s="389"/>
      <c r="IV32" s="389"/>
      <c r="IW32" s="389"/>
      <c r="IX32" s="389"/>
      <c r="IY32" s="389"/>
      <c r="IZ32" s="389"/>
      <c r="JA32" s="389"/>
      <c r="JB32" s="389"/>
      <c r="JC32" s="389"/>
      <c r="JD32" s="389"/>
      <c r="JE32" s="389"/>
      <c r="JF32" s="389"/>
      <c r="JG32" s="389"/>
      <c r="JH32" s="389"/>
      <c r="JI32" s="389"/>
      <c r="JJ32" s="389"/>
      <c r="JK32" s="389"/>
      <c r="JL32" s="389"/>
      <c r="JM32" s="389"/>
      <c r="JN32" s="389"/>
      <c r="JO32" s="389"/>
    </row>
    <row r="33" spans="1:302" s="14" customFormat="1" ht="11.1" hidden="1" customHeight="1" outlineLevel="1" thickBot="1">
      <c r="A33" s="18"/>
      <c r="B33" s="990"/>
      <c r="C33" s="990"/>
      <c r="D33" s="452">
        <f>COUPNCD(D30,C29,K31,AH33)</f>
        <v>44868</v>
      </c>
      <c r="E33" s="932" t="s">
        <v>182</v>
      </c>
      <c r="F33" s="451" t="str">
        <f>IF(E34=1,"87,5",IF(D29&lt;40908,87.5,IF(D29&lt;41820,"80","74")))</f>
        <v>74</v>
      </c>
      <c r="G33" s="988"/>
      <c r="H33" s="431"/>
      <c r="I33" s="528"/>
      <c r="J33" s="431"/>
      <c r="K33" s="987"/>
      <c r="L33" s="829"/>
      <c r="M33" s="843"/>
      <c r="N33" s="843"/>
      <c r="O33" s="39"/>
      <c r="P33" s="527"/>
      <c r="Q33" s="280"/>
      <c r="R33" s="526"/>
      <c r="S33" s="15"/>
      <c r="T33" s="431"/>
      <c r="U33" s="15"/>
      <c r="V33" s="15"/>
      <c r="W33" s="15"/>
      <c r="X33" s="442"/>
      <c r="Y33" s="430"/>
      <c r="Z33" s="430"/>
      <c r="AA33" s="430"/>
      <c r="AB33" s="117"/>
      <c r="AC33" s="431"/>
      <c r="AD33" s="117"/>
      <c r="AE33" s="431"/>
      <c r="AF33" s="934"/>
      <c r="AG33" s="962"/>
      <c r="AH33" s="419">
        <f>VLOOKUP(AH30,'[2]IBAN CONTI'!A:B,2,FALSE)</f>
        <v>1</v>
      </c>
      <c r="AI33" s="419"/>
      <c r="AJ33" s="1033">
        <f>VLOOKUP(AJ31,'[2]IBAN CONTI'!A$67:B$77,2,FALSE)</f>
        <v>6</v>
      </c>
      <c r="AK33" s="1034"/>
      <c r="AL33" s="556">
        <f>AL30</f>
        <v>100</v>
      </c>
      <c r="AM33" s="577">
        <f>IF(B34=1,YEARFRAC(D30,C29,AH33),IF(B34=2,YEARFRAC(AL29,D30,AH33)))</f>
        <v>5.9401408450704221</v>
      </c>
      <c r="AN33" s="448">
        <f>IF(B34=2,0,C29-D30-(365-AN32))</f>
        <v>1826</v>
      </c>
      <c r="AO33" s="424">
        <f>E29-AO32</f>
        <v>95.339749999999995</v>
      </c>
      <c r="AP33" s="447">
        <f>E29+AO34+AP32+0.1</f>
        <v>95.575365999999988</v>
      </c>
      <c r="AQ33" s="446"/>
      <c r="AR33" s="463">
        <f>IF(B34=3,F31*G29,F29*G29)</f>
        <v>22.5</v>
      </c>
      <c r="AS33" s="421">
        <f>AR29-AS32</f>
        <v>1005.6912333500001</v>
      </c>
      <c r="AT33" s="419"/>
      <c r="AU33" s="420"/>
      <c r="AV33" s="223"/>
      <c r="AW33" s="420"/>
      <c r="AX33" s="417"/>
      <c r="AY33" s="420"/>
      <c r="AZ33" s="223"/>
      <c r="BA33" s="419"/>
      <c r="BB33" s="223"/>
      <c r="BC33" s="223"/>
      <c r="BD33" s="223"/>
      <c r="BE33" s="223"/>
      <c r="BF33" s="416"/>
      <c r="BG33" s="418"/>
      <c r="BH33" s="416"/>
      <c r="BI33" s="416"/>
      <c r="BJ33" s="416"/>
      <c r="BK33" s="418"/>
      <c r="BL33" s="417"/>
      <c r="BM33" s="416"/>
      <c r="BN33" s="416"/>
      <c r="BO33" s="416"/>
      <c r="BP33" s="416"/>
      <c r="BQ33" s="416"/>
      <c r="BR33" s="416"/>
      <c r="BS33" s="416"/>
      <c r="BT33" s="389"/>
      <c r="BU33" s="389"/>
      <c r="BV33" s="389"/>
      <c r="BW33" s="389"/>
      <c r="BX33" s="415"/>
      <c r="BY33" s="389"/>
      <c r="BZ33" s="389"/>
      <c r="CA33" s="389"/>
      <c r="CB33" s="389"/>
      <c r="CC33" s="389"/>
      <c r="CD33" s="389"/>
      <c r="CE33" s="389"/>
      <c r="CF33" s="389"/>
      <c r="CG33" s="389"/>
      <c r="CH33" s="389"/>
      <c r="CI33" s="389"/>
      <c r="CJ33" s="389"/>
      <c r="CK33" s="389"/>
      <c r="CL33" s="389"/>
      <c r="CM33" s="389"/>
      <c r="CN33" s="389"/>
      <c r="CO33" s="389"/>
      <c r="CP33" s="389"/>
      <c r="CQ33" s="389"/>
      <c r="CR33" s="389"/>
      <c r="CS33" s="415"/>
      <c r="CT33" s="389"/>
      <c r="CU33" s="389"/>
      <c r="CV33" s="389"/>
      <c r="CW33" s="389"/>
      <c r="CX33" s="389"/>
      <c r="CY33" s="389"/>
      <c r="CZ33" s="389"/>
      <c r="DA33" s="389"/>
      <c r="DB33" s="389"/>
      <c r="DC33" s="389"/>
      <c r="DD33" s="389"/>
      <c r="DE33" s="389"/>
      <c r="DF33" s="389"/>
      <c r="DG33" s="389"/>
      <c r="DH33" s="389"/>
      <c r="DI33" s="389"/>
      <c r="DJ33" s="389"/>
      <c r="DK33" s="389"/>
      <c r="DL33" s="389"/>
      <c r="DM33" s="389"/>
      <c r="DN33" s="389"/>
      <c r="DO33" s="414"/>
      <c r="DP33" s="39"/>
      <c r="DQ33" s="39"/>
      <c r="DR33" s="39"/>
      <c r="DS33" s="136"/>
      <c r="DT33" s="136"/>
      <c r="DU33" s="136"/>
      <c r="DV33" s="136"/>
      <c r="DW33" s="136"/>
      <c r="DX33" s="136"/>
      <c r="DY33" s="136"/>
      <c r="DZ33" s="136"/>
      <c r="EA33" s="136"/>
      <c r="EB33" s="136"/>
      <c r="EC33" s="136"/>
      <c r="ED33" s="136"/>
      <c r="EE33" s="136"/>
      <c r="EF33" s="136"/>
      <c r="EG33" s="136"/>
      <c r="EH33" s="136"/>
      <c r="EI33" s="136"/>
      <c r="EJ33" s="136"/>
      <c r="EK33" s="136"/>
      <c r="EL33" s="136"/>
      <c r="EM33" s="136"/>
      <c r="EN33" s="136"/>
      <c r="EO33" s="136"/>
      <c r="EP33" s="136"/>
      <c r="EQ33" s="136"/>
      <c r="ER33" s="136"/>
      <c r="ES33" s="136"/>
      <c r="ET33" s="136"/>
      <c r="EU33" s="136"/>
      <c r="EV33" s="136"/>
      <c r="EW33" s="136"/>
      <c r="EX33" s="136"/>
      <c r="EY33" s="136"/>
      <c r="EZ33" s="136"/>
      <c r="FA33" s="136"/>
      <c r="FB33" s="136"/>
      <c r="FC33" s="136"/>
      <c r="FD33" s="136"/>
      <c r="FE33" s="136"/>
      <c r="FF33" s="136"/>
      <c r="FG33" s="136"/>
      <c r="FH33" s="136"/>
      <c r="FI33" s="136"/>
      <c r="FJ33" s="136"/>
      <c r="FK33" s="136"/>
      <c r="FL33" s="136"/>
      <c r="FM33" s="136"/>
      <c r="FN33" s="136"/>
      <c r="FO33" s="136"/>
      <c r="FP33" s="136"/>
      <c r="FQ33" s="136"/>
      <c r="FR33" s="412"/>
      <c r="FS33" s="412"/>
      <c r="FT33" s="412"/>
      <c r="FU33" s="412"/>
      <c r="FV33" s="412"/>
      <c r="FW33" s="412"/>
      <c r="FX33" s="412"/>
      <c r="FY33" s="412"/>
      <c r="FZ33" s="412"/>
      <c r="GA33" s="412"/>
      <c r="GB33" s="412"/>
      <c r="GC33" s="412"/>
      <c r="GD33" s="412"/>
      <c r="GE33" s="412"/>
      <c r="GF33" s="412"/>
      <c r="GG33" s="412"/>
      <c r="GH33" s="412"/>
      <c r="GI33" s="412"/>
      <c r="GJ33" s="412"/>
      <c r="GK33" s="412"/>
      <c r="GL33" s="412"/>
      <c r="GM33" s="412"/>
      <c r="GN33" s="412"/>
      <c r="GO33" s="412"/>
      <c r="GP33" s="412"/>
      <c r="GQ33" s="412"/>
      <c r="GR33" s="412"/>
      <c r="GS33" s="412"/>
      <c r="GT33" s="412"/>
      <c r="GU33" s="412"/>
      <c r="GV33" s="412"/>
      <c r="GW33" s="412"/>
      <c r="GX33" s="412"/>
      <c r="GY33" s="412"/>
      <c r="GZ33" s="412"/>
      <c r="HA33" s="412"/>
      <c r="HB33" s="412"/>
      <c r="HC33" s="412"/>
      <c r="HD33" s="412"/>
      <c r="HE33" s="412"/>
      <c r="HF33" s="412"/>
      <c r="HG33" s="136"/>
      <c r="HH33" s="136"/>
      <c r="HI33" s="136"/>
      <c r="HJ33" s="136"/>
      <c r="HK33" s="136"/>
      <c r="HL33" s="136"/>
      <c r="HM33" s="136"/>
      <c r="HN33" s="136"/>
      <c r="HO33" s="136"/>
      <c r="HP33" s="136"/>
      <c r="HQ33" s="136"/>
      <c r="HR33" s="136"/>
      <c r="HS33" s="136"/>
      <c r="HT33" s="136"/>
      <c r="HU33" s="278"/>
      <c r="HV33" s="277"/>
      <c r="HW33" s="277"/>
      <c r="HX33" s="277"/>
      <c r="HY33" s="277"/>
      <c r="HZ33" s="277"/>
      <c r="IA33" s="277"/>
      <c r="IB33" s="277"/>
      <c r="IC33" s="277"/>
      <c r="ID33" s="412"/>
      <c r="IE33" s="412"/>
      <c r="IF33" s="412"/>
      <c r="IG33" s="412"/>
      <c r="IH33" s="412"/>
      <c r="II33" s="412"/>
      <c r="IJ33" s="412"/>
      <c r="IK33" s="412"/>
      <c r="IL33" s="412"/>
      <c r="IM33" s="412"/>
      <c r="IN33" s="412"/>
      <c r="IO33" s="412"/>
      <c r="IP33" s="413"/>
      <c r="IQ33" s="389"/>
      <c r="IR33" s="389"/>
      <c r="IS33" s="389"/>
      <c r="IT33" s="389"/>
      <c r="IU33" s="389"/>
      <c r="IV33" s="389"/>
      <c r="IW33" s="389"/>
      <c r="IX33" s="389"/>
      <c r="IY33" s="389"/>
      <c r="IZ33" s="389"/>
      <c r="JA33" s="389"/>
      <c r="JB33" s="389"/>
      <c r="JC33" s="389"/>
      <c r="JD33" s="389"/>
      <c r="JE33" s="389"/>
      <c r="JF33" s="389"/>
      <c r="JG33" s="389"/>
      <c r="JH33" s="389"/>
      <c r="JI33" s="389"/>
      <c r="JJ33" s="389"/>
      <c r="JK33" s="389"/>
      <c r="JL33" s="389"/>
      <c r="JM33" s="389"/>
      <c r="JN33" s="389"/>
      <c r="JO33" s="389"/>
    </row>
    <row r="34" spans="1:302" s="14" customFormat="1" ht="11.1" hidden="1" customHeight="1" outlineLevel="1">
      <c r="A34" s="559">
        <v>1</v>
      </c>
      <c r="B34" s="989">
        <f>VLOOKUP(B32,'[2]IBAN CONTI'!A$1:B$65562,2,FALSE)</f>
        <v>1</v>
      </c>
      <c r="C34" s="989"/>
      <c r="D34" s="436">
        <f>COUPNCD(AL29,C29,K31,AH33)</f>
        <v>44868</v>
      </c>
      <c r="E34" s="932">
        <f>VLOOKUP(E33,'[2]IBAN CONTI'!A:B,2,FALSE)</f>
        <v>2</v>
      </c>
      <c r="F34" s="444" t="str">
        <f>IF(E34=1,"87,5","74")</f>
        <v>74</v>
      </c>
      <c r="G34" s="433">
        <f>VLOOKUP(G32,'[2]IBAN CONTI'!A$244:B$273,2,FALSE)</f>
        <v>16</v>
      </c>
      <c r="H34" s="431"/>
      <c r="I34" s="528"/>
      <c r="J34" s="431"/>
      <c r="K34" s="443">
        <f>VLOOKUP(K32,'[2]IBAN CONTI'!A$80:B$101,2,FALSE)</f>
        <v>1</v>
      </c>
      <c r="L34" s="720"/>
      <c r="M34" s="843"/>
      <c r="N34" s="843"/>
      <c r="O34" s="39"/>
      <c r="P34" s="527"/>
      <c r="Q34" s="280"/>
      <c r="R34" s="526"/>
      <c r="S34" s="15"/>
      <c r="T34" s="431"/>
      <c r="U34" s="15"/>
      <c r="V34" s="15"/>
      <c r="W34" s="15"/>
      <c r="X34" s="594">
        <f ca="1">X29-$AF$2</f>
        <v>-4691.6850547453723</v>
      </c>
      <c r="Y34" s="430"/>
      <c r="Z34" s="430"/>
      <c r="AA34" s="430"/>
      <c r="AB34" s="576"/>
      <c r="AC34" s="431"/>
      <c r="AD34" s="117"/>
      <c r="AE34" s="431"/>
      <c r="AF34" s="1011">
        <v>38148.089999999997</v>
      </c>
      <c r="AG34" s="1011"/>
      <c r="AH34" s="551"/>
      <c r="AI34" s="551"/>
      <c r="AJ34" s="441" t="s">
        <v>172</v>
      </c>
      <c r="AK34" s="440">
        <f>VLOOKUP(AJ34,'[2]IBAN CONTI'!A$61:B$64,2,FALSE)</f>
        <v>1</v>
      </c>
      <c r="AL34" s="427">
        <f>AL31-AL32*(100-F34)/100</f>
        <v>100</v>
      </c>
      <c r="AM34" s="426" t="str">
        <f>IF(B34=2,10^((LOG(AL31/AL30))/AM31)-1,"")</f>
        <v/>
      </c>
      <c r="AN34" s="439">
        <f>IF(B34=4,A31*E29/100,IF(AF31=1,G29*E29/100,A30/E30*E29/100))</f>
        <v>953.39750000000004</v>
      </c>
      <c r="AO34" s="425">
        <f>-AO32*(100-F33)/100</f>
        <v>0</v>
      </c>
      <c r="AP34" s="438">
        <f>IF(B34=2,(AN34-AP31+AN29+AN30)/G29*100,(AN34-AP30+AN29+AN30)/G29*100)</f>
        <v>95.785089750000012</v>
      </c>
      <c r="AQ34" s="423"/>
      <c r="AR34" s="555">
        <f>AL30</f>
        <v>100</v>
      </c>
      <c r="AS34" s="421"/>
      <c r="AT34" s="419"/>
      <c r="AU34" s="420"/>
      <c r="AV34" s="223"/>
      <c r="AW34" s="420"/>
      <c r="AX34" s="417"/>
      <c r="AY34" s="420"/>
      <c r="AZ34" s="223"/>
      <c r="BA34" s="419"/>
      <c r="BB34" s="223"/>
      <c r="BC34" s="223"/>
      <c r="BD34" s="223"/>
      <c r="BE34" s="223"/>
      <c r="BF34" s="416"/>
      <c r="BG34" s="418"/>
      <c r="BH34" s="416"/>
      <c r="BI34" s="416"/>
      <c r="BJ34" s="416"/>
      <c r="BK34" s="418"/>
      <c r="BL34" s="417"/>
      <c r="BM34" s="416"/>
      <c r="BN34" s="416"/>
      <c r="BO34" s="416"/>
      <c r="BP34" s="416"/>
      <c r="BQ34" s="416"/>
      <c r="BR34" s="416"/>
      <c r="BS34" s="416"/>
      <c r="BT34" s="389"/>
      <c r="BU34" s="389"/>
      <c r="BV34" s="389"/>
      <c r="BW34" s="389"/>
      <c r="BX34" s="415"/>
      <c r="BY34" s="389"/>
      <c r="BZ34" s="389"/>
      <c r="CA34" s="389"/>
      <c r="CB34" s="389"/>
      <c r="CC34" s="389"/>
      <c r="CD34" s="389"/>
      <c r="CE34" s="389"/>
      <c r="CF34" s="389"/>
      <c r="CG34" s="389"/>
      <c r="CH34" s="389"/>
      <c r="CI34" s="389"/>
      <c r="CJ34" s="389"/>
      <c r="CK34" s="389"/>
      <c r="CL34" s="389"/>
      <c r="CM34" s="389"/>
      <c r="CN34" s="389"/>
      <c r="CO34" s="389"/>
      <c r="CP34" s="389"/>
      <c r="CQ34" s="389"/>
      <c r="CR34" s="389"/>
      <c r="CS34" s="415"/>
      <c r="CT34" s="389"/>
      <c r="CU34" s="389"/>
      <c r="CV34" s="389"/>
      <c r="CW34" s="389"/>
      <c r="CX34" s="389"/>
      <c r="CY34" s="389"/>
      <c r="CZ34" s="389"/>
      <c r="DA34" s="389"/>
      <c r="DB34" s="389"/>
      <c r="DC34" s="389"/>
      <c r="DD34" s="389"/>
      <c r="DE34" s="389"/>
      <c r="DF34" s="389"/>
      <c r="DG34" s="389"/>
      <c r="DH34" s="389"/>
      <c r="DI34" s="389"/>
      <c r="DJ34" s="389"/>
      <c r="DK34" s="389"/>
      <c r="DL34" s="389"/>
      <c r="DM34" s="389"/>
      <c r="DN34" s="389"/>
      <c r="DO34" s="414"/>
      <c r="DP34" s="39"/>
      <c r="DQ34" s="39"/>
      <c r="DR34" s="39"/>
      <c r="DS34" s="136"/>
      <c r="DT34" s="136"/>
      <c r="DU34" s="136"/>
      <c r="DV34" s="136"/>
      <c r="DW34" s="136"/>
      <c r="DX34" s="136"/>
      <c r="DY34" s="136"/>
      <c r="DZ34" s="136"/>
      <c r="EA34" s="136"/>
      <c r="EB34" s="136"/>
      <c r="EC34" s="136"/>
      <c r="ED34" s="136"/>
      <c r="EE34" s="136"/>
      <c r="EF34" s="136"/>
      <c r="EG34" s="136"/>
      <c r="EH34" s="136"/>
      <c r="EI34" s="136"/>
      <c r="EJ34" s="136"/>
      <c r="EK34" s="136"/>
      <c r="EL34" s="136"/>
      <c r="EM34" s="136"/>
      <c r="EN34" s="136"/>
      <c r="EO34" s="136"/>
      <c r="EP34" s="136"/>
      <c r="EQ34" s="136"/>
      <c r="ER34" s="136"/>
      <c r="ES34" s="136"/>
      <c r="ET34" s="136"/>
      <c r="EU34" s="136"/>
      <c r="EV34" s="136"/>
      <c r="EW34" s="136"/>
      <c r="EX34" s="136"/>
      <c r="EY34" s="136"/>
      <c r="EZ34" s="136"/>
      <c r="FA34" s="136"/>
      <c r="FB34" s="136"/>
      <c r="FC34" s="136"/>
      <c r="FD34" s="136"/>
      <c r="FE34" s="136"/>
      <c r="FF34" s="136"/>
      <c r="FG34" s="136"/>
      <c r="FH34" s="136"/>
      <c r="FI34" s="136"/>
      <c r="FJ34" s="136"/>
      <c r="FK34" s="136"/>
      <c r="FL34" s="136"/>
      <c r="FM34" s="136"/>
      <c r="FN34" s="136"/>
      <c r="FO34" s="136"/>
      <c r="FP34" s="136"/>
      <c r="FQ34" s="136"/>
      <c r="FR34" s="412"/>
      <c r="FS34" s="412"/>
      <c r="FT34" s="412"/>
      <c r="FU34" s="412"/>
      <c r="FV34" s="412"/>
      <c r="FW34" s="412"/>
      <c r="FX34" s="412"/>
      <c r="FY34" s="412"/>
      <c r="FZ34" s="412"/>
      <c r="GA34" s="412"/>
      <c r="GB34" s="412"/>
      <c r="GC34" s="412"/>
      <c r="GD34" s="412"/>
      <c r="GE34" s="412"/>
      <c r="GF34" s="412"/>
      <c r="GG34" s="412"/>
      <c r="GH34" s="412"/>
      <c r="GI34" s="412"/>
      <c r="GJ34" s="412"/>
      <c r="GK34" s="412"/>
      <c r="GL34" s="412"/>
      <c r="GM34" s="412"/>
      <c r="GN34" s="412"/>
      <c r="GO34" s="412"/>
      <c r="GP34" s="412"/>
      <c r="GQ34" s="412"/>
      <c r="GR34" s="412"/>
      <c r="GS34" s="412"/>
      <c r="GT34" s="412"/>
      <c r="GU34" s="412"/>
      <c r="GV34" s="412"/>
      <c r="GW34" s="412"/>
      <c r="GX34" s="412"/>
      <c r="GY34" s="412"/>
      <c r="GZ34" s="412"/>
      <c r="HA34" s="412"/>
      <c r="HB34" s="412"/>
      <c r="HC34" s="412"/>
      <c r="HD34" s="412"/>
      <c r="HE34" s="412"/>
      <c r="HF34" s="412"/>
      <c r="HG34" s="136"/>
      <c r="HH34" s="136"/>
      <c r="HI34" s="136"/>
      <c r="HJ34" s="136"/>
      <c r="HK34" s="136"/>
      <c r="HL34" s="136"/>
      <c r="HM34" s="136"/>
      <c r="HN34" s="136"/>
      <c r="HO34" s="136"/>
      <c r="HP34" s="136"/>
      <c r="HQ34" s="136"/>
      <c r="HR34" s="136"/>
      <c r="HS34" s="136"/>
      <c r="HT34" s="136"/>
      <c r="HU34" s="278"/>
      <c r="HV34" s="277"/>
      <c r="HW34" s="277"/>
      <c r="HX34" s="277"/>
      <c r="HY34" s="277"/>
      <c r="HZ34" s="277"/>
      <c r="IA34" s="277"/>
      <c r="IB34" s="277"/>
      <c r="IC34" s="277"/>
      <c r="ID34" s="412"/>
      <c r="IE34" s="412"/>
      <c r="IF34" s="412"/>
      <c r="IG34" s="412"/>
      <c r="IH34" s="412"/>
      <c r="II34" s="412"/>
      <c r="IJ34" s="412"/>
      <c r="IK34" s="412"/>
      <c r="IL34" s="412"/>
      <c r="IM34" s="412"/>
      <c r="IN34" s="412"/>
      <c r="IO34" s="412"/>
      <c r="IP34" s="413"/>
      <c r="IQ34" s="389"/>
      <c r="IR34" s="389"/>
      <c r="IS34" s="389"/>
      <c r="IT34" s="389"/>
      <c r="IU34" s="389"/>
      <c r="IV34" s="389"/>
      <c r="IW34" s="389"/>
      <c r="IX34" s="389"/>
      <c r="IY34" s="389"/>
      <c r="IZ34" s="389"/>
      <c r="JA34" s="389"/>
      <c r="JB34" s="389"/>
      <c r="JC34" s="389"/>
      <c r="JD34" s="389"/>
      <c r="JE34" s="389"/>
      <c r="JF34" s="389"/>
      <c r="JG34" s="389"/>
      <c r="JH34" s="389"/>
      <c r="JI34" s="389"/>
      <c r="JJ34" s="389"/>
      <c r="JK34" s="389"/>
      <c r="JL34" s="389"/>
      <c r="JM34" s="389"/>
      <c r="JN34" s="389"/>
      <c r="JO34" s="389"/>
    </row>
    <row r="35" spans="1:302" s="14" customFormat="1" ht="11.1" hidden="1" customHeight="1" outlineLevel="1">
      <c r="A35" s="320"/>
      <c r="B35" s="933"/>
      <c r="C35" s="933"/>
      <c r="D35" s="436"/>
      <c r="E35" s="932"/>
      <c r="F35" s="435"/>
      <c r="G35" s="433"/>
      <c r="H35" s="431"/>
      <c r="I35" s="528"/>
      <c r="J35" s="431"/>
      <c r="K35" s="433"/>
      <c r="L35" s="720"/>
      <c r="M35" s="843"/>
      <c r="N35" s="843"/>
      <c r="O35" s="39"/>
      <c r="P35" s="527"/>
      <c r="Q35" s="280"/>
      <c r="R35" s="526"/>
      <c r="S35" s="15"/>
      <c r="T35" s="431"/>
      <c r="U35" s="15"/>
      <c r="V35" s="15"/>
      <c r="W35" s="15"/>
      <c r="X35" s="594"/>
      <c r="Y35" s="430"/>
      <c r="Z35" s="430"/>
      <c r="AA35" s="430"/>
      <c r="AB35" s="117"/>
      <c r="AC35" s="431"/>
      <c r="AD35" s="117"/>
      <c r="AE35" s="431"/>
      <c r="AF35" s="934"/>
      <c r="AG35" s="934"/>
      <c r="AH35" s="551"/>
      <c r="AI35" s="551"/>
      <c r="AJ35" s="429"/>
      <c r="AK35" s="428"/>
      <c r="AL35" s="427"/>
      <c r="AM35" s="426"/>
      <c r="AN35" s="439"/>
      <c r="AO35" s="425" t="str">
        <f>IF(D29&gt;41820,"nuova","vecchia")</f>
        <v>nuova</v>
      </c>
      <c r="AP35" s="424"/>
      <c r="AQ35" s="424"/>
      <c r="AR35" s="555"/>
      <c r="AS35" s="421"/>
      <c r="AT35" s="223"/>
      <c r="AU35" s="420"/>
      <c r="AV35" s="223"/>
      <c r="AW35" s="420"/>
      <c r="AX35" s="417"/>
      <c r="AY35" s="420"/>
      <c r="AZ35" s="223"/>
      <c r="BA35" s="223"/>
      <c r="BB35" s="223"/>
      <c r="BC35" s="223"/>
      <c r="BD35" s="223"/>
      <c r="BE35" s="223"/>
      <c r="BF35" s="416"/>
      <c r="BG35" s="417"/>
      <c r="BH35" s="416"/>
      <c r="BI35" s="416"/>
      <c r="BJ35" s="416"/>
      <c r="BK35" s="417"/>
      <c r="BL35" s="417"/>
      <c r="BM35" s="416"/>
      <c r="BN35" s="416"/>
      <c r="BO35" s="416"/>
      <c r="BP35" s="416"/>
      <c r="BQ35" s="416"/>
      <c r="BR35" s="416"/>
      <c r="BS35" s="416"/>
      <c r="BT35" s="389"/>
      <c r="BU35" s="389"/>
      <c r="BV35" s="389"/>
      <c r="BW35" s="389"/>
      <c r="BX35" s="412"/>
      <c r="BY35" s="389"/>
      <c r="BZ35" s="389"/>
      <c r="CA35" s="389"/>
      <c r="CB35" s="389"/>
      <c r="CC35" s="389"/>
      <c r="CD35" s="389"/>
      <c r="CE35" s="389"/>
      <c r="CF35" s="389"/>
      <c r="CG35" s="389"/>
      <c r="CH35" s="389"/>
      <c r="CI35" s="389"/>
      <c r="CJ35" s="389"/>
      <c r="CK35" s="389"/>
      <c r="CL35" s="389"/>
      <c r="CM35" s="389"/>
      <c r="CN35" s="389"/>
      <c r="CO35" s="389"/>
      <c r="CP35" s="389"/>
      <c r="CQ35" s="389"/>
      <c r="CR35" s="389"/>
      <c r="CS35" s="412"/>
      <c r="CT35" s="389"/>
      <c r="CU35" s="389"/>
      <c r="CV35" s="389"/>
      <c r="CW35" s="389"/>
      <c r="CX35" s="389"/>
      <c r="CY35" s="389"/>
      <c r="CZ35" s="389"/>
      <c r="DA35" s="389"/>
      <c r="DB35" s="389"/>
      <c r="DC35" s="389"/>
      <c r="DD35" s="389"/>
      <c r="DE35" s="389"/>
      <c r="DF35" s="389"/>
      <c r="DG35" s="389"/>
      <c r="DH35" s="389"/>
      <c r="DI35" s="389"/>
      <c r="DJ35" s="389"/>
      <c r="DK35" s="389"/>
      <c r="DL35" s="389"/>
      <c r="DM35" s="389"/>
      <c r="DN35" s="389"/>
      <c r="DO35" s="136"/>
      <c r="DP35" s="39"/>
      <c r="DQ35" s="39"/>
      <c r="DR35" s="39"/>
      <c r="DS35" s="136"/>
      <c r="DT35" s="136"/>
      <c r="DU35" s="136"/>
      <c r="DV35" s="136"/>
      <c r="DW35" s="136"/>
      <c r="DX35" s="136"/>
      <c r="DY35" s="136"/>
      <c r="DZ35" s="136"/>
      <c r="EA35" s="136"/>
      <c r="EB35" s="136"/>
      <c r="EC35" s="136"/>
      <c r="ED35" s="136"/>
      <c r="EE35" s="136"/>
      <c r="EF35" s="136"/>
      <c r="EG35" s="136"/>
      <c r="EH35" s="136"/>
      <c r="EI35" s="136"/>
      <c r="EJ35" s="136"/>
      <c r="EK35" s="136"/>
      <c r="EL35" s="136"/>
      <c r="EM35" s="136"/>
      <c r="EN35" s="136"/>
      <c r="EO35" s="136"/>
      <c r="EP35" s="136"/>
      <c r="EQ35" s="136"/>
      <c r="ER35" s="136"/>
      <c r="ES35" s="136"/>
      <c r="ET35" s="136"/>
      <c r="EU35" s="136"/>
      <c r="EV35" s="136"/>
      <c r="EW35" s="136"/>
      <c r="EX35" s="136"/>
      <c r="EY35" s="136"/>
      <c r="EZ35" s="136"/>
      <c r="FA35" s="136"/>
      <c r="FB35" s="136"/>
      <c r="FC35" s="136"/>
      <c r="FD35" s="136"/>
      <c r="FE35" s="136"/>
      <c r="FF35" s="136"/>
      <c r="FG35" s="136"/>
      <c r="FH35" s="136"/>
      <c r="FI35" s="136"/>
      <c r="FJ35" s="136"/>
      <c r="FK35" s="136"/>
      <c r="FL35" s="136"/>
      <c r="FM35" s="136"/>
      <c r="FN35" s="136"/>
      <c r="FO35" s="136"/>
      <c r="FP35" s="136"/>
      <c r="FQ35" s="136"/>
      <c r="FR35" s="412"/>
      <c r="FS35" s="412"/>
      <c r="FT35" s="412"/>
      <c r="FU35" s="412"/>
      <c r="FV35" s="412"/>
      <c r="FW35" s="412"/>
      <c r="FX35" s="412"/>
      <c r="FY35" s="412"/>
      <c r="FZ35" s="412"/>
      <c r="GA35" s="412"/>
      <c r="GB35" s="412"/>
      <c r="GC35" s="412"/>
      <c r="GD35" s="412"/>
      <c r="GE35" s="412"/>
      <c r="GF35" s="412"/>
      <c r="GG35" s="412"/>
      <c r="GH35" s="412"/>
      <c r="GI35" s="412"/>
      <c r="GJ35" s="412"/>
      <c r="GK35" s="412"/>
      <c r="GL35" s="412"/>
      <c r="GM35" s="412"/>
      <c r="GN35" s="412"/>
      <c r="GO35" s="412"/>
      <c r="GP35" s="412"/>
      <c r="GQ35" s="412"/>
      <c r="GR35" s="412"/>
      <c r="GS35" s="412"/>
      <c r="GT35" s="412"/>
      <c r="GU35" s="412"/>
      <c r="GV35" s="412"/>
      <c r="GW35" s="412"/>
      <c r="GX35" s="412"/>
      <c r="GY35" s="412"/>
      <c r="GZ35" s="412"/>
      <c r="HA35" s="412"/>
      <c r="HB35" s="412"/>
      <c r="HC35" s="412"/>
      <c r="HD35" s="412"/>
      <c r="HE35" s="412"/>
      <c r="HF35" s="412"/>
      <c r="HG35" s="136"/>
      <c r="HH35" s="136"/>
      <c r="HI35" s="136"/>
      <c r="HJ35" s="136"/>
      <c r="HK35" s="136"/>
      <c r="HL35" s="136"/>
      <c r="HM35" s="136"/>
      <c r="HN35" s="136"/>
      <c r="HO35" s="136"/>
      <c r="HP35" s="136"/>
      <c r="HQ35" s="136"/>
      <c r="HR35" s="136"/>
      <c r="HS35" s="136"/>
      <c r="HT35" s="136"/>
      <c r="HU35" s="278"/>
      <c r="HV35" s="277"/>
      <c r="HW35" s="277"/>
      <c r="HX35" s="277"/>
      <c r="HY35" s="277"/>
      <c r="HZ35" s="277"/>
      <c r="IA35" s="277"/>
      <c r="IB35" s="277"/>
      <c r="IC35" s="277"/>
      <c r="ID35" s="412"/>
      <c r="IE35" s="412"/>
      <c r="IF35" s="412"/>
      <c r="IG35" s="412"/>
      <c r="IH35" s="412"/>
      <c r="II35" s="412"/>
      <c r="IJ35" s="412"/>
      <c r="IK35" s="412"/>
      <c r="IL35" s="412"/>
      <c r="IM35" s="412"/>
      <c r="IN35" s="412"/>
      <c r="IO35" s="412"/>
      <c r="IP35" s="412"/>
      <c r="IQ35" s="389"/>
      <c r="IR35" s="389"/>
      <c r="IS35" s="389"/>
      <c r="IT35" s="389"/>
      <c r="IU35" s="389"/>
      <c r="IV35" s="389"/>
      <c r="IW35" s="389"/>
      <c r="IX35" s="389"/>
      <c r="IY35" s="389"/>
      <c r="IZ35" s="389"/>
      <c r="JA35" s="389"/>
      <c r="JB35" s="389"/>
      <c r="JC35" s="389"/>
      <c r="JD35" s="389"/>
      <c r="JE35" s="389"/>
      <c r="JF35" s="389"/>
      <c r="JG35" s="389"/>
      <c r="JH35" s="389"/>
      <c r="JI35" s="389"/>
      <c r="JJ35" s="389"/>
      <c r="JK35" s="389"/>
      <c r="JL35" s="389"/>
      <c r="JM35" s="389"/>
      <c r="JN35" s="389"/>
      <c r="JO35" s="389"/>
    </row>
    <row r="36" spans="1:302" s="14" customFormat="1" ht="5.0999999999999996" customHeight="1" collapsed="1">
      <c r="A36" s="1"/>
      <c r="B36" s="933"/>
      <c r="C36" s="933"/>
      <c r="D36" s="431"/>
      <c r="E36" s="765"/>
      <c r="F36" s="431"/>
      <c r="G36" s="431"/>
      <c r="H36" s="431"/>
      <c r="I36" s="528"/>
      <c r="J36" s="431"/>
      <c r="K36" s="431"/>
      <c r="L36" s="833"/>
      <c r="M36" s="720"/>
      <c r="N36" s="720"/>
      <c r="O36" s="223"/>
      <c r="P36" s="318"/>
      <c r="Q36" s="526"/>
      <c r="R36" s="526"/>
      <c r="S36" s="15"/>
      <c r="T36" s="431"/>
      <c r="U36" s="18"/>
      <c r="V36" s="18"/>
      <c r="W36" s="18"/>
      <c r="X36" s="430"/>
      <c r="Y36" s="430"/>
      <c r="Z36" s="430"/>
      <c r="AA36" s="430"/>
      <c r="AB36" s="78"/>
      <c r="AC36" s="431"/>
      <c r="AD36" s="117"/>
      <c r="AE36" s="431"/>
      <c r="AF36" s="934"/>
      <c r="AG36" s="934"/>
      <c r="AH36" s="552"/>
      <c r="AI36" s="551"/>
      <c r="AJ36" s="550"/>
      <c r="AK36" s="549"/>
      <c r="AL36" s="967"/>
      <c r="AM36" s="524"/>
      <c r="AN36" s="548"/>
      <c r="AO36" s="425"/>
      <c r="AP36" s="424"/>
      <c r="AQ36" s="424"/>
      <c r="AR36" s="18"/>
      <c r="AS36" s="15"/>
      <c r="AT36" s="223"/>
      <c r="AU36" s="420"/>
      <c r="AV36" s="223"/>
      <c r="AW36" s="420"/>
      <c r="AX36" s="526"/>
      <c r="AY36" s="420"/>
      <c r="AZ36" s="223"/>
      <c r="BA36" s="223"/>
      <c r="BB36" s="223"/>
      <c r="BC36" s="223"/>
      <c r="BD36" s="223"/>
      <c r="BE36" s="2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HF36" s="32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</row>
    <row r="37" spans="1:302" s="1" customFormat="1" ht="11.1" customHeight="1">
      <c r="A37" s="497" t="s">
        <v>451</v>
      </c>
      <c r="B37" s="590" t="s">
        <v>194</v>
      </c>
      <c r="C37" s="547">
        <v>46701</v>
      </c>
      <c r="D37" s="974">
        <v>44516</v>
      </c>
      <c r="E37" s="763">
        <v>96.659390000000002</v>
      </c>
      <c r="F37" s="490">
        <v>2.2499999999999999E-2</v>
      </c>
      <c r="G37" s="383">
        <v>1000</v>
      </c>
      <c r="H37" s="492">
        <f>G37</f>
        <v>1000</v>
      </c>
      <c r="I37" s="385">
        <f>G37*F37/100*F42</f>
        <v>16.650000000000002</v>
      </c>
      <c r="J37" s="492">
        <f>I37</f>
        <v>16.650000000000002</v>
      </c>
      <c r="K37" s="384" t="s">
        <v>185</v>
      </c>
      <c r="L37" s="833">
        <f>MONTH(C37)</f>
        <v>11</v>
      </c>
      <c r="M37" s="842" t="str">
        <f>IFERROR(IF(N37&gt;12,N37-12,N37),"")</f>
        <v/>
      </c>
      <c r="N37" s="842" t="str">
        <f>IF(K39=1,"",MONTH(C37)+6)</f>
        <v/>
      </c>
      <c r="O37" s="832">
        <f>IF(K39=1,I37,I37/2)</f>
        <v>16.650000000000002</v>
      </c>
      <c r="P37" s="215">
        <f>VLOOKUP(B38,[2]Prezzi!$A$2:$R$125,18,FALSE)</f>
        <v>95.94000244140625</v>
      </c>
      <c r="Q37" s="539"/>
      <c r="R37" s="539"/>
      <c r="S37" s="493">
        <f ca="1">MAX(0,IF(B42=5,I37/AM39*X37,(((((F37)*AF$2)/365)*G37*F42/100)+((((F37)*X42)/365)*G37*F42/100))))</f>
        <v>0.13684931506855946</v>
      </c>
      <c r="T37" s="492">
        <f ca="1">S37</f>
        <v>0.13684931506855946</v>
      </c>
      <c r="U37" s="469"/>
      <c r="V37" s="4"/>
      <c r="W37" s="469"/>
      <c r="X37" s="491">
        <f ca="1">IF(B42=4,COUPDAYBS($AB$2,C37,K39,AH41),IF($AB$2-AL37&lt;365,IF(K39&gt;1,FLOOR(365/K39-(E39-AB$2),1),IF(B42=2,0,IF(AL37&gt;$AB$2,0,IF(AND(E39-AL37&lt;365,$AB$2&lt;E39),$AB$2-AL37,COUPDAYBS($AB$2,C37,K39,AH41))))),COUPDAYBS($AB$2,C37,K39,AH41)))</f>
        <v>3</v>
      </c>
      <c r="Y37" s="456">
        <f ca="1">G37*AF37</f>
        <v>2847.592526178003</v>
      </c>
      <c r="Z37" s="456">
        <f ca="1">IF(G37=0,"0",G37*AG37)</f>
        <v>27.443590634295891</v>
      </c>
      <c r="AA37" s="22"/>
      <c r="AB37" s="979">
        <f ca="1">IF(B42=5,(((I37/AM40)*X37)+(G37)),(G37*P37*A42/100)+(S37*A42))</f>
        <v>959.536873729131</v>
      </c>
      <c r="AC37" s="492">
        <f ca="1">AB37</f>
        <v>959.536873729131</v>
      </c>
      <c r="AD37" s="290">
        <f>IF(E38="",((P37-E37)/100)*G37,((((P37-E37)/100)*A43)/F38)+((A43/F38)-(A43/E38)))</f>
        <v>-7.1938755859375192</v>
      </c>
      <c r="AE37" s="492">
        <f>AD37</f>
        <v>-7.1938755859375192</v>
      </c>
      <c r="AF37" s="446">
        <f ca="1">IF(B42=1,MDURATION($AB$2,C37,F37,AG37,K39,AH41),IF(B42=2,YEARFRAC(C37,$AB$2,AH41)))</f>
        <v>2.8475925261780031</v>
      </c>
      <c r="AG37" s="824">
        <f ca="1">YIELD(AB$2,C37,F37,P37,AL39,K39,AH41)*F42/100</f>
        <v>2.744359063429589E-2</v>
      </c>
      <c r="AH37" s="489">
        <f ca="1">(((F37)*X37)/365)*F42</f>
        <v>1.3684931506849317E-2</v>
      </c>
      <c r="AI37" s="489"/>
      <c r="AJ37" s="180"/>
      <c r="AK37" s="546"/>
      <c r="AL37" s="201">
        <v>44510</v>
      </c>
      <c r="AM37" s="545" t="s">
        <v>430</v>
      </c>
      <c r="AN37" s="179">
        <f>IF(B42=4,MIN(G37*E37*A40*AV$3/100,AV$4),IF(AF39=1,MIN(G37*E37*AV$3/100,AV$4),MIN((A43*E37/E38*AV$3/100),AV$4)+(((A43/E38*E37/100)+(A43/E38*E37*AV$3/100)+AN38+AO37)*AZ$3)))</f>
        <v>0.96659390000000001</v>
      </c>
      <c r="AO37" s="484">
        <f>IF(B42=4,AP40*A39/100,IF(AF39=1,G37*AP40/100,A43/E38/100*AP40))</f>
        <v>0.49314999999999998</v>
      </c>
      <c r="AP37" s="188">
        <f>IF(B42=2,AN42+AN37+AN38+AP38,AN42+AN37+AN38+AO37+AO38+AP38)</f>
        <v>971.42542490000005</v>
      </c>
      <c r="AQ37" s="326">
        <f>AP37</f>
        <v>971.42542490000005</v>
      </c>
      <c r="AR37" s="483">
        <f>AR39+AR41+AR38</f>
        <v>1016.65</v>
      </c>
      <c r="AS37" s="825">
        <f ca="1">AG37</f>
        <v>2.744359063429589E-2</v>
      </c>
      <c r="AT37" s="419">
        <f>IF(B42=1,G37,"")</f>
        <v>1000</v>
      </c>
      <c r="AU37" s="420" t="str">
        <f>IF(B42=2,G37,"")</f>
        <v/>
      </c>
      <c r="AV37" s="223" t="str">
        <f>IF(B42=3,G37,"")</f>
        <v/>
      </c>
      <c r="AW37" s="420" t="str">
        <f>IF(B42=4,G37,"")</f>
        <v/>
      </c>
      <c r="AX37" s="417" t="str">
        <f>IF(B42=5,G37,"")</f>
        <v/>
      </c>
      <c r="AY37" s="420" t="str">
        <f>IF(B42=6,G37,"")</f>
        <v/>
      </c>
      <c r="AZ37" s="223" t="str">
        <f>IF(B42=7,G37,"")</f>
        <v/>
      </c>
      <c r="BA37" s="419" t="str">
        <f>IF(B39=1,G37,"")</f>
        <v/>
      </c>
      <c r="BB37" s="223" t="str">
        <f>IF(B39=2,G37,"")</f>
        <v/>
      </c>
      <c r="BC37" s="223" t="str">
        <f>IF(B39=3,G37,"")</f>
        <v/>
      </c>
      <c r="BD37" s="223" t="str">
        <f>IF(B39=4,G37,"")</f>
        <v/>
      </c>
      <c r="BE37" s="223" t="str">
        <f>IF(B39=5,G37,"")</f>
        <v/>
      </c>
      <c r="BF37" s="417">
        <f>IF(B39=6,G37,"")</f>
        <v>1000</v>
      </c>
      <c r="BG37" s="419">
        <f>IF(AK42=1,G37,"")</f>
        <v>1000</v>
      </c>
      <c r="BH37" s="223" t="str">
        <f>IF(AK42=2,G37,"")</f>
        <v/>
      </c>
      <c r="BI37" s="223" t="str">
        <f>IF(AK42=3,G37,"")</f>
        <v/>
      </c>
      <c r="BJ37" s="223" t="str">
        <f>IF(AK42=4,G37,"")</f>
        <v/>
      </c>
      <c r="BK37" s="419" t="str">
        <f>IF(AJ41=1,G37,"")</f>
        <v/>
      </c>
      <c r="BL37" s="482" t="str">
        <f>IF(BK37&lt;&gt;"",AB37,"")</f>
        <v/>
      </c>
      <c r="BM37" s="223" t="str">
        <f>IF(AJ41=2,G37,"")</f>
        <v/>
      </c>
      <c r="BN37" s="223" t="str">
        <f>IF(BM37&lt;&gt;"",AB37,"")</f>
        <v/>
      </c>
      <c r="BO37" s="223" t="str">
        <f>IF(AJ41=3,G37,"")</f>
        <v/>
      </c>
      <c r="BP37" s="223" t="str">
        <f>IF(AJ41=4,G37,"")</f>
        <v/>
      </c>
      <c r="BQ37" s="223" t="str">
        <f>IF(AJ41=5,G37,"")</f>
        <v/>
      </c>
      <c r="BR37" s="223" t="str">
        <f>IF(AJ41=6,G37,"")</f>
        <v/>
      </c>
      <c r="BS37" s="223" t="str">
        <f>IF(AJ41=7,G37,"")</f>
        <v/>
      </c>
      <c r="BT37" s="223" t="str">
        <f>IF(AJ41=8,G37,"")</f>
        <v/>
      </c>
      <c r="BU37" s="223" t="str">
        <f>IF(AJ41=9,G37,"")</f>
        <v/>
      </c>
      <c r="BV37" s="223" t="str">
        <f>IF(AJ41=10,G37,"")</f>
        <v/>
      </c>
      <c r="BW37" s="223">
        <f>IF(AJ41=11,G37,"")</f>
        <v>1000</v>
      </c>
      <c r="BX37" s="419">
        <f>IF(AF39=1,G37,"")</f>
        <v>1000</v>
      </c>
      <c r="BY37" s="223" t="str">
        <f>IF(AF39=2,G37,"")</f>
        <v/>
      </c>
      <c r="BZ37" s="223" t="str">
        <f>IF(AF39=3,G37,"")</f>
        <v/>
      </c>
      <c r="CA37" s="223" t="str">
        <f>IF(AF39=4,G37,"")</f>
        <v/>
      </c>
      <c r="CB37" s="223" t="str">
        <f>IF(AF39=5,G37,"")</f>
        <v/>
      </c>
      <c r="CC37" s="223" t="str">
        <f>IF(AF39=6,G37,"")</f>
        <v/>
      </c>
      <c r="CD37" s="223" t="str">
        <f>IF(AF39=7,G37,"")</f>
        <v/>
      </c>
      <c r="CE37" s="223" t="str">
        <f>IF(AF39=8,G37,"")</f>
        <v/>
      </c>
      <c r="CF37" s="223" t="str">
        <f>IF(AF39=9,G37,"")</f>
        <v/>
      </c>
      <c r="CG37" s="223" t="str">
        <f>IF(AF39=10,G37,"")</f>
        <v/>
      </c>
      <c r="CH37" s="223" t="str">
        <f>IF(AF39=11,G37,"")</f>
        <v/>
      </c>
      <c r="CI37" s="223" t="str">
        <f>IF(AF39=12,G37,"")</f>
        <v/>
      </c>
      <c r="CJ37" s="223" t="str">
        <f>IF(AF39=13,G37,"")</f>
        <v/>
      </c>
      <c r="CK37" s="223" t="str">
        <f>IF(AF39=14,G37,"")</f>
        <v/>
      </c>
      <c r="CL37" s="223" t="str">
        <f>IF(AF39=15,G37,"")</f>
        <v/>
      </c>
      <c r="CM37" s="223" t="str">
        <f>IF(AF39=16,G37,"")</f>
        <v/>
      </c>
      <c r="CN37" s="223" t="str">
        <f>IF(AF39=17,G37,"")</f>
        <v/>
      </c>
      <c r="CO37" s="223" t="str">
        <f>IF(AF39=18,G37,"")</f>
        <v/>
      </c>
      <c r="CP37" s="223" t="str">
        <f>IF(AF39=19,G37,"")</f>
        <v/>
      </c>
      <c r="CQ37" s="223" t="str">
        <f>IF(AF39=20,G37,"")</f>
        <v/>
      </c>
      <c r="CR37" s="223" t="str">
        <f>IF(AF39=21,G37,"")</f>
        <v/>
      </c>
      <c r="CS37" s="419">
        <f>IF(K42=1,G37,"")</f>
        <v>1000</v>
      </c>
      <c r="CT37" s="223" t="str">
        <f>IF(K42=2,G37,"")</f>
        <v/>
      </c>
      <c r="CU37" s="223" t="str">
        <f>IF(K42=3,G37,"")</f>
        <v/>
      </c>
      <c r="CV37" s="223" t="str">
        <f>IF(K42=4,G37,"")</f>
        <v/>
      </c>
      <c r="CW37" s="223" t="str">
        <f>IF(K42=5,G37,"")</f>
        <v/>
      </c>
      <c r="CX37" s="223" t="str">
        <f>IF(K42=6,G37,"")</f>
        <v/>
      </c>
      <c r="CY37" s="223" t="str">
        <f>IF(K42=7,G37,"")</f>
        <v/>
      </c>
      <c r="CZ37" s="223" t="str">
        <f>IF(K42=8,G37,"")</f>
        <v/>
      </c>
      <c r="DA37" s="223" t="str">
        <f>IF(K42=9,G37,"")</f>
        <v/>
      </c>
      <c r="DB37" s="223" t="str">
        <f>IF(K42=10,G37,"")</f>
        <v/>
      </c>
      <c r="DC37" s="223" t="str">
        <f>IF(K42=11,G37,"")</f>
        <v/>
      </c>
      <c r="DD37" s="223" t="str">
        <f>IF(K42=12,G37,"")</f>
        <v/>
      </c>
      <c r="DE37" s="223" t="str">
        <f>IF(K42=13,G37,"")</f>
        <v/>
      </c>
      <c r="DF37" s="223" t="str">
        <f>IF(K42=14,G37,"")</f>
        <v/>
      </c>
      <c r="DG37" s="223" t="str">
        <f>IF(K42=15,G37,"")</f>
        <v/>
      </c>
      <c r="DH37" s="223" t="str">
        <f>IF(K42=16,G37,"")</f>
        <v/>
      </c>
      <c r="DI37" s="223" t="str">
        <f>IF(K42=17,G37,"")</f>
        <v/>
      </c>
      <c r="DJ37" s="223" t="str">
        <f>IF(K42=18,G37,"")</f>
        <v/>
      </c>
      <c r="DK37" s="223" t="str">
        <f>IF(K42=19,G37,"")</f>
        <v/>
      </c>
      <c r="DL37" s="223" t="str">
        <f>IF(K42=20,G37,"")</f>
        <v/>
      </c>
      <c r="DM37" s="223"/>
      <c r="DN37" s="223"/>
      <c r="DO37" s="419" t="str">
        <f>IF(AG39=1,G37,"")</f>
        <v/>
      </c>
      <c r="DP37" s="223" t="str">
        <f>IF(AG39=2,G37,"")</f>
        <v/>
      </c>
      <c r="DQ37" s="223" t="str">
        <f>IF(AG39=3,G37,"")</f>
        <v/>
      </c>
      <c r="DR37" s="223" t="str">
        <f>IF(AG39=4,G37,"")</f>
        <v/>
      </c>
      <c r="DS37" s="223" t="str">
        <f>IF(AG39=5,G37,"")</f>
        <v/>
      </c>
      <c r="DT37" s="223" t="str">
        <f>IF(AG39=6,G37,"")</f>
        <v/>
      </c>
      <c r="DU37" s="223" t="str">
        <f>IF(AG39=7,G37,"")</f>
        <v/>
      </c>
      <c r="DV37" s="223" t="str">
        <f>IF(AG39=8,G37,"")</f>
        <v/>
      </c>
      <c r="DW37" s="136" t="str">
        <f>IF(AG39=9,G37,"")</f>
        <v/>
      </c>
      <c r="DX37" s="136" t="str">
        <f>IF(AG39=10,G37,"")</f>
        <v/>
      </c>
      <c r="DY37" s="136" t="str">
        <f>IF(AG39=11,G37,"")</f>
        <v/>
      </c>
      <c r="DZ37" s="136" t="str">
        <f>IF(AG39=12,G37,"")</f>
        <v/>
      </c>
      <c r="EA37" s="136" t="str">
        <f>IF(AG39=13,G37,"")</f>
        <v/>
      </c>
      <c r="EB37" s="136" t="str">
        <f>IF(AG39=14,G37,"")</f>
        <v/>
      </c>
      <c r="EC37" s="317" t="str">
        <f>IF(AG39=15,G37,"")</f>
        <v/>
      </c>
      <c r="ED37" s="136" t="str">
        <f>IF(AG39=16,G37,"")</f>
        <v/>
      </c>
      <c r="EE37" s="136" t="str">
        <f>IF(AG39=17,G37,"")</f>
        <v/>
      </c>
      <c r="EF37" s="136" t="str">
        <f>IF(AG39=18,G37,"")</f>
        <v/>
      </c>
      <c r="EG37" s="136" t="str">
        <f>IF(AG39=19,G37,"")</f>
        <v/>
      </c>
      <c r="EH37" s="136" t="str">
        <f>IF(AG39=20,G37,"")</f>
        <v/>
      </c>
      <c r="EI37" s="136">
        <f>IF(AG39=21,G37,"")</f>
        <v>1000</v>
      </c>
      <c r="EJ37" s="136" t="str">
        <f>IF(AG39=22,G37,"")</f>
        <v/>
      </c>
      <c r="EK37" s="136" t="str">
        <f>IF(AG39=23,G37,"")</f>
        <v/>
      </c>
      <c r="EL37" s="136" t="str">
        <f>IF(AG39=24,G37,"")</f>
        <v/>
      </c>
      <c r="EM37" s="136" t="str">
        <f>IF(AG39=25,G37,"")</f>
        <v/>
      </c>
      <c r="EN37" s="136" t="str">
        <f>IF(AG39=26,G37,"")</f>
        <v/>
      </c>
      <c r="EO37" s="136" t="str">
        <f>IF(AG39=27,G37,"")</f>
        <v/>
      </c>
      <c r="EP37" s="136" t="str">
        <f>IF(AG39=28,G37,"")</f>
        <v/>
      </c>
      <c r="EQ37" s="136" t="str">
        <f>IF(AG39=29,G37,"")</f>
        <v/>
      </c>
      <c r="ER37" s="136" t="str">
        <f>IF(AG39=30,G37,"")</f>
        <v/>
      </c>
      <c r="ES37" s="136" t="str">
        <f>IF(AG39=31,G37,"")</f>
        <v/>
      </c>
      <c r="ET37" s="136" t="str">
        <f>IF(AG39=32,G37,"")</f>
        <v/>
      </c>
      <c r="EU37" s="136" t="str">
        <f>IF(AG39=33,G37,"")</f>
        <v/>
      </c>
      <c r="EV37" s="136" t="str">
        <f>IF(AG39=34,G37,"")</f>
        <v/>
      </c>
      <c r="EW37" s="136" t="str">
        <f>IF(AG39=35,G37,"")</f>
        <v/>
      </c>
      <c r="EX37" s="136" t="str">
        <f>IF(AG39=36,G37,"")</f>
        <v/>
      </c>
      <c r="EY37" s="136" t="str">
        <f>IF(AG39=37,G37,"")</f>
        <v/>
      </c>
      <c r="EZ37" s="136" t="str">
        <f>IF(AG39=38,G37,"")</f>
        <v/>
      </c>
      <c r="FA37" s="136" t="str">
        <f>IF(AG39=39,G37,"")</f>
        <v/>
      </c>
      <c r="FB37" s="136" t="str">
        <f>IF(AG39=40,G37,"")</f>
        <v/>
      </c>
      <c r="FC37" s="136" t="str">
        <f>IF(AG39=41,G37,"")</f>
        <v/>
      </c>
      <c r="FD37" s="136" t="str">
        <f>IF(AG39=42,G37,"")</f>
        <v/>
      </c>
      <c r="FE37" s="136" t="str">
        <f>IF(AG39=43,G37,"")</f>
        <v/>
      </c>
      <c r="FF37" s="136" t="str">
        <f>IF(AG39=44,G37,"")</f>
        <v/>
      </c>
      <c r="FG37" s="136" t="str">
        <f>IF(AG39=45,G37,"")</f>
        <v/>
      </c>
      <c r="FH37" s="136" t="str">
        <f>IF(AG39=46,G37,"")</f>
        <v/>
      </c>
      <c r="FI37" s="136" t="str">
        <f>IF(AG39=47,G37,"")</f>
        <v/>
      </c>
      <c r="FJ37" s="136" t="str">
        <f>IF(AG39=48,G37,"")</f>
        <v/>
      </c>
      <c r="FK37" s="136" t="str">
        <f>IF(AG39=49,G37,"")</f>
        <v/>
      </c>
      <c r="FL37" s="136" t="str">
        <f>IF(AG39=50,G37,"")</f>
        <v/>
      </c>
      <c r="FM37" s="136" t="str">
        <f>IF(AG39=51,G37,"")</f>
        <v/>
      </c>
      <c r="FN37" s="136" t="str">
        <f>IF(AG39=52,G37,"")</f>
        <v/>
      </c>
      <c r="FO37" s="136" t="str">
        <f>IF(AG39=53,G37,"")</f>
        <v/>
      </c>
      <c r="FP37" s="136" t="str">
        <f>IF(AG39=54,G37,"")</f>
        <v/>
      </c>
      <c r="FQ37" s="136" t="str">
        <f>IF(AG39=55,G37,"")</f>
        <v/>
      </c>
      <c r="FR37" s="412" t="str">
        <f>IF(AG39=56,G37,"")</f>
        <v/>
      </c>
      <c r="FS37" s="412" t="str">
        <f>IF(AG39=57,G37,"")</f>
        <v/>
      </c>
      <c r="FT37" s="412" t="str">
        <f>IF(AG39=58,G37,"")</f>
        <v/>
      </c>
      <c r="FU37" s="412" t="str">
        <f>IF(AG39=59,G37,"")</f>
        <v/>
      </c>
      <c r="FV37" s="412" t="str">
        <f>IF(AG39=60,G37,"")</f>
        <v/>
      </c>
      <c r="FW37" s="412" t="str">
        <f>IF(AG39=61,G37,"")</f>
        <v/>
      </c>
      <c r="FX37" s="412" t="str">
        <f>IF(AG39=62,G37,"")</f>
        <v/>
      </c>
      <c r="FY37" s="412" t="str">
        <f>IF(AG39=63,G37,"")</f>
        <v/>
      </c>
      <c r="FZ37" s="412" t="str">
        <f>IF(AG39=64,G37,"")</f>
        <v/>
      </c>
      <c r="GA37" s="412" t="str">
        <f>IF(AG39=65,G37,"")</f>
        <v/>
      </c>
      <c r="GB37" s="412" t="str">
        <f>IF(AG39=66,G37,"")</f>
        <v/>
      </c>
      <c r="GC37" s="412" t="str">
        <f>IF(AG39=67,G37,"")</f>
        <v/>
      </c>
      <c r="GD37" s="412" t="str">
        <f>IF(AG39=68,G37,"")</f>
        <v/>
      </c>
      <c r="GE37" s="412" t="str">
        <f>IF(AG39=69,G37,"")</f>
        <v/>
      </c>
      <c r="GF37" s="412" t="str">
        <f>IF(AG39=70,G37,"")</f>
        <v/>
      </c>
      <c r="GG37" s="412" t="str">
        <f>IF(AG39=71,G37,"")</f>
        <v/>
      </c>
      <c r="GH37" s="412" t="str">
        <f>IF(AG39=72,G37,"")</f>
        <v/>
      </c>
      <c r="GI37" s="412" t="str">
        <f>IF(AG39=73,G37,"")</f>
        <v/>
      </c>
      <c r="GJ37" s="412" t="str">
        <f>IF(AG39=74,G37,"")</f>
        <v/>
      </c>
      <c r="GK37" s="412" t="str">
        <f>IF(AG39=75,G37,"")</f>
        <v/>
      </c>
      <c r="GL37" s="412" t="str">
        <f>IF(AG39=76,G37,"")</f>
        <v/>
      </c>
      <c r="GM37" s="412" t="str">
        <f>IF(AG39=77,G37,"")</f>
        <v/>
      </c>
      <c r="GN37" s="412" t="str">
        <f>IF(AG39=78,G37,"")</f>
        <v/>
      </c>
      <c r="GO37" s="412" t="str">
        <f>IF(AG39=79,G37,"")</f>
        <v/>
      </c>
      <c r="GP37" s="412" t="str">
        <f>IF(AG39=80,G37,"")</f>
        <v/>
      </c>
      <c r="GQ37" s="412" t="str">
        <f>IF(AG39=81,G37,"")</f>
        <v/>
      </c>
      <c r="GR37" s="412" t="str">
        <f>IF(AG39=82,G37,"")</f>
        <v/>
      </c>
      <c r="GS37" s="412" t="str">
        <f>IF(AG39=83,G37,"")</f>
        <v/>
      </c>
      <c r="GT37" s="412" t="str">
        <f>IF(AG39=84,G37,"")</f>
        <v/>
      </c>
      <c r="GU37" s="412"/>
      <c r="GV37" s="412"/>
      <c r="GW37" s="412"/>
      <c r="GX37" s="412"/>
      <c r="GY37" s="412"/>
      <c r="GZ37" s="412"/>
      <c r="HA37" s="412" t="str">
        <f>IF(AG39=91,G37,"")</f>
        <v/>
      </c>
      <c r="HB37" s="412" t="str">
        <f>IF(AG39=92,G37,"")</f>
        <v/>
      </c>
      <c r="HC37" s="412"/>
      <c r="HD37" s="412"/>
      <c r="HE37" s="412"/>
      <c r="HF37" s="412"/>
      <c r="HG37" s="412"/>
      <c r="HH37" s="412"/>
      <c r="HI37" s="412"/>
      <c r="HJ37" s="412"/>
      <c r="HK37" s="412"/>
      <c r="HL37" s="412"/>
      <c r="HM37" s="412"/>
      <c r="HN37" s="412"/>
      <c r="HO37" s="412"/>
      <c r="HP37" s="412"/>
      <c r="HQ37" s="412"/>
      <c r="HR37" s="412"/>
      <c r="HS37" s="412"/>
      <c r="HT37" s="412"/>
      <c r="HU37" s="278">
        <f ca="1">IF(AF39=1,AB37,"")</f>
        <v>959.536873729131</v>
      </c>
      <c r="HV37" s="277" t="str">
        <f>IF(AF39=2,AB37,"")</f>
        <v/>
      </c>
      <c r="HW37" s="277" t="str">
        <f>IF(AF39=3,AB37,"")</f>
        <v/>
      </c>
      <c r="HX37" s="277" t="str">
        <f>IF(AF39=4,AB37,"")</f>
        <v/>
      </c>
      <c r="HY37" s="277" t="str">
        <f>IF(AF39=5,AB37,"")</f>
        <v/>
      </c>
      <c r="HZ37" s="277" t="str">
        <f>IF(AF39=6,AB37,"")</f>
        <v/>
      </c>
      <c r="IA37" s="277" t="str">
        <f>IF(AF39=7,AB37,"")</f>
        <v/>
      </c>
      <c r="IB37" s="277" t="str">
        <f>IF(AF39=8,AB37,"")</f>
        <v/>
      </c>
      <c r="IC37" s="277" t="str">
        <f>IF(AF39=9,AB37,"")</f>
        <v/>
      </c>
      <c r="ID37" s="412" t="str">
        <f>IF(AF39=10,AB37,"")</f>
        <v/>
      </c>
      <c r="IE37" s="223" t="str">
        <f>IF(AF39=11,AB37,"")</f>
        <v/>
      </c>
      <c r="IF37" s="223" t="str">
        <f>IF(AF39=12,AB37,"")</f>
        <v/>
      </c>
      <c r="IG37" s="223" t="str">
        <f>IF(AF39=13,AB37,"")</f>
        <v/>
      </c>
      <c r="IH37" s="223" t="str">
        <f>IF(AF39=14,AB37,"")</f>
        <v/>
      </c>
      <c r="II37" s="223" t="str">
        <f>IF(AF39=15,AB37,"")</f>
        <v/>
      </c>
      <c r="IJ37" s="223" t="str">
        <f>IF(AF39=16,AB37,"")</f>
        <v/>
      </c>
      <c r="IK37" s="223" t="str">
        <f>IF(AF39=17,AB37,"")</f>
        <v/>
      </c>
      <c r="IL37" s="223" t="str">
        <f>IF(AF39=18,AB37,"")</f>
        <v/>
      </c>
      <c r="IM37" s="223" t="str">
        <f>IF(AF39=19,AB37,"")</f>
        <v/>
      </c>
      <c r="IN37" s="223" t="str">
        <f>IF(AF39=20,AB37,"")</f>
        <v/>
      </c>
      <c r="IO37" s="223" t="str">
        <f>IF(AF39=21,AB37,"")</f>
        <v/>
      </c>
      <c r="IP37" s="413"/>
      <c r="IQ37" s="478" t="str">
        <f>IF(G42=6,G37,"")</f>
        <v/>
      </c>
      <c r="IR37" s="317" t="str">
        <f>IF(G42=7,G37,"")</f>
        <v/>
      </c>
      <c r="IS37" s="478" t="str">
        <f>IF(G42=8,G37,"")</f>
        <v/>
      </c>
      <c r="IT37" s="317" t="str">
        <f>IF(G42=9,G37,"")</f>
        <v/>
      </c>
      <c r="IU37" s="478" t="str">
        <f>IF(G42=10,G37,"")</f>
        <v/>
      </c>
      <c r="IV37" s="478" t="str">
        <f>IF(G42=11,G37,"")</f>
        <v/>
      </c>
      <c r="IW37" s="478" t="str">
        <f>IF(G42=12,G37,"")</f>
        <v/>
      </c>
      <c r="IX37" s="478" t="str">
        <f>IF(G42=13,G37,"")</f>
        <v/>
      </c>
      <c r="IY37" s="478" t="str">
        <f>IF(G42=14,G37,"")</f>
        <v/>
      </c>
      <c r="IZ37" s="478" t="str">
        <f>IF(G42=15,G37,"")</f>
        <v/>
      </c>
      <c r="JA37" s="478">
        <f>IF(G42=16,G37,"")</f>
        <v>1000</v>
      </c>
      <c r="JB37" s="478" t="str">
        <f>IF(G42=17,G37,"")</f>
        <v/>
      </c>
      <c r="JC37" s="478" t="str">
        <f>IF(G42=19,G37,"")</f>
        <v/>
      </c>
      <c r="JD37" s="478" t="str">
        <f>IF(G42=20,G37,"")</f>
        <v/>
      </c>
      <c r="JE37" s="478" t="str">
        <f>IF(G42=21,G37,"")</f>
        <v/>
      </c>
      <c r="JF37" s="478" t="str">
        <f>IF(G42=22,G37,"")</f>
        <v/>
      </c>
      <c r="JG37" s="478" t="str">
        <f>IF(G42=23,G37,"")</f>
        <v/>
      </c>
      <c r="JH37" s="478" t="str">
        <f>IF(G42=24,G37,"")</f>
        <v/>
      </c>
      <c r="JI37" s="478" t="str">
        <f>IF(G42=25,G37,"")</f>
        <v/>
      </c>
      <c r="JJ37" s="478" t="str">
        <f>IF(G42=26,G37,"")</f>
        <v/>
      </c>
      <c r="JK37" s="478" t="str">
        <f>IF(G42=27,G37,"")</f>
        <v/>
      </c>
      <c r="JL37" s="478" t="str">
        <f>IF(G42=28,G37,"")</f>
        <v/>
      </c>
      <c r="JM37" s="478" t="str">
        <f>IF(G42=29,G37,"")</f>
        <v/>
      </c>
      <c r="JN37" s="478" t="str">
        <f>IF(G42=30,G37,"")</f>
        <v/>
      </c>
      <c r="JO37" s="478"/>
      <c r="JP37" s="481">
        <f>IF(AND(AJ41=4,K42=1,G42&lt;=3),G37,0)</f>
        <v>0</v>
      </c>
      <c r="JQ37" s="445" t="str">
        <f>IF(AF39=2,G37*E38,"")</f>
        <v/>
      </c>
      <c r="JR37" s="544" t="str">
        <f>IF(AF39&gt;1,((A43/F38)-(A43/E38)),"")</f>
        <v/>
      </c>
      <c r="JS37" s="543" t="str">
        <f>IF(AF39=2,((A43/F38)-(A43/E38)),"")</f>
        <v/>
      </c>
      <c r="JT37" s="543" t="str">
        <f>IF(AF39=3,((A43/F38)-(A43/E38)),"")</f>
        <v/>
      </c>
      <c r="JU37" s="543" t="str">
        <f>IF(AF39=4,((A43/F38)-(A43/E38)),"")</f>
        <v/>
      </c>
      <c r="JV37" s="543" t="str">
        <f>IF(AF39=5,((A43/F38)-(A43/E38)),"")</f>
        <v/>
      </c>
      <c r="JW37" s="543" t="str">
        <f>IF(AF39=6,((A43/F38)-(A43/E38)),"")</f>
        <v/>
      </c>
      <c r="JX37" s="543" t="str">
        <f>IF(AF39=7,((A43/F38)-(A43/E38)),"")</f>
        <v/>
      </c>
      <c r="JY37" s="542" t="str">
        <f>IF(AF39=8,((A43/F38)-(A43/E38)),"")</f>
        <v/>
      </c>
      <c r="JZ37" s="542" t="str">
        <f>IF(AF39=9,((A43/F38)-(A43/E38)),"")</f>
        <v/>
      </c>
      <c r="KA37" s="542" t="str">
        <f>IF(AF39=10,((A43/F38)-(A43/E38)),"")</f>
        <v/>
      </c>
      <c r="KB37" s="542" t="str">
        <f>IF(AF39=11,((A43/F38)-(A43/E38)),"")</f>
        <v/>
      </c>
      <c r="KC37" s="542" t="str">
        <f>IF(AF39=12,((A43/F38)-(A43/E38)),"")</f>
        <v/>
      </c>
      <c r="KD37" s="542" t="str">
        <f>IF(AF39=13,((A43/F38)-(A43/E38)),"")</f>
        <v/>
      </c>
      <c r="KE37" s="542" t="str">
        <f>IF(AF39=14,((A43/F38)-(A43/E38)),"")</f>
        <v/>
      </c>
      <c r="KF37" s="542" t="str">
        <f>IF(AF39=15,((A43/F38)-(A43/E38)),"")</f>
        <v/>
      </c>
      <c r="KG37" s="542" t="str">
        <f>IF(AF39=16,((A43/F38)-(A43/E38)),"")</f>
        <v/>
      </c>
      <c r="KH37" s="542" t="str">
        <f>IF(AF39=17,((A43/F38)-(A43/E38)),"")</f>
        <v/>
      </c>
      <c r="KI37" s="542" t="str">
        <f>IF(AF39=18,((A43/F38)-(A43/E38)),"")</f>
        <v/>
      </c>
      <c r="KJ37" s="542" t="str">
        <f>IF(AF39=19,((A43/F38)-(A43/E38)),"")</f>
        <v/>
      </c>
      <c r="KK37" s="542" t="str">
        <f>IF(AF39=20,((A43/F38)-(A43/E38)),"")</f>
        <v/>
      </c>
      <c r="KL37" s="542" t="str">
        <f>IF(AF39=21,((A43/F38)-(A43/E38)),"")</f>
        <v/>
      </c>
      <c r="KM37" s="478"/>
      <c r="KN37" s="478"/>
      <c r="KO37" s="478"/>
      <c r="KP37" s="478"/>
    </row>
    <row r="38" spans="1:302" s="1" customFormat="1" ht="11.1" customHeight="1">
      <c r="B38" s="541" t="s">
        <v>450</v>
      </c>
      <c r="C38" s="933"/>
      <c r="D38" s="828">
        <f>IF(WEEKDAY(D37,2)=4,D37+4,IF(WEEKDAY(D37,2)=5,D37+4,D37+2))</f>
        <v>44518</v>
      </c>
      <c r="E38" s="765"/>
      <c r="F38" s="460"/>
      <c r="G38" s="383"/>
      <c r="H38" s="383"/>
      <c r="I38" s="434"/>
      <c r="J38" s="383"/>
      <c r="K38" s="384"/>
      <c r="L38" s="722"/>
      <c r="M38" s="720"/>
      <c r="N38" s="720"/>
      <c r="O38" s="223"/>
      <c r="P38" s="540"/>
      <c r="Q38" s="539"/>
      <c r="R38" s="539"/>
      <c r="S38" s="4"/>
      <c r="T38" s="431"/>
      <c r="U38" s="469"/>
      <c r="V38" s="4"/>
      <c r="W38" s="469"/>
      <c r="X38" s="442"/>
      <c r="Y38" s="456"/>
      <c r="Z38" s="456"/>
      <c r="AA38" s="22"/>
      <c r="AB38" s="360"/>
      <c r="AC38" s="383"/>
      <c r="AD38" s="825">
        <f>IF(E38="",((P37-E37)/E37),((P37-E37)/E37)+(((1/F38)-(1/E38))/(1/E38)))</f>
        <v>-7.4425005019559086E-3</v>
      </c>
      <c r="AE38" s="383"/>
      <c r="AF38" s="279" t="s">
        <v>65</v>
      </c>
      <c r="AG38" s="824"/>
      <c r="AH38" s="993" t="s">
        <v>177</v>
      </c>
      <c r="AI38" s="954"/>
      <c r="AJ38" s="824"/>
      <c r="AK38" s="538"/>
      <c r="AL38" s="22">
        <v>100</v>
      </c>
      <c r="AM38" s="537" t="s">
        <v>184</v>
      </c>
      <c r="AN38" s="179">
        <v>3.5</v>
      </c>
      <c r="AO38" s="179">
        <f>IF(B42=2,"0",AO37*-(100-F41)/100)</f>
        <v>-0.128219</v>
      </c>
      <c r="AP38" s="463">
        <f>IF(AP39&lt;0,0,AP39*-(100-F41)/100)</f>
        <v>0</v>
      </c>
      <c r="AQ38" s="179"/>
      <c r="AR38" s="179">
        <f>AR41*-(100-F42)/100</f>
        <v>-5.85</v>
      </c>
      <c r="AS38" s="471">
        <f>-AP37+AS41+(F37/365*AN41*F42/100)*G37</f>
        <v>120.99591995235603</v>
      </c>
      <c r="AT38" s="419"/>
      <c r="AU38" s="420"/>
      <c r="AV38" s="223"/>
      <c r="AW38" s="420"/>
      <c r="AX38" s="417"/>
      <c r="AY38" s="420"/>
      <c r="AZ38" s="223"/>
      <c r="BA38" s="419"/>
      <c r="BB38" s="223"/>
      <c r="BC38" s="223"/>
      <c r="BD38" s="223"/>
      <c r="BE38" s="223"/>
      <c r="BF38" s="416"/>
      <c r="BG38" s="418"/>
      <c r="BH38" s="416"/>
      <c r="BI38" s="416"/>
      <c r="BJ38" s="416"/>
      <c r="BK38" s="418"/>
      <c r="BL38" s="417"/>
      <c r="BM38" s="417"/>
      <c r="BN38" s="417"/>
      <c r="BO38" s="417"/>
      <c r="BP38" s="417"/>
      <c r="BQ38" s="417"/>
      <c r="BR38" s="417"/>
      <c r="BS38" s="417"/>
      <c r="BT38" s="412"/>
      <c r="BU38" s="412"/>
      <c r="BV38" s="412"/>
      <c r="BW38" s="412"/>
      <c r="BX38" s="415"/>
      <c r="BY38" s="389"/>
      <c r="BZ38" s="389"/>
      <c r="CA38" s="389"/>
      <c r="CB38" s="389"/>
      <c r="CC38" s="389"/>
      <c r="CD38" s="389"/>
      <c r="CE38" s="389"/>
      <c r="CF38" s="389"/>
      <c r="CG38" s="389"/>
      <c r="CH38" s="389"/>
      <c r="CI38" s="389"/>
      <c r="CJ38" s="389"/>
      <c r="CK38" s="389"/>
      <c r="CL38" s="389"/>
      <c r="CM38" s="389"/>
      <c r="CN38" s="389"/>
      <c r="CO38" s="389"/>
      <c r="CP38" s="389"/>
      <c r="CQ38" s="389"/>
      <c r="CR38" s="389"/>
      <c r="CS38" s="415"/>
      <c r="CT38" s="389"/>
      <c r="CU38" s="389"/>
      <c r="CV38" s="389"/>
      <c r="CW38" s="389"/>
      <c r="CX38" s="389"/>
      <c r="CY38" s="389"/>
      <c r="CZ38" s="389"/>
      <c r="DA38" s="389"/>
      <c r="DB38" s="389"/>
      <c r="DC38" s="389"/>
      <c r="DD38" s="389"/>
      <c r="DE38" s="389"/>
      <c r="DF38" s="389"/>
      <c r="DG38" s="389"/>
      <c r="DH38" s="389"/>
      <c r="DI38" s="389"/>
      <c r="DJ38" s="389"/>
      <c r="DK38" s="389"/>
      <c r="DL38" s="389"/>
      <c r="DM38" s="389"/>
      <c r="DN38" s="389"/>
      <c r="DO38" s="414"/>
      <c r="DP38" s="39"/>
      <c r="DQ38" s="39"/>
      <c r="DR38" s="39"/>
      <c r="DS38" s="39"/>
      <c r="DT38" s="39"/>
      <c r="DU38" s="39"/>
      <c r="DV38" s="39"/>
      <c r="DW38" s="39"/>
      <c r="DX38" s="39"/>
      <c r="DY38" s="39"/>
      <c r="DZ38" s="39"/>
      <c r="EA38" s="39"/>
      <c r="EB38" s="39"/>
      <c r="EC38" s="39"/>
      <c r="ED38" s="136"/>
      <c r="EE38" s="136"/>
      <c r="EF38" s="136"/>
      <c r="EG38" s="136"/>
      <c r="EH38" s="136"/>
      <c r="EI38" s="136"/>
      <c r="EJ38" s="136"/>
      <c r="EK38" s="136"/>
      <c r="EL38" s="136"/>
      <c r="EM38" s="136"/>
      <c r="EN38" s="136"/>
      <c r="EO38" s="136"/>
      <c r="EP38" s="136"/>
      <c r="EQ38" s="136"/>
      <c r="ER38" s="136"/>
      <c r="ES38" s="136"/>
      <c r="ET38" s="136"/>
      <c r="EU38" s="136"/>
      <c r="EV38" s="136"/>
      <c r="EW38" s="136"/>
      <c r="EX38" s="136"/>
      <c r="EY38" s="136"/>
      <c r="EZ38" s="136"/>
      <c r="FA38" s="136"/>
      <c r="FB38" s="136"/>
      <c r="FC38" s="136"/>
      <c r="FD38" s="136"/>
      <c r="FE38" s="136"/>
      <c r="FF38" s="136"/>
      <c r="FG38" s="136"/>
      <c r="FH38" s="136"/>
      <c r="FI38" s="136"/>
      <c r="FJ38" s="136"/>
      <c r="FK38" s="136"/>
      <c r="FL38" s="136"/>
      <c r="FM38" s="136"/>
      <c r="FN38" s="136"/>
      <c r="FO38" s="39"/>
      <c r="FP38" s="39"/>
      <c r="FQ38" s="39"/>
      <c r="FR38" s="412"/>
      <c r="FS38" s="412"/>
      <c r="FT38" s="412"/>
      <c r="FU38" s="412"/>
      <c r="FV38" s="412"/>
      <c r="FW38" s="412"/>
      <c r="FX38" s="412"/>
      <c r="FY38" s="412"/>
      <c r="FZ38" s="412"/>
      <c r="GA38" s="412"/>
      <c r="GB38" s="412"/>
      <c r="GC38" s="412"/>
      <c r="GD38" s="412"/>
      <c r="GE38" s="412"/>
      <c r="GF38" s="412"/>
      <c r="GG38" s="412"/>
      <c r="GH38" s="412"/>
      <c r="GI38" s="412"/>
      <c r="GJ38" s="412"/>
      <c r="GK38" s="412"/>
      <c r="GL38" s="412"/>
      <c r="GM38" s="412"/>
      <c r="GN38" s="412"/>
      <c r="GO38" s="412"/>
      <c r="GP38" s="412"/>
      <c r="GQ38" s="412"/>
      <c r="GR38" s="412"/>
      <c r="GS38" s="412"/>
      <c r="GT38" s="412"/>
      <c r="GU38" s="412"/>
      <c r="GV38" s="412"/>
      <c r="GW38" s="412"/>
      <c r="GX38" s="412"/>
      <c r="GY38" s="412"/>
      <c r="GZ38" s="412"/>
      <c r="HA38" s="412"/>
      <c r="HB38" s="412"/>
      <c r="HC38" s="412"/>
      <c r="HD38" s="412"/>
      <c r="HE38" s="412"/>
      <c r="HF38" s="278"/>
      <c r="HG38" s="277"/>
      <c r="HH38" s="277"/>
      <c r="HI38" s="277"/>
      <c r="HJ38" s="277"/>
      <c r="HK38" s="277"/>
      <c r="HL38" s="277"/>
      <c r="HM38" s="277"/>
      <c r="HN38" s="277"/>
      <c r="HO38" s="277"/>
      <c r="HP38" s="277"/>
      <c r="HQ38" s="277"/>
      <c r="HR38" s="277"/>
      <c r="HS38" s="277"/>
      <c r="HT38" s="277"/>
      <c r="HU38" s="277"/>
      <c r="HV38" s="277"/>
      <c r="HW38" s="277"/>
      <c r="HX38" s="277"/>
      <c r="HY38" s="277"/>
      <c r="HZ38" s="277"/>
      <c r="IA38" s="277"/>
      <c r="IB38" s="277"/>
      <c r="IC38" s="412"/>
      <c r="ID38" s="412"/>
      <c r="IE38" s="412"/>
      <c r="IF38" s="412"/>
      <c r="IG38" s="412"/>
      <c r="IH38" s="412"/>
      <c r="II38" s="412"/>
      <c r="IJ38" s="412"/>
      <c r="IK38" s="412"/>
      <c r="IL38" s="412"/>
      <c r="IM38" s="412"/>
      <c r="IN38" s="412"/>
      <c r="IO38" s="413"/>
      <c r="IP38" s="412"/>
      <c r="IQ38" s="389"/>
      <c r="IR38" s="389"/>
      <c r="IS38" s="389"/>
      <c r="IT38" s="389"/>
      <c r="IU38" s="389"/>
      <c r="IV38" s="389"/>
      <c r="IW38" s="389"/>
      <c r="IX38" s="389"/>
      <c r="IY38" s="389"/>
      <c r="IZ38" s="389"/>
      <c r="JA38" s="389"/>
      <c r="JB38" s="389"/>
      <c r="JC38" s="389"/>
      <c r="JD38" s="389"/>
      <c r="JE38" s="389"/>
      <c r="JF38" s="389"/>
      <c r="JG38" s="389"/>
      <c r="JH38" s="389"/>
      <c r="JI38" s="389"/>
      <c r="JJ38" s="389"/>
      <c r="JK38" s="389"/>
      <c r="JL38" s="389"/>
      <c r="JM38" s="389"/>
      <c r="JN38" s="389"/>
      <c r="JO38" s="389"/>
      <c r="JP38" s="389"/>
      <c r="JQ38" s="389"/>
      <c r="JR38" s="389"/>
      <c r="JS38" s="389"/>
      <c r="JT38" s="389"/>
      <c r="JU38" s="389"/>
      <c r="JV38" s="389"/>
      <c r="JW38" s="389"/>
      <c r="JX38" s="389"/>
      <c r="JY38" s="389"/>
      <c r="JZ38" s="389"/>
      <c r="KA38" s="389"/>
      <c r="KB38" s="389"/>
      <c r="KC38" s="389"/>
      <c r="KD38" s="389"/>
      <c r="KE38" s="389"/>
      <c r="KF38" s="389"/>
      <c r="KG38" s="389"/>
      <c r="KH38" s="389"/>
      <c r="KI38" s="389"/>
      <c r="KJ38" s="389"/>
      <c r="KK38" s="389"/>
      <c r="KL38" s="389"/>
      <c r="KM38" s="389"/>
      <c r="KN38" s="389"/>
      <c r="KO38" s="389"/>
      <c r="KP38" s="389"/>
    </row>
    <row r="39" spans="1:302" s="1" customFormat="1" ht="11.1" hidden="1" customHeight="1" outlineLevel="1">
      <c r="A39" s="411"/>
      <c r="B39" s="468">
        <f>VLOOKUP(B37,'[2]IBAN CONTI'!A$53:B$58,2,FALSE)</f>
        <v>6</v>
      </c>
      <c r="C39" s="536"/>
      <c r="D39" s="536"/>
      <c r="E39" s="766">
        <f ca="1">IF(B42=2,C37,COUPNCD($AB$2,C37,K39,AH41))</f>
        <v>45971</v>
      </c>
      <c r="F39" s="431"/>
      <c r="G39" s="431"/>
      <c r="H39" s="431"/>
      <c r="I39" s="528"/>
      <c r="J39" s="431"/>
      <c r="K39" s="67">
        <v>1</v>
      </c>
      <c r="L39" s="833"/>
      <c r="M39" s="845"/>
      <c r="N39" s="845"/>
      <c r="O39" s="136"/>
      <c r="P39" s="470"/>
      <c r="Q39" s="526"/>
      <c r="R39" s="526"/>
      <c r="S39" s="4"/>
      <c r="T39" s="431"/>
      <c r="U39" s="469"/>
      <c r="V39" s="4"/>
      <c r="W39" s="469"/>
      <c r="X39" s="442"/>
      <c r="Y39" s="456"/>
      <c r="Z39" s="456"/>
      <c r="AA39" s="22"/>
      <c r="AB39" s="16"/>
      <c r="AC39" s="431"/>
      <c r="AD39" s="117"/>
      <c r="AE39" s="431"/>
      <c r="AF39" s="468">
        <f>VLOOKUP(AF38,'[2]IBAN CONTI'!A$106:B$122,2,FALSE)</f>
        <v>1</v>
      </c>
      <c r="AG39" s="467">
        <f>VLOOKUP(A37,'[2]IBAN CONTI'!A$134:B$211,2,FALSE)</f>
        <v>21</v>
      </c>
      <c r="AH39" s="993"/>
      <c r="AI39" s="954"/>
      <c r="AJ39" s="990" t="s">
        <v>207</v>
      </c>
      <c r="AK39" s="991"/>
      <c r="AL39" s="22">
        <v>100</v>
      </c>
      <c r="AM39" s="535">
        <f>YEARFRAC(C37,AL37,AH41)</f>
        <v>6.0003912363067284</v>
      </c>
      <c r="AN39" s="456">
        <f>IF(B42=2,0,D38-AL37)</f>
        <v>8</v>
      </c>
      <c r="AO39" s="464">
        <f>IF(B42=2,AL38*(1+AM42)^AM41,AO40+AL38)</f>
        <v>100</v>
      </c>
      <c r="AP39" s="463">
        <f>IF(AF39=1,G37*AO40/100,A43/E38/100*AO40)</f>
        <v>0</v>
      </c>
      <c r="AQ39" s="179"/>
      <c r="AR39" s="179">
        <f>AL42*G37/100</f>
        <v>1000</v>
      </c>
      <c r="AS39" s="462">
        <f>(AR42-AP42)*G37/100</f>
        <v>28.939506100000045</v>
      </c>
      <c r="AT39" s="419"/>
      <c r="AU39" s="420"/>
      <c r="AV39" s="223"/>
      <c r="AW39" s="420"/>
      <c r="AX39" s="417"/>
      <c r="AY39" s="420"/>
      <c r="AZ39" s="223"/>
      <c r="BA39" s="419"/>
      <c r="BB39" s="223"/>
      <c r="BC39" s="223"/>
      <c r="BD39" s="223"/>
      <c r="BE39" s="223"/>
      <c r="BF39" s="416"/>
      <c r="BG39" s="418"/>
      <c r="BH39" s="416"/>
      <c r="BI39" s="416"/>
      <c r="BJ39" s="416"/>
      <c r="BK39" s="418"/>
      <c r="BL39" s="417"/>
      <c r="BM39" s="416"/>
      <c r="BN39" s="416"/>
      <c r="BO39" s="416"/>
      <c r="BP39" s="416"/>
      <c r="BQ39" s="416"/>
      <c r="BR39" s="416"/>
      <c r="BS39" s="416"/>
      <c r="BT39" s="389"/>
      <c r="BU39" s="389"/>
      <c r="BV39" s="389"/>
      <c r="BW39" s="389"/>
      <c r="BX39" s="415"/>
      <c r="BY39" s="389"/>
      <c r="BZ39" s="389"/>
      <c r="CA39" s="389"/>
      <c r="CB39" s="389"/>
      <c r="CC39" s="389"/>
      <c r="CD39" s="389"/>
      <c r="CE39" s="389"/>
      <c r="CF39" s="389"/>
      <c r="CG39" s="389"/>
      <c r="CH39" s="389"/>
      <c r="CI39" s="389"/>
      <c r="CJ39" s="389"/>
      <c r="CK39" s="389"/>
      <c r="CL39" s="389"/>
      <c r="CM39" s="389"/>
      <c r="CN39" s="389"/>
      <c r="CO39" s="389"/>
      <c r="CP39" s="389"/>
      <c r="CQ39" s="389"/>
      <c r="CR39" s="389"/>
      <c r="CS39" s="415"/>
      <c r="CT39" s="389"/>
      <c r="CU39" s="389"/>
      <c r="CV39" s="389"/>
      <c r="CW39" s="389"/>
      <c r="CX39" s="389"/>
      <c r="CY39" s="389"/>
      <c r="CZ39" s="389"/>
      <c r="DA39" s="389"/>
      <c r="DB39" s="389"/>
      <c r="DC39" s="389"/>
      <c r="DD39" s="389"/>
      <c r="DE39" s="389"/>
      <c r="DF39" s="389"/>
      <c r="DG39" s="389"/>
      <c r="DH39" s="389"/>
      <c r="DI39" s="389"/>
      <c r="DJ39" s="389"/>
      <c r="DK39" s="389"/>
      <c r="DL39" s="389"/>
      <c r="DM39" s="389"/>
      <c r="DN39" s="389"/>
      <c r="DO39" s="414"/>
      <c r="DP39" s="39"/>
      <c r="DQ39" s="39"/>
      <c r="DR39" s="39"/>
      <c r="DS39" s="39"/>
      <c r="DT39" s="39"/>
      <c r="DU39" s="39"/>
      <c r="DV39" s="39"/>
      <c r="DW39" s="39"/>
      <c r="DX39" s="39"/>
      <c r="DY39" s="39"/>
      <c r="DZ39" s="39"/>
      <c r="EA39" s="39"/>
      <c r="EB39" s="39"/>
      <c r="EC39" s="39"/>
      <c r="ED39" s="136"/>
      <c r="EE39" s="136"/>
      <c r="EF39" s="136"/>
      <c r="EG39" s="136"/>
      <c r="EH39" s="136"/>
      <c r="EI39" s="136"/>
      <c r="EJ39" s="136"/>
      <c r="EK39" s="136"/>
      <c r="EL39" s="136"/>
      <c r="EM39" s="136"/>
      <c r="EN39" s="136"/>
      <c r="EO39" s="136"/>
      <c r="EP39" s="136"/>
      <c r="EQ39" s="136"/>
      <c r="ER39" s="136"/>
      <c r="ES39" s="136"/>
      <c r="ET39" s="136"/>
      <c r="EU39" s="136"/>
      <c r="EV39" s="136"/>
      <c r="EW39" s="136"/>
      <c r="EX39" s="136"/>
      <c r="EY39" s="136"/>
      <c r="EZ39" s="136"/>
      <c r="FA39" s="136"/>
      <c r="FB39" s="136"/>
      <c r="FC39" s="136"/>
      <c r="FD39" s="136"/>
      <c r="FE39" s="136"/>
      <c r="FF39" s="136"/>
      <c r="FG39" s="136"/>
      <c r="FH39" s="136"/>
      <c r="FI39" s="136"/>
      <c r="FJ39" s="136"/>
      <c r="FK39" s="136"/>
      <c r="FL39" s="136"/>
      <c r="FM39" s="136"/>
      <c r="FN39" s="136"/>
      <c r="FO39" s="39"/>
      <c r="FP39" s="39"/>
      <c r="FQ39" s="39"/>
      <c r="FR39" s="412"/>
      <c r="FS39" s="412"/>
      <c r="FT39" s="412"/>
      <c r="FU39" s="412"/>
      <c r="FV39" s="412"/>
      <c r="FW39" s="412"/>
      <c r="FX39" s="412"/>
      <c r="FY39" s="412"/>
      <c r="FZ39" s="412"/>
      <c r="GA39" s="412"/>
      <c r="GB39" s="412"/>
      <c r="GC39" s="412"/>
      <c r="GD39" s="412"/>
      <c r="GE39" s="412"/>
      <c r="GF39" s="412"/>
      <c r="GG39" s="412"/>
      <c r="GH39" s="412"/>
      <c r="GI39" s="412"/>
      <c r="GJ39" s="412"/>
      <c r="GK39" s="412"/>
      <c r="GL39" s="412"/>
      <c r="GM39" s="412"/>
      <c r="GN39" s="412"/>
      <c r="GO39" s="412"/>
      <c r="GP39" s="412"/>
      <c r="GQ39" s="412"/>
      <c r="GR39" s="412"/>
      <c r="GS39" s="412"/>
      <c r="GT39" s="412"/>
      <c r="GU39" s="412"/>
      <c r="GV39" s="412"/>
      <c r="GW39" s="412"/>
      <c r="GX39" s="412"/>
      <c r="GY39" s="412"/>
      <c r="GZ39" s="412"/>
      <c r="HA39" s="412"/>
      <c r="HB39" s="412"/>
      <c r="HC39" s="412"/>
      <c r="HD39" s="412"/>
      <c r="HE39" s="412"/>
      <c r="HF39" s="278"/>
      <c r="HG39" s="277"/>
      <c r="HH39" s="277"/>
      <c r="HI39" s="277"/>
      <c r="HJ39" s="277"/>
      <c r="HK39" s="277"/>
      <c r="HL39" s="277"/>
      <c r="HM39" s="277"/>
      <c r="HN39" s="277"/>
      <c r="HO39" s="277"/>
      <c r="HP39" s="277"/>
      <c r="HQ39" s="277"/>
      <c r="HR39" s="277"/>
      <c r="HS39" s="277"/>
      <c r="HT39" s="277"/>
      <c r="HU39" s="277"/>
      <c r="HV39" s="277"/>
      <c r="HW39" s="277"/>
      <c r="HX39" s="277"/>
      <c r="HY39" s="277"/>
      <c r="HZ39" s="277"/>
      <c r="IA39" s="277"/>
      <c r="IB39" s="277"/>
      <c r="IC39" s="412"/>
      <c r="ID39" s="412"/>
      <c r="IE39" s="412"/>
      <c r="IF39" s="412"/>
      <c r="IG39" s="412"/>
      <c r="IH39" s="412"/>
      <c r="II39" s="412"/>
      <c r="IJ39" s="412"/>
      <c r="IK39" s="412"/>
      <c r="IL39" s="412"/>
      <c r="IM39" s="412"/>
      <c r="IN39" s="412"/>
      <c r="IO39" s="413"/>
      <c r="IP39" s="412"/>
      <c r="IQ39" s="389"/>
      <c r="IR39" s="389"/>
      <c r="IS39" s="389"/>
      <c r="IT39" s="389"/>
      <c r="IU39" s="389"/>
      <c r="IV39" s="389"/>
      <c r="IW39" s="389"/>
      <c r="IX39" s="389"/>
      <c r="IY39" s="389"/>
      <c r="IZ39" s="389"/>
      <c r="JA39" s="389"/>
      <c r="JB39" s="389"/>
      <c r="JC39" s="389"/>
      <c r="JD39" s="389"/>
      <c r="JE39" s="389"/>
      <c r="JF39" s="389"/>
      <c r="JG39" s="389"/>
      <c r="JH39" s="389"/>
      <c r="JI39" s="389"/>
      <c r="JJ39" s="389"/>
      <c r="JK39" s="389"/>
      <c r="JL39" s="389"/>
      <c r="JM39" s="389"/>
      <c r="JN39" s="389"/>
      <c r="JO39" s="389"/>
      <c r="JP39" s="389"/>
      <c r="JQ39" s="389"/>
      <c r="JR39" s="389"/>
      <c r="JS39" s="389"/>
      <c r="JT39" s="389"/>
      <c r="JU39" s="389"/>
      <c r="JV39" s="389"/>
      <c r="JW39" s="389"/>
      <c r="JX39" s="389"/>
      <c r="JY39" s="389"/>
      <c r="JZ39" s="389"/>
      <c r="KA39" s="389"/>
      <c r="KB39" s="389"/>
      <c r="KC39" s="389"/>
      <c r="KD39" s="389"/>
      <c r="KE39" s="389"/>
      <c r="KF39" s="389"/>
      <c r="KG39" s="389"/>
      <c r="KH39" s="389"/>
      <c r="KI39" s="389"/>
      <c r="KJ39" s="389"/>
      <c r="KK39" s="389"/>
      <c r="KL39" s="389"/>
      <c r="KM39" s="389"/>
      <c r="KN39" s="389"/>
      <c r="KO39" s="389"/>
      <c r="KP39" s="389"/>
    </row>
    <row r="40" spans="1:302" s="1" customFormat="1" ht="11.1" hidden="1" customHeight="1" outlineLevel="1">
      <c r="A40" s="411">
        <v>1</v>
      </c>
      <c r="B40" s="990" t="s">
        <v>183</v>
      </c>
      <c r="C40" s="990"/>
      <c r="D40" s="452">
        <f>COUPPCD(D38,C37,K39,AH41)</f>
        <v>44510</v>
      </c>
      <c r="E40" s="767"/>
      <c r="F40" s="431"/>
      <c r="G40" s="985">
        <v>2027</v>
      </c>
      <c r="H40" s="431"/>
      <c r="I40" s="528"/>
      <c r="J40" s="431"/>
      <c r="K40" s="987" t="s">
        <v>174</v>
      </c>
      <c r="L40" s="833"/>
      <c r="M40" s="845"/>
      <c r="N40" s="845"/>
      <c r="O40" s="136"/>
      <c r="P40" s="527"/>
      <c r="Q40" s="526"/>
      <c r="R40" s="526"/>
      <c r="S40" s="15"/>
      <c r="T40" s="431"/>
      <c r="U40" s="15"/>
      <c r="V40" s="15"/>
      <c r="W40" s="15"/>
      <c r="X40" s="442"/>
      <c r="Y40" s="430"/>
      <c r="Z40" s="430"/>
      <c r="AA40" s="430"/>
      <c r="AB40" s="533"/>
      <c r="AC40" s="431"/>
      <c r="AD40" s="117"/>
      <c r="AE40" s="431"/>
      <c r="AF40" s="446"/>
      <c r="AG40" s="531"/>
      <c r="AH40" s="457"/>
      <c r="AI40" s="457"/>
      <c r="AJ40" s="990"/>
      <c r="AK40" s="991"/>
      <c r="AL40" s="967">
        <f>AL39-AL38</f>
        <v>0</v>
      </c>
      <c r="AM40" s="532">
        <f>C37-AL37</f>
        <v>2191</v>
      </c>
      <c r="AN40" s="530">
        <f>IF(OR(K39&lt;&gt;1,AN39&gt;365),COUPDAYBS(D38,C37,K39,AH41),AN39)</f>
        <v>8</v>
      </c>
      <c r="AO40" s="424">
        <f>IF(B42=2,AO39-AL38,AL40/AM40*AN39)</f>
        <v>0</v>
      </c>
      <c r="AP40" s="455">
        <f>IF(B42=4,FLOOR(F37/K39*AN40/(D41-D40)*100,0.000001),IF(AH41=4,YEARFRAC(D40,D38,0)*F37*100,IF(B42=3,IF(OR(AH41=4,AH41=2),(F39*(AN40))/(360)*100,(F39*(AN40))/(365)*100),FLOOR(F37/K39*AN40/(D41-D40)*100,0.000001))))</f>
        <v>4.9314999999999998E-2</v>
      </c>
      <c r="AQ40" s="454"/>
      <c r="AR40" s="422">
        <f>AL40*G37/100</f>
        <v>0</v>
      </c>
      <c r="AS40" s="422">
        <f>IF(AS39&lt;0,0,AS39*(100-F42)/100)</f>
        <v>7.5242715860000109</v>
      </c>
      <c r="AT40" s="419"/>
      <c r="AU40" s="420"/>
      <c r="AV40" s="223"/>
      <c r="AW40" s="420"/>
      <c r="AX40" s="417"/>
      <c r="AY40" s="420"/>
      <c r="AZ40" s="223"/>
      <c r="BA40" s="419"/>
      <c r="BB40" s="223"/>
      <c r="BC40" s="223"/>
      <c r="BD40" s="223"/>
      <c r="BE40" s="223"/>
      <c r="BF40" s="416"/>
      <c r="BG40" s="418"/>
      <c r="BH40" s="416"/>
      <c r="BI40" s="416"/>
      <c r="BJ40" s="416"/>
      <c r="BK40" s="418"/>
      <c r="BL40" s="417"/>
      <c r="BM40" s="416"/>
      <c r="BN40" s="416"/>
      <c r="BO40" s="416"/>
      <c r="BP40" s="416"/>
      <c r="BQ40" s="416"/>
      <c r="BR40" s="416"/>
      <c r="BS40" s="416"/>
      <c r="BT40" s="389"/>
      <c r="BU40" s="389"/>
      <c r="BV40" s="389"/>
      <c r="BW40" s="389"/>
      <c r="BX40" s="415"/>
      <c r="BY40" s="389"/>
      <c r="BZ40" s="389"/>
      <c r="CA40" s="389"/>
      <c r="CB40" s="389"/>
      <c r="CC40" s="389"/>
      <c r="CD40" s="389"/>
      <c r="CE40" s="389"/>
      <c r="CF40" s="389"/>
      <c r="CG40" s="389"/>
      <c r="CH40" s="389"/>
      <c r="CI40" s="389"/>
      <c r="CJ40" s="389"/>
      <c r="CK40" s="389"/>
      <c r="CL40" s="389"/>
      <c r="CM40" s="389"/>
      <c r="CN40" s="389"/>
      <c r="CO40" s="389"/>
      <c r="CP40" s="389"/>
      <c r="CQ40" s="389"/>
      <c r="CR40" s="389"/>
      <c r="CS40" s="415"/>
      <c r="CT40" s="389"/>
      <c r="CU40" s="389"/>
      <c r="CV40" s="389"/>
      <c r="CW40" s="389"/>
      <c r="CX40" s="389"/>
      <c r="CY40" s="389"/>
      <c r="CZ40" s="389"/>
      <c r="DA40" s="389"/>
      <c r="DB40" s="389"/>
      <c r="DC40" s="389"/>
      <c r="DD40" s="389"/>
      <c r="DE40" s="389"/>
      <c r="DF40" s="389"/>
      <c r="DG40" s="389"/>
      <c r="DH40" s="389"/>
      <c r="DI40" s="389"/>
      <c r="DJ40" s="389"/>
      <c r="DK40" s="389"/>
      <c r="DL40" s="389"/>
      <c r="DM40" s="389"/>
      <c r="DN40" s="389"/>
      <c r="DO40" s="414"/>
      <c r="DP40" s="39"/>
      <c r="DQ40" s="39"/>
      <c r="DR40" s="39"/>
      <c r="DS40" s="39"/>
      <c r="DT40" s="39"/>
      <c r="DU40" s="39"/>
      <c r="DV40" s="39"/>
      <c r="DW40" s="39"/>
      <c r="DX40" s="39"/>
      <c r="DY40" s="39"/>
      <c r="DZ40" s="39"/>
      <c r="EA40" s="39"/>
      <c r="EB40" s="39"/>
      <c r="EC40" s="39"/>
      <c r="ED40" s="136"/>
      <c r="EE40" s="136"/>
      <c r="EF40" s="136"/>
      <c r="EG40" s="136"/>
      <c r="EH40" s="136"/>
      <c r="EI40" s="136"/>
      <c r="EJ40" s="136"/>
      <c r="EK40" s="136"/>
      <c r="EL40" s="136"/>
      <c r="EM40" s="136"/>
      <c r="EN40" s="136"/>
      <c r="EO40" s="136"/>
      <c r="EP40" s="136"/>
      <c r="EQ40" s="136"/>
      <c r="ER40" s="136"/>
      <c r="ES40" s="136"/>
      <c r="ET40" s="136"/>
      <c r="EU40" s="136"/>
      <c r="EV40" s="136"/>
      <c r="EW40" s="136"/>
      <c r="EX40" s="136"/>
      <c r="EY40" s="136"/>
      <c r="EZ40" s="136"/>
      <c r="FA40" s="136"/>
      <c r="FB40" s="136"/>
      <c r="FC40" s="136"/>
      <c r="FD40" s="136"/>
      <c r="FE40" s="136"/>
      <c r="FF40" s="136"/>
      <c r="FG40" s="136"/>
      <c r="FH40" s="136"/>
      <c r="FI40" s="136"/>
      <c r="FJ40" s="136"/>
      <c r="FK40" s="136"/>
      <c r="FL40" s="136"/>
      <c r="FM40" s="136"/>
      <c r="FN40" s="136"/>
      <c r="FO40" s="39"/>
      <c r="FP40" s="39"/>
      <c r="FQ40" s="39"/>
      <c r="FR40" s="412"/>
      <c r="FS40" s="412"/>
      <c r="FT40" s="412"/>
      <c r="FU40" s="412"/>
      <c r="FV40" s="412"/>
      <c r="FW40" s="412"/>
      <c r="FX40" s="412"/>
      <c r="FY40" s="412"/>
      <c r="FZ40" s="412"/>
      <c r="GA40" s="412"/>
      <c r="GB40" s="412"/>
      <c r="GC40" s="412"/>
      <c r="GD40" s="412"/>
      <c r="GE40" s="412"/>
      <c r="GF40" s="412"/>
      <c r="GG40" s="412"/>
      <c r="GH40" s="412"/>
      <c r="GI40" s="412"/>
      <c r="GJ40" s="412"/>
      <c r="GK40" s="412"/>
      <c r="GL40" s="412"/>
      <c r="GM40" s="412"/>
      <c r="GN40" s="412"/>
      <c r="GO40" s="412"/>
      <c r="GP40" s="412"/>
      <c r="GQ40" s="412"/>
      <c r="GR40" s="412"/>
      <c r="GS40" s="412"/>
      <c r="GT40" s="412"/>
      <c r="GU40" s="412"/>
      <c r="GV40" s="412"/>
      <c r="GW40" s="412"/>
      <c r="GX40" s="412"/>
      <c r="GY40" s="412"/>
      <c r="GZ40" s="412"/>
      <c r="HA40" s="412"/>
      <c r="HB40" s="412"/>
      <c r="HC40" s="412"/>
      <c r="HD40" s="412"/>
      <c r="HE40" s="412"/>
      <c r="HF40" s="278"/>
      <c r="HG40" s="277"/>
      <c r="HH40" s="277"/>
      <c r="HI40" s="277"/>
      <c r="HJ40" s="277"/>
      <c r="HK40" s="277"/>
      <c r="HL40" s="277"/>
      <c r="HM40" s="277"/>
      <c r="HN40" s="277"/>
      <c r="HO40" s="277"/>
      <c r="HP40" s="277"/>
      <c r="HQ40" s="277"/>
      <c r="HR40" s="277"/>
      <c r="HS40" s="277"/>
      <c r="HT40" s="277"/>
      <c r="HU40" s="277"/>
      <c r="HV40" s="277"/>
      <c r="HW40" s="277"/>
      <c r="HX40" s="277"/>
      <c r="HY40" s="277"/>
      <c r="HZ40" s="277"/>
      <c r="IA40" s="277"/>
      <c r="IB40" s="277"/>
      <c r="IC40" s="412"/>
      <c r="ID40" s="412"/>
      <c r="IE40" s="412"/>
      <c r="IF40" s="412"/>
      <c r="IG40" s="412"/>
      <c r="IH40" s="412"/>
      <c r="II40" s="412"/>
      <c r="IJ40" s="412"/>
      <c r="IK40" s="412"/>
      <c r="IL40" s="412"/>
      <c r="IM40" s="412"/>
      <c r="IN40" s="412"/>
      <c r="IO40" s="413"/>
      <c r="IP40" s="412"/>
      <c r="IQ40" s="389"/>
      <c r="IR40" s="389"/>
      <c r="IS40" s="389"/>
      <c r="IT40" s="389"/>
      <c r="IU40" s="389"/>
      <c r="IV40" s="389"/>
      <c r="IW40" s="389"/>
      <c r="IX40" s="389"/>
      <c r="IY40" s="389"/>
      <c r="IZ40" s="389"/>
      <c r="JA40" s="389"/>
      <c r="JB40" s="389"/>
      <c r="JC40" s="389"/>
      <c r="JD40" s="389"/>
      <c r="JE40" s="389"/>
      <c r="JF40" s="389"/>
      <c r="JG40" s="389"/>
      <c r="JH40" s="389"/>
      <c r="JI40" s="389"/>
      <c r="JJ40" s="389"/>
      <c r="JK40" s="389"/>
      <c r="JL40" s="389"/>
      <c r="JM40" s="389"/>
      <c r="JN40" s="389"/>
      <c r="JO40" s="389"/>
      <c r="JP40" s="389"/>
      <c r="JQ40" s="389"/>
      <c r="JR40" s="389"/>
      <c r="JS40" s="389"/>
      <c r="JT40" s="389"/>
      <c r="JU40" s="389"/>
      <c r="JV40" s="389"/>
      <c r="JW40" s="389"/>
      <c r="JX40" s="389"/>
      <c r="JY40" s="389"/>
      <c r="JZ40" s="389"/>
      <c r="KA40" s="389"/>
      <c r="KB40" s="389"/>
      <c r="KC40" s="389"/>
      <c r="KD40" s="389"/>
      <c r="KE40" s="389"/>
      <c r="KF40" s="389"/>
      <c r="KG40" s="389"/>
      <c r="KH40" s="389"/>
      <c r="KI40" s="389"/>
      <c r="KJ40" s="389"/>
      <c r="KK40" s="389"/>
      <c r="KL40" s="389"/>
      <c r="KM40" s="389"/>
      <c r="KN40" s="389"/>
      <c r="KO40" s="389"/>
      <c r="KP40" s="389"/>
    </row>
    <row r="41" spans="1:302" s="1" customFormat="1" ht="11.1" hidden="1" customHeight="1" outlineLevel="1">
      <c r="A41" s="411"/>
      <c r="B41" s="990"/>
      <c r="C41" s="990"/>
      <c r="D41" s="452">
        <f>COUPNCD(D38,C37,K39,AH41)</f>
        <v>44875</v>
      </c>
      <c r="E41" s="932" t="s">
        <v>182</v>
      </c>
      <c r="F41" s="451" t="str">
        <f>IF(E42=1,"87,5",IF(D37&lt;40908,87.5,IF(D37&lt;41820,"80","74")))</f>
        <v>74</v>
      </c>
      <c r="G41" s="986"/>
      <c r="H41" s="431"/>
      <c r="I41" s="528"/>
      <c r="J41" s="431"/>
      <c r="K41" s="987"/>
      <c r="L41" s="833"/>
      <c r="M41" s="720"/>
      <c r="N41" s="720"/>
      <c r="O41" s="223"/>
      <c r="P41" s="527"/>
      <c r="Q41" s="526"/>
      <c r="R41" s="526"/>
      <c r="S41" s="15"/>
      <c r="T41" s="431"/>
      <c r="U41" s="15"/>
      <c r="V41" s="15"/>
      <c r="W41" s="15"/>
      <c r="X41" s="442"/>
      <c r="Y41" s="430"/>
      <c r="Z41" s="430"/>
      <c r="AA41" s="430"/>
      <c r="AB41" s="78"/>
      <c r="AC41" s="431"/>
      <c r="AD41" s="117"/>
      <c r="AE41" s="431"/>
      <c r="AF41" s="446"/>
      <c r="AG41" s="531"/>
      <c r="AH41" s="419">
        <f>VLOOKUP(AH38,'[2]IBAN CONTI'!A:B,2,FALSE)</f>
        <v>1</v>
      </c>
      <c r="AI41" s="419"/>
      <c r="AJ41" s="989">
        <f>VLOOKUP(AJ39,'[2]IBAN CONTI'!A$67:B$77,2,FALSE)</f>
        <v>11</v>
      </c>
      <c r="AK41" s="992"/>
      <c r="AL41" s="965">
        <f>AL38</f>
        <v>100</v>
      </c>
      <c r="AM41" s="449">
        <f>IF(B42=1,YEARFRAC(D38,C37,AH41),IF(B42=2,YEARFRAC(AL37,D38,AH41)))</f>
        <v>5.9784820031298898</v>
      </c>
      <c r="AN41" s="530">
        <f>IF(B42=2,0,C37-D38-(365-AN40))</f>
        <v>1826</v>
      </c>
      <c r="AO41" s="424">
        <f>E37-AO40</f>
        <v>96.659390000000002</v>
      </c>
      <c r="AP41" s="447">
        <f>E37+AO42+AP40+0.1</f>
        <v>96.808705000000003</v>
      </c>
      <c r="AQ41" s="446"/>
      <c r="AR41" s="179">
        <f>IF(B42=3,F39*G37,F37*G37)</f>
        <v>22.5</v>
      </c>
      <c r="AS41" s="421">
        <f>AR37-AS40</f>
        <v>1009.1257284139999</v>
      </c>
      <c r="AT41" s="419"/>
      <c r="AU41" s="420"/>
      <c r="AV41" s="223"/>
      <c r="AW41" s="420"/>
      <c r="AX41" s="417"/>
      <c r="AY41" s="420"/>
      <c r="AZ41" s="223"/>
      <c r="BA41" s="419"/>
      <c r="BB41" s="223"/>
      <c r="BC41" s="223"/>
      <c r="BD41" s="223"/>
      <c r="BE41" s="223"/>
      <c r="BF41" s="416"/>
      <c r="BG41" s="418"/>
      <c r="BH41" s="416"/>
      <c r="BI41" s="416"/>
      <c r="BJ41" s="416"/>
      <c r="BK41" s="418"/>
      <c r="BL41" s="417"/>
      <c r="BM41" s="416"/>
      <c r="BN41" s="416"/>
      <c r="BO41" s="416"/>
      <c r="BP41" s="416"/>
      <c r="BQ41" s="416"/>
      <c r="BR41" s="416"/>
      <c r="BS41" s="416"/>
      <c r="BT41" s="389"/>
      <c r="BU41" s="389"/>
      <c r="BV41" s="389"/>
      <c r="BW41" s="389"/>
      <c r="BX41" s="415"/>
      <c r="BY41" s="389"/>
      <c r="BZ41" s="389"/>
      <c r="CA41" s="389"/>
      <c r="CB41" s="389"/>
      <c r="CC41" s="389"/>
      <c r="CD41" s="389"/>
      <c r="CE41" s="389"/>
      <c r="CF41" s="389"/>
      <c r="CG41" s="389"/>
      <c r="CH41" s="389"/>
      <c r="CI41" s="389"/>
      <c r="CJ41" s="389"/>
      <c r="CK41" s="389"/>
      <c r="CL41" s="389"/>
      <c r="CM41" s="389"/>
      <c r="CN41" s="389"/>
      <c r="CO41" s="389"/>
      <c r="CP41" s="389"/>
      <c r="CQ41" s="389"/>
      <c r="CR41" s="389"/>
      <c r="CS41" s="415"/>
      <c r="CT41" s="389"/>
      <c r="CU41" s="389"/>
      <c r="CV41" s="389"/>
      <c r="CW41" s="389"/>
      <c r="CX41" s="389"/>
      <c r="CY41" s="389"/>
      <c r="CZ41" s="389"/>
      <c r="DA41" s="389"/>
      <c r="DB41" s="389"/>
      <c r="DC41" s="389"/>
      <c r="DD41" s="389"/>
      <c r="DE41" s="389"/>
      <c r="DF41" s="389"/>
      <c r="DG41" s="389"/>
      <c r="DH41" s="389"/>
      <c r="DI41" s="389"/>
      <c r="DJ41" s="389"/>
      <c r="DK41" s="389"/>
      <c r="DL41" s="389"/>
      <c r="DM41" s="389"/>
      <c r="DN41" s="389"/>
      <c r="DO41" s="414"/>
      <c r="DP41" s="39"/>
      <c r="DQ41" s="39"/>
      <c r="DR41" s="39"/>
      <c r="DS41" s="136"/>
      <c r="DT41" s="136"/>
      <c r="DU41" s="136"/>
      <c r="DV41" s="136"/>
      <c r="DW41" s="136"/>
      <c r="DX41" s="136"/>
      <c r="DY41" s="136"/>
      <c r="DZ41" s="136"/>
      <c r="EA41" s="136"/>
      <c r="EB41" s="136"/>
      <c r="EC41" s="136"/>
      <c r="ED41" s="136"/>
      <c r="EE41" s="136"/>
      <c r="EF41" s="136"/>
      <c r="EG41" s="136"/>
      <c r="EH41" s="136"/>
      <c r="EI41" s="136"/>
      <c r="EJ41" s="136"/>
      <c r="EK41" s="136"/>
      <c r="EL41" s="136"/>
      <c r="EM41" s="136"/>
      <c r="EN41" s="136"/>
      <c r="EO41" s="136"/>
      <c r="EP41" s="136"/>
      <c r="EQ41" s="136"/>
      <c r="ER41" s="136"/>
      <c r="ES41" s="136"/>
      <c r="ET41" s="136"/>
      <c r="EU41" s="136"/>
      <c r="EV41" s="136"/>
      <c r="EW41" s="136"/>
      <c r="EX41" s="136"/>
      <c r="EY41" s="136"/>
      <c r="EZ41" s="136"/>
      <c r="FA41" s="136"/>
      <c r="FB41" s="136"/>
      <c r="FC41" s="136"/>
      <c r="FD41" s="136"/>
      <c r="FE41" s="136"/>
      <c r="FF41" s="136"/>
      <c r="FG41" s="136"/>
      <c r="FH41" s="136"/>
      <c r="FI41" s="136"/>
      <c r="FJ41" s="136"/>
      <c r="FK41" s="136"/>
      <c r="FL41" s="136"/>
      <c r="FM41" s="136"/>
      <c r="FN41" s="136"/>
      <c r="FO41" s="136"/>
      <c r="FP41" s="136"/>
      <c r="FQ41" s="136"/>
      <c r="FR41" s="412"/>
      <c r="FS41" s="412"/>
      <c r="FT41" s="412"/>
      <c r="FU41" s="412"/>
      <c r="FV41" s="412"/>
      <c r="FW41" s="412"/>
      <c r="FX41" s="412"/>
      <c r="FY41" s="412"/>
      <c r="FZ41" s="412"/>
      <c r="GA41" s="412"/>
      <c r="GB41" s="412"/>
      <c r="GC41" s="412"/>
      <c r="GD41" s="412"/>
      <c r="GE41" s="412"/>
      <c r="GF41" s="412"/>
      <c r="GG41" s="412"/>
      <c r="GH41" s="412"/>
      <c r="GI41" s="412"/>
      <c r="GJ41" s="412"/>
      <c r="GK41" s="412"/>
      <c r="GL41" s="412"/>
      <c r="GM41" s="412"/>
      <c r="GN41" s="412"/>
      <c r="GO41" s="412"/>
      <c r="GP41" s="412"/>
      <c r="GQ41" s="412"/>
      <c r="GR41" s="412"/>
      <c r="GS41" s="412"/>
      <c r="GT41" s="412"/>
      <c r="GU41" s="412"/>
      <c r="GV41" s="412"/>
      <c r="GW41" s="412"/>
      <c r="GX41" s="412"/>
      <c r="GY41" s="412"/>
      <c r="GZ41" s="412"/>
      <c r="HA41" s="412"/>
      <c r="HB41" s="412"/>
      <c r="HC41" s="412"/>
      <c r="HD41" s="412"/>
      <c r="HE41" s="412"/>
      <c r="HF41" s="278"/>
      <c r="HG41" s="277"/>
      <c r="HH41" s="277"/>
      <c r="HI41" s="277"/>
      <c r="HJ41" s="277"/>
      <c r="HK41" s="277"/>
      <c r="HL41" s="277"/>
      <c r="HM41" s="277"/>
      <c r="HN41" s="277"/>
      <c r="HO41" s="277"/>
      <c r="HP41" s="277"/>
      <c r="HQ41" s="277"/>
      <c r="HR41" s="277"/>
      <c r="HS41" s="277"/>
      <c r="HT41" s="277"/>
      <c r="HU41" s="277"/>
      <c r="HV41" s="277"/>
      <c r="HW41" s="277"/>
      <c r="HX41" s="277"/>
      <c r="HY41" s="277"/>
      <c r="HZ41" s="277"/>
      <c r="IA41" s="277"/>
      <c r="IB41" s="277"/>
      <c r="IC41" s="412"/>
      <c r="ID41" s="412"/>
      <c r="IE41" s="412"/>
      <c r="IF41" s="412"/>
      <c r="IG41" s="412"/>
      <c r="IH41" s="412"/>
      <c r="II41" s="412"/>
      <c r="IJ41" s="412"/>
      <c r="IK41" s="412"/>
      <c r="IL41" s="412"/>
      <c r="IM41" s="412"/>
      <c r="IN41" s="412"/>
      <c r="IO41" s="413"/>
      <c r="IP41" s="412"/>
      <c r="IQ41" s="389"/>
      <c r="IR41" s="389"/>
      <c r="IS41" s="389"/>
      <c r="IT41" s="389"/>
      <c r="IU41" s="389"/>
      <c r="IV41" s="389"/>
      <c r="IW41" s="389"/>
      <c r="IX41" s="389"/>
      <c r="IY41" s="389"/>
      <c r="IZ41" s="389"/>
      <c r="JA41" s="389"/>
      <c r="JB41" s="389"/>
      <c r="JC41" s="389"/>
      <c r="JD41" s="389"/>
      <c r="JE41" s="389"/>
      <c r="JF41" s="389"/>
      <c r="JG41" s="389"/>
      <c r="JH41" s="389"/>
      <c r="JI41" s="389"/>
      <c r="JJ41" s="389"/>
      <c r="JK41" s="389"/>
      <c r="JL41" s="389"/>
      <c r="JM41" s="389"/>
      <c r="JN41" s="389"/>
      <c r="JO41" s="389"/>
      <c r="JP41" s="389"/>
      <c r="JQ41" s="389"/>
      <c r="JR41" s="389"/>
      <c r="JS41" s="389"/>
      <c r="JT41" s="389"/>
      <c r="JU41" s="389"/>
      <c r="JV41" s="389"/>
      <c r="JW41" s="389"/>
      <c r="JX41" s="389"/>
      <c r="JY41" s="389"/>
      <c r="JZ41" s="389"/>
      <c r="KA41" s="389"/>
      <c r="KB41" s="389"/>
      <c r="KC41" s="389"/>
      <c r="KD41" s="389"/>
      <c r="KE41" s="389"/>
      <c r="KF41" s="389"/>
      <c r="KG41" s="389"/>
      <c r="KH41" s="389"/>
      <c r="KI41" s="389"/>
      <c r="KJ41" s="389"/>
      <c r="KK41" s="389"/>
      <c r="KL41" s="389"/>
      <c r="KM41" s="389"/>
      <c r="KN41" s="389"/>
      <c r="KO41" s="389"/>
      <c r="KP41" s="389"/>
    </row>
    <row r="42" spans="1:302" s="1" customFormat="1" ht="11.1" hidden="1" customHeight="1" outlineLevel="1">
      <c r="A42" s="529">
        <v>1</v>
      </c>
      <c r="B42" s="989">
        <f>VLOOKUP(B40,'[2]IBAN CONTI'!A$1:B$65562,2,FALSE)</f>
        <v>1</v>
      </c>
      <c r="C42" s="989"/>
      <c r="D42" s="431"/>
      <c r="E42" s="932">
        <f>VLOOKUP(E41,'[2]IBAN CONTI'!A:B,2,FALSE)</f>
        <v>2</v>
      </c>
      <c r="F42" s="444" t="str">
        <f>IF(E42=1,"87,5","74")</f>
        <v>74</v>
      </c>
      <c r="G42" s="443">
        <f>VLOOKUP(G40,'[2]IBAN CONTI'!A$244:B$273,2,FALSE)</f>
        <v>16</v>
      </c>
      <c r="H42" s="431"/>
      <c r="I42" s="528"/>
      <c r="J42" s="431"/>
      <c r="K42" s="433">
        <f>VLOOKUP(K40,'[2]IBAN CONTI'!A$80:B$101,2,FALSE)</f>
        <v>1</v>
      </c>
      <c r="L42" s="833"/>
      <c r="M42" s="720"/>
      <c r="N42" s="720"/>
      <c r="O42" s="223"/>
      <c r="P42" s="527"/>
      <c r="Q42" s="526"/>
      <c r="R42" s="526"/>
      <c r="S42" s="15"/>
      <c r="T42" s="431"/>
      <c r="U42" s="15"/>
      <c r="V42" s="15"/>
      <c r="W42" s="15"/>
      <c r="X42" s="594">
        <f ca="1">X37-$AF$2</f>
        <v>-4698.6850547453723</v>
      </c>
      <c r="Y42" s="430"/>
      <c r="Z42" s="430"/>
      <c r="AA42" s="430"/>
      <c r="AB42" s="78"/>
      <c r="AC42" s="431"/>
      <c r="AD42" s="117"/>
      <c r="AE42" s="431"/>
      <c r="AF42" s="1011">
        <v>-12022.28</v>
      </c>
      <c r="AG42" s="1011"/>
      <c r="AH42" s="54"/>
      <c r="AI42" s="54"/>
      <c r="AJ42" s="441" t="s">
        <v>172</v>
      </c>
      <c r="AK42" s="525">
        <f>VLOOKUP(AJ42,'[2]IBAN CONTI'!A$61:B$64,2,FALSE)</f>
        <v>1</v>
      </c>
      <c r="AL42" s="967">
        <f>AL39-AL40*(100-F42)/100</f>
        <v>100</v>
      </c>
      <c r="AM42" s="524" t="str">
        <f>IF(B42=2,10^((LOG(AL39/AL38))/AM39)-1,"")</f>
        <v/>
      </c>
      <c r="AN42" s="422">
        <f>IF(B42=4,A39*E37/100,IF(AF39=1,G37*E37/100,A43/E38*E37/100))</f>
        <v>966.59389999999996</v>
      </c>
      <c r="AO42" s="425">
        <f>-AO40*(100-F41)/100</f>
        <v>0</v>
      </c>
      <c r="AP42" s="438">
        <f>IF(B42=2,(AN42-AP39+AN37+AN38)/G37*100,(AN42-AP38+AN37+AN38)/G37*100)</f>
        <v>97.106049389999995</v>
      </c>
      <c r="AQ42" s="423"/>
      <c r="AR42" s="422">
        <f>AL38</f>
        <v>100</v>
      </c>
      <c r="AS42" s="421"/>
      <c r="AT42" s="419"/>
      <c r="AU42" s="420"/>
      <c r="AV42" s="223"/>
      <c r="AW42" s="420"/>
      <c r="AX42" s="417"/>
      <c r="AY42" s="420"/>
      <c r="AZ42" s="223"/>
      <c r="BA42" s="419"/>
      <c r="BB42" s="223"/>
      <c r="BC42" s="223"/>
      <c r="BD42" s="223"/>
      <c r="BE42" s="223"/>
      <c r="BF42" s="416"/>
      <c r="BG42" s="418"/>
      <c r="BH42" s="416"/>
      <c r="BI42" s="416"/>
      <c r="BJ42" s="416"/>
      <c r="BK42" s="418"/>
      <c r="BL42" s="417"/>
      <c r="BM42" s="416"/>
      <c r="BN42" s="416"/>
      <c r="BO42" s="416"/>
      <c r="BP42" s="416"/>
      <c r="BQ42" s="416"/>
      <c r="BR42" s="416"/>
      <c r="BS42" s="416"/>
      <c r="BT42" s="389"/>
      <c r="BU42" s="389"/>
      <c r="BV42" s="389"/>
      <c r="BW42" s="389"/>
      <c r="BX42" s="415"/>
      <c r="BY42" s="389"/>
      <c r="BZ42" s="389"/>
      <c r="CA42" s="389"/>
      <c r="CB42" s="389"/>
      <c r="CC42" s="389"/>
      <c r="CD42" s="389"/>
      <c r="CE42" s="389"/>
      <c r="CF42" s="389"/>
      <c r="CG42" s="389"/>
      <c r="CH42" s="389"/>
      <c r="CI42" s="389"/>
      <c r="CJ42" s="389"/>
      <c r="CK42" s="389"/>
      <c r="CL42" s="389"/>
      <c r="CM42" s="389"/>
      <c r="CN42" s="389"/>
      <c r="CO42" s="389"/>
      <c r="CP42" s="389"/>
      <c r="CQ42" s="389"/>
      <c r="CR42" s="389"/>
      <c r="CS42" s="415"/>
      <c r="CT42" s="389"/>
      <c r="CU42" s="389"/>
      <c r="CV42" s="389"/>
      <c r="CW42" s="389"/>
      <c r="CX42" s="389"/>
      <c r="CY42" s="389"/>
      <c r="CZ42" s="389"/>
      <c r="DA42" s="389"/>
      <c r="DB42" s="389"/>
      <c r="DC42" s="389"/>
      <c r="DD42" s="389"/>
      <c r="DE42" s="389"/>
      <c r="DF42" s="389"/>
      <c r="DG42" s="389"/>
      <c r="DH42" s="389"/>
      <c r="DI42" s="389"/>
      <c r="DJ42" s="389"/>
      <c r="DK42" s="389"/>
      <c r="DL42" s="389"/>
      <c r="DM42" s="389"/>
      <c r="DN42" s="389"/>
      <c r="DO42" s="414"/>
      <c r="DP42" s="39"/>
      <c r="DQ42" s="39"/>
      <c r="DR42" s="39"/>
      <c r="DS42" s="136"/>
      <c r="DT42" s="136"/>
      <c r="DU42" s="136"/>
      <c r="DV42" s="136"/>
      <c r="DW42" s="136"/>
      <c r="DX42" s="136"/>
      <c r="DY42" s="136"/>
      <c r="DZ42" s="136"/>
      <c r="EA42" s="136"/>
      <c r="EB42" s="136"/>
      <c r="EC42" s="136"/>
      <c r="ED42" s="136"/>
      <c r="EE42" s="136"/>
      <c r="EF42" s="136"/>
      <c r="EG42" s="136"/>
      <c r="EH42" s="136"/>
      <c r="EI42" s="136"/>
      <c r="EJ42" s="136"/>
      <c r="EK42" s="136"/>
      <c r="EL42" s="136"/>
      <c r="EM42" s="136"/>
      <c r="EN42" s="136"/>
      <c r="EO42" s="136"/>
      <c r="EP42" s="136"/>
      <c r="EQ42" s="136"/>
      <c r="ER42" s="136"/>
      <c r="ES42" s="136"/>
      <c r="ET42" s="136"/>
      <c r="EU42" s="136"/>
      <c r="EV42" s="136"/>
      <c r="EW42" s="136"/>
      <c r="EX42" s="136"/>
      <c r="EY42" s="136"/>
      <c r="EZ42" s="136"/>
      <c r="FA42" s="136"/>
      <c r="FB42" s="136"/>
      <c r="FC42" s="136"/>
      <c r="FD42" s="136"/>
      <c r="FE42" s="136"/>
      <c r="FF42" s="136"/>
      <c r="FG42" s="136"/>
      <c r="FH42" s="136"/>
      <c r="FI42" s="136"/>
      <c r="FJ42" s="136"/>
      <c r="FK42" s="136"/>
      <c r="FL42" s="136"/>
      <c r="FM42" s="136"/>
      <c r="FN42" s="136"/>
      <c r="FO42" s="136"/>
      <c r="FP42" s="136"/>
      <c r="FQ42" s="136"/>
      <c r="FR42" s="412"/>
      <c r="FS42" s="412"/>
      <c r="FT42" s="412"/>
      <c r="FU42" s="412"/>
      <c r="FV42" s="412"/>
      <c r="FW42" s="412"/>
      <c r="FX42" s="412"/>
      <c r="FY42" s="412"/>
      <c r="FZ42" s="412"/>
      <c r="GA42" s="412"/>
      <c r="GB42" s="412"/>
      <c r="GC42" s="412"/>
      <c r="GD42" s="412"/>
      <c r="GE42" s="412"/>
      <c r="GF42" s="412"/>
      <c r="GG42" s="412"/>
      <c r="GH42" s="412"/>
      <c r="GI42" s="412"/>
      <c r="GJ42" s="412"/>
      <c r="GK42" s="412"/>
      <c r="GL42" s="412"/>
      <c r="GM42" s="412"/>
      <c r="GN42" s="412"/>
      <c r="GO42" s="412"/>
      <c r="GP42" s="412"/>
      <c r="GQ42" s="412"/>
      <c r="GR42" s="412"/>
      <c r="GS42" s="412"/>
      <c r="GT42" s="412"/>
      <c r="GU42" s="412"/>
      <c r="GV42" s="412"/>
      <c r="GW42" s="412"/>
      <c r="GX42" s="412"/>
      <c r="GY42" s="412"/>
      <c r="GZ42" s="412"/>
      <c r="HA42" s="412"/>
      <c r="HB42" s="412"/>
      <c r="HC42" s="412"/>
      <c r="HD42" s="412"/>
      <c r="HE42" s="412"/>
      <c r="HF42" s="278"/>
      <c r="HG42" s="277"/>
      <c r="HH42" s="277"/>
      <c r="HI42" s="277"/>
      <c r="HJ42" s="277"/>
      <c r="HK42" s="277"/>
      <c r="HL42" s="277"/>
      <c r="HM42" s="277"/>
      <c r="HN42" s="277"/>
      <c r="HO42" s="277"/>
      <c r="HP42" s="277"/>
      <c r="HQ42" s="277"/>
      <c r="HR42" s="277"/>
      <c r="HS42" s="277"/>
      <c r="HT42" s="277"/>
      <c r="HU42" s="277"/>
      <c r="HV42" s="277"/>
      <c r="HW42" s="277"/>
      <c r="HX42" s="277"/>
      <c r="HY42" s="277"/>
      <c r="HZ42" s="277"/>
      <c r="IA42" s="277"/>
      <c r="IB42" s="277"/>
      <c r="IC42" s="412"/>
      <c r="ID42" s="412"/>
      <c r="IE42" s="412"/>
      <c r="IF42" s="412"/>
      <c r="IG42" s="412"/>
      <c r="IH42" s="412"/>
      <c r="II42" s="412"/>
      <c r="IJ42" s="412"/>
      <c r="IK42" s="412"/>
      <c r="IL42" s="412"/>
      <c r="IM42" s="412"/>
      <c r="IN42" s="412"/>
      <c r="IO42" s="413"/>
      <c r="IP42" s="412"/>
      <c r="IQ42" s="389"/>
      <c r="IR42" s="389"/>
      <c r="IS42" s="389"/>
      <c r="IT42" s="389"/>
      <c r="IU42" s="389"/>
      <c r="IV42" s="389"/>
      <c r="IW42" s="389"/>
      <c r="IX42" s="389"/>
      <c r="IY42" s="389"/>
      <c r="IZ42" s="389"/>
      <c r="JA42" s="389"/>
      <c r="JB42" s="389"/>
      <c r="JC42" s="389"/>
      <c r="JD42" s="389"/>
      <c r="JE42" s="389"/>
      <c r="JF42" s="389"/>
      <c r="JG42" s="389"/>
      <c r="JH42" s="389"/>
      <c r="JI42" s="389"/>
      <c r="JJ42" s="389"/>
      <c r="JK42" s="389"/>
      <c r="JL42" s="389"/>
      <c r="JM42" s="389"/>
      <c r="JN42" s="389"/>
      <c r="JO42" s="389"/>
      <c r="JP42" s="389"/>
      <c r="JQ42" s="389"/>
      <c r="JR42" s="389"/>
      <c r="JS42" s="389"/>
      <c r="JT42" s="389"/>
      <c r="JU42" s="389"/>
      <c r="JV42" s="389"/>
      <c r="JW42" s="389"/>
      <c r="JX42" s="389"/>
      <c r="JY42" s="389"/>
      <c r="JZ42" s="389"/>
      <c r="KA42" s="389"/>
      <c r="KB42" s="389"/>
      <c r="KC42" s="389"/>
      <c r="KD42" s="389"/>
      <c r="KE42" s="389"/>
      <c r="KF42" s="389"/>
      <c r="KG42" s="389"/>
      <c r="KH42" s="389"/>
      <c r="KI42" s="389"/>
      <c r="KJ42" s="389"/>
      <c r="KK42" s="389"/>
      <c r="KL42" s="389"/>
      <c r="KM42" s="389"/>
      <c r="KN42" s="389"/>
      <c r="KO42" s="389"/>
      <c r="KP42" s="389"/>
    </row>
    <row r="43" spans="1:302" ht="15" hidden="1" customHeight="1" outlineLevel="1">
      <c r="A43" s="411"/>
      <c r="D43" s="23"/>
      <c r="E43" s="672"/>
      <c r="L43" s="836"/>
      <c r="M43" s="720"/>
      <c r="N43" s="720"/>
      <c r="O43" s="223"/>
      <c r="P43" s="21"/>
      <c r="Q43" s="280"/>
      <c r="S43" s="23"/>
      <c r="AI43" s="410"/>
      <c r="AJ43" s="80"/>
      <c r="AK43" s="523"/>
      <c r="AL43" s="18"/>
      <c r="AN43" s="32"/>
      <c r="AO43" s="18"/>
      <c r="AP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G43" s="14"/>
      <c r="HH43" s="14"/>
      <c r="HI43" s="14"/>
      <c r="HJ43" s="14"/>
      <c r="HK43" s="14"/>
      <c r="HL43" s="14"/>
      <c r="HM43" s="14"/>
      <c r="HN43" s="14"/>
      <c r="HO43" s="14"/>
      <c r="HP43" s="14"/>
      <c r="HQ43" s="14"/>
      <c r="HR43" s="14"/>
      <c r="HS43" s="14"/>
      <c r="HT43" s="14"/>
      <c r="HU43" s="14"/>
      <c r="IO43" s="18"/>
    </row>
    <row r="44" spans="1:302" s="1" customFormat="1" ht="11.1" customHeight="1" collapsed="1">
      <c r="A44" s="522">
        <v>2028</v>
      </c>
      <c r="B44" s="508"/>
      <c r="C44" s="521"/>
      <c r="D44" s="250"/>
      <c r="E44" s="768"/>
      <c r="F44" s="519"/>
      <c r="G44" s="966"/>
      <c r="H44" s="966"/>
      <c r="I44" s="519"/>
      <c r="J44" s="966"/>
      <c r="K44" s="260"/>
      <c r="L44" s="837"/>
      <c r="M44" s="847"/>
      <c r="N44" s="847"/>
      <c r="O44" s="260"/>
      <c r="P44" s="518" t="s">
        <v>30</v>
      </c>
      <c r="Q44" s="517"/>
      <c r="R44" s="517"/>
      <c r="S44" s="516"/>
      <c r="T44" s="966"/>
      <c r="U44" s="516"/>
      <c r="V44" s="516"/>
      <c r="W44" s="516"/>
      <c r="X44" s="516"/>
      <c r="Y44" s="516"/>
      <c r="Z44" s="516"/>
      <c r="AA44" s="516"/>
      <c r="AB44" s="515"/>
      <c r="AC44" s="966"/>
      <c r="AD44" s="514"/>
      <c r="AE44" s="966"/>
      <c r="AF44" s="513"/>
      <c r="AG44" s="513"/>
      <c r="AH44" s="512"/>
      <c r="AI44" s="511"/>
      <c r="AJ44" s="469"/>
      <c r="AK44" s="510"/>
      <c r="AL44" s="509"/>
      <c r="AM44" s="374"/>
      <c r="AN44" s="508"/>
      <c r="AO44" s="250"/>
      <c r="AP44" s="249"/>
      <c r="AQ44" s="249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HU44" s="10"/>
      <c r="JT44" s="380"/>
    </row>
    <row r="45" spans="1:302" s="15" customFormat="1" ht="5.0999999999999996" customHeight="1">
      <c r="A45" s="232"/>
      <c r="B45" s="507"/>
      <c r="C45" s="431"/>
      <c r="D45" s="506"/>
      <c r="E45" s="765"/>
      <c r="F45" s="431"/>
      <c r="G45" s="431"/>
      <c r="H45" s="431"/>
      <c r="I45" s="385"/>
      <c r="J45" s="431"/>
      <c r="K45" s="431"/>
      <c r="L45" s="601"/>
      <c r="M45" s="844"/>
      <c r="N45" s="844"/>
      <c r="O45" s="505"/>
      <c r="P45" s="967"/>
      <c r="Q45" s="280"/>
      <c r="S45" s="981"/>
      <c r="T45" s="431"/>
      <c r="U45" s="981"/>
      <c r="V45" s="981"/>
      <c r="W45" s="981"/>
      <c r="X45" s="498"/>
      <c r="Y45" s="498"/>
      <c r="Z45" s="498"/>
      <c r="AA45" s="498"/>
      <c r="AB45" s="982"/>
      <c r="AC45" s="431"/>
      <c r="AD45" s="78"/>
      <c r="AE45" s="431"/>
      <c r="AF45" s="504"/>
      <c r="AG45" s="307"/>
      <c r="AH45" s="503"/>
      <c r="AI45" s="503"/>
      <c r="AJ45" s="502"/>
      <c r="AK45" s="501"/>
      <c r="AL45" s="54"/>
      <c r="AM45" s="22"/>
      <c r="AN45" s="54"/>
      <c r="AO45" s="22"/>
      <c r="AP45" s="22"/>
      <c r="AQ45" s="22"/>
      <c r="AT45" s="54"/>
      <c r="AU45" s="22"/>
      <c r="AV45" s="22"/>
      <c r="AW45" s="22"/>
      <c r="AX45" s="22"/>
      <c r="AY45" s="22"/>
      <c r="AZ45" s="22"/>
      <c r="BA45" s="54"/>
      <c r="BB45" s="22"/>
      <c r="BG45" s="51"/>
      <c r="BK45" s="51"/>
      <c r="BX45" s="51"/>
      <c r="CS45" s="51"/>
      <c r="DO45" s="500"/>
      <c r="HD45" s="499"/>
      <c r="HE45" s="498"/>
      <c r="HF45" s="498"/>
      <c r="HG45" s="498"/>
      <c r="HH45" s="498"/>
      <c r="HI45" s="498"/>
      <c r="HJ45" s="498"/>
      <c r="HK45" s="498"/>
      <c r="HL45" s="498"/>
      <c r="HM45" s="498"/>
      <c r="HN45" s="498"/>
      <c r="HO45" s="498"/>
      <c r="HP45" s="498"/>
      <c r="HQ45" s="498"/>
      <c r="HR45" s="498"/>
      <c r="HS45" s="498"/>
      <c r="HT45" s="498"/>
      <c r="HU45" s="498"/>
      <c r="HV45" s="498"/>
      <c r="HW45" s="498"/>
      <c r="HX45" s="498"/>
      <c r="HY45" s="498"/>
      <c r="HZ45" s="498"/>
      <c r="IA45" s="498"/>
      <c r="IB45" s="498"/>
      <c r="IC45" s="498"/>
      <c r="ID45" s="498"/>
      <c r="IE45" s="498"/>
      <c r="IF45" s="498"/>
      <c r="IG45" s="498"/>
      <c r="IH45" s="498"/>
      <c r="II45" s="498"/>
      <c r="IJ45" s="498"/>
      <c r="IK45" s="498"/>
      <c r="IL45" s="498"/>
      <c r="IM45" s="498"/>
      <c r="IN45" s="498"/>
      <c r="IO45" s="498"/>
      <c r="IP45" s="498"/>
      <c r="IQ45" s="498"/>
      <c r="IR45" s="498"/>
      <c r="IS45" s="498"/>
      <c r="IT45" s="498"/>
      <c r="IU45" s="498"/>
      <c r="IV45" s="498"/>
      <c r="IW45" s="498"/>
      <c r="IX45" s="498"/>
      <c r="IY45" s="498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6"/>
      <c r="KL45" s="6"/>
      <c r="KM45" s="6"/>
      <c r="KN45" s="6"/>
      <c r="KO45" s="6"/>
      <c r="KP45" s="6"/>
    </row>
    <row r="46" spans="1:302" s="1" customFormat="1" ht="11.1" customHeight="1">
      <c r="A46" s="497" t="s">
        <v>453</v>
      </c>
      <c r="B46" s="496" t="s">
        <v>186</v>
      </c>
      <c r="C46" s="495">
        <v>46819</v>
      </c>
      <c r="D46" s="201">
        <v>44613</v>
      </c>
      <c r="E46" s="763">
        <v>92.509596999999999</v>
      </c>
      <c r="F46" s="561">
        <v>2.1250000000000002E-2</v>
      </c>
      <c r="G46" s="383">
        <v>1000</v>
      </c>
      <c r="H46" s="492">
        <f>G46</f>
        <v>1000</v>
      </c>
      <c r="I46" s="385">
        <f>G46*F46/100*F51</f>
        <v>18.59375</v>
      </c>
      <c r="J46" s="492">
        <f>I46</f>
        <v>18.59375</v>
      </c>
      <c r="K46" s="879" t="s">
        <v>204</v>
      </c>
      <c r="L46" s="833">
        <f>MONTH(C46)</f>
        <v>3</v>
      </c>
      <c r="M46" s="842" t="str">
        <f>IFERROR(IF(N46&gt;12,N46-12,N46),"")</f>
        <v/>
      </c>
      <c r="N46" s="594" t="str">
        <f>IF(K48=1,"",MONTH(C46)+6)</f>
        <v/>
      </c>
      <c r="O46" s="832">
        <f>IF(K48=1,I46,I46/2)</f>
        <v>18.59375</v>
      </c>
      <c r="P46" s="215">
        <f>VLOOKUP(B47,[2]Prezzi!$A$2:$R$125,18,FALSE)</f>
        <v>94.55999755859375</v>
      </c>
      <c r="Q46" s="280"/>
      <c r="R46" s="432"/>
      <c r="S46" s="493">
        <f ca="1">MAX(0,IF(B51=5,I46/AM48*X46,(((((F46)*AF$2)/365)*G46*F51/100)+((((F46)*X51)/365)*G46*F51/100))))</f>
        <v>12.786386986301352</v>
      </c>
      <c r="T46" s="492">
        <f ca="1">S46</f>
        <v>12.786386986301352</v>
      </c>
      <c r="U46" s="469"/>
      <c r="V46" s="4"/>
      <c r="W46" s="469"/>
      <c r="X46" s="491">
        <f ca="1">IF(B51=4,COUPDAYBS($AB$2,C46,K48,AH50),IF($AB$2-AL46&lt;365,IF(K48&gt;1,FLOOR(365/K48-(E48-AB$2),1),IF(B51=2,0,IF(AL46&gt;$AB$2,0,IF(AND(E48-AL46&lt;365,$AB$2&lt;E48),$AB$2-AL46,COUPDAYBS($AB$2,C46,K48,AH50))))),COUPDAYBS($AB$2,C46,K48,AH50)))</f>
        <v>251</v>
      </c>
      <c r="Y46" s="456">
        <f ca="1">G46*AF46</f>
        <v>3080.4649723854632</v>
      </c>
      <c r="Z46" s="456">
        <f ca="1">IF(G46=0,"0",G46*AG46)</f>
        <v>34.166954807364853</v>
      </c>
      <c r="AA46" s="22"/>
      <c r="AB46" s="979">
        <f ca="1">IF(B51=5,(((I46/AM49)*X46)+(G46)),(G46*P46*A51/100)+(S46*A51))</f>
        <v>958.3863625722388</v>
      </c>
      <c r="AC46" s="383">
        <f ca="1">AB46</f>
        <v>958.3863625722388</v>
      </c>
      <c r="AD46" s="156">
        <f>IF(E47="",((P46-E46)/100)*G46,((((P46-E46)/100)*A47)/F47)+((A47/F47)-(A47/E47)))</f>
        <v>20.504005585937506</v>
      </c>
      <c r="AE46" s="383">
        <f>AD46</f>
        <v>20.504005585937506</v>
      </c>
      <c r="AF46" s="446">
        <f ca="1">IF(B51=1,MDURATION($AB$2,C46,F46,AG46,K48,AH50),IF(B51=2,YEARFRAC(C46,$AB$2,AH50)))</f>
        <v>3.0804649723854634</v>
      </c>
      <c r="AG46" s="824">
        <f ca="1">YIELD(AB$2,C46,F46,P46,AL48,K48,AH50)*F51/100</f>
        <v>3.4166954807364855E-2</v>
      </c>
      <c r="AH46" s="489">
        <f ca="1">(((F46)*X46)/365)*F51</f>
        <v>1.278638698630137</v>
      </c>
      <c r="AI46" s="489"/>
      <c r="AJ46" s="488"/>
      <c r="AK46" s="487"/>
      <c r="AL46" s="486">
        <v>44599</v>
      </c>
      <c r="AM46" s="22" t="s">
        <v>203</v>
      </c>
      <c r="AN46" s="179">
        <f>IF(B51=4,MIN(G46*E46*A49*AV$3/100,AV$4),IF(AF48=1,MIN(G46*E46*AV$3/100,AV$4),MIN((A47*E46/E47*AV$3/100),AV$4)+(((A47/E47*E46/100)+(A47/E47*E46*AV$3/100)+AN47+AO46)*AZ$3)))</f>
        <v>0.92509596999999999</v>
      </c>
      <c r="AO46" s="484">
        <f>IF(B51=4,AP49*A48/100,IF(AF48=1,G46*AP49/100,A47/E47/100*AP49))</f>
        <v>0.93149999999999988</v>
      </c>
      <c r="AP46" s="188">
        <f>IF(B51=2,AN51+AN46+AN47+AP47,AN51+AN46+AN47+AO46+AO47+AP47)</f>
        <v>928.33560594747757</v>
      </c>
      <c r="AQ46" s="326">
        <f>AP46</f>
        <v>928.33560594747757</v>
      </c>
      <c r="AR46" s="483">
        <f>AR48+AR50+AR47</f>
        <v>1018.52125</v>
      </c>
      <c r="AS46" s="825">
        <f ca="1">AG46</f>
        <v>3.4166954807364855E-2</v>
      </c>
      <c r="AT46" s="419">
        <f>IF(B51=1,G46,"")</f>
        <v>1000</v>
      </c>
      <c r="AU46" s="420" t="str">
        <f>IF(B51=2,G46,"")</f>
        <v/>
      </c>
      <c r="AV46" s="223" t="str">
        <f>IF(B51=3,G46,"")</f>
        <v/>
      </c>
      <c r="AW46" s="420" t="str">
        <f>IF(B51=4,G46,"")</f>
        <v/>
      </c>
      <c r="AX46" s="417" t="str">
        <f>IF(B51=5,G46,"")</f>
        <v/>
      </c>
      <c r="AY46" s="420" t="str">
        <f>IF(B51=6,G46,"")</f>
        <v/>
      </c>
      <c r="AZ46" s="223" t="str">
        <f>IF(B51=7,G46,"")</f>
        <v/>
      </c>
      <c r="BA46" s="419" t="str">
        <f>IF(B48=1,G46,"")</f>
        <v/>
      </c>
      <c r="BB46" s="223" t="str">
        <f>IF(B48=2,G46,"")</f>
        <v/>
      </c>
      <c r="BC46" s="223" t="str">
        <f>IF(B48=3,G46,"")</f>
        <v/>
      </c>
      <c r="BD46" s="223">
        <f>IF(B48=4,G46,"")</f>
        <v>1000</v>
      </c>
      <c r="BE46" s="223" t="str">
        <f>IF(B48=5,G46,"")</f>
        <v/>
      </c>
      <c r="BF46" s="417" t="str">
        <f>IF(B48=6,G46,"")</f>
        <v/>
      </c>
      <c r="BG46" s="419">
        <f>IF(AK51=1,G46,"")</f>
        <v>1000</v>
      </c>
      <c r="BH46" s="223" t="str">
        <f>IF(AK51=2,G46,"")</f>
        <v/>
      </c>
      <c r="BI46" s="223" t="str">
        <f>IF(AK51=3,G46,"")</f>
        <v/>
      </c>
      <c r="BJ46" s="223" t="str">
        <f>IF(AK51=4,G46,"")</f>
        <v/>
      </c>
      <c r="BK46" s="419">
        <f>IF(AJ50=1,G46,"")</f>
        <v>1000</v>
      </c>
      <c r="BL46" s="482">
        <f ca="1">IF(BK46&lt;&gt;"",AB46,"")</f>
        <v>958.3863625722388</v>
      </c>
      <c r="BM46" s="223" t="str">
        <f>IF(AJ50=2,G46,"")</f>
        <v/>
      </c>
      <c r="BN46" s="223" t="str">
        <f>IF(BM46&lt;&gt;"",AB46,"")</f>
        <v/>
      </c>
      <c r="BO46" s="223" t="str">
        <f>IF(AJ50=3,G46,"")</f>
        <v/>
      </c>
      <c r="BP46" s="223" t="str">
        <f>IF(AJ50=4,G46,"")</f>
        <v/>
      </c>
      <c r="BQ46" s="223" t="str">
        <f>IF(AJ50=5,G46,"")</f>
        <v/>
      </c>
      <c r="BR46" s="223" t="str">
        <f>IF(AJ50=6,G46,"")</f>
        <v/>
      </c>
      <c r="BS46" s="223" t="str">
        <f>IF(AJ50=7,G46,"")</f>
        <v/>
      </c>
      <c r="BT46" s="223" t="str">
        <f>IF(AJ50=8,G46,"")</f>
        <v/>
      </c>
      <c r="BU46" s="223" t="str">
        <f>IF(AJ50=9,G46,"")</f>
        <v/>
      </c>
      <c r="BV46" s="223" t="str">
        <f>IF(AJ50=10,G46,"")</f>
        <v/>
      </c>
      <c r="BW46" s="223" t="str">
        <f>IF(AJ50=11,G46,"")</f>
        <v/>
      </c>
      <c r="BX46" s="419">
        <f>IF(AF48=1,G46,"")</f>
        <v>1000</v>
      </c>
      <c r="BY46" s="223" t="str">
        <f>IF(AF48=2,G46,"")</f>
        <v/>
      </c>
      <c r="BZ46" s="223" t="str">
        <f>IF(AF48=3,G46,"")</f>
        <v/>
      </c>
      <c r="CA46" s="223" t="str">
        <f>IF(AF48=4,G46,"")</f>
        <v/>
      </c>
      <c r="CB46" s="223" t="str">
        <f>IF(AF48=5,G46,"")</f>
        <v/>
      </c>
      <c r="CC46" s="223" t="str">
        <f>IF(AF48=6,G46,"")</f>
        <v/>
      </c>
      <c r="CD46" s="223" t="str">
        <f>IF(AF48=7,G46,"")</f>
        <v/>
      </c>
      <c r="CE46" s="223" t="str">
        <f>IF(AF48=8,G46,"")</f>
        <v/>
      </c>
      <c r="CF46" s="223" t="str">
        <f>IF(AF48=9,G46,"")</f>
        <v/>
      </c>
      <c r="CG46" s="223" t="str">
        <f>IF(AF48=10,G46,"")</f>
        <v/>
      </c>
      <c r="CH46" s="223" t="str">
        <f>IF(AF48=11,G46,"")</f>
        <v/>
      </c>
      <c r="CI46" s="223" t="str">
        <f>IF(AF48=12,G46,"")</f>
        <v/>
      </c>
      <c r="CJ46" s="223" t="str">
        <f>IF(AF48=13,G46,"")</f>
        <v/>
      </c>
      <c r="CK46" s="223" t="str">
        <f>IF(AF48=14,G46,"")</f>
        <v/>
      </c>
      <c r="CL46" s="223" t="str">
        <f>IF(AF48=15,G46,"")</f>
        <v/>
      </c>
      <c r="CM46" s="223" t="str">
        <f>IF(AF48=16,G46,"")</f>
        <v/>
      </c>
      <c r="CN46" s="223" t="str">
        <f>IF(AF48=17,G46,"")</f>
        <v/>
      </c>
      <c r="CO46" s="223" t="str">
        <f>IF(AF48=18,G46,"")</f>
        <v/>
      </c>
      <c r="CP46" s="223" t="str">
        <f>IF(AF48=19,G46,"")</f>
        <v/>
      </c>
      <c r="CQ46" s="223" t="str">
        <f>IF(AF48=20,G46,"")</f>
        <v/>
      </c>
      <c r="CR46" s="223" t="str">
        <f>IF(AF48=21,G46,"")</f>
        <v/>
      </c>
      <c r="CS46" s="419" t="str">
        <f>IF(K51=1,G46,"")</f>
        <v/>
      </c>
      <c r="CT46" s="223" t="str">
        <f>IF(K51=2,G46,"")</f>
        <v/>
      </c>
      <c r="CU46" s="223" t="str">
        <f>IF(K51=3,G46,"")</f>
        <v/>
      </c>
      <c r="CV46" s="223" t="str">
        <f>IF(K51=4,G46,"")</f>
        <v/>
      </c>
      <c r="CW46" s="223" t="str">
        <f>IF(K51=5,G46,"")</f>
        <v/>
      </c>
      <c r="CX46" s="223" t="str">
        <f>IF(K51=6,G46,"")</f>
        <v/>
      </c>
      <c r="CY46" s="223" t="str">
        <f>IF(K51=7,G46,"")</f>
        <v/>
      </c>
      <c r="CZ46" s="223" t="str">
        <f>IF(K51=8,G46,"")</f>
        <v/>
      </c>
      <c r="DA46" s="223" t="str">
        <f>IF(K51=9,G46,"")</f>
        <v/>
      </c>
      <c r="DB46" s="223" t="str">
        <f>IF(K51=10,G46,"")</f>
        <v/>
      </c>
      <c r="DC46" s="223" t="str">
        <f>IF(K51=11,G46,"")</f>
        <v/>
      </c>
      <c r="DD46" s="223" t="str">
        <f>IF(K51=12,G46,"")</f>
        <v/>
      </c>
      <c r="DE46" s="223" t="str">
        <f>IF(K51=13,G46,"")</f>
        <v/>
      </c>
      <c r="DF46" s="223" t="str">
        <f>IF(K51=14,G46,"")</f>
        <v/>
      </c>
      <c r="DG46" s="223" t="str">
        <f>IF(K51=15,G46,"")</f>
        <v/>
      </c>
      <c r="DH46" s="223" t="str">
        <f>IF(K51=16,G46,"")</f>
        <v/>
      </c>
      <c r="DI46" s="223" t="str">
        <f>IF(K51=17,G46,"")</f>
        <v/>
      </c>
      <c r="DJ46" s="223" t="str">
        <f>IF(K51=18,G46,"")</f>
        <v/>
      </c>
      <c r="DK46" s="223">
        <f>IF(K51=19,G46,"")</f>
        <v>1000</v>
      </c>
      <c r="DL46" s="223" t="str">
        <f>IF(K51=20,G46,"")</f>
        <v/>
      </c>
      <c r="DM46" s="223"/>
      <c r="DN46" s="223"/>
      <c r="DO46" s="419" t="str">
        <f>IF(AG48=1,G46,"")</f>
        <v/>
      </c>
      <c r="DP46" s="223" t="str">
        <f>IF(AG48=2,G46,"")</f>
        <v/>
      </c>
      <c r="DQ46" s="223" t="str">
        <f>IF(AG48=3,G46,"")</f>
        <v/>
      </c>
      <c r="DR46" s="223" t="str">
        <f>IF(AG48=4,G46,"")</f>
        <v/>
      </c>
      <c r="DS46" s="223" t="str">
        <f>IF(AG48=5,G46,"")</f>
        <v/>
      </c>
      <c r="DT46" s="223" t="str">
        <f>IF(AG48=6,G46,"")</f>
        <v/>
      </c>
      <c r="DU46" s="223" t="str">
        <f>IF(AG48=7,G46,"")</f>
        <v/>
      </c>
      <c r="DV46" s="223" t="str">
        <f>IF(AG48=8,G46,"")</f>
        <v/>
      </c>
      <c r="DW46" s="136" t="str">
        <f>IF(AG48=9,G46,"")</f>
        <v/>
      </c>
      <c r="DX46" s="136" t="str">
        <f>IF(AG48=10,G46,"")</f>
        <v/>
      </c>
      <c r="DY46" s="136" t="str">
        <f>IF(AG48=11,G46,"")</f>
        <v/>
      </c>
      <c r="DZ46" s="136" t="str">
        <f>IF(AG48=12,G46,"")</f>
        <v/>
      </c>
      <c r="EA46" s="136" t="str">
        <f>IF(AG48=13,G46,"")</f>
        <v/>
      </c>
      <c r="EB46" s="136" t="str">
        <f>IF(AG48=14,G46,"")</f>
        <v/>
      </c>
      <c r="EC46" s="317" t="str">
        <f>IF(AG48=15,G46,"")</f>
        <v/>
      </c>
      <c r="ED46" s="136" t="str">
        <f>IF(AG48=16,G46,"")</f>
        <v/>
      </c>
      <c r="EE46" s="136" t="str">
        <f>IF(AG48=17,G46,"")</f>
        <v/>
      </c>
      <c r="EF46" s="136" t="str">
        <f>IF(AG48=18,G46,"")</f>
        <v/>
      </c>
      <c r="EG46" s="136" t="str">
        <f>IF(AG48=19,G46,"")</f>
        <v/>
      </c>
      <c r="EH46" s="136" t="str">
        <f>IF(AG48=20,G46,"")</f>
        <v/>
      </c>
      <c r="EI46" s="136" t="str">
        <f>IF(AG48=21,G46,"")</f>
        <v/>
      </c>
      <c r="EJ46" s="136" t="str">
        <f>IF(AG48=22,G46,"")</f>
        <v/>
      </c>
      <c r="EK46" s="136" t="str">
        <f>IF(AG48=23,G46,"")</f>
        <v/>
      </c>
      <c r="EL46" s="136" t="str">
        <f>IF(AG48=24,G46,"")</f>
        <v/>
      </c>
      <c r="EM46" s="136" t="str">
        <f>IF(AG48=25,G46,"")</f>
        <v/>
      </c>
      <c r="EN46" s="136">
        <f>IF(AG48=26,G46,"")</f>
        <v>1000</v>
      </c>
      <c r="EO46" s="136" t="str">
        <f>IF(AG48=27,G46,"")</f>
        <v/>
      </c>
      <c r="EP46" s="136" t="str">
        <f>IF(AG48=28,G46,"")</f>
        <v/>
      </c>
      <c r="EQ46" s="136" t="str">
        <f>IF(AG48=29,G46,"")</f>
        <v/>
      </c>
      <c r="ER46" s="136" t="str">
        <f>IF(AG48=30,G46,"")</f>
        <v/>
      </c>
      <c r="ES46" s="136" t="str">
        <f>IF(AG48=31,G46,"")</f>
        <v/>
      </c>
      <c r="ET46" s="136" t="str">
        <f>IF(AG48=32,G46,"")</f>
        <v/>
      </c>
      <c r="EU46" s="136" t="str">
        <f>IF(AG48=33,G46,"")</f>
        <v/>
      </c>
      <c r="EV46" s="136" t="str">
        <f>IF(AG48=34,G46,"")</f>
        <v/>
      </c>
      <c r="EW46" s="136" t="str">
        <f>IF(AG48=35,G46,"")</f>
        <v/>
      </c>
      <c r="EX46" s="136" t="str">
        <f>IF(AG48=36,G46,"")</f>
        <v/>
      </c>
      <c r="EY46" s="136" t="str">
        <f>IF(AG48=37,G46,"")</f>
        <v/>
      </c>
      <c r="EZ46" s="136" t="str">
        <f>IF(AG48=38,G46,"")</f>
        <v/>
      </c>
      <c r="FA46" s="136" t="str">
        <f>IF(AG48=39,G46,"")</f>
        <v/>
      </c>
      <c r="FB46" s="136" t="str">
        <f>IF(AG48=40,G46,"")</f>
        <v/>
      </c>
      <c r="FC46" s="136" t="str">
        <f>IF(AG48=41,G46,"")</f>
        <v/>
      </c>
      <c r="FD46" s="136" t="str">
        <f>IF(AG48=42,G46,"")</f>
        <v/>
      </c>
      <c r="FE46" s="136" t="str">
        <f>IF(AG48=43,G46,"")</f>
        <v/>
      </c>
      <c r="FF46" s="136" t="str">
        <f>IF(AG48=44,G46,"")</f>
        <v/>
      </c>
      <c r="FG46" s="136" t="str">
        <f>IF(AG48=45,G46,"")</f>
        <v/>
      </c>
      <c r="FH46" s="136" t="str">
        <f>IF(AG48=46,G46,"")</f>
        <v/>
      </c>
      <c r="FI46" s="136" t="str">
        <f>IF(AG48=47,G46,"")</f>
        <v/>
      </c>
      <c r="FJ46" s="136" t="str">
        <f>IF(AG48=48,G46,"")</f>
        <v/>
      </c>
      <c r="FK46" s="136" t="str">
        <f>IF(AG48=49,G46,"")</f>
        <v/>
      </c>
      <c r="FL46" s="136" t="str">
        <f>IF(AG48=50,G46,"")</f>
        <v/>
      </c>
      <c r="FM46" s="136" t="str">
        <f>IF(AG48=51,G46,"")</f>
        <v/>
      </c>
      <c r="FN46" s="136" t="str">
        <f>IF(AG48=52,G46,"")</f>
        <v/>
      </c>
      <c r="FO46" s="136" t="str">
        <f>IF(AG48=53,G46,"")</f>
        <v/>
      </c>
      <c r="FP46" s="136" t="str">
        <f>IF(AG48=54,G46,"")</f>
        <v/>
      </c>
      <c r="FQ46" s="136" t="str">
        <f>IF(AG48=55,G46,"")</f>
        <v/>
      </c>
      <c r="FR46" s="412" t="str">
        <f>IF(AG48=56,G46,"")</f>
        <v/>
      </c>
      <c r="FS46" s="412" t="str">
        <f>IF(AG48=57,G46,"")</f>
        <v/>
      </c>
      <c r="FT46" s="412" t="str">
        <f>IF(AG48=58,G46,"")</f>
        <v/>
      </c>
      <c r="FU46" s="412" t="str">
        <f>IF(AG48=59,G46,"")</f>
        <v/>
      </c>
      <c r="FV46" s="412" t="str">
        <f>IF(AG48=60,G46,"")</f>
        <v/>
      </c>
      <c r="FW46" s="412" t="str">
        <f>IF(AG48=61,G46,"")</f>
        <v/>
      </c>
      <c r="FX46" s="412" t="str">
        <f>IF(AG48=62,G46,"")</f>
        <v/>
      </c>
      <c r="FY46" s="412" t="str">
        <f>IF(AG48=63,G46,"")</f>
        <v/>
      </c>
      <c r="FZ46" s="412" t="str">
        <f>IF(AG48=64,G46,"")</f>
        <v/>
      </c>
      <c r="GA46" s="412" t="str">
        <f>IF(AG48=65,G46,"")</f>
        <v/>
      </c>
      <c r="GB46" s="412" t="str">
        <f>IF(AG48=66,G46,"")</f>
        <v/>
      </c>
      <c r="GC46" s="412" t="str">
        <f>IF(AG48=67,G46,"")</f>
        <v/>
      </c>
      <c r="GD46" s="412" t="str">
        <f>IF(AG48=68,G46,"")</f>
        <v/>
      </c>
      <c r="GE46" s="412" t="str">
        <f>IF(AG48=69,G46,"")</f>
        <v/>
      </c>
      <c r="GF46" s="412" t="str">
        <f>IF(AG48=70,G46,"")</f>
        <v/>
      </c>
      <c r="GG46" s="412" t="str">
        <f>IF(AG48=71,G46,"")</f>
        <v/>
      </c>
      <c r="GH46" s="412" t="str">
        <f>IF(AG48=72,G46,"")</f>
        <v/>
      </c>
      <c r="GI46" s="412" t="str">
        <f>IF(AG48=73,G46,"")</f>
        <v/>
      </c>
      <c r="GJ46" s="412" t="str">
        <f>IF(AG48=74,G46,"")</f>
        <v/>
      </c>
      <c r="GK46" s="412" t="str">
        <f>IF(AG48=75,G46,"")</f>
        <v/>
      </c>
      <c r="GL46" s="412" t="str">
        <f>IF(AG48=76,G46,"")</f>
        <v/>
      </c>
      <c r="GM46" s="412" t="str">
        <f>IF(AG48=77,G46,"")</f>
        <v/>
      </c>
      <c r="GN46" s="412" t="str">
        <f>IF(AG48=78,G46,"")</f>
        <v/>
      </c>
      <c r="GO46" s="412" t="str">
        <f>IF(AG48=79,G46,"")</f>
        <v/>
      </c>
      <c r="GP46" s="412" t="str">
        <f>IF(AG48=80,G46,"")</f>
        <v/>
      </c>
      <c r="GQ46" s="412" t="str">
        <f>IF(AG48=81,G46,"")</f>
        <v/>
      </c>
      <c r="GR46" s="412" t="str">
        <f>IF(AG48=82,G46,"")</f>
        <v/>
      </c>
      <c r="GS46" s="412" t="str">
        <f>IF(AG48=83,G46,"")</f>
        <v/>
      </c>
      <c r="GT46" s="412" t="str">
        <f>IF(AG48=84,G46,"")</f>
        <v/>
      </c>
      <c r="GU46" s="412" t="str">
        <f>IF(AG48=85,G46,"")</f>
        <v/>
      </c>
      <c r="GV46" s="412" t="str">
        <f>IF(AG48=86,G46,"")</f>
        <v/>
      </c>
      <c r="GW46" s="412" t="str">
        <f>IF(AG48=87,G46,"")</f>
        <v/>
      </c>
      <c r="GX46" s="412" t="str">
        <f>IF(AG48=88,G46,"")</f>
        <v/>
      </c>
      <c r="GY46" s="412" t="str">
        <f>IF(AG48=89,G46,"")</f>
        <v/>
      </c>
      <c r="GZ46" s="412" t="str">
        <f>IF(AG48=90,G46,"")</f>
        <v/>
      </c>
      <c r="HA46" s="412" t="str">
        <f>IF(AG48=91,G46,"")</f>
        <v/>
      </c>
      <c r="HB46" s="412" t="str">
        <f>IF(AG48=92,G46,"")</f>
        <v/>
      </c>
      <c r="HC46" s="412"/>
      <c r="HD46" s="412"/>
      <c r="HE46" s="412"/>
      <c r="HF46" s="412"/>
      <c r="HG46" s="412"/>
      <c r="HH46" s="412"/>
      <c r="HI46" s="412"/>
      <c r="HJ46" s="412"/>
      <c r="HK46" s="412"/>
      <c r="HL46" s="412"/>
      <c r="HM46" s="412"/>
      <c r="HN46" s="412"/>
      <c r="HO46" s="412"/>
      <c r="HP46" s="412"/>
      <c r="HQ46" s="412"/>
      <c r="HR46" s="412"/>
      <c r="HS46" s="412"/>
      <c r="HT46" s="412"/>
      <c r="HU46" s="278">
        <f ca="1">IF(AF48=1,AB46,"")</f>
        <v>958.3863625722388</v>
      </c>
      <c r="HV46" s="277" t="str">
        <f>IF(AF48=2,AB46,"")</f>
        <v/>
      </c>
      <c r="HW46" s="277" t="str">
        <f>IF(AF48=3,AB46,"")</f>
        <v/>
      </c>
      <c r="HX46" s="277" t="str">
        <f>IF(AF48=4,AB46,"")</f>
        <v/>
      </c>
      <c r="HY46" s="277" t="str">
        <f>IF(AF48=5,AB46,"")</f>
        <v/>
      </c>
      <c r="HZ46" s="277" t="str">
        <f>IF(AF48=6,AB46,"")</f>
        <v/>
      </c>
      <c r="IA46" s="277" t="str">
        <f>IF(AF48=7,AB46,"")</f>
        <v/>
      </c>
      <c r="IB46" s="277" t="str">
        <f>IF(AF48=8,AB46,"")</f>
        <v/>
      </c>
      <c r="IC46" s="277" t="str">
        <f>IF(AF48=9,AB46,"")</f>
        <v/>
      </c>
      <c r="ID46" s="412" t="str">
        <f>IF(AF48=10,AB46,"")</f>
        <v/>
      </c>
      <c r="IE46" s="223" t="str">
        <f>IF(AF48=11,AB46,"")</f>
        <v/>
      </c>
      <c r="IF46" s="223" t="str">
        <f>IF(AF48=12,AB46,"")</f>
        <v/>
      </c>
      <c r="IG46" s="223" t="str">
        <f>IF(AF48=13,AB46,"")</f>
        <v/>
      </c>
      <c r="IH46" s="223" t="str">
        <f>IF(AF48=14,AB46,"")</f>
        <v/>
      </c>
      <c r="II46" s="223" t="str">
        <f>IF(AF48=15,AB46,"")</f>
        <v/>
      </c>
      <c r="IJ46" s="223" t="str">
        <f>IF(AF48=16,AB46,"")</f>
        <v/>
      </c>
      <c r="IK46" s="223" t="str">
        <f>IF(AF48=17,AB46,"")</f>
        <v/>
      </c>
      <c r="IL46" s="223" t="str">
        <f>IF(AF48=18,AB46,"")</f>
        <v/>
      </c>
      <c r="IM46" s="223" t="str">
        <f>IF(AF48=19,AB46,"")</f>
        <v/>
      </c>
      <c r="IN46" s="223" t="str">
        <f>IF(AF48=20,AB46,"")</f>
        <v/>
      </c>
      <c r="IO46" s="223" t="str">
        <f>IF(AF48=21,AB46,"")</f>
        <v/>
      </c>
      <c r="IP46" s="413"/>
      <c r="IQ46" s="478" t="str">
        <f>IF(G51=6,G46,"")</f>
        <v/>
      </c>
      <c r="IR46" s="317" t="str">
        <f>IF(G51=7,G46,"")</f>
        <v/>
      </c>
      <c r="IS46" s="478" t="str">
        <f>IF(G51=8,G46,"")</f>
        <v/>
      </c>
      <c r="IT46" s="317" t="str">
        <f>IF(G51=9,G46,"")</f>
        <v/>
      </c>
      <c r="IU46" s="478" t="str">
        <f>IF(G51=10,G46,"")</f>
        <v/>
      </c>
      <c r="IV46" s="478" t="str">
        <f>IF(G51=11,G46,"")</f>
        <v/>
      </c>
      <c r="IW46" s="478" t="str">
        <f>IF(G51=12,G46,"")</f>
        <v/>
      </c>
      <c r="IX46" s="478" t="str">
        <f>IF(G51=13,G46,"")</f>
        <v/>
      </c>
      <c r="IY46" s="478" t="str">
        <f>IF(G51=14,G46,"")</f>
        <v/>
      </c>
      <c r="IZ46" s="478" t="str">
        <f>IF(G51=15,G46,"")</f>
        <v/>
      </c>
      <c r="JA46" s="478" t="str">
        <f>IF(G51=16,G46,"")</f>
        <v/>
      </c>
      <c r="JB46" s="478">
        <f>IF(G51=17,G46,"")</f>
        <v>1000</v>
      </c>
      <c r="JC46" s="478" t="str">
        <f>IF(G51=18,G46,"")</f>
        <v/>
      </c>
      <c r="JD46" s="478" t="str">
        <f>IF(G51=19,G46,"")</f>
        <v/>
      </c>
      <c r="JE46" s="478" t="str">
        <f>IF(G51=20,G46,"")</f>
        <v/>
      </c>
      <c r="JF46" s="478" t="str">
        <f>IF(G51=21,G46,"")</f>
        <v/>
      </c>
      <c r="JG46" s="478" t="str">
        <f>IF(G51=22,G46,"")</f>
        <v/>
      </c>
      <c r="JH46" s="478" t="str">
        <f>IF(G51=23,G46,"")</f>
        <v/>
      </c>
      <c r="JI46" s="478" t="str">
        <f>IF(G51=24,G46,"")</f>
        <v/>
      </c>
      <c r="JJ46" s="478" t="str">
        <f>IF(G51=25,G46,"")</f>
        <v/>
      </c>
      <c r="JK46" s="478" t="str">
        <f>IF(G51=26,G46,"")</f>
        <v/>
      </c>
      <c r="JL46" s="478" t="str">
        <f>IF(G51=27,G46,"")</f>
        <v/>
      </c>
      <c r="JM46" s="478" t="str">
        <f>IF(G51=28,G46,"")</f>
        <v/>
      </c>
      <c r="JN46" s="478" t="str">
        <f>IF(G51=29,G46,"")</f>
        <v/>
      </c>
      <c r="JO46" s="478" t="str">
        <f>IF(G51=30,G46,"")</f>
        <v/>
      </c>
      <c r="JP46" s="478"/>
      <c r="JQ46" s="481">
        <f>IF(AND(AJ50=4,K51=1,G51&lt;=3),G46,0)</f>
        <v>0</v>
      </c>
      <c r="JR46" s="445" t="str">
        <f>IF(AF48=2,(A47*E47),"")</f>
        <v/>
      </c>
      <c r="JS46" s="445" t="str">
        <f>IF(AF48=2,(A47),"")</f>
        <v/>
      </c>
      <c r="JT46" s="480" t="str">
        <f>IF(AF48&gt;1,((A47/F47)-(A47/E47)),"")</f>
        <v/>
      </c>
      <c r="JU46" s="479" t="str">
        <f>IF(AF48=2,((A47/F47)-(A47/E47)),"")</f>
        <v/>
      </c>
      <c r="JV46" s="479" t="str">
        <f>IF(AF48=3,((A47/F47)-(A47/E47)),"")</f>
        <v/>
      </c>
      <c r="JW46" s="479" t="str">
        <f>IF(AF48=4,((A47/F47)-(A47/E47)),"")</f>
        <v/>
      </c>
      <c r="JX46" s="479" t="str">
        <f>IF(AF48=5,((A47/F47)-(A47/E47)),"")</f>
        <v/>
      </c>
      <c r="JY46" s="479" t="str">
        <f>IF(AF48=6,((A47/F47)-(A47/E47)),"")</f>
        <v/>
      </c>
      <c r="JZ46" s="479" t="str">
        <f>IF(AF48=7,((A47/F47)-(A47/E47)),"")</f>
        <v/>
      </c>
      <c r="KA46" s="478" t="str">
        <f>IF(AF48=8,((A47/F47)-(A47/E47)),"")</f>
        <v/>
      </c>
      <c r="KB46" s="478" t="str">
        <f>IF(AF48=9,((A47/F47)-(A47/E47)),"")</f>
        <v/>
      </c>
      <c r="KC46" s="478" t="str">
        <f>IF(AF48=10,((A47/F47)-(A47/E47)),"")</f>
        <v/>
      </c>
      <c r="KD46" s="478" t="str">
        <f>IF(AF48=11,((A47/F47)-(A47/E47)),"")</f>
        <v/>
      </c>
      <c r="KE46" s="478" t="str">
        <f>IF(AF48=12,((A47/F47)-(A47/E47)),"")</f>
        <v/>
      </c>
      <c r="KF46" s="478" t="str">
        <f>IF(AF48=13,((A47/F47)-(A47/E47)),"")</f>
        <v/>
      </c>
      <c r="KG46" s="478" t="str">
        <f>IF(AF48=14,((A47/F47)-(A47/E47)),"")</f>
        <v/>
      </c>
      <c r="KH46" s="478" t="str">
        <f>IF(AF48=15,((A47/F47)-(A47/E47)),"")</f>
        <v/>
      </c>
      <c r="KI46" s="478" t="str">
        <f>IF(AF48=16,((A47/F47)-(A47/E47)),"")</f>
        <v/>
      </c>
      <c r="KJ46" s="478" t="str">
        <f>IF(AF48=17,((A47/F47)-(A47/E47)),"")</f>
        <v/>
      </c>
      <c r="KK46" s="478" t="str">
        <f>IF(AF48=18,((A47/F47)-(A47/E47)),"")</f>
        <v/>
      </c>
      <c r="KL46" s="478" t="str">
        <f>IF(AF48=19,((A47/F47)-(A47/E47)),"")</f>
        <v/>
      </c>
      <c r="KM46" s="478" t="str">
        <f>IF(AF48=20,((A47/F47)-(A47/E47)),"")</f>
        <v/>
      </c>
      <c r="KN46" s="478"/>
      <c r="KO46" s="478"/>
      <c r="KP46" s="478"/>
    </row>
    <row r="47" spans="1:302" s="1" customFormat="1" ht="11.1" customHeight="1">
      <c r="A47" s="461"/>
      <c r="B47" s="477" t="s">
        <v>454</v>
      </c>
      <c r="C47" s="933"/>
      <c r="D47" s="828">
        <f>IF(WEEKDAY(D46,2)=4,D46+4,IF(WEEKDAY(D46,2)=5,D46+4,D46+2))</f>
        <v>44615</v>
      </c>
      <c r="E47" s="475"/>
      <c r="F47" s="460"/>
      <c r="G47" s="383"/>
      <c r="H47" s="383"/>
      <c r="I47" s="434"/>
      <c r="J47" s="434"/>
      <c r="K47" s="384"/>
      <c r="L47" s="722"/>
      <c r="M47" s="720"/>
      <c r="N47" s="223"/>
      <c r="O47" s="223"/>
      <c r="P47" s="474"/>
      <c r="Q47" s="280"/>
      <c r="R47" s="432"/>
      <c r="S47" s="4"/>
      <c r="T47" s="431"/>
      <c r="U47" s="469"/>
      <c r="V47" s="4"/>
      <c r="W47" s="469"/>
      <c r="X47" s="442"/>
      <c r="Y47" s="22"/>
      <c r="Z47" s="22"/>
      <c r="AA47" s="22"/>
      <c r="AB47" s="360"/>
      <c r="AC47" s="431"/>
      <c r="AD47" s="825">
        <f>IF(E47="",((P46-E46)/E46),((P46-E46)/E46)+(((1/F47)-(1/E47))/(1/E47)))</f>
        <v>2.2164192960366595E-2</v>
      </c>
      <c r="AE47" s="431"/>
      <c r="AF47" s="279" t="s">
        <v>65</v>
      </c>
      <c r="AG47" s="824"/>
      <c r="AH47" s="1010" t="s">
        <v>177</v>
      </c>
      <c r="AI47" s="954"/>
      <c r="AJ47" s="960"/>
      <c r="AK47" s="473"/>
      <c r="AL47" s="54">
        <v>99.941999999999993</v>
      </c>
      <c r="AM47" s="537" t="s">
        <v>184</v>
      </c>
      <c r="AN47" s="213">
        <v>1.5</v>
      </c>
      <c r="AO47" s="179">
        <f>IF(B51=2,"0",AO46*-(100-F50)/100)</f>
        <v>-0.11643749999999999</v>
      </c>
      <c r="AP47" s="463">
        <f>IF(AP48&lt;0,0,AP48*-(100-F50)/100)</f>
        <v>-5.2252252252258497E-4</v>
      </c>
      <c r="AQ47" s="179"/>
      <c r="AR47" s="179">
        <f>AR50*-(100-F51)/100</f>
        <v>-2.65625</v>
      </c>
      <c r="AS47" s="471">
        <f>-AP46+AS50+(F46/365*AN50*F51/100)*G46</f>
        <v>175.6953460387453</v>
      </c>
      <c r="AT47" s="419"/>
      <c r="AU47" s="420"/>
      <c r="AV47" s="223"/>
      <c r="AW47" s="420"/>
      <c r="AX47" s="417"/>
      <c r="AY47" s="420"/>
      <c r="AZ47" s="223"/>
      <c r="BA47" s="419"/>
      <c r="BB47" s="223"/>
      <c r="BC47" s="223"/>
      <c r="BD47" s="223"/>
      <c r="BE47" s="223"/>
      <c r="BF47" s="416"/>
      <c r="BG47" s="418"/>
      <c r="BH47" s="416"/>
      <c r="BI47" s="416"/>
      <c r="BJ47" s="416"/>
      <c r="BK47" s="418"/>
      <c r="BL47" s="417"/>
      <c r="BM47" s="417"/>
      <c r="BN47" s="417"/>
      <c r="BO47" s="417"/>
      <c r="BP47" s="417"/>
      <c r="BQ47" s="417"/>
      <c r="BR47" s="417"/>
      <c r="BS47" s="417"/>
      <c r="BT47" s="412"/>
      <c r="BU47" s="412"/>
      <c r="BV47" s="412"/>
      <c r="BW47" s="412"/>
      <c r="BX47" s="415"/>
      <c r="BY47" s="389"/>
      <c r="BZ47" s="389"/>
      <c r="CA47" s="389"/>
      <c r="CB47" s="389"/>
      <c r="CC47" s="389"/>
      <c r="CD47" s="389"/>
      <c r="CE47" s="389"/>
      <c r="CF47" s="389"/>
      <c r="CG47" s="389"/>
      <c r="CH47" s="389"/>
      <c r="CI47" s="389"/>
      <c r="CJ47" s="389"/>
      <c r="CK47" s="389"/>
      <c r="CL47" s="389"/>
      <c r="CM47" s="389"/>
      <c r="CN47" s="389"/>
      <c r="CO47" s="389"/>
      <c r="CP47" s="389"/>
      <c r="CQ47" s="389"/>
      <c r="CR47" s="389"/>
      <c r="CS47" s="415"/>
      <c r="CT47" s="389"/>
      <c r="CU47" s="389"/>
      <c r="CV47" s="389"/>
      <c r="CW47" s="389"/>
      <c r="CX47" s="389"/>
      <c r="CY47" s="389"/>
      <c r="CZ47" s="389"/>
      <c r="DA47" s="389"/>
      <c r="DB47" s="389"/>
      <c r="DC47" s="389"/>
      <c r="DD47" s="389"/>
      <c r="DE47" s="389"/>
      <c r="DF47" s="389"/>
      <c r="DG47" s="389"/>
      <c r="DH47" s="389"/>
      <c r="DI47" s="389"/>
      <c r="DJ47" s="389"/>
      <c r="DK47" s="389"/>
      <c r="DL47" s="389"/>
      <c r="DM47" s="389"/>
      <c r="DN47" s="389"/>
      <c r="DO47" s="414"/>
      <c r="DP47" s="39"/>
      <c r="DQ47" s="39"/>
      <c r="DR47" s="39"/>
      <c r="DS47" s="39"/>
      <c r="DT47" s="39"/>
      <c r="DU47" s="39"/>
      <c r="DV47" s="39"/>
      <c r="DW47" s="39"/>
      <c r="DX47" s="39"/>
      <c r="DY47" s="39"/>
      <c r="DZ47" s="39"/>
      <c r="EA47" s="39"/>
      <c r="EB47" s="39"/>
      <c r="EC47" s="39"/>
      <c r="ED47" s="136"/>
      <c r="EE47" s="136"/>
      <c r="EF47" s="136"/>
      <c r="EG47" s="136"/>
      <c r="EH47" s="136"/>
      <c r="EI47" s="136"/>
      <c r="EJ47" s="136"/>
      <c r="EK47" s="136"/>
      <c r="EL47" s="136"/>
      <c r="EM47" s="136"/>
      <c r="EN47" s="136"/>
      <c r="EO47" s="136"/>
      <c r="EP47" s="136"/>
      <c r="EQ47" s="136"/>
      <c r="ER47" s="136"/>
      <c r="ES47" s="136"/>
      <c r="ET47" s="136"/>
      <c r="EU47" s="136"/>
      <c r="EV47" s="136"/>
      <c r="EW47" s="136"/>
      <c r="EX47" s="136"/>
      <c r="EY47" s="136"/>
      <c r="EZ47" s="136"/>
      <c r="FA47" s="136"/>
      <c r="FB47" s="136"/>
      <c r="FC47" s="136"/>
      <c r="FD47" s="136"/>
      <c r="FE47" s="136"/>
      <c r="FF47" s="136"/>
      <c r="FG47" s="136"/>
      <c r="FH47" s="136"/>
      <c r="FI47" s="136"/>
      <c r="FJ47" s="136"/>
      <c r="FK47" s="136"/>
      <c r="FL47" s="136"/>
      <c r="FM47" s="136"/>
      <c r="FN47" s="136"/>
      <c r="FO47" s="39"/>
      <c r="FP47" s="39"/>
      <c r="FQ47" s="39"/>
      <c r="FR47" s="412"/>
      <c r="FS47" s="412"/>
      <c r="FT47" s="412"/>
      <c r="FU47" s="412"/>
      <c r="FV47" s="412"/>
      <c r="FW47" s="412"/>
      <c r="FX47" s="412"/>
      <c r="FY47" s="412"/>
      <c r="FZ47" s="412"/>
      <c r="GA47" s="412"/>
      <c r="GB47" s="412"/>
      <c r="GC47" s="412"/>
      <c r="GD47" s="412"/>
      <c r="GE47" s="412"/>
      <c r="GF47" s="412"/>
      <c r="GG47" s="412"/>
      <c r="GH47" s="412"/>
      <c r="GI47" s="412"/>
      <c r="GJ47" s="412"/>
      <c r="GK47" s="412"/>
      <c r="GL47" s="412"/>
      <c r="GM47" s="412"/>
      <c r="GN47" s="412"/>
      <c r="GO47" s="412"/>
      <c r="GP47" s="412"/>
      <c r="GQ47" s="412"/>
      <c r="GR47" s="278"/>
      <c r="GS47" s="277"/>
      <c r="GT47" s="277"/>
      <c r="GU47" s="277"/>
      <c r="GV47" s="277"/>
      <c r="GW47" s="277"/>
      <c r="GX47" s="277"/>
      <c r="GY47" s="277"/>
      <c r="GZ47" s="277"/>
      <c r="HA47" s="277"/>
      <c r="HB47" s="277"/>
      <c r="HC47" s="277"/>
      <c r="HD47" s="277"/>
      <c r="HE47" s="277"/>
      <c r="HF47" s="277"/>
      <c r="HG47" s="277"/>
      <c r="HH47" s="277"/>
      <c r="HI47" s="277"/>
      <c r="HJ47" s="277"/>
      <c r="HK47" s="277"/>
      <c r="HL47" s="277"/>
      <c r="HM47" s="277"/>
      <c r="HN47" s="277"/>
      <c r="HO47" s="277"/>
      <c r="HP47" s="277"/>
      <c r="HQ47" s="277"/>
      <c r="HR47" s="277"/>
      <c r="HS47" s="277"/>
      <c r="HT47" s="277"/>
      <c r="HU47" s="277"/>
      <c r="HV47" s="277"/>
      <c r="HW47" s="277"/>
      <c r="HX47" s="277"/>
      <c r="HY47" s="412"/>
      <c r="HZ47" s="412"/>
      <c r="IA47" s="412"/>
      <c r="IB47" s="412"/>
      <c r="IC47" s="412"/>
      <c r="ID47" s="412"/>
      <c r="IE47" s="412"/>
      <c r="IF47" s="412"/>
      <c r="IG47" s="412"/>
      <c r="IH47" s="412"/>
      <c r="II47" s="412"/>
      <c r="IJ47" s="412"/>
      <c r="IK47" s="413"/>
      <c r="IL47" s="412"/>
      <c r="IM47" s="389"/>
      <c r="IN47" s="389"/>
      <c r="IO47" s="389"/>
      <c r="IP47" s="389"/>
      <c r="IQ47" s="389"/>
      <c r="IR47" s="389"/>
      <c r="IS47" s="389"/>
      <c r="IT47" s="389"/>
      <c r="IU47" s="389"/>
      <c r="IV47" s="389"/>
      <c r="IW47" s="389"/>
      <c r="IX47" s="389"/>
      <c r="IY47" s="389"/>
      <c r="IZ47" s="389"/>
      <c r="JA47" s="389"/>
      <c r="JB47" s="389"/>
      <c r="JC47" s="389"/>
      <c r="JD47" s="389"/>
      <c r="JE47" s="389"/>
      <c r="JF47" s="389"/>
      <c r="JG47" s="389"/>
      <c r="JH47" s="389"/>
      <c r="JI47" s="389"/>
      <c r="JJ47" s="389"/>
      <c r="JK47" s="14"/>
      <c r="JL47" s="14"/>
      <c r="JM47" s="14"/>
      <c r="JN47" s="14"/>
      <c r="JO47" s="14"/>
      <c r="JP47" s="14"/>
      <c r="JQ47" s="14"/>
      <c r="JR47" s="14"/>
      <c r="JS47" s="14"/>
      <c r="JT47" s="14"/>
      <c r="JU47" s="14"/>
      <c r="JV47" s="14"/>
      <c r="JW47" s="14"/>
      <c r="JX47" s="14"/>
      <c r="JY47" s="14"/>
      <c r="JZ47" s="14"/>
      <c r="KA47" s="14"/>
      <c r="KB47" s="14"/>
      <c r="KC47" s="14"/>
      <c r="KD47" s="14"/>
      <c r="KE47" s="14"/>
      <c r="KF47" s="14"/>
      <c r="KG47" s="14"/>
      <c r="KH47" s="14"/>
      <c r="KI47" s="14"/>
      <c r="KJ47" s="14"/>
      <c r="KK47" s="14"/>
      <c r="KL47" s="14"/>
      <c r="KM47" s="14"/>
      <c r="KN47" s="14"/>
      <c r="KO47" s="14"/>
      <c r="KP47" s="14"/>
    </row>
    <row r="48" spans="1:302" s="1" customFormat="1" ht="11.1" hidden="1" customHeight="1" outlineLevel="1">
      <c r="A48" s="453">
        <f>(A49*G46)</f>
        <v>1000</v>
      </c>
      <c r="B48" s="468">
        <f>VLOOKUP(B46,'[2]IBAN CONTI'!A$53:B$58,2,FALSE)</f>
        <v>4</v>
      </c>
      <c r="C48" s="56"/>
      <c r="D48" s="973"/>
      <c r="E48" s="766">
        <f ca="1">IF(B51=2,C46,COUPNCD($AB$2,C46,K48,AH50))</f>
        <v>45723</v>
      </c>
      <c r="F48" s="460"/>
      <c r="G48" s="383"/>
      <c r="H48" s="383"/>
      <c r="I48" s="434"/>
      <c r="J48" s="434"/>
      <c r="K48" s="67">
        <v>1</v>
      </c>
      <c r="L48" s="838"/>
      <c r="M48" s="720"/>
      <c r="N48" s="223"/>
      <c r="O48" s="223"/>
      <c r="P48" s="470"/>
      <c r="Q48" s="432"/>
      <c r="R48" s="432"/>
      <c r="S48" s="4"/>
      <c r="T48" s="431"/>
      <c r="U48" s="469"/>
      <c r="V48" s="4"/>
      <c r="W48" s="469"/>
      <c r="X48" s="442"/>
      <c r="Y48" s="22"/>
      <c r="Z48" s="22"/>
      <c r="AA48" s="22"/>
      <c r="AB48" s="979"/>
      <c r="AC48" s="979"/>
      <c r="AD48" s="219"/>
      <c r="AE48" s="219"/>
      <c r="AF48" s="468">
        <f>VLOOKUP(AF47,'[2]IBAN CONTI'!A$106:B$122,2,FALSE)</f>
        <v>1</v>
      </c>
      <c r="AG48" s="467">
        <f>VLOOKUP(A46,'[2]IBAN CONTI'!A$134:B$211,2,FALSE)</f>
        <v>26</v>
      </c>
      <c r="AH48" s="1010"/>
      <c r="AI48" s="954"/>
      <c r="AJ48" s="1035" t="s">
        <v>175</v>
      </c>
      <c r="AK48" s="1042"/>
      <c r="AL48" s="54">
        <v>100</v>
      </c>
      <c r="AM48" s="466">
        <f>YEARFRAC(C46,AL46)</f>
        <v>6.083333333333333</v>
      </c>
      <c r="AN48" s="465">
        <f>IF(B51=2,0,D47-AL46)</f>
        <v>16</v>
      </c>
      <c r="AO48" s="464">
        <f>IF(B51=2,AL47*(1+AM51)^AM50,AO49+AL47)</f>
        <v>99.942418018018017</v>
      </c>
      <c r="AP48" s="463">
        <f>IF(AF48=1,G46*AO49/100,A47/E47/100*AO49)</f>
        <v>4.1801801801806798E-3</v>
      </c>
      <c r="AQ48" s="179"/>
      <c r="AR48" s="179">
        <f>AL51*G46/100</f>
        <v>999.92750000000001</v>
      </c>
      <c r="AS48" s="462">
        <f>(AR51-AP51)*G46/100</f>
        <v>71.898411507477391</v>
      </c>
      <c r="AT48" s="419"/>
      <c r="AU48" s="420"/>
      <c r="AV48" s="223"/>
      <c r="AW48" s="420"/>
      <c r="AX48" s="417"/>
      <c r="AY48" s="420"/>
      <c r="AZ48" s="223"/>
      <c r="BA48" s="419"/>
      <c r="BB48" s="223"/>
      <c r="BC48" s="223"/>
      <c r="BD48" s="223"/>
      <c r="BE48" s="223"/>
      <c r="BF48" s="416"/>
      <c r="BG48" s="418"/>
      <c r="BH48" s="416"/>
      <c r="BI48" s="416"/>
      <c r="BJ48" s="416"/>
      <c r="BK48" s="418"/>
      <c r="BL48" s="417"/>
      <c r="BM48" s="416"/>
      <c r="BN48" s="416"/>
      <c r="BO48" s="416"/>
      <c r="BP48" s="416"/>
      <c r="BQ48" s="416"/>
      <c r="BR48" s="416"/>
      <c r="BS48" s="416"/>
      <c r="BT48" s="389"/>
      <c r="BU48" s="389"/>
      <c r="BV48" s="389"/>
      <c r="BW48" s="389"/>
      <c r="BX48" s="415"/>
      <c r="BY48" s="389"/>
      <c r="BZ48" s="389"/>
      <c r="CA48" s="389"/>
      <c r="CB48" s="389"/>
      <c r="CC48" s="389"/>
      <c r="CD48" s="389"/>
      <c r="CE48" s="389"/>
      <c r="CF48" s="389"/>
      <c r="CG48" s="389"/>
      <c r="CH48" s="389"/>
      <c r="CI48" s="389"/>
      <c r="CJ48" s="389"/>
      <c r="CK48" s="389"/>
      <c r="CL48" s="389"/>
      <c r="CM48" s="389"/>
      <c r="CN48" s="389"/>
      <c r="CO48" s="389"/>
      <c r="CP48" s="389"/>
      <c r="CQ48" s="389"/>
      <c r="CR48" s="389"/>
      <c r="CS48" s="415"/>
      <c r="CT48" s="389"/>
      <c r="CU48" s="389"/>
      <c r="CV48" s="389"/>
      <c r="CW48" s="389"/>
      <c r="CX48" s="389"/>
      <c r="CY48" s="389"/>
      <c r="CZ48" s="389"/>
      <c r="DA48" s="389"/>
      <c r="DB48" s="389"/>
      <c r="DC48" s="389"/>
      <c r="DD48" s="389"/>
      <c r="DE48" s="389"/>
      <c r="DF48" s="389"/>
      <c r="DG48" s="389"/>
      <c r="DH48" s="389"/>
      <c r="DI48" s="389"/>
      <c r="DJ48" s="389"/>
      <c r="DK48" s="389"/>
      <c r="DL48" s="389"/>
      <c r="DM48" s="389"/>
      <c r="DN48" s="389"/>
      <c r="DO48" s="414"/>
      <c r="DP48" s="39"/>
      <c r="DQ48" s="39"/>
      <c r="DR48" s="39"/>
      <c r="DS48" s="39"/>
      <c r="DT48" s="39"/>
      <c r="DU48" s="39"/>
      <c r="DV48" s="39"/>
      <c r="DW48" s="39"/>
      <c r="DX48" s="39"/>
      <c r="DY48" s="39"/>
      <c r="DZ48" s="39"/>
      <c r="EA48" s="39"/>
      <c r="EB48" s="39"/>
      <c r="EC48" s="39"/>
      <c r="ED48" s="136"/>
      <c r="EE48" s="136"/>
      <c r="EF48" s="136"/>
      <c r="EG48" s="136"/>
      <c r="EH48" s="136"/>
      <c r="EI48" s="136"/>
      <c r="EJ48" s="136"/>
      <c r="EK48" s="136"/>
      <c r="EL48" s="136"/>
      <c r="EM48" s="136"/>
      <c r="EN48" s="136"/>
      <c r="EO48" s="136"/>
      <c r="EP48" s="136"/>
      <c r="EQ48" s="136"/>
      <c r="ER48" s="136"/>
      <c r="ES48" s="136"/>
      <c r="ET48" s="136"/>
      <c r="EU48" s="136"/>
      <c r="EV48" s="136"/>
      <c r="EW48" s="136"/>
      <c r="EX48" s="136"/>
      <c r="EY48" s="136"/>
      <c r="EZ48" s="136"/>
      <c r="FA48" s="136"/>
      <c r="FB48" s="136"/>
      <c r="FC48" s="136"/>
      <c r="FD48" s="136"/>
      <c r="FE48" s="136"/>
      <c r="FF48" s="136"/>
      <c r="FG48" s="136"/>
      <c r="FH48" s="136"/>
      <c r="FI48" s="136"/>
      <c r="FJ48" s="136"/>
      <c r="FK48" s="136"/>
      <c r="FL48" s="136"/>
      <c r="FM48" s="136"/>
      <c r="FN48" s="136"/>
      <c r="FO48" s="39"/>
      <c r="FP48" s="39"/>
      <c r="FQ48" s="39"/>
      <c r="FR48" s="412"/>
      <c r="FS48" s="412"/>
      <c r="FT48" s="412"/>
      <c r="FU48" s="412"/>
      <c r="FV48" s="412"/>
      <c r="FW48" s="412"/>
      <c r="FX48" s="412"/>
      <c r="FY48" s="412"/>
      <c r="FZ48" s="412"/>
      <c r="GA48" s="412"/>
      <c r="GB48" s="412"/>
      <c r="GC48" s="412"/>
      <c r="GD48" s="412"/>
      <c r="GE48" s="412"/>
      <c r="GF48" s="412"/>
      <c r="GG48" s="412"/>
      <c r="GH48" s="412"/>
      <c r="GI48" s="412"/>
      <c r="GJ48" s="412"/>
      <c r="GK48" s="412"/>
      <c r="GL48" s="412"/>
      <c r="GM48" s="412"/>
      <c r="GN48" s="412"/>
      <c r="GO48" s="412"/>
      <c r="GP48" s="412"/>
      <c r="GQ48" s="412"/>
      <c r="GR48" s="278"/>
      <c r="GS48" s="277"/>
      <c r="GT48" s="277"/>
      <c r="GU48" s="277"/>
      <c r="GV48" s="277"/>
      <c r="GW48" s="277"/>
      <c r="GX48" s="277"/>
      <c r="GY48" s="277"/>
      <c r="GZ48" s="277"/>
      <c r="HA48" s="277"/>
      <c r="HB48" s="277"/>
      <c r="HC48" s="277"/>
      <c r="HD48" s="277"/>
      <c r="HE48" s="277"/>
      <c r="HF48" s="277"/>
      <c r="HG48" s="277"/>
      <c r="HH48" s="277"/>
      <c r="HI48" s="277"/>
      <c r="HJ48" s="277"/>
      <c r="HK48" s="277"/>
      <c r="HL48" s="277"/>
      <c r="HM48" s="277"/>
      <c r="HN48" s="277"/>
      <c r="HO48" s="277"/>
      <c r="HP48" s="277"/>
      <c r="HQ48" s="277"/>
      <c r="HR48" s="277"/>
      <c r="HS48" s="277"/>
      <c r="HT48" s="277"/>
      <c r="HU48" s="277"/>
      <c r="HV48" s="277"/>
      <c r="HW48" s="277"/>
      <c r="HX48" s="277"/>
      <c r="HY48" s="412"/>
      <c r="HZ48" s="412"/>
      <c r="IA48" s="412"/>
      <c r="IB48" s="412"/>
      <c r="IC48" s="412"/>
      <c r="ID48" s="412"/>
      <c r="IE48" s="412"/>
      <c r="IF48" s="412"/>
      <c r="IG48" s="412"/>
      <c r="IH48" s="412"/>
      <c r="II48" s="412"/>
      <c r="IJ48" s="412"/>
      <c r="IK48" s="413"/>
      <c r="IL48" s="412"/>
      <c r="IM48" s="389"/>
      <c r="IN48" s="389"/>
      <c r="IO48" s="389"/>
      <c r="IP48" s="389"/>
      <c r="IQ48" s="389"/>
      <c r="IR48" s="389"/>
      <c r="IS48" s="389"/>
      <c r="IT48" s="389"/>
      <c r="IU48" s="389"/>
      <c r="IV48" s="389"/>
      <c r="IW48" s="389"/>
      <c r="IX48" s="389"/>
      <c r="IY48" s="389"/>
      <c r="IZ48" s="389"/>
      <c r="JA48" s="389"/>
      <c r="JB48" s="389"/>
      <c r="JC48" s="389"/>
      <c r="JD48" s="389"/>
      <c r="JE48" s="389"/>
      <c r="JF48" s="389"/>
      <c r="JG48" s="389"/>
      <c r="JH48" s="389"/>
      <c r="JI48" s="389"/>
      <c r="JJ48" s="389"/>
      <c r="JK48" s="14"/>
      <c r="JL48" s="14"/>
      <c r="JM48" s="14"/>
      <c r="JN48" s="14"/>
      <c r="JO48" s="14"/>
      <c r="JP48" s="14"/>
      <c r="JQ48" s="14"/>
      <c r="JR48" s="14"/>
      <c r="JS48" s="14"/>
      <c r="JT48" s="14"/>
      <c r="JU48" s="14"/>
      <c r="JV48" s="14"/>
      <c r="JW48" s="14"/>
      <c r="JX48" s="14"/>
      <c r="JY48" s="14"/>
      <c r="JZ48" s="14"/>
      <c r="KA48" s="14"/>
      <c r="KB48" s="14"/>
      <c r="KC48" s="14"/>
      <c r="KD48" s="14"/>
      <c r="KE48" s="14"/>
      <c r="KF48" s="14"/>
      <c r="KG48" s="14"/>
      <c r="KH48" s="14"/>
      <c r="KI48" s="14"/>
      <c r="KJ48" s="14"/>
      <c r="KK48" s="14"/>
      <c r="KL48" s="14"/>
      <c r="KM48" s="14"/>
      <c r="KN48" s="14"/>
      <c r="KO48" s="14"/>
      <c r="KP48" s="14"/>
    </row>
    <row r="49" spans="1:302" s="1" customFormat="1" ht="11.1" hidden="1" customHeight="1" outlineLevel="1">
      <c r="A49" s="461">
        <v>1</v>
      </c>
      <c r="B49" s="990" t="s">
        <v>183</v>
      </c>
      <c r="C49" s="990"/>
      <c r="D49" s="452">
        <f>COUPPCD(D47,C46,K48,AH50)</f>
        <v>44262</v>
      </c>
      <c r="E49" s="386"/>
      <c r="F49" s="460"/>
      <c r="G49" s="985">
        <v>2028</v>
      </c>
      <c r="H49" s="383"/>
      <c r="I49" s="434"/>
      <c r="J49" s="434"/>
      <c r="K49" s="987" t="s">
        <v>455</v>
      </c>
      <c r="L49" s="829"/>
      <c r="M49" s="720"/>
      <c r="N49" s="223"/>
      <c r="O49" s="223"/>
      <c r="Q49" s="432"/>
      <c r="R49" s="432"/>
      <c r="S49" s="15"/>
      <c r="T49" s="431"/>
      <c r="U49" s="15"/>
      <c r="V49" s="15"/>
      <c r="W49" s="15"/>
      <c r="X49" s="442"/>
      <c r="Y49" s="430"/>
      <c r="Z49" s="430"/>
      <c r="AA49" s="430"/>
      <c r="AB49" s="9"/>
      <c r="AC49" s="36"/>
      <c r="AD49" s="219"/>
      <c r="AE49" s="219"/>
      <c r="AF49" s="459"/>
      <c r="AG49" s="458"/>
      <c r="AH49" s="457"/>
      <c r="AI49" s="457"/>
      <c r="AJ49" s="1037"/>
      <c r="AK49" s="991"/>
      <c r="AL49" s="54">
        <f>IF(AL47&gt;100,0,AL48-AL47)</f>
        <v>5.8000000000006935E-2</v>
      </c>
      <c r="AM49" s="456">
        <f>C46-AL46</f>
        <v>2220</v>
      </c>
      <c r="AN49" s="448">
        <f>IF(OR(K48&lt;&gt;1,AN48&gt;365),COUPDAYBS(D47,C46,K48,AH50),AN48)</f>
        <v>16</v>
      </c>
      <c r="AO49" s="424">
        <f>IF(B51=2,AO48-AL47,AL49/AM49*AN48)</f>
        <v>4.1801801801806798E-4</v>
      </c>
      <c r="AP49" s="455">
        <f>IF(B51=4,FLOOR(F46/K48*AN49/(D50-D49)*100,0.000001),IF(AH50=4,YEARFRAC(D49,D47,0)*F46*100,IF(B51=3,IF(OR(AH50=4,AH50=2),(F48*(AN49))/(360)*100,(F48*(AN49))/(365)*100),FLOOR(F46/K48*AN49/(D50-D49)*100,0.000001))))</f>
        <v>9.3149999999999997E-2</v>
      </c>
      <c r="AQ49" s="454"/>
      <c r="AR49" s="422">
        <f>AL49*G46/100</f>
        <v>0.58000000000006935</v>
      </c>
      <c r="AS49" s="422">
        <f>IF(AS48&lt;0,0,AS48*(100-F51)/100)</f>
        <v>8.9873014384346739</v>
      </c>
      <c r="AT49" s="419"/>
      <c r="AU49" s="420"/>
      <c r="AV49" s="223"/>
      <c r="AW49" s="420"/>
      <c r="AX49" s="417"/>
      <c r="AY49" s="420"/>
      <c r="AZ49" s="223"/>
      <c r="BA49" s="419"/>
      <c r="BB49" s="223"/>
      <c r="BC49" s="223"/>
      <c r="BD49" s="223"/>
      <c r="BE49" s="223"/>
      <c r="BF49" s="416"/>
      <c r="BG49" s="418"/>
      <c r="BH49" s="416"/>
      <c r="BI49" s="416"/>
      <c r="BJ49" s="416"/>
      <c r="BK49" s="418"/>
      <c r="BL49" s="417"/>
      <c r="BM49" s="416"/>
      <c r="BN49" s="416"/>
      <c r="BO49" s="416"/>
      <c r="BP49" s="416"/>
      <c r="BQ49" s="416"/>
      <c r="BR49" s="416"/>
      <c r="BS49" s="416"/>
      <c r="BT49" s="389"/>
      <c r="BU49" s="389"/>
      <c r="BV49" s="389"/>
      <c r="BW49" s="389"/>
      <c r="BX49" s="415"/>
      <c r="BY49" s="389"/>
      <c r="BZ49" s="389"/>
      <c r="CA49" s="389"/>
      <c r="CB49" s="389"/>
      <c r="CC49" s="389"/>
      <c r="CD49" s="389"/>
      <c r="CE49" s="389"/>
      <c r="CF49" s="389"/>
      <c r="CG49" s="389"/>
      <c r="CH49" s="389"/>
      <c r="CI49" s="389"/>
      <c r="CJ49" s="389"/>
      <c r="CK49" s="389"/>
      <c r="CL49" s="389"/>
      <c r="CM49" s="389"/>
      <c r="CN49" s="389"/>
      <c r="CO49" s="389"/>
      <c r="CP49" s="389"/>
      <c r="CQ49" s="389"/>
      <c r="CR49" s="389"/>
      <c r="CS49" s="415"/>
      <c r="CT49" s="389"/>
      <c r="CU49" s="389"/>
      <c r="CV49" s="389"/>
      <c r="CW49" s="389"/>
      <c r="CX49" s="389"/>
      <c r="CY49" s="389"/>
      <c r="CZ49" s="389"/>
      <c r="DA49" s="389"/>
      <c r="DB49" s="389"/>
      <c r="DC49" s="389"/>
      <c r="DD49" s="389"/>
      <c r="DE49" s="389"/>
      <c r="DF49" s="389"/>
      <c r="DG49" s="389"/>
      <c r="DH49" s="389"/>
      <c r="DI49" s="389"/>
      <c r="DJ49" s="389"/>
      <c r="DK49" s="389"/>
      <c r="DL49" s="389"/>
      <c r="DM49" s="389"/>
      <c r="DN49" s="389"/>
      <c r="DO49" s="414"/>
      <c r="DP49" s="39"/>
      <c r="DQ49" s="39"/>
      <c r="DR49" s="39"/>
      <c r="DS49" s="39"/>
      <c r="DT49" s="39"/>
      <c r="DU49" s="39"/>
      <c r="DV49" s="39"/>
      <c r="DW49" s="39"/>
      <c r="DX49" s="39"/>
      <c r="DY49" s="39"/>
      <c r="DZ49" s="39"/>
      <c r="EA49" s="39"/>
      <c r="EB49" s="39"/>
      <c r="EC49" s="39"/>
      <c r="ED49" s="136"/>
      <c r="EE49" s="136"/>
      <c r="EF49" s="136"/>
      <c r="EG49" s="136"/>
      <c r="EH49" s="136"/>
      <c r="EI49" s="136"/>
      <c r="EJ49" s="136"/>
      <c r="EK49" s="136"/>
      <c r="EL49" s="136"/>
      <c r="EM49" s="136"/>
      <c r="EN49" s="136"/>
      <c r="EO49" s="136"/>
      <c r="EP49" s="136"/>
      <c r="EQ49" s="136"/>
      <c r="ER49" s="136"/>
      <c r="ES49" s="136"/>
      <c r="ET49" s="136"/>
      <c r="EU49" s="136"/>
      <c r="EV49" s="136"/>
      <c r="EW49" s="136"/>
      <c r="EX49" s="136"/>
      <c r="EY49" s="136"/>
      <c r="EZ49" s="136"/>
      <c r="FA49" s="136"/>
      <c r="FB49" s="136"/>
      <c r="FC49" s="136"/>
      <c r="FD49" s="136"/>
      <c r="FE49" s="136"/>
      <c r="FF49" s="136"/>
      <c r="FG49" s="136"/>
      <c r="FH49" s="136"/>
      <c r="FI49" s="136"/>
      <c r="FJ49" s="136"/>
      <c r="FK49" s="136"/>
      <c r="FL49" s="136"/>
      <c r="FM49" s="136"/>
      <c r="FN49" s="136"/>
      <c r="FO49" s="39"/>
      <c r="FP49" s="39"/>
      <c r="FQ49" s="39"/>
      <c r="FR49" s="412"/>
      <c r="FS49" s="412"/>
      <c r="FT49" s="412"/>
      <c r="FU49" s="412"/>
      <c r="FV49" s="412"/>
      <c r="FW49" s="412"/>
      <c r="FX49" s="412"/>
      <c r="FY49" s="412"/>
      <c r="FZ49" s="412"/>
      <c r="GA49" s="412"/>
      <c r="GB49" s="412"/>
      <c r="GC49" s="412"/>
      <c r="GD49" s="412"/>
      <c r="GE49" s="412"/>
      <c r="GF49" s="412"/>
      <c r="GG49" s="412"/>
      <c r="GH49" s="412"/>
      <c r="GI49" s="412"/>
      <c r="GJ49" s="412"/>
      <c r="GK49" s="412"/>
      <c r="GL49" s="412"/>
      <c r="GM49" s="412"/>
      <c r="GN49" s="412"/>
      <c r="GO49" s="412"/>
      <c r="GP49" s="412"/>
      <c r="GQ49" s="412"/>
      <c r="GR49" s="278"/>
      <c r="GS49" s="277"/>
      <c r="GT49" s="277"/>
      <c r="GU49" s="277"/>
      <c r="GV49" s="277"/>
      <c r="GW49" s="277"/>
      <c r="GX49" s="277"/>
      <c r="GY49" s="277"/>
      <c r="GZ49" s="277"/>
      <c r="HA49" s="277"/>
      <c r="HB49" s="277"/>
      <c r="HC49" s="277"/>
      <c r="HD49" s="277"/>
      <c r="HE49" s="277"/>
      <c r="HF49" s="277"/>
      <c r="HG49" s="277"/>
      <c r="HH49" s="277"/>
      <c r="HI49" s="277"/>
      <c r="HJ49" s="277"/>
      <c r="HK49" s="277"/>
      <c r="HL49" s="277"/>
      <c r="HM49" s="277"/>
      <c r="HN49" s="277"/>
      <c r="HO49" s="277"/>
      <c r="HP49" s="277"/>
      <c r="HQ49" s="277"/>
      <c r="HR49" s="277"/>
      <c r="HS49" s="277"/>
      <c r="HT49" s="277"/>
      <c r="HU49" s="277"/>
      <c r="HV49" s="277"/>
      <c r="HW49" s="277"/>
      <c r="HX49" s="277"/>
      <c r="HY49" s="412"/>
      <c r="HZ49" s="412"/>
      <c r="IA49" s="412"/>
      <c r="IB49" s="412"/>
      <c r="IC49" s="412"/>
      <c r="ID49" s="412"/>
      <c r="IE49" s="412"/>
      <c r="IF49" s="412"/>
      <c r="IG49" s="412"/>
      <c r="IH49" s="412"/>
      <c r="II49" s="412"/>
      <c r="IJ49" s="412"/>
      <c r="IK49" s="413"/>
      <c r="IL49" s="412"/>
      <c r="IM49" s="389"/>
      <c r="IN49" s="389"/>
      <c r="IO49" s="389"/>
      <c r="IP49" s="389"/>
      <c r="IQ49" s="389"/>
      <c r="IR49" s="389"/>
      <c r="IS49" s="389"/>
      <c r="IT49" s="389"/>
      <c r="IU49" s="389"/>
      <c r="IV49" s="389"/>
      <c r="IW49" s="389"/>
      <c r="IX49" s="389"/>
      <c r="IY49" s="389"/>
      <c r="IZ49" s="389"/>
      <c r="JA49" s="389"/>
      <c r="JB49" s="389"/>
      <c r="JC49" s="389"/>
      <c r="JD49" s="389"/>
      <c r="JE49" s="389"/>
      <c r="JF49" s="389"/>
      <c r="JG49" s="389"/>
      <c r="JH49" s="389"/>
      <c r="JI49" s="389"/>
      <c r="JJ49" s="389"/>
      <c r="JK49" s="14"/>
      <c r="JL49" s="14"/>
      <c r="JM49" s="14"/>
      <c r="JN49" s="14"/>
      <c r="JO49" s="14"/>
      <c r="JP49" s="14"/>
      <c r="JQ49" s="14"/>
      <c r="JR49" s="14"/>
      <c r="JS49" s="14"/>
      <c r="JT49" s="14"/>
      <c r="JU49" s="14"/>
      <c r="JV49" s="14"/>
      <c r="JW49" s="14"/>
      <c r="JX49" s="14"/>
      <c r="JY49" s="14"/>
      <c r="JZ49" s="14"/>
      <c r="KA49" s="14"/>
      <c r="KB49" s="14"/>
      <c r="KC49" s="14"/>
      <c r="KD49" s="14"/>
      <c r="KE49" s="14"/>
      <c r="KF49" s="14"/>
      <c r="KG49" s="14"/>
      <c r="KH49" s="14"/>
      <c r="KI49" s="14"/>
      <c r="KJ49" s="14"/>
      <c r="KK49" s="14"/>
      <c r="KL49" s="14"/>
      <c r="KM49" s="14"/>
      <c r="KN49" s="14"/>
      <c r="KO49" s="14"/>
      <c r="KP49" s="14"/>
    </row>
    <row r="50" spans="1:302" s="1" customFormat="1" ht="11.1" hidden="1" customHeight="1" outlineLevel="1" thickBot="1">
      <c r="A50" s="453">
        <f>(A51*G46)</f>
        <v>1000</v>
      </c>
      <c r="B50" s="990"/>
      <c r="C50" s="990"/>
      <c r="D50" s="452">
        <f>COUPNCD(D47,C46,K48,AH50)</f>
        <v>44627</v>
      </c>
      <c r="E50" s="932" t="s">
        <v>173</v>
      </c>
      <c r="F50" s="451" t="str">
        <f>IF(E51=1,"87,5",IF(D46&lt;40908,87.5,IF(D46&lt;41820,"80","74")))</f>
        <v>87,5</v>
      </c>
      <c r="G50" s="986"/>
      <c r="H50" s="383"/>
      <c r="I50" s="434"/>
      <c r="J50" s="434"/>
      <c r="K50" s="987"/>
      <c r="L50" s="829"/>
      <c r="M50" s="720"/>
      <c r="N50" s="223"/>
      <c r="O50" s="223"/>
      <c r="Q50" s="432"/>
      <c r="R50" s="432"/>
      <c r="S50" s="15"/>
      <c r="T50" s="431"/>
      <c r="U50" s="15"/>
      <c r="V50" s="15"/>
      <c r="W50" s="15"/>
      <c r="X50" s="442"/>
      <c r="Y50" s="430"/>
      <c r="Z50" s="430"/>
      <c r="AA50" s="430"/>
      <c r="AB50" s="9"/>
      <c r="AC50" s="36"/>
      <c r="AD50" s="219"/>
      <c r="AE50" s="219"/>
      <c r="AF50" s="15"/>
      <c r="AG50" s="75"/>
      <c r="AH50" s="419">
        <f>VLOOKUP(AH47,'[2]IBAN CONTI'!A:B,2,FALSE)</f>
        <v>1</v>
      </c>
      <c r="AI50" s="419"/>
      <c r="AJ50" s="1033">
        <f>VLOOKUP(AJ48,'[2]IBAN CONTI'!A$67:B$77,2,FALSE)</f>
        <v>1</v>
      </c>
      <c r="AK50" s="1043"/>
      <c r="AL50" s="450">
        <f>AL47</f>
        <v>99.941999999999993</v>
      </c>
      <c r="AM50" s="449">
        <f>IF(B51=1,YEARFRAC(D47,C46,AH50),IF(B51=2,YEARFRAC(AL46,D47,AH50)))</f>
        <v>6.0336331638639029</v>
      </c>
      <c r="AN50" s="448">
        <f>IF(B51=2,0,C46-D47-(365-AN49))</f>
        <v>1855</v>
      </c>
      <c r="AO50" s="424">
        <f>E46-AO49</f>
        <v>92.509178981981975</v>
      </c>
      <c r="AP50" s="447">
        <f>E46+AO51+AP49+0.1</f>
        <v>92.702694747747742</v>
      </c>
      <c r="AQ50" s="446"/>
      <c r="AR50" s="179">
        <f>IF(B51=3,F48*G46,F46*G46)</f>
        <v>21.25</v>
      </c>
      <c r="AS50" s="421">
        <f>AR46-AS49</f>
        <v>1009.5339485615654</v>
      </c>
      <c r="AT50" s="419"/>
      <c r="AU50" s="420"/>
      <c r="AV50" s="223"/>
      <c r="AW50" s="420"/>
      <c r="AX50" s="417"/>
      <c r="AY50" s="420"/>
      <c r="AZ50" s="223"/>
      <c r="BA50" s="419"/>
      <c r="BB50" s="223"/>
      <c r="BC50" s="223"/>
      <c r="BD50" s="223"/>
      <c r="BE50" s="223"/>
      <c r="BF50" s="416"/>
      <c r="BG50" s="418"/>
      <c r="BH50" s="416"/>
      <c r="BI50" s="416"/>
      <c r="BJ50" s="416"/>
      <c r="BK50" s="418"/>
      <c r="BL50" s="417"/>
      <c r="BM50" s="416"/>
      <c r="BN50" s="416"/>
      <c r="BO50" s="416"/>
      <c r="BP50" s="416"/>
      <c r="BQ50" s="416"/>
      <c r="BR50" s="416"/>
      <c r="BS50" s="416"/>
      <c r="BT50" s="389"/>
      <c r="BU50" s="389"/>
      <c r="BV50" s="389"/>
      <c r="BW50" s="389"/>
      <c r="BX50" s="415"/>
      <c r="BY50" s="389"/>
      <c r="BZ50" s="389"/>
      <c r="CA50" s="389"/>
      <c r="CB50" s="389"/>
      <c r="CC50" s="389"/>
      <c r="CD50" s="389"/>
      <c r="CE50" s="389"/>
      <c r="CF50" s="389"/>
      <c r="CG50" s="389"/>
      <c r="CH50" s="389"/>
      <c r="CI50" s="389"/>
      <c r="CJ50" s="389"/>
      <c r="CK50" s="389"/>
      <c r="CL50" s="389"/>
      <c r="CM50" s="389"/>
      <c r="CN50" s="389"/>
      <c r="CO50" s="389"/>
      <c r="CP50" s="389"/>
      <c r="CQ50" s="389"/>
      <c r="CR50" s="389"/>
      <c r="CS50" s="415"/>
      <c r="CT50" s="389"/>
      <c r="CU50" s="389"/>
      <c r="CV50" s="389"/>
      <c r="CW50" s="389"/>
      <c r="CX50" s="389"/>
      <c r="CY50" s="389"/>
      <c r="CZ50" s="389"/>
      <c r="DA50" s="389"/>
      <c r="DB50" s="389"/>
      <c r="DC50" s="389"/>
      <c r="DD50" s="389"/>
      <c r="DE50" s="389"/>
      <c r="DF50" s="389"/>
      <c r="DG50" s="389"/>
      <c r="DH50" s="389"/>
      <c r="DI50" s="389"/>
      <c r="DJ50" s="389"/>
      <c r="DK50" s="389"/>
      <c r="DL50" s="389"/>
      <c r="DM50" s="389"/>
      <c r="DN50" s="389"/>
      <c r="DO50" s="414"/>
      <c r="DP50" s="39"/>
      <c r="DQ50" s="39"/>
      <c r="DR50" s="39"/>
      <c r="DS50" s="136"/>
      <c r="DT50" s="136"/>
      <c r="DU50" s="136"/>
      <c r="DV50" s="136"/>
      <c r="DW50" s="136"/>
      <c r="DX50" s="136"/>
      <c r="DY50" s="136"/>
      <c r="DZ50" s="136"/>
      <c r="EA50" s="136"/>
      <c r="EB50" s="136"/>
      <c r="EC50" s="136"/>
      <c r="ED50" s="136"/>
      <c r="EE50" s="136"/>
      <c r="EF50" s="136"/>
      <c r="EG50" s="136"/>
      <c r="EH50" s="136"/>
      <c r="EI50" s="136"/>
      <c r="EJ50" s="136"/>
      <c r="EK50" s="136"/>
      <c r="EL50" s="136"/>
      <c r="EM50" s="136"/>
      <c r="EN50" s="136"/>
      <c r="EO50" s="136"/>
      <c r="EP50" s="136"/>
      <c r="EQ50" s="136"/>
      <c r="ER50" s="136"/>
      <c r="ES50" s="136"/>
      <c r="ET50" s="136"/>
      <c r="EU50" s="136"/>
      <c r="EV50" s="136"/>
      <c r="EW50" s="136"/>
      <c r="EX50" s="136"/>
      <c r="EY50" s="136"/>
      <c r="EZ50" s="136"/>
      <c r="FA50" s="136"/>
      <c r="FB50" s="136"/>
      <c r="FC50" s="136"/>
      <c r="FD50" s="136"/>
      <c r="FE50" s="136"/>
      <c r="FF50" s="136"/>
      <c r="FG50" s="136"/>
      <c r="FH50" s="136"/>
      <c r="FI50" s="136"/>
      <c r="FJ50" s="136"/>
      <c r="FK50" s="136"/>
      <c r="FL50" s="136"/>
      <c r="FM50" s="136"/>
      <c r="FN50" s="136"/>
      <c r="FO50" s="136"/>
      <c r="FP50" s="136"/>
      <c r="FQ50" s="136"/>
      <c r="FR50" s="412"/>
      <c r="FS50" s="412"/>
      <c r="FT50" s="412"/>
      <c r="FU50" s="412"/>
      <c r="FV50" s="412"/>
      <c r="FW50" s="412"/>
      <c r="FX50" s="412"/>
      <c r="FY50" s="412"/>
      <c r="FZ50" s="412"/>
      <c r="GA50" s="412"/>
      <c r="GB50" s="412"/>
      <c r="GC50" s="412"/>
      <c r="GD50" s="412"/>
      <c r="GE50" s="412"/>
      <c r="GF50" s="412"/>
      <c r="GG50" s="412"/>
      <c r="GH50" s="412"/>
      <c r="GI50" s="412"/>
      <c r="GJ50" s="412"/>
      <c r="GK50" s="412"/>
      <c r="GL50" s="412"/>
      <c r="GM50" s="412"/>
      <c r="GN50" s="412"/>
      <c r="GO50" s="412"/>
      <c r="GP50" s="412"/>
      <c r="GQ50" s="412"/>
      <c r="GR50" s="278"/>
      <c r="GS50" s="277"/>
      <c r="GT50" s="277"/>
      <c r="GU50" s="277"/>
      <c r="GV50" s="277"/>
      <c r="GW50" s="277"/>
      <c r="GX50" s="277"/>
      <c r="GY50" s="277"/>
      <c r="GZ50" s="277"/>
      <c r="HA50" s="277"/>
      <c r="HB50" s="277"/>
      <c r="HC50" s="277"/>
      <c r="HD50" s="277"/>
      <c r="HE50" s="277"/>
      <c r="HF50" s="277"/>
      <c r="HG50" s="277"/>
      <c r="HH50" s="277"/>
      <c r="HI50" s="277"/>
      <c r="HJ50" s="277"/>
      <c r="HK50" s="277"/>
      <c r="HL50" s="277"/>
      <c r="HM50" s="277"/>
      <c r="HN50" s="277"/>
      <c r="HO50" s="277"/>
      <c r="HP50" s="277"/>
      <c r="HQ50" s="277"/>
      <c r="HR50" s="277"/>
      <c r="HS50" s="277"/>
      <c r="HT50" s="277"/>
      <c r="HU50" s="277"/>
      <c r="HV50" s="277"/>
      <c r="HW50" s="277"/>
      <c r="HX50" s="277"/>
      <c r="HY50" s="412"/>
      <c r="HZ50" s="412"/>
      <c r="IA50" s="412"/>
      <c r="IB50" s="412"/>
      <c r="IC50" s="412"/>
      <c r="ID50" s="412"/>
      <c r="IE50" s="412"/>
      <c r="IF50" s="412"/>
      <c r="IG50" s="412"/>
      <c r="IH50" s="412"/>
      <c r="II50" s="412"/>
      <c r="IJ50" s="412"/>
      <c r="IK50" s="413"/>
      <c r="IL50" s="412"/>
      <c r="IM50" s="389"/>
      <c r="IN50" s="389"/>
      <c r="IO50" s="389"/>
      <c r="IP50" s="389"/>
      <c r="IQ50" s="389"/>
      <c r="IR50" s="389"/>
      <c r="IS50" s="389"/>
      <c r="IT50" s="389"/>
      <c r="IU50" s="389"/>
      <c r="IV50" s="389"/>
      <c r="IW50" s="389"/>
      <c r="IX50" s="389"/>
      <c r="IY50" s="389"/>
      <c r="IZ50" s="389"/>
      <c r="JA50" s="389"/>
      <c r="JB50" s="389"/>
      <c r="JC50" s="389"/>
      <c r="JD50" s="389"/>
      <c r="JE50" s="389"/>
      <c r="JF50" s="389"/>
      <c r="JG50" s="389"/>
      <c r="JH50" s="389"/>
      <c r="JI50" s="389"/>
      <c r="JJ50" s="389"/>
      <c r="JK50" s="14"/>
      <c r="JL50" s="14"/>
      <c r="JM50" s="14"/>
      <c r="JN50" s="14"/>
      <c r="JO50" s="14"/>
      <c r="JP50" s="14"/>
      <c r="JQ50" s="14"/>
      <c r="JR50" s="14"/>
      <c r="JS50" s="14"/>
      <c r="JT50" s="14"/>
      <c r="JU50" s="14"/>
      <c r="JV50" s="14"/>
      <c r="JW50" s="14"/>
      <c r="JX50" s="14"/>
      <c r="JY50" s="14"/>
      <c r="JZ50" s="14"/>
      <c r="KA50" s="14"/>
      <c r="KB50" s="14"/>
      <c r="KC50" s="14"/>
      <c r="KD50" s="14"/>
      <c r="KE50" s="14"/>
      <c r="KF50" s="14"/>
      <c r="KG50" s="14"/>
      <c r="KH50" s="14"/>
      <c r="KI50" s="14"/>
      <c r="KJ50" s="14"/>
      <c r="KK50" s="14"/>
      <c r="KL50" s="14"/>
      <c r="KM50" s="14"/>
      <c r="KN50" s="14"/>
      <c r="KO50" s="14"/>
      <c r="KP50" s="14"/>
    </row>
    <row r="51" spans="1:302" s="1" customFormat="1" ht="11.1" hidden="1" customHeight="1" outlineLevel="1">
      <c r="A51" s="437">
        <v>1</v>
      </c>
      <c r="B51" s="989">
        <f>VLOOKUP(B49,'[2]IBAN CONTI'!A$1:B$65562,2,FALSE)</f>
        <v>1</v>
      </c>
      <c r="C51" s="989"/>
      <c r="D51" s="436">
        <f>COUPNCD(AL46,C46,K48,AH50)</f>
        <v>44627</v>
      </c>
      <c r="E51" s="933">
        <f>VLOOKUP(E50,'[2]IBAN CONTI'!A:B,2,FALSE)</f>
        <v>1</v>
      </c>
      <c r="F51" s="444" t="str">
        <f>IF(E51=1,"87,5","74")</f>
        <v>87,5</v>
      </c>
      <c r="G51" s="443">
        <f>VLOOKUP(G49,'[2]IBAN CONTI'!A$244:B$273,2,FALSE)</f>
        <v>17</v>
      </c>
      <c r="H51" s="383"/>
      <c r="I51" s="434"/>
      <c r="J51" s="434"/>
      <c r="K51" s="433">
        <f>VLOOKUP(K49,'[2]IBAN CONTI'!A$80:B$101,2,FALSE)</f>
        <v>19</v>
      </c>
      <c r="L51" s="720"/>
      <c r="M51" s="720"/>
      <c r="N51" s="223"/>
      <c r="O51" s="223"/>
      <c r="Q51" s="432"/>
      <c r="R51" s="432"/>
      <c r="S51" s="15"/>
      <c r="T51" s="431"/>
      <c r="U51" s="15"/>
      <c r="V51" s="15"/>
      <c r="W51" s="15"/>
      <c r="X51" s="594">
        <f ca="1">X46-$AF$2</f>
        <v>-4450.6850547453723</v>
      </c>
      <c r="Y51" s="430"/>
      <c r="Z51" s="430"/>
      <c r="AA51" s="430"/>
      <c r="AB51" s="9"/>
      <c r="AC51" s="36"/>
      <c r="AD51" s="219"/>
      <c r="AE51" s="219"/>
      <c r="AF51" s="1011">
        <v>39345.589999999997</v>
      </c>
      <c r="AG51" s="1013"/>
      <c r="AH51" s="54"/>
      <c r="AI51" s="54"/>
      <c r="AJ51" s="441" t="s">
        <v>172</v>
      </c>
      <c r="AK51" s="440">
        <f>VLOOKUP(AJ51,'[2]IBAN CONTI'!A$61:B$64,2,FALSE)</f>
        <v>1</v>
      </c>
      <c r="AL51" s="427">
        <f>AL48-AL49*(100-F51)/100</f>
        <v>99.992750000000001</v>
      </c>
      <c r="AM51" s="426" t="str">
        <f>IF(B51=2,10^((LOG(AL48/AL47))/AM48)-1,"")</f>
        <v/>
      </c>
      <c r="AN51" s="439">
        <f>IF(B51=4,A48*E46/100,IF(AF48=1,G46*E46/100,A47/E47*E46/100))</f>
        <v>925.09596999999997</v>
      </c>
      <c r="AO51" s="425">
        <f>-AO49*(100-F50)/100</f>
        <v>-5.2252252252258504E-5</v>
      </c>
      <c r="AP51" s="438">
        <f>IF(B51=2,(AN51-AP48+AN46+AN47)/G46*100,(AN51-AP47+AN46+AN47)/G46*100)</f>
        <v>92.752158849252254</v>
      </c>
      <c r="AQ51" s="423"/>
      <c r="AR51" s="422">
        <f>AL47</f>
        <v>99.941999999999993</v>
      </c>
      <c r="AS51" s="421"/>
      <c r="AT51" s="419"/>
      <c r="AU51" s="420"/>
      <c r="AV51" s="223"/>
      <c r="AW51" s="420"/>
      <c r="AX51" s="417"/>
      <c r="AY51" s="420"/>
      <c r="AZ51" s="223"/>
      <c r="BA51" s="419"/>
      <c r="BB51" s="223"/>
      <c r="BC51" s="223"/>
      <c r="BD51" s="223"/>
      <c r="BE51" s="223"/>
      <c r="BF51" s="416"/>
      <c r="BG51" s="418"/>
      <c r="BH51" s="416"/>
      <c r="BI51" s="416"/>
      <c r="BJ51" s="416"/>
      <c r="BK51" s="418"/>
      <c r="BL51" s="417"/>
      <c r="BM51" s="416"/>
      <c r="BN51" s="416"/>
      <c r="BO51" s="416"/>
      <c r="BP51" s="416"/>
      <c r="BQ51" s="416"/>
      <c r="BR51" s="416"/>
      <c r="BS51" s="416"/>
      <c r="BT51" s="389"/>
      <c r="BU51" s="389"/>
      <c r="BV51" s="389"/>
      <c r="BW51" s="389"/>
      <c r="BX51" s="415"/>
      <c r="BY51" s="389"/>
      <c r="BZ51" s="389"/>
      <c r="CA51" s="389"/>
      <c r="CB51" s="389"/>
      <c r="CC51" s="389"/>
      <c r="CD51" s="389"/>
      <c r="CE51" s="389"/>
      <c r="CF51" s="389"/>
      <c r="CG51" s="389"/>
      <c r="CH51" s="389"/>
      <c r="CI51" s="389"/>
      <c r="CJ51" s="389"/>
      <c r="CK51" s="389"/>
      <c r="CL51" s="389"/>
      <c r="CM51" s="389"/>
      <c r="CN51" s="389"/>
      <c r="CO51" s="389"/>
      <c r="CP51" s="389"/>
      <c r="CQ51" s="389"/>
      <c r="CR51" s="389"/>
      <c r="CS51" s="415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414"/>
      <c r="DP51" s="39"/>
      <c r="DQ51" s="39"/>
      <c r="DR51" s="39"/>
      <c r="DS51" s="136"/>
      <c r="DT51" s="136"/>
      <c r="DU51" s="136"/>
      <c r="DV51" s="136"/>
      <c r="DW51" s="136"/>
      <c r="DX51" s="136"/>
      <c r="DY51" s="136"/>
      <c r="DZ51" s="136"/>
      <c r="EA51" s="136"/>
      <c r="EB51" s="136"/>
      <c r="EC51" s="136"/>
      <c r="ED51" s="136"/>
      <c r="EE51" s="136"/>
      <c r="EF51" s="136"/>
      <c r="EG51" s="136"/>
      <c r="EH51" s="136"/>
      <c r="EI51" s="136"/>
      <c r="EJ51" s="136"/>
      <c r="EK51" s="136"/>
      <c r="EL51" s="136"/>
      <c r="EM51" s="136"/>
      <c r="EN51" s="136"/>
      <c r="EO51" s="136"/>
      <c r="EP51" s="136"/>
      <c r="EQ51" s="136"/>
      <c r="ER51" s="136"/>
      <c r="ES51" s="136"/>
      <c r="ET51" s="136"/>
      <c r="EU51" s="136"/>
      <c r="EV51" s="136"/>
      <c r="EW51" s="136"/>
      <c r="EX51" s="136"/>
      <c r="EY51" s="136"/>
      <c r="EZ51" s="136"/>
      <c r="FA51" s="136"/>
      <c r="FB51" s="136"/>
      <c r="FC51" s="136"/>
      <c r="FD51" s="136"/>
      <c r="FE51" s="136"/>
      <c r="FF51" s="136"/>
      <c r="FG51" s="136"/>
      <c r="FH51" s="136"/>
      <c r="FI51" s="136"/>
      <c r="FJ51" s="136"/>
      <c r="FK51" s="136"/>
      <c r="FL51" s="136"/>
      <c r="FM51" s="136"/>
      <c r="FN51" s="136"/>
      <c r="FO51" s="136"/>
      <c r="FP51" s="136"/>
      <c r="FQ51" s="136"/>
      <c r="FR51" s="412"/>
      <c r="FS51" s="412"/>
      <c r="FT51" s="412"/>
      <c r="FU51" s="412"/>
      <c r="FV51" s="412"/>
      <c r="FW51" s="412"/>
      <c r="FX51" s="412"/>
      <c r="FY51" s="412"/>
      <c r="FZ51" s="412"/>
      <c r="GA51" s="412"/>
      <c r="GB51" s="412"/>
      <c r="GC51" s="412"/>
      <c r="GD51" s="412"/>
      <c r="GE51" s="412"/>
      <c r="GF51" s="412"/>
      <c r="GG51" s="412"/>
      <c r="GH51" s="412"/>
      <c r="GI51" s="412"/>
      <c r="GJ51" s="412"/>
      <c r="GK51" s="412"/>
      <c r="GL51" s="412"/>
      <c r="GM51" s="412"/>
      <c r="GN51" s="412"/>
      <c r="GO51" s="412"/>
      <c r="GP51" s="412"/>
      <c r="GQ51" s="412"/>
      <c r="GR51" s="278"/>
      <c r="GS51" s="277"/>
      <c r="GT51" s="277"/>
      <c r="GU51" s="277"/>
      <c r="GV51" s="277"/>
      <c r="GW51" s="277"/>
      <c r="GX51" s="277"/>
      <c r="GY51" s="277"/>
      <c r="GZ51" s="277"/>
      <c r="HA51" s="277"/>
      <c r="HB51" s="277"/>
      <c r="HC51" s="277"/>
      <c r="HD51" s="277"/>
      <c r="HE51" s="277"/>
      <c r="HF51" s="277"/>
      <c r="HG51" s="277"/>
      <c r="HH51" s="277"/>
      <c r="HI51" s="277"/>
      <c r="HJ51" s="277"/>
      <c r="HK51" s="277"/>
      <c r="HL51" s="277"/>
      <c r="HM51" s="277"/>
      <c r="HN51" s="277"/>
      <c r="HO51" s="277"/>
      <c r="HP51" s="277"/>
      <c r="HQ51" s="277"/>
      <c r="HR51" s="277"/>
      <c r="HS51" s="277"/>
      <c r="HT51" s="277"/>
      <c r="HU51" s="277"/>
      <c r="HV51" s="277"/>
      <c r="HW51" s="277"/>
      <c r="HX51" s="277"/>
      <c r="HY51" s="412"/>
      <c r="HZ51" s="412"/>
      <c r="IA51" s="412"/>
      <c r="IB51" s="412"/>
      <c r="IC51" s="412"/>
      <c r="ID51" s="412"/>
      <c r="IE51" s="412"/>
      <c r="IF51" s="412"/>
      <c r="IG51" s="412"/>
      <c r="IH51" s="412"/>
      <c r="II51" s="412"/>
      <c r="IJ51" s="412"/>
      <c r="IK51" s="413"/>
      <c r="IL51" s="412"/>
      <c r="IM51" s="389"/>
      <c r="IN51" s="389"/>
      <c r="IO51" s="389"/>
      <c r="IP51" s="389"/>
      <c r="IQ51" s="389"/>
      <c r="IR51" s="389"/>
      <c r="IS51" s="389"/>
      <c r="IT51" s="389"/>
      <c r="IU51" s="389"/>
      <c r="IV51" s="389"/>
      <c r="IW51" s="389"/>
      <c r="IX51" s="389"/>
      <c r="IY51" s="389"/>
      <c r="IZ51" s="389"/>
      <c r="JA51" s="389"/>
      <c r="JB51" s="389"/>
      <c r="JC51" s="389"/>
      <c r="JD51" s="389"/>
      <c r="JE51" s="389"/>
      <c r="JF51" s="389"/>
      <c r="JG51" s="389"/>
      <c r="JH51" s="389"/>
      <c r="JI51" s="389"/>
      <c r="JJ51" s="389"/>
      <c r="JK51" s="14"/>
      <c r="JL51" s="14"/>
      <c r="JM51" s="14"/>
      <c r="JN51" s="14"/>
      <c r="JO51" s="14"/>
      <c r="JP51" s="14"/>
      <c r="JQ51" s="14"/>
      <c r="JR51" s="14"/>
      <c r="JS51" s="14"/>
      <c r="JT51" s="14"/>
      <c r="JU51" s="14"/>
      <c r="JV51" s="14"/>
      <c r="JW51" s="14"/>
      <c r="JX51" s="14"/>
      <c r="JY51" s="14"/>
      <c r="JZ51" s="14"/>
      <c r="KA51" s="14"/>
      <c r="KB51" s="14"/>
      <c r="KC51" s="14"/>
      <c r="KD51" s="14"/>
      <c r="KE51" s="14"/>
      <c r="KF51" s="14"/>
      <c r="KG51" s="14"/>
      <c r="KH51" s="14"/>
      <c r="KI51" s="14"/>
      <c r="KJ51" s="14"/>
      <c r="KK51" s="14"/>
      <c r="KL51" s="14"/>
      <c r="KM51" s="14"/>
      <c r="KN51" s="14"/>
      <c r="KO51" s="14"/>
      <c r="KP51" s="14"/>
    </row>
    <row r="52" spans="1:302" s="1" customFormat="1" ht="11.1" hidden="1" customHeight="1" outlineLevel="1">
      <c r="A52" s="437"/>
      <c r="B52" s="933"/>
      <c r="C52" s="933"/>
      <c r="D52" s="436"/>
      <c r="E52" s="933"/>
      <c r="F52" s="435"/>
      <c r="G52" s="433"/>
      <c r="H52" s="383"/>
      <c r="I52" s="434"/>
      <c r="J52" s="434"/>
      <c r="K52" s="433"/>
      <c r="L52" s="720"/>
      <c r="M52" s="720"/>
      <c r="N52" s="223"/>
      <c r="O52" s="223"/>
      <c r="Q52" s="432"/>
      <c r="R52" s="432"/>
      <c r="S52" s="15"/>
      <c r="T52" s="431"/>
      <c r="U52" s="18"/>
      <c r="V52" s="18"/>
      <c r="W52" s="18"/>
      <c r="X52" s="430"/>
      <c r="Y52" s="430"/>
      <c r="Z52" s="430"/>
      <c r="AA52" s="430"/>
      <c r="AB52" s="9"/>
      <c r="AC52" s="36"/>
      <c r="AD52" s="219"/>
      <c r="AE52" s="219"/>
      <c r="AF52" s="934"/>
      <c r="AG52" s="934"/>
      <c r="AH52" s="54"/>
      <c r="AI52" s="54"/>
      <c r="AJ52" s="429"/>
      <c r="AK52" s="428"/>
      <c r="AL52" s="427"/>
      <c r="AM52" s="426"/>
      <c r="AN52" s="422"/>
      <c r="AO52" s="425"/>
      <c r="AP52" s="424"/>
      <c r="AQ52" s="423"/>
      <c r="AR52" s="422"/>
      <c r="AS52" s="421"/>
      <c r="AT52" s="419"/>
      <c r="AU52" s="420"/>
      <c r="AV52" s="223"/>
      <c r="AW52" s="420"/>
      <c r="AX52" s="417"/>
      <c r="AY52" s="420"/>
      <c r="AZ52" s="223"/>
      <c r="BA52" s="419"/>
      <c r="BB52" s="223"/>
      <c r="BC52" s="223"/>
      <c r="BD52" s="223"/>
      <c r="BE52" s="223"/>
      <c r="BF52" s="416"/>
      <c r="BG52" s="418"/>
      <c r="BH52" s="416"/>
      <c r="BI52" s="416"/>
      <c r="BJ52" s="416"/>
      <c r="BK52" s="418"/>
      <c r="BL52" s="417"/>
      <c r="BM52" s="416"/>
      <c r="BN52" s="416"/>
      <c r="BO52" s="416"/>
      <c r="BP52" s="416"/>
      <c r="BQ52" s="416"/>
      <c r="BR52" s="416"/>
      <c r="BS52" s="416"/>
      <c r="BT52" s="389"/>
      <c r="BU52" s="389"/>
      <c r="BV52" s="389"/>
      <c r="BW52" s="389"/>
      <c r="BX52" s="415"/>
      <c r="BY52" s="389"/>
      <c r="BZ52" s="389"/>
      <c r="CA52" s="389"/>
      <c r="CB52" s="389"/>
      <c r="CC52" s="389"/>
      <c r="CD52" s="389"/>
      <c r="CE52" s="389"/>
      <c r="CF52" s="389"/>
      <c r="CG52" s="389"/>
      <c r="CH52" s="389"/>
      <c r="CI52" s="389"/>
      <c r="CJ52" s="389"/>
      <c r="CK52" s="389"/>
      <c r="CL52" s="389"/>
      <c r="CM52" s="389"/>
      <c r="CN52" s="389"/>
      <c r="CO52" s="389"/>
      <c r="CP52" s="389"/>
      <c r="CQ52" s="389"/>
      <c r="CR52" s="389"/>
      <c r="CS52" s="415"/>
      <c r="CT52" s="389"/>
      <c r="CU52" s="389"/>
      <c r="CV52" s="389"/>
      <c r="CW52" s="389"/>
      <c r="CX52" s="389"/>
      <c r="CY52" s="389"/>
      <c r="CZ52" s="389"/>
      <c r="DA52" s="389"/>
      <c r="DB52" s="389"/>
      <c r="DC52" s="389"/>
      <c r="DD52" s="389"/>
      <c r="DE52" s="389"/>
      <c r="DF52" s="389"/>
      <c r="DG52" s="389"/>
      <c r="DH52" s="389"/>
      <c r="DI52" s="389"/>
      <c r="DJ52" s="389"/>
      <c r="DK52" s="389"/>
      <c r="DL52" s="389"/>
      <c r="DM52" s="389"/>
      <c r="DN52" s="389"/>
      <c r="DO52" s="414"/>
      <c r="DP52" s="39"/>
      <c r="DQ52" s="39"/>
      <c r="DR52" s="39"/>
      <c r="DS52" s="136"/>
      <c r="DT52" s="136"/>
      <c r="DU52" s="136"/>
      <c r="DV52" s="136"/>
      <c r="DW52" s="136"/>
      <c r="DX52" s="136"/>
      <c r="DY52" s="136"/>
      <c r="DZ52" s="136"/>
      <c r="EA52" s="136"/>
      <c r="EB52" s="136"/>
      <c r="EC52" s="136"/>
      <c r="ED52" s="136"/>
      <c r="EE52" s="136"/>
      <c r="EF52" s="136"/>
      <c r="EG52" s="136"/>
      <c r="EH52" s="136"/>
      <c r="EI52" s="136"/>
      <c r="EJ52" s="136"/>
      <c r="EK52" s="136"/>
      <c r="EL52" s="136"/>
      <c r="EM52" s="136"/>
      <c r="EN52" s="136"/>
      <c r="EO52" s="136"/>
      <c r="EP52" s="136"/>
      <c r="EQ52" s="136"/>
      <c r="ER52" s="136"/>
      <c r="ES52" s="136"/>
      <c r="ET52" s="136"/>
      <c r="EU52" s="136"/>
      <c r="EV52" s="136"/>
      <c r="EW52" s="136"/>
      <c r="EX52" s="136"/>
      <c r="EY52" s="136"/>
      <c r="EZ52" s="136"/>
      <c r="FA52" s="136"/>
      <c r="FB52" s="136"/>
      <c r="FC52" s="136"/>
      <c r="FD52" s="136"/>
      <c r="FE52" s="136"/>
      <c r="FF52" s="136"/>
      <c r="FG52" s="136"/>
      <c r="FH52" s="136"/>
      <c r="FI52" s="136"/>
      <c r="FJ52" s="136"/>
      <c r="FK52" s="136"/>
      <c r="FL52" s="136"/>
      <c r="FM52" s="136"/>
      <c r="FN52" s="136"/>
      <c r="FO52" s="136"/>
      <c r="FP52" s="136"/>
      <c r="FQ52" s="136"/>
      <c r="FR52" s="412"/>
      <c r="FS52" s="412"/>
      <c r="FT52" s="412"/>
      <c r="FU52" s="412"/>
      <c r="FV52" s="412"/>
      <c r="FW52" s="412"/>
      <c r="FX52" s="412"/>
      <c r="FY52" s="412"/>
      <c r="FZ52" s="412"/>
      <c r="GA52" s="412"/>
      <c r="GB52" s="412"/>
      <c r="GC52" s="412"/>
      <c r="GD52" s="412"/>
      <c r="GE52" s="412"/>
      <c r="GF52" s="412"/>
      <c r="GG52" s="412"/>
      <c r="GH52" s="412"/>
      <c r="GI52" s="412"/>
      <c r="GJ52" s="412"/>
      <c r="GK52" s="412"/>
      <c r="GL52" s="412"/>
      <c r="GM52" s="412"/>
      <c r="GN52" s="412"/>
      <c r="GO52" s="412"/>
      <c r="GP52" s="412"/>
      <c r="GQ52" s="412"/>
      <c r="GR52" s="278"/>
      <c r="GS52" s="277"/>
      <c r="GT52" s="277"/>
      <c r="GU52" s="277"/>
      <c r="GV52" s="277"/>
      <c r="GW52" s="277"/>
      <c r="GX52" s="277"/>
      <c r="GY52" s="277"/>
      <c r="GZ52" s="277"/>
      <c r="HA52" s="277"/>
      <c r="HB52" s="277"/>
      <c r="HC52" s="277"/>
      <c r="HD52" s="277"/>
      <c r="HE52" s="277"/>
      <c r="HF52" s="277"/>
      <c r="HG52" s="277"/>
      <c r="HH52" s="277"/>
      <c r="HI52" s="277"/>
      <c r="HJ52" s="277"/>
      <c r="HK52" s="277"/>
      <c r="HL52" s="277"/>
      <c r="HM52" s="277"/>
      <c r="HN52" s="277"/>
      <c r="HO52" s="277"/>
      <c r="HP52" s="277"/>
      <c r="HQ52" s="277"/>
      <c r="HR52" s="277"/>
      <c r="HS52" s="277"/>
      <c r="HT52" s="277"/>
      <c r="HU52" s="277"/>
      <c r="HV52" s="277"/>
      <c r="HW52" s="277"/>
      <c r="HX52" s="277"/>
      <c r="HY52" s="412"/>
      <c r="HZ52" s="412"/>
      <c r="IA52" s="412"/>
      <c r="IB52" s="412"/>
      <c r="IC52" s="412"/>
      <c r="ID52" s="412"/>
      <c r="IE52" s="412"/>
      <c r="IF52" s="412"/>
      <c r="IG52" s="412"/>
      <c r="IH52" s="412"/>
      <c r="II52" s="412"/>
      <c r="IJ52" s="412"/>
      <c r="IK52" s="413"/>
      <c r="IL52" s="412"/>
      <c r="IM52" s="389"/>
      <c r="IN52" s="389"/>
      <c r="IO52" s="389"/>
      <c r="IP52" s="389"/>
      <c r="IQ52" s="389"/>
      <c r="IR52" s="389"/>
      <c r="IS52" s="389"/>
      <c r="IT52" s="389"/>
      <c r="IU52" s="389"/>
      <c r="IV52" s="389"/>
      <c r="IW52" s="389"/>
      <c r="IX52" s="389"/>
      <c r="IY52" s="389"/>
      <c r="IZ52" s="389"/>
      <c r="JA52" s="389"/>
      <c r="JB52" s="389"/>
      <c r="JC52" s="389"/>
      <c r="JD52" s="389"/>
      <c r="JE52" s="389"/>
      <c r="JF52" s="389"/>
      <c r="JG52" s="389"/>
      <c r="JH52" s="389"/>
      <c r="JI52" s="389"/>
      <c r="JJ52" s="389"/>
      <c r="JK52" s="14"/>
      <c r="JL52" s="14"/>
      <c r="JM52" s="14"/>
      <c r="JN52" s="14"/>
      <c r="JO52" s="14"/>
      <c r="JP52" s="14"/>
      <c r="JQ52" s="14"/>
      <c r="JR52" s="14"/>
      <c r="JS52" s="14"/>
      <c r="JT52" s="14"/>
      <c r="JU52" s="14"/>
      <c r="JV52" s="14"/>
      <c r="JW52" s="14"/>
      <c r="JX52" s="14"/>
      <c r="JY52" s="14"/>
      <c r="JZ52" s="14"/>
      <c r="KA52" s="14"/>
      <c r="KB52" s="14"/>
      <c r="KC52" s="14"/>
      <c r="KD52" s="14"/>
      <c r="KE52" s="14"/>
      <c r="KF52" s="14"/>
      <c r="KG52" s="14"/>
      <c r="KH52" s="14"/>
      <c r="KI52" s="14"/>
      <c r="KJ52" s="14"/>
      <c r="KK52" s="14"/>
      <c r="KL52" s="14"/>
      <c r="KM52" s="14"/>
      <c r="KN52" s="14"/>
      <c r="KO52" s="14"/>
      <c r="KP52" s="14"/>
    </row>
    <row r="53" spans="1:302" ht="5.0999999999999996" customHeight="1" collapsed="1">
      <c r="A53" s="1"/>
      <c r="B53" s="933"/>
      <c r="C53" s="933"/>
      <c r="D53" s="431"/>
      <c r="E53" s="765"/>
      <c r="F53" s="431"/>
      <c r="G53" s="431"/>
      <c r="H53" s="431"/>
      <c r="I53" s="528"/>
      <c r="J53" s="431"/>
      <c r="K53" s="431"/>
      <c r="L53" s="833"/>
      <c r="M53" s="720"/>
      <c r="N53" s="223"/>
      <c r="O53" s="223"/>
      <c r="P53" s="276" t="s">
        <v>30</v>
      </c>
      <c r="Q53" s="280"/>
      <c r="R53" s="280"/>
      <c r="S53" s="18"/>
      <c r="T53" s="431"/>
      <c r="U53" s="18"/>
      <c r="V53" s="18"/>
      <c r="W53" s="18"/>
      <c r="X53" s="430"/>
      <c r="Y53" s="430"/>
      <c r="Z53" s="430"/>
      <c r="AA53" s="430"/>
      <c r="AB53" s="78"/>
      <c r="AC53" s="431"/>
      <c r="AD53" s="117"/>
      <c r="AE53" s="431"/>
      <c r="AF53" s="934"/>
      <c r="AG53" s="934"/>
      <c r="AH53" s="552"/>
      <c r="AI53" s="551"/>
      <c r="AJ53" s="745"/>
      <c r="AK53" s="744"/>
      <c r="AL53" s="967"/>
      <c r="AM53" s="426"/>
      <c r="AN53" s="743"/>
      <c r="AO53" s="425"/>
      <c r="AP53" s="438"/>
      <c r="AQ53" s="424"/>
      <c r="AR53" s="439"/>
      <c r="AS53" s="421"/>
      <c r="AT53" s="742"/>
      <c r="AU53" s="223"/>
      <c r="AV53" s="420"/>
      <c r="AW53" s="526"/>
      <c r="AX53" s="420"/>
      <c r="AY53" s="223"/>
      <c r="AZ53" s="223"/>
      <c r="BA53" s="419"/>
      <c r="BB53" s="223"/>
      <c r="BC53" s="223"/>
      <c r="BD53" s="223"/>
      <c r="BE53" s="15"/>
      <c r="BF53" s="15"/>
      <c r="BG53" s="51"/>
      <c r="BH53" s="15"/>
      <c r="BI53" s="15"/>
      <c r="BJ53" s="15"/>
      <c r="BK53" s="51"/>
      <c r="BL53" s="15"/>
      <c r="BM53" s="15"/>
      <c r="BN53" s="15"/>
      <c r="BO53" s="15"/>
      <c r="BP53" s="15"/>
      <c r="BQ53" s="18"/>
      <c r="BR53" s="18"/>
      <c r="BS53" s="18"/>
      <c r="BT53" s="18"/>
      <c r="BU53" s="18"/>
      <c r="BV53" s="18"/>
      <c r="BW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393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611"/>
      <c r="GP53" s="610"/>
      <c r="GQ53" s="610"/>
      <c r="GR53" s="610"/>
      <c r="GS53" s="610"/>
      <c r="GT53" s="610"/>
      <c r="GU53" s="610"/>
      <c r="GV53" s="610"/>
      <c r="GW53" s="610"/>
      <c r="GX53" s="610"/>
      <c r="GY53" s="610"/>
      <c r="GZ53" s="610"/>
      <c r="HA53" s="610"/>
      <c r="HB53" s="610"/>
      <c r="HC53" s="610"/>
      <c r="HD53" s="610"/>
      <c r="HE53" s="610"/>
      <c r="HF53" s="610"/>
      <c r="HG53" s="610"/>
      <c r="HH53" s="610"/>
      <c r="HI53" s="610"/>
      <c r="HJ53" s="610"/>
      <c r="HK53" s="610"/>
      <c r="HL53" s="610"/>
      <c r="HM53" s="610"/>
      <c r="HN53" s="610"/>
      <c r="HO53" s="610"/>
      <c r="HP53" s="610"/>
      <c r="HQ53" s="610"/>
      <c r="HR53" s="610"/>
      <c r="HS53" s="610"/>
      <c r="HT53" s="610"/>
      <c r="HU53" s="610"/>
      <c r="HV53" s="610"/>
      <c r="HW53" s="610"/>
      <c r="HX53" s="611"/>
      <c r="HY53" s="610"/>
      <c r="HZ53" s="610"/>
      <c r="IA53" s="610"/>
      <c r="IB53" s="610"/>
      <c r="IC53" s="610"/>
      <c r="ID53" s="610"/>
      <c r="IE53" s="610"/>
      <c r="IF53" s="610"/>
      <c r="IG53" s="610"/>
      <c r="IH53" s="610"/>
      <c r="II53" s="610"/>
      <c r="IJ53" s="610"/>
      <c r="IK53" s="610"/>
      <c r="IL53" s="610"/>
      <c r="IM53" s="610"/>
      <c r="IN53" s="610"/>
      <c r="IO53" s="610"/>
      <c r="IP53" s="18"/>
      <c r="IQ53" s="18"/>
      <c r="IR53" s="18"/>
      <c r="IS53" s="18"/>
      <c r="IT53" s="18"/>
      <c r="IU53" s="18"/>
      <c r="IV53" s="18"/>
      <c r="IW53" s="18"/>
      <c r="IX53" s="1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</row>
    <row r="54" spans="1:302" s="6" customFormat="1" ht="11.1" customHeight="1">
      <c r="A54" s="497" t="s">
        <v>482</v>
      </c>
      <c r="B54" s="496" t="s">
        <v>180</v>
      </c>
      <c r="C54" s="974">
        <v>46931</v>
      </c>
      <c r="D54" s="946">
        <v>45173</v>
      </c>
      <c r="E54" s="773">
        <v>97.09</v>
      </c>
      <c r="F54" s="490">
        <v>3.95E-2</v>
      </c>
      <c r="G54" s="383">
        <v>1000</v>
      </c>
      <c r="H54" s="383">
        <f>G54</f>
        <v>1000</v>
      </c>
      <c r="I54" s="385">
        <f>G54*F54/100*F59</f>
        <v>29.23</v>
      </c>
      <c r="J54" s="383">
        <f>I54</f>
        <v>29.23</v>
      </c>
      <c r="K54" s="384" t="s">
        <v>458</v>
      </c>
      <c r="L54" s="833">
        <f>MONTH(C54)</f>
        <v>6</v>
      </c>
      <c r="M54" s="842">
        <f>IFERROR(IF(N54&gt;12,N54-12,N54),"")</f>
        <v>12</v>
      </c>
      <c r="N54" s="594">
        <f>IF(K56=1,"",MONTH(C54)+6)</f>
        <v>12</v>
      </c>
      <c r="O54" s="832">
        <f>IF(K56=1,I54,I54/2)</f>
        <v>14.615</v>
      </c>
      <c r="P54" s="215">
        <f>VLOOKUP(B55,[2]Prezzi!$A$2:$R$125,18,FALSE)</f>
        <v>101.12999725341797</v>
      </c>
      <c r="Q54" s="280"/>
      <c r="R54" s="280"/>
      <c r="S54" s="493">
        <f ca="1">MAX(0,IF(B59=5,I54/AM56*X54,(((((F54)*AF$2)/365)*G54*F59/100)+((((F54)*X59)/365)*G54*F59/100))))</f>
        <v>10.891178082191743</v>
      </c>
      <c r="T54" s="492">
        <f ca="1">S54</f>
        <v>10.891178082191743</v>
      </c>
      <c r="U54" s="469"/>
      <c r="V54" s="4"/>
      <c r="W54" s="469"/>
      <c r="X54" s="491">
        <f ca="1">IF(B59=4,COUPDAYBS($AB$2,C54,K56,AH58),IF($AB$2-AL54&lt;365,IF(K56&gt;1,FLOOR(365/K56-(E56-AB$2),1),IF(B59=2,0,IF(AL54&gt;$AB$2,0,IF(AND(E56-AL54&lt;365,$AB$2&lt;E56),$AB$2-AL54,COUPDAYBS($AB$2,C54,K56,AH58))))),COUPDAYBS($AB$2,C54,K56,AH58)))</f>
        <v>136</v>
      </c>
      <c r="Y54" s="456">
        <f ca="1">G54*AF54</f>
        <v>3324.2069260267617</v>
      </c>
      <c r="Z54" s="456">
        <f ca="1">IF(G54=0,"0",G54*AG54)</f>
        <v>26.739156387296067</v>
      </c>
      <c r="AA54" s="22"/>
      <c r="AB54" s="979">
        <f ca="1">IF(B59=5,(((I54/AM57)*X54)+(G54)),(G54*P54*A59/100)+(S54*A59))</f>
        <v>1022.1911506163715</v>
      </c>
      <c r="AC54" s="383">
        <f ca="1">AB54</f>
        <v>1022.1911506163715</v>
      </c>
      <c r="AD54" s="156">
        <f>IF(E55="",((P54-E54)/100)*G54,((((P54-E54)/100)*A55)/F55)+((A55/F55)-(A55/E55)))</f>
        <v>40.399972534179653</v>
      </c>
      <c r="AE54" s="383">
        <f>AD54</f>
        <v>40.399972534179653</v>
      </c>
      <c r="AF54" s="446">
        <f ca="1">IF(B59=1,MDURATION($AB$2,C54,F54,AG54,K56,AH58),IF(B59=2,YEARFRAC(C54,$AB$2,AH58)))</f>
        <v>3.3242069260267617</v>
      </c>
      <c r="AG54" s="824">
        <f ca="1">YIELD(AB$2,C54,F54,P54,AL56,K56,AH58)*F59/100</f>
        <v>2.6739156387296067E-2</v>
      </c>
      <c r="AH54" s="489">
        <f ca="1">(((F54)*X54)/365)*F59</f>
        <v>1.0891178082191781</v>
      </c>
      <c r="AI54" s="573"/>
      <c r="AJ54" s="487"/>
      <c r="AK54" s="487"/>
      <c r="AL54" s="741">
        <v>45104</v>
      </c>
      <c r="AM54" s="22" t="s">
        <v>477</v>
      </c>
      <c r="AN54" s="179">
        <f>IF(B59=4,MIN(G54*E54*A57*AV$3/100,AV$4),IF(AF56=1,MIN(G54*E54*AV$3/100,AV$4),MIN((A55*E54/E55*AV$3/100),AV$4)+(((A55/E55*E54/100)+(A55/E55*E54*AV$3/100)+AN55+AO54)*AZ$3)))</f>
        <v>0.97089999999999999</v>
      </c>
      <c r="AO54" s="484">
        <f>IF(B59=4,AP57*A56/100,IF(AF56=1,G54*AP57/100,A55/E55/100*AP57))</f>
        <v>7.5708333333333346</v>
      </c>
      <c r="AP54" s="188">
        <f>IF(B59=2,AN59+AN54+AN55+AP55,AN59+AN54+AN55+AO54+AO55+AP55)</f>
        <v>980.97331666666662</v>
      </c>
      <c r="AQ54" s="326">
        <f>AP54</f>
        <v>980.97331666666662</v>
      </c>
      <c r="AR54" s="483">
        <f>AR56+AR58+AR55</f>
        <v>1029.23</v>
      </c>
      <c r="AS54" s="825">
        <f ca="1">AG54</f>
        <v>2.6739156387296067E-2</v>
      </c>
      <c r="AT54" s="419">
        <f>IF(B59=1,G54,"")</f>
        <v>1000</v>
      </c>
      <c r="AU54" s="420" t="str">
        <f>IF(B59=2,G54,"")</f>
        <v/>
      </c>
      <c r="AV54" s="223" t="str">
        <f>IF(B59=3,G54,"")</f>
        <v/>
      </c>
      <c r="AW54" s="420" t="str">
        <f>IF(B59=4,G54,"")</f>
        <v/>
      </c>
      <c r="AX54" s="417" t="str">
        <f>IF(B59=5,G54,"")</f>
        <v/>
      </c>
      <c r="AY54" s="420" t="str">
        <f>IF(B59=6,G54,"")</f>
        <v/>
      </c>
      <c r="AZ54" s="223" t="str">
        <f>IF(B59=7,G54,"")</f>
        <v/>
      </c>
      <c r="BA54" s="419" t="str">
        <f>IF(B56=1,G54,"")</f>
        <v/>
      </c>
      <c r="BB54" s="223" t="str">
        <f>IF(B56=2,G54,"")</f>
        <v/>
      </c>
      <c r="BC54" s="223">
        <f>IF(B56=3,G54,"")</f>
        <v>1000</v>
      </c>
      <c r="BD54" s="223" t="str">
        <f>IF(B56=4,G54,"")</f>
        <v/>
      </c>
      <c r="BE54" s="223" t="str">
        <f>IF(B56=5,G54,"")</f>
        <v/>
      </c>
      <c r="BF54" s="417" t="str">
        <f>IF(B56=6,G54,"")</f>
        <v/>
      </c>
      <c r="BG54" s="419">
        <f>IF(AK59=1,G54,"")</f>
        <v>1000</v>
      </c>
      <c r="BH54" s="223" t="str">
        <f>IF(AK59=2,G54,"")</f>
        <v/>
      </c>
      <c r="BI54" s="223" t="str">
        <f>IF(AK59=3,G54,"")</f>
        <v/>
      </c>
      <c r="BJ54" s="223" t="str">
        <f>IF(AK59=4,G54,"")</f>
        <v/>
      </c>
      <c r="BK54" s="419" t="str">
        <f>IF(AJ58=1,G54,"")</f>
        <v/>
      </c>
      <c r="BL54" s="482" t="str">
        <f>IF(BK54&lt;&gt;"",AB54,"")</f>
        <v/>
      </c>
      <c r="BM54" s="223" t="str">
        <f>IF(AJ58=2,G54,"")</f>
        <v/>
      </c>
      <c r="BN54" s="223" t="str">
        <f>IF(BM54&lt;&gt;"",AB54,"")</f>
        <v/>
      </c>
      <c r="BO54" s="223" t="str">
        <f>IF(AJ58=3,G54,"")</f>
        <v/>
      </c>
      <c r="BP54" s="223">
        <f>IF(AJ58=4,G54,"")</f>
        <v>1000</v>
      </c>
      <c r="BQ54" s="223" t="str">
        <f>IF(AJ58=5,G54,"")</f>
        <v/>
      </c>
      <c r="BR54" s="223" t="str">
        <f>IF(AJ58=6,G54,"")</f>
        <v/>
      </c>
      <c r="BS54" s="223" t="str">
        <f>IF(AJ58=7,G54,"")</f>
        <v/>
      </c>
      <c r="BT54" s="223" t="str">
        <f>IF(AJ58=8,G54,"")</f>
        <v/>
      </c>
      <c r="BU54" s="223" t="str">
        <f>IF(AJ58=9,G54,"")</f>
        <v/>
      </c>
      <c r="BV54" s="223" t="str">
        <f>IF(AJ58=10,G54,"")</f>
        <v/>
      </c>
      <c r="BW54" s="223" t="str">
        <f>IF(AJ58=11,G54,"")</f>
        <v/>
      </c>
      <c r="BX54" s="419">
        <f>IF(AF56=1,G54,"")</f>
        <v>1000</v>
      </c>
      <c r="BY54" s="223" t="str">
        <f>IF(AF56=2,G54,"")</f>
        <v/>
      </c>
      <c r="BZ54" s="223" t="str">
        <f>IF(AF56=3,G54,"")</f>
        <v/>
      </c>
      <c r="CA54" s="223" t="str">
        <f>IF(AF56=4,G54,"")</f>
        <v/>
      </c>
      <c r="CB54" s="223" t="str">
        <f>IF(AF56=5,G54,"")</f>
        <v/>
      </c>
      <c r="CC54" s="223" t="str">
        <f>IF(AF56=6,G54,"")</f>
        <v/>
      </c>
      <c r="CD54" s="223" t="str">
        <f>IF(AF56=7,G54,"")</f>
        <v/>
      </c>
      <c r="CE54" s="223" t="str">
        <f>IF(AF56=8,G54,"")</f>
        <v/>
      </c>
      <c r="CF54" s="223" t="str">
        <f>IF(AF56=9,G54,"")</f>
        <v/>
      </c>
      <c r="CG54" s="223" t="str">
        <f>IF(AF56=10,G54,"")</f>
        <v/>
      </c>
      <c r="CH54" s="223" t="str">
        <f>IF(AF56=11,G54,"")</f>
        <v/>
      </c>
      <c r="CI54" s="223" t="str">
        <f>IF(AF56=12,G54,"")</f>
        <v/>
      </c>
      <c r="CJ54" s="223" t="str">
        <f>IF(AF56=13,G54,"")</f>
        <v/>
      </c>
      <c r="CK54" s="223" t="str">
        <f>IF(AF56=14,G54,"")</f>
        <v/>
      </c>
      <c r="CL54" s="223" t="str">
        <f>IF(AF56=15,G54,"")</f>
        <v/>
      </c>
      <c r="CM54" s="223" t="str">
        <f>IF(AF56=16,G54,"")</f>
        <v/>
      </c>
      <c r="CN54" s="223" t="str">
        <f>IF(AF56=17,G54,"")</f>
        <v/>
      </c>
      <c r="CO54" s="223" t="str">
        <f>IF(AF56=18,G54,"")</f>
        <v/>
      </c>
      <c r="CP54" s="223" t="str">
        <f>IF(AF56=19,G54,"")</f>
        <v/>
      </c>
      <c r="CQ54" s="223" t="str">
        <f>IF(AF56=20,G54,"")</f>
        <v/>
      </c>
      <c r="CR54" s="223" t="str">
        <f>IF(AF56=21,G54,"")</f>
        <v/>
      </c>
      <c r="CS54" s="419" t="str">
        <f>IF(K59=1,G54,"")</f>
        <v/>
      </c>
      <c r="CT54" s="223" t="str">
        <f>IF(K59=2,G54,"")</f>
        <v/>
      </c>
      <c r="CU54" s="223" t="str">
        <f>IF(K59=3,G54,"")</f>
        <v/>
      </c>
      <c r="CV54" s="223" t="str">
        <f>IF(K59=4,G54,"")</f>
        <v/>
      </c>
      <c r="CW54" s="223">
        <f>IF(K59=5,G54,"")</f>
        <v>1000</v>
      </c>
      <c r="CX54" s="223" t="str">
        <f>IF(K59=6,G54,"")</f>
        <v/>
      </c>
      <c r="CY54" s="223" t="str">
        <f>IF(K59=7,G54,"")</f>
        <v/>
      </c>
      <c r="CZ54" s="223" t="str">
        <f>IF(K59=8,G54,"")</f>
        <v/>
      </c>
      <c r="DA54" s="223" t="str">
        <f>IF(K59=9,G54,"")</f>
        <v/>
      </c>
      <c r="DB54" s="223" t="str">
        <f>IF(K59=10,G54,"")</f>
        <v/>
      </c>
      <c r="DC54" s="223" t="str">
        <f>IF(K59=11,G54,"")</f>
        <v/>
      </c>
      <c r="DD54" s="223" t="str">
        <f>IF(K59=12,G54,"")</f>
        <v/>
      </c>
      <c r="DE54" s="223" t="str">
        <f>IF(K59=13,G54,"")</f>
        <v/>
      </c>
      <c r="DF54" s="223" t="str">
        <f>IF(K59=14,G54,"")</f>
        <v/>
      </c>
      <c r="DG54" s="223" t="str">
        <f>IF(K59=15,G54,"")</f>
        <v/>
      </c>
      <c r="DH54" s="223" t="str">
        <f>IF(K59=16,G54,"")</f>
        <v/>
      </c>
      <c r="DI54" s="223" t="str">
        <f>IF(K59=17,G54,"")</f>
        <v/>
      </c>
      <c r="DJ54" s="223" t="str">
        <f>IF(K59=18,G54,"")</f>
        <v/>
      </c>
      <c r="DK54" s="223" t="str">
        <f>IF(K59=19,G54,"")</f>
        <v/>
      </c>
      <c r="DL54" s="223" t="str">
        <f>IF(K59=20,G54,"")</f>
        <v/>
      </c>
      <c r="DM54" s="223"/>
      <c r="DN54" s="223"/>
      <c r="DO54" s="419" t="str">
        <f>IF(AG56=1,G54,"")</f>
        <v/>
      </c>
      <c r="DP54" s="223" t="str">
        <f>IF(AG56=2,G54,"")</f>
        <v/>
      </c>
      <c r="DQ54" s="223" t="str">
        <f>IF(AG56=3,G54,"")</f>
        <v/>
      </c>
      <c r="DR54" s="223" t="str">
        <f>IF(AG56=4,G54,"")</f>
        <v/>
      </c>
      <c r="DS54" s="223" t="str">
        <f>IF(AG56=5,G54,"")</f>
        <v/>
      </c>
      <c r="DT54" s="223" t="str">
        <f>IF(AG56=6,G54,"")</f>
        <v/>
      </c>
      <c r="DU54" s="223" t="str">
        <f>IF(AG56=7,G54,"")</f>
        <v/>
      </c>
      <c r="DV54" s="223" t="str">
        <f>IF(AG56=8,G54,"")</f>
        <v/>
      </c>
      <c r="DW54" s="136" t="str">
        <f>IF(AG56=9,G54,"")</f>
        <v/>
      </c>
      <c r="DX54" s="136" t="str">
        <f>IF(AG56=10,G54,"")</f>
        <v/>
      </c>
      <c r="DY54" s="136" t="str">
        <f>IF(AG56=11,G54,"")</f>
        <v/>
      </c>
      <c r="DZ54" s="136" t="str">
        <f>IF(AG56=12,G54,"")</f>
        <v/>
      </c>
      <c r="EA54" s="136" t="str">
        <f>IF(AG56=13,G54,"")</f>
        <v/>
      </c>
      <c r="EB54" s="136" t="str">
        <f>IF(AG56=14,G54,"")</f>
        <v/>
      </c>
      <c r="EC54" s="317" t="str">
        <f>IF(AG56=15,G54,"")</f>
        <v/>
      </c>
      <c r="ED54" s="136" t="str">
        <f>IF(AG56=16,G54,"")</f>
        <v/>
      </c>
      <c r="EE54" s="136" t="str">
        <f>IF(AG56=17,G54,"")</f>
        <v/>
      </c>
      <c r="EF54" s="136" t="str">
        <f>IF(AG56=18,G54,"")</f>
        <v/>
      </c>
      <c r="EG54" s="136" t="str">
        <f>IF(AG56=19,G54,"")</f>
        <v/>
      </c>
      <c r="EH54" s="136" t="str">
        <f>IF(AG56=20,G54,"")</f>
        <v/>
      </c>
      <c r="EI54" s="136" t="str">
        <f>IF(AG56=21,G54,"")</f>
        <v/>
      </c>
      <c r="EJ54" s="136" t="str">
        <f>IF(AG56=22,G54,"")</f>
        <v/>
      </c>
      <c r="EK54" s="136" t="str">
        <f>IF(AG56=23,G54,"")</f>
        <v/>
      </c>
      <c r="EL54" s="136" t="str">
        <f>IF(AG56=24,G54,"")</f>
        <v/>
      </c>
      <c r="EM54" s="136" t="str">
        <f>IF(AG56=25,G54,"")</f>
        <v/>
      </c>
      <c r="EN54" s="136" t="str">
        <f>IF(AG56=26,G54,"")</f>
        <v/>
      </c>
      <c r="EO54" s="136" t="str">
        <f>IF(AG56=27,G54,"")</f>
        <v/>
      </c>
      <c r="EP54" s="136" t="str">
        <f>IF(AG56=28,G54,"")</f>
        <v/>
      </c>
      <c r="EQ54" s="136" t="str">
        <f>IF(AG56=29,G54,"")</f>
        <v/>
      </c>
      <c r="ER54" s="136" t="str">
        <f>IF(AG56=30,G54,"")</f>
        <v/>
      </c>
      <c r="ES54" s="136" t="str">
        <f>IF(AG56=31,G54,"")</f>
        <v/>
      </c>
      <c r="ET54" s="136" t="str">
        <f>IF(AG56=32,G54,"")</f>
        <v/>
      </c>
      <c r="EU54" s="136">
        <f>IF(AG56=33,G54,"")</f>
        <v>1000</v>
      </c>
      <c r="EV54" s="136" t="str">
        <f>IF(AG56=34,G54,"")</f>
        <v/>
      </c>
      <c r="EW54" s="136" t="str">
        <f>IF(AG56=35,G54,"")</f>
        <v/>
      </c>
      <c r="EX54" s="136" t="str">
        <f>IF(AG56=36,G54,"")</f>
        <v/>
      </c>
      <c r="EY54" s="136" t="str">
        <f>IF(AG56=37,G54,"")</f>
        <v/>
      </c>
      <c r="EZ54" s="136" t="str">
        <f>IF(AG56=38,G54,"")</f>
        <v/>
      </c>
      <c r="FA54" s="136" t="str">
        <f>IF(AG56=39,G54,"")</f>
        <v/>
      </c>
      <c r="FB54" s="136" t="str">
        <f>IF(AG56=40,G54,"")</f>
        <v/>
      </c>
      <c r="FC54" s="136" t="str">
        <f>IF(AG56=41,G54,"")</f>
        <v/>
      </c>
      <c r="FD54" s="136" t="str">
        <f>IF(AG56=42,G54,"")</f>
        <v/>
      </c>
      <c r="FE54" s="136" t="str">
        <f>IF(AG56=43,G54,"")</f>
        <v/>
      </c>
      <c r="FF54" s="136" t="str">
        <f>IF(AG56=44,G54,"")</f>
        <v/>
      </c>
      <c r="FG54" s="136" t="str">
        <f>IF(AG56=45,G54,"")</f>
        <v/>
      </c>
      <c r="FH54" s="136" t="str">
        <f>IF(AG56=46,G54,"")</f>
        <v/>
      </c>
      <c r="FI54" s="136" t="str">
        <f>IF(AG56=47,G54,"")</f>
        <v/>
      </c>
      <c r="FJ54" s="136" t="str">
        <f>IF(AG56=48,G54,"")</f>
        <v/>
      </c>
      <c r="FK54" s="136" t="str">
        <f>IF(AG56=49,G54,"")</f>
        <v/>
      </c>
      <c r="FL54" s="136" t="str">
        <f>IF(AG56=50,G54,"")</f>
        <v/>
      </c>
      <c r="FM54" s="136" t="str">
        <f>IF(AG56=51,G54,"")</f>
        <v/>
      </c>
      <c r="FN54" s="136" t="str">
        <f>IF(AG56=52,G54,"")</f>
        <v/>
      </c>
      <c r="FO54" s="136" t="str">
        <f>IF(AG56=53,G54,"")</f>
        <v/>
      </c>
      <c r="FP54" s="136" t="str">
        <f>IF(AG56=54,G54,"")</f>
        <v/>
      </c>
      <c r="FQ54" s="136" t="str">
        <f>IF(AG56=55,G54,"")</f>
        <v/>
      </c>
      <c r="FR54" s="412" t="str">
        <f>IF(AG56=56,G54,"")</f>
        <v/>
      </c>
      <c r="FS54" s="412" t="str">
        <f>IF(AG56=57,G54,"")</f>
        <v/>
      </c>
      <c r="FT54" s="412" t="str">
        <f>IF(AG56=58,G54,"")</f>
        <v/>
      </c>
      <c r="FU54" s="412" t="str">
        <f>IF(AG56=59,G54,"")</f>
        <v/>
      </c>
      <c r="FV54" s="412" t="str">
        <f>IF(AG56=60,G54,"")</f>
        <v/>
      </c>
      <c r="FW54" s="412" t="str">
        <f>IF(AG56=61,G54,"")</f>
        <v/>
      </c>
      <c r="FX54" s="412" t="str">
        <f>IF(AG56=62,G54,"")</f>
        <v/>
      </c>
      <c r="FY54" s="412" t="str">
        <f>IF(AG56=63,G54,"")</f>
        <v/>
      </c>
      <c r="FZ54" s="412" t="str">
        <f>IF(AG56=64,G54,"")</f>
        <v/>
      </c>
      <c r="GA54" s="412" t="str">
        <f>IF(AG56=65,G54,"")</f>
        <v/>
      </c>
      <c r="GB54" s="412" t="str">
        <f>IF(AG56=66,G54,"")</f>
        <v/>
      </c>
      <c r="GC54" s="412" t="str">
        <f>IF(AG56=67,G54,"")</f>
        <v/>
      </c>
      <c r="GD54" s="412" t="str">
        <f>IF(AG56=68,G54,"")</f>
        <v/>
      </c>
      <c r="GE54" s="412" t="str">
        <f>IF(AG56=69,G54,"")</f>
        <v/>
      </c>
      <c r="GF54" s="412" t="str">
        <f>IF(AG56=70,G54,"")</f>
        <v/>
      </c>
      <c r="GG54" s="412" t="str">
        <f>IF(AG56=71,G54,"")</f>
        <v/>
      </c>
      <c r="GH54" s="412" t="str">
        <f>IF(AG56=72,G54,"")</f>
        <v/>
      </c>
      <c r="GI54" s="412" t="str">
        <f>IF(AG56=73,G54,"")</f>
        <v/>
      </c>
      <c r="GJ54" s="412" t="str">
        <f>IF(AG56=74,G54,"")</f>
        <v/>
      </c>
      <c r="GK54" s="412" t="str">
        <f>IF(AG56=75,G54,"")</f>
        <v/>
      </c>
      <c r="GL54" s="412" t="str">
        <f>IF(AG56=76,G54,"")</f>
        <v/>
      </c>
      <c r="GM54" s="412" t="str">
        <f>IF(AG56=77,G54,"")</f>
        <v/>
      </c>
      <c r="GN54" s="412" t="str">
        <f>IF(AG56=78,G54,"")</f>
        <v/>
      </c>
      <c r="GO54" s="412" t="str">
        <f>IF(AG56=79,G54,"")</f>
        <v/>
      </c>
      <c r="GP54" s="412" t="str">
        <f>IF(AG56=80,G54,"")</f>
        <v/>
      </c>
      <c r="GQ54" s="412" t="str">
        <f>IF(AG56=81,G54,"")</f>
        <v/>
      </c>
      <c r="GR54" s="412" t="str">
        <f>IF(AG56=82,G54,"")</f>
        <v/>
      </c>
      <c r="GS54" s="412" t="str">
        <f>IF(AG56=83,G54,"")</f>
        <v/>
      </c>
      <c r="GT54" s="412" t="str">
        <f>IF(AG56=84,G54,"")</f>
        <v/>
      </c>
      <c r="GU54" s="412"/>
      <c r="GV54" s="412"/>
      <c r="GW54" s="412"/>
      <c r="GX54" s="412"/>
      <c r="GY54" s="412"/>
      <c r="GZ54" s="412"/>
      <c r="HA54" s="412"/>
      <c r="HB54" s="412"/>
      <c r="HC54" s="412"/>
      <c r="HD54" s="412"/>
      <c r="HE54" s="412"/>
      <c r="HF54" s="412"/>
      <c r="HG54" s="412"/>
      <c r="HH54" s="412"/>
      <c r="HI54" s="412"/>
      <c r="HJ54" s="412"/>
      <c r="HK54" s="412"/>
      <c r="HL54" s="412"/>
      <c r="HM54" s="412"/>
      <c r="HN54" s="412"/>
      <c r="HO54" s="412"/>
      <c r="HP54" s="412"/>
      <c r="HQ54" s="412"/>
      <c r="HR54" s="412"/>
      <c r="HS54" s="412"/>
      <c r="HT54" s="412"/>
      <c r="HU54" s="278">
        <f ca="1">IF(AF56=1,AB54,"")</f>
        <v>1022.1911506163715</v>
      </c>
      <c r="HV54" s="277" t="str">
        <f>IF(AF56=2,AB54,"")</f>
        <v/>
      </c>
      <c r="HW54" s="277" t="str">
        <f>IF(AF56=3,AB54,"")</f>
        <v/>
      </c>
      <c r="HX54" s="277" t="str">
        <f>IF(AF56=4,AB54,"")</f>
        <v/>
      </c>
      <c r="HY54" s="277" t="str">
        <f>IF(AF56=5,AB54,"")</f>
        <v/>
      </c>
      <c r="HZ54" s="277" t="str">
        <f>IF(AF56=6,AB54,"")</f>
        <v/>
      </c>
      <c r="IA54" s="277" t="str">
        <f>IF(AF56=7,AB54,"")</f>
        <v/>
      </c>
      <c r="IB54" s="277" t="str">
        <f>IF(AF56=8,AB54,"")</f>
        <v/>
      </c>
      <c r="IC54" s="277" t="str">
        <f>IF(AF56=9,AB54,"")</f>
        <v/>
      </c>
      <c r="ID54" s="412" t="str">
        <f>IF(AF56=10,AB54,"")</f>
        <v/>
      </c>
      <c r="IE54" s="223" t="str">
        <f>IF(AF56=11,AB54,"")</f>
        <v/>
      </c>
      <c r="IF54" s="223" t="str">
        <f>IF(AF56=12,AB54,"")</f>
        <v/>
      </c>
      <c r="IG54" s="223" t="str">
        <f>IF(AF56=13,AB54,"")</f>
        <v/>
      </c>
      <c r="IH54" s="223" t="str">
        <f>IF(AF56=14,AB54,"")</f>
        <v/>
      </c>
      <c r="II54" s="223" t="str">
        <f>IF(AF56=15,AB54,"")</f>
        <v/>
      </c>
      <c r="IJ54" s="223" t="str">
        <f>IF(AF56=16,AB54,"")</f>
        <v/>
      </c>
      <c r="IK54" s="223" t="str">
        <f>IF(AF56=17,AB54,"")</f>
        <v/>
      </c>
      <c r="IL54" s="223" t="str">
        <f>IF(AF56=18,AB54,"")</f>
        <v/>
      </c>
      <c r="IM54" s="223" t="str">
        <f>IF(AF56=19,AB54,"")</f>
        <v/>
      </c>
      <c r="IN54" s="223" t="str">
        <f>IF(AF56=20,AB54,"")</f>
        <v/>
      </c>
      <c r="IO54" s="223" t="str">
        <f>IF(AF56=21,AB54,"")</f>
        <v/>
      </c>
      <c r="IP54" s="413"/>
      <c r="IQ54" s="478" t="str">
        <f>IF(G59=6,G54,"")</f>
        <v/>
      </c>
      <c r="IR54" s="317" t="str">
        <f>IF(G59=7,G54,"")</f>
        <v/>
      </c>
      <c r="IS54" s="478" t="str">
        <f>IF(G59=8,G54,"")</f>
        <v/>
      </c>
      <c r="IT54" s="317" t="str">
        <f>IF(G59=9,G54,"")</f>
        <v/>
      </c>
      <c r="IU54" s="478" t="str">
        <f>IF(G59=10,G54,"")</f>
        <v/>
      </c>
      <c r="IV54" s="478" t="str">
        <f>IF(G59=11,G54,"")</f>
        <v/>
      </c>
      <c r="IW54" s="478" t="str">
        <f>IF(G59=12,G54,"")</f>
        <v/>
      </c>
      <c r="IX54" s="478" t="str">
        <f>IF(G59=13,G54,"")</f>
        <v/>
      </c>
      <c r="IY54" s="478" t="str">
        <f>IF(G59=14,G54,"")</f>
        <v/>
      </c>
      <c r="IZ54" s="478" t="str">
        <f>IF(G59=15,G54,"")</f>
        <v/>
      </c>
      <c r="JA54" s="478" t="str">
        <f>IF(G59=16,G54,"")</f>
        <v/>
      </c>
      <c r="JB54" s="478">
        <f>IF(G59=17,G54,"")</f>
        <v>1000</v>
      </c>
      <c r="JC54" s="478" t="str">
        <f>IF(G59=18,G54,"")</f>
        <v/>
      </c>
      <c r="JD54" s="478" t="str">
        <f>IF(G59=19,G54,"")</f>
        <v/>
      </c>
      <c r="JE54" s="478" t="str">
        <f>IF(G59=20,G54,"")</f>
        <v/>
      </c>
      <c r="JF54" s="478" t="str">
        <f>IF(G59=21,G54,"")</f>
        <v/>
      </c>
      <c r="JG54" s="478" t="str">
        <f>IF(G59=22,G54,"")</f>
        <v/>
      </c>
      <c r="JH54" s="478" t="str">
        <f>IF(G59=23,G54,"")</f>
        <v/>
      </c>
      <c r="JI54" s="478" t="str">
        <f>IF(G59=24,G54,"")</f>
        <v/>
      </c>
      <c r="JJ54" s="478" t="str">
        <f>IF(G59=25,G54,"")</f>
        <v/>
      </c>
      <c r="JK54" s="478" t="str">
        <f>IF(G59=26,G54,"")</f>
        <v/>
      </c>
      <c r="JL54" s="478" t="str">
        <f>IF(G59=27,G54,"")</f>
        <v/>
      </c>
      <c r="JM54" s="478" t="str">
        <f>IF(G59=28,G54,"")</f>
        <v/>
      </c>
      <c r="JN54" s="478" t="str">
        <f>IF(G59=29,G54,"")</f>
        <v/>
      </c>
      <c r="JO54" s="478" t="str">
        <f>IF(G59=30,G54,"")</f>
        <v/>
      </c>
      <c r="JP54" s="478"/>
      <c r="JQ54" s="481">
        <f>IF(AND(AJ58=4,K59=1,G59&lt;=3),G54,0)</f>
        <v>0</v>
      </c>
      <c r="JR54" s="445" t="str">
        <f>IF(AF56=2,G54*E55,"")</f>
        <v/>
      </c>
      <c r="JS54" s="445"/>
      <c r="JT54" s="480" t="str">
        <f>IF(AF56&gt;1,((A55/F55)-(A55/E55)),"")</f>
        <v/>
      </c>
      <c r="JU54" s="479" t="str">
        <f>IF(AF56=2,((A55/F55)-(A55/E55)),"")</f>
        <v/>
      </c>
      <c r="JV54" s="479" t="str">
        <f>IF(AF56=3,((A55/F55)-(A55/E55)),"")</f>
        <v/>
      </c>
      <c r="JW54" s="479" t="str">
        <f>IF(AF56=4,((A55/F55)-(A55/E55)),"")</f>
        <v/>
      </c>
      <c r="JX54" s="479" t="str">
        <f>IF(AF56=5,((A55/F55)-(A55/E55)),"")</f>
        <v/>
      </c>
      <c r="JY54" s="479" t="str">
        <f>IF(AF56=6,((A55/F55)-(A55/E55)),"")</f>
        <v/>
      </c>
      <c r="JZ54" s="479" t="str">
        <f>IF(AF56=7,((A55/F55)-(A55/E55)),"")</f>
        <v/>
      </c>
      <c r="KA54" s="478" t="str">
        <f>IF(AF56=8,((A55/F55)-(A55/E55)),"")</f>
        <v/>
      </c>
      <c r="KB54" s="478" t="str">
        <f>IF(AF56=9,((A55/F55)-(A55/E55)),"")</f>
        <v/>
      </c>
      <c r="KC54" s="478" t="str">
        <f>IF(AF56=10,((A55/F55)-(A55/E55)),"")</f>
        <v/>
      </c>
      <c r="KD54" s="478" t="str">
        <f>IF(AF56=11,((A55/F55)-(A55/E55)),"")</f>
        <v/>
      </c>
      <c r="KE54" s="478" t="str">
        <f>IF(AF56=12,((A55/F55)-(A55/E55)),"")</f>
        <v/>
      </c>
      <c r="KF54" s="478" t="str">
        <f>IF(AF56=13,((A55/F55)-(A55/E55)),"")</f>
        <v/>
      </c>
      <c r="KG54" s="478" t="str">
        <f>IF(AF56=14,((A55/F55)-(A55/E55)),"")</f>
        <v/>
      </c>
      <c r="KH54" s="478" t="str">
        <f>IF(AF56=15,((A55/F55)-(A55/E55)),"")</f>
        <v/>
      </c>
      <c r="KI54" s="478" t="str">
        <f>IF(AF56=16,((A55/F55)-(A55/E55)),"")</f>
        <v/>
      </c>
      <c r="KJ54" s="478" t="str">
        <f>IF(AF56=17,((A55/F55)-(A55/E55)),"")</f>
        <v/>
      </c>
      <c r="KK54" s="478" t="str">
        <f>IF(AF56=18,((A55/F55)-(A55/E55)),"")</f>
        <v/>
      </c>
      <c r="KL54" s="478" t="str">
        <f>IF(AF56=19,((A55/F55)-(A55/E55)),"")</f>
        <v/>
      </c>
      <c r="KM54" s="478" t="str">
        <f>IF(AF56=20,((A55/F55)-(A55/E55)),"")</f>
        <v/>
      </c>
      <c r="KN54" s="478"/>
      <c r="KO54" s="478"/>
      <c r="KP54" s="478"/>
    </row>
    <row r="55" spans="1:302" s="6" customFormat="1" ht="11.1" customHeight="1">
      <c r="A55" s="740"/>
      <c r="B55" s="598" t="s">
        <v>476</v>
      </c>
      <c r="C55" s="56"/>
      <c r="D55" s="828">
        <f>IF(WEEKDAY(D54,2)=4,D54+4,IF(WEEKDAY(D54,2)=5,D54+4,D54+2))</f>
        <v>45175</v>
      </c>
      <c r="E55" s="765"/>
      <c r="F55" s="22"/>
      <c r="G55" s="56"/>
      <c r="H55" s="56"/>
      <c r="I55" s="385"/>
      <c r="J55" s="56"/>
      <c r="K55" s="384"/>
      <c r="L55" s="722"/>
      <c r="M55" s="720"/>
      <c r="N55" s="223"/>
      <c r="O55" s="223"/>
      <c r="P55" s="276">
        <v>98.98</v>
      </c>
      <c r="Q55" s="280"/>
      <c r="R55" s="280"/>
      <c r="S55" s="4"/>
      <c r="T55" s="431"/>
      <c r="U55" s="469"/>
      <c r="V55" s="4"/>
      <c r="W55" s="469"/>
      <c r="X55" s="442"/>
      <c r="Y55" s="456"/>
      <c r="Z55" s="456"/>
      <c r="AA55" s="22"/>
      <c r="AB55" s="360"/>
      <c r="AC55" s="431"/>
      <c r="AD55" s="825">
        <f>IF(E55="",((P54-E54)/E54),((P54-E54)/E54)+(((1/F55)-(1/E55))/(1/E55)))</f>
        <v>4.1610848217303174E-2</v>
      </c>
      <c r="AE55" s="431"/>
      <c r="AF55" s="279" t="s">
        <v>65</v>
      </c>
      <c r="AG55" s="824"/>
      <c r="AH55" s="993" t="s">
        <v>424</v>
      </c>
      <c r="AI55" s="564"/>
      <c r="AJ55" s="954"/>
      <c r="AK55" s="960"/>
      <c r="AL55" s="385">
        <v>100</v>
      </c>
      <c r="AM55" s="472" t="s">
        <v>176</v>
      </c>
      <c r="AN55" s="213">
        <v>3.5</v>
      </c>
      <c r="AO55" s="179">
        <f>IF(B59=2,"0",AO54*-(100-F58)/100)</f>
        <v>-1.9684166666666669</v>
      </c>
      <c r="AP55" s="463">
        <f>IF(AP56&lt;0,0,AP56*-(100-F58)/100)</f>
        <v>0</v>
      </c>
      <c r="AQ55" s="179"/>
      <c r="AR55" s="179">
        <f>AR58*-(100-F59)/100</f>
        <v>-10.27</v>
      </c>
      <c r="AS55" s="471">
        <f>-AP54+AS58+(F54/365*AN58*F59/100)*G54</f>
        <v>158.77311733333346</v>
      </c>
      <c r="AT55" s="419"/>
      <c r="AU55" s="420"/>
      <c r="AV55" s="223"/>
      <c r="AW55" s="420"/>
      <c r="AX55" s="417"/>
      <c r="AY55" s="420"/>
      <c r="AZ55" s="223"/>
      <c r="BA55" s="419"/>
      <c r="BB55" s="223"/>
      <c r="BC55" s="223"/>
      <c r="BD55" s="223"/>
      <c r="BE55" s="223"/>
      <c r="BF55" s="416"/>
      <c r="BG55" s="418"/>
      <c r="BH55" s="416"/>
      <c r="BI55" s="416"/>
      <c r="BJ55" s="416"/>
      <c r="BK55" s="418"/>
      <c r="BL55" s="417"/>
      <c r="BM55" s="417"/>
      <c r="BN55" s="417"/>
      <c r="BO55" s="417"/>
      <c r="BP55" s="417"/>
      <c r="BQ55" s="417"/>
      <c r="BR55" s="417"/>
      <c r="BS55" s="417"/>
      <c r="BT55" s="412"/>
      <c r="BU55" s="412"/>
      <c r="BV55" s="412"/>
      <c r="BW55" s="412"/>
      <c r="BX55" s="415"/>
      <c r="BY55" s="389"/>
      <c r="BZ55" s="389"/>
      <c r="CA55" s="389"/>
      <c r="CB55" s="389"/>
      <c r="CC55" s="389"/>
      <c r="CD55" s="389"/>
      <c r="CE55" s="389"/>
      <c r="CF55" s="389"/>
      <c r="CG55" s="389"/>
      <c r="CH55" s="389"/>
      <c r="CI55" s="389"/>
      <c r="CJ55" s="389"/>
      <c r="CK55" s="389"/>
      <c r="CL55" s="389"/>
      <c r="CM55" s="389"/>
      <c r="CN55" s="389"/>
      <c r="CO55" s="389"/>
      <c r="CP55" s="389"/>
      <c r="CQ55" s="389"/>
      <c r="CR55" s="389"/>
      <c r="CS55" s="415"/>
      <c r="CT55" s="389"/>
      <c r="CU55" s="389"/>
      <c r="CV55" s="389"/>
      <c r="CW55" s="389"/>
      <c r="CX55" s="389"/>
      <c r="CY55" s="389"/>
      <c r="CZ55" s="389"/>
      <c r="DA55" s="389"/>
      <c r="DB55" s="389"/>
      <c r="DC55" s="389"/>
      <c r="DD55" s="389"/>
      <c r="DE55" s="389"/>
      <c r="DF55" s="389"/>
      <c r="DG55" s="389"/>
      <c r="DH55" s="389"/>
      <c r="DI55" s="389"/>
      <c r="DJ55" s="389"/>
      <c r="DK55" s="389"/>
      <c r="DL55" s="389"/>
      <c r="DM55" s="389"/>
      <c r="DN55" s="389"/>
      <c r="DO55" s="414"/>
      <c r="DP55" s="39"/>
      <c r="DQ55" s="39"/>
      <c r="DR55" s="39"/>
      <c r="DS55" s="39"/>
      <c r="DT55" s="39"/>
      <c r="DU55" s="39"/>
      <c r="DV55" s="39"/>
      <c r="DW55" s="39"/>
      <c r="DX55" s="39"/>
      <c r="DY55" s="39"/>
      <c r="DZ55" s="39"/>
      <c r="EA55" s="39"/>
      <c r="EB55" s="39"/>
      <c r="EC55" s="39"/>
      <c r="ED55" s="136"/>
      <c r="EE55" s="136"/>
      <c r="EF55" s="136"/>
      <c r="EG55" s="136"/>
      <c r="EH55" s="136"/>
      <c r="EI55" s="136"/>
      <c r="EJ55" s="136"/>
      <c r="EK55" s="136"/>
      <c r="EL55" s="136"/>
      <c r="EM55" s="136"/>
      <c r="EN55" s="136"/>
      <c r="EO55" s="136"/>
      <c r="EP55" s="136"/>
      <c r="EQ55" s="136"/>
      <c r="ER55" s="136"/>
      <c r="ES55" s="136"/>
      <c r="ET55" s="136"/>
      <c r="EU55" s="136"/>
      <c r="EV55" s="136"/>
      <c r="EW55" s="136"/>
      <c r="EX55" s="136"/>
      <c r="EY55" s="136"/>
      <c r="EZ55" s="136"/>
      <c r="FA55" s="136"/>
      <c r="FB55" s="136"/>
      <c r="FC55" s="136"/>
      <c r="FD55" s="136"/>
      <c r="FE55" s="136"/>
      <c r="FF55" s="136"/>
      <c r="FG55" s="136"/>
      <c r="FH55" s="136"/>
      <c r="FI55" s="136"/>
      <c r="FJ55" s="136"/>
      <c r="FK55" s="136"/>
      <c r="FL55" s="136"/>
      <c r="FM55" s="136"/>
      <c r="FN55" s="136"/>
      <c r="FO55" s="39"/>
      <c r="FP55" s="39"/>
      <c r="FQ55" s="39"/>
      <c r="FR55" s="412"/>
      <c r="FS55" s="412"/>
      <c r="FT55" s="412"/>
      <c r="FU55" s="412"/>
      <c r="FV55" s="412"/>
      <c r="FW55" s="412"/>
      <c r="FX55" s="412"/>
      <c r="FY55" s="412"/>
      <c r="FZ55" s="412"/>
      <c r="GA55" s="412"/>
      <c r="GB55" s="412"/>
      <c r="GC55" s="412"/>
      <c r="GD55" s="412"/>
      <c r="GE55" s="412"/>
      <c r="GF55" s="412"/>
      <c r="GG55" s="412"/>
      <c r="GH55" s="412"/>
      <c r="GI55" s="412"/>
      <c r="GJ55" s="412"/>
      <c r="GK55" s="412"/>
      <c r="GL55" s="412"/>
      <c r="GM55" s="412"/>
      <c r="GN55" s="412"/>
      <c r="GO55" s="278"/>
      <c r="GP55" s="277"/>
      <c r="GQ55" s="277"/>
      <c r="GR55" s="277"/>
      <c r="GS55" s="277"/>
      <c r="GT55" s="277"/>
      <c r="GU55" s="277"/>
      <c r="GV55" s="277"/>
      <c r="GW55" s="277"/>
      <c r="GX55" s="412"/>
      <c r="GY55" s="412"/>
      <c r="GZ55" s="412"/>
      <c r="HA55" s="412"/>
      <c r="HB55" s="412"/>
      <c r="HC55" s="412"/>
      <c r="HD55" s="412"/>
      <c r="HE55" s="412"/>
      <c r="HF55" s="412"/>
      <c r="HG55" s="412"/>
      <c r="HH55" s="412"/>
      <c r="HI55" s="412"/>
      <c r="HJ55" s="412"/>
      <c r="HK55" s="412"/>
      <c r="HL55" s="412"/>
      <c r="HM55" s="412"/>
      <c r="HN55" s="412"/>
      <c r="HO55" s="412"/>
      <c r="HP55" s="412"/>
      <c r="HQ55" s="412"/>
      <c r="HR55" s="412"/>
      <c r="HS55" s="412"/>
      <c r="HT55" s="412"/>
      <c r="HU55" s="412"/>
      <c r="HV55" s="412"/>
      <c r="HW55" s="413"/>
      <c r="HX55" s="412"/>
      <c r="HY55" s="389"/>
      <c r="HZ55" s="389"/>
      <c r="IA55" s="389"/>
      <c r="IB55" s="389"/>
      <c r="IC55" s="389"/>
      <c r="ID55" s="389"/>
      <c r="IE55" s="389"/>
      <c r="IF55" s="389"/>
      <c r="IG55" s="389"/>
      <c r="IH55" s="389"/>
      <c r="II55" s="389"/>
      <c r="IJ55" s="389"/>
      <c r="IK55" s="389"/>
      <c r="IL55" s="389"/>
      <c r="IM55" s="389"/>
      <c r="IN55" s="389"/>
      <c r="IO55" s="389"/>
      <c r="IP55" s="389"/>
      <c r="IQ55" s="389"/>
      <c r="IR55" s="389"/>
      <c r="IS55" s="389"/>
      <c r="IT55" s="389"/>
      <c r="IU55" s="389"/>
      <c r="IV55" s="389"/>
      <c r="IW55" s="389"/>
      <c r="IX55" s="389"/>
      <c r="IY55" s="389"/>
      <c r="IZ55" s="389"/>
      <c r="JA55" s="389"/>
      <c r="JB55" s="389"/>
      <c r="JC55" s="389"/>
      <c r="JD55" s="389"/>
      <c r="JE55" s="389"/>
      <c r="JF55" s="389"/>
      <c r="JG55" s="389"/>
      <c r="JH55" s="389"/>
      <c r="JI55" s="389"/>
      <c r="JJ55" s="389"/>
      <c r="JK55" s="389"/>
      <c r="JL55" s="389"/>
      <c r="JM55" s="389"/>
      <c r="JN55" s="389"/>
      <c r="JO55" s="389"/>
      <c r="JP55" s="389"/>
      <c r="JQ55" s="389"/>
      <c r="JR55" s="389"/>
      <c r="JS55" s="389"/>
      <c r="JT55" s="389"/>
      <c r="JU55" s="389"/>
      <c r="JV55" s="389"/>
      <c r="JW55" s="389"/>
      <c r="JX55" s="389"/>
      <c r="JY55" s="389"/>
      <c r="JZ55" s="389"/>
      <c r="KA55" s="389"/>
      <c r="KB55" s="389"/>
      <c r="KC55" s="389"/>
      <c r="KD55" s="389"/>
      <c r="KE55" s="389"/>
      <c r="KF55" s="389"/>
      <c r="KG55" s="389"/>
      <c r="KH55" s="389"/>
      <c r="KI55" s="389"/>
      <c r="KJ55" s="389"/>
      <c r="KK55" s="389"/>
      <c r="KL55" s="389"/>
      <c r="KM55" s="389"/>
      <c r="KN55" s="389"/>
      <c r="KO55" s="389"/>
      <c r="KP55" s="389"/>
    </row>
    <row r="56" spans="1:302" s="6" customFormat="1" ht="11.1" hidden="1" customHeight="1" outlineLevel="1">
      <c r="A56" s="232"/>
      <c r="B56" s="468">
        <f>VLOOKUP(B54,'[2]IBAN CONTI'!A$53:B$58,2,FALSE)</f>
        <v>3</v>
      </c>
      <c r="C56" s="973"/>
      <c r="D56" s="536"/>
      <c r="E56" s="766">
        <f ca="1">IF(B59=2,C54,COUPNCD($AB$2,C54,K56,AH58))</f>
        <v>45653</v>
      </c>
      <c r="F56" s="22"/>
      <c r="G56" s="56"/>
      <c r="H56" s="56"/>
      <c r="I56" s="385"/>
      <c r="J56" s="56"/>
      <c r="K56" s="67">
        <v>2</v>
      </c>
      <c r="L56" s="833"/>
      <c r="M56" s="720"/>
      <c r="N56" s="223"/>
      <c r="O56" s="223"/>
      <c r="Q56" s="280"/>
      <c r="R56" s="280"/>
      <c r="S56" s="4"/>
      <c r="T56" s="431"/>
      <c r="U56" s="469"/>
      <c r="V56" s="4"/>
      <c r="W56" s="469"/>
      <c r="X56" s="442"/>
      <c r="Y56" s="456"/>
      <c r="Z56" s="456"/>
      <c r="AA56" s="22"/>
      <c r="AB56" s="979"/>
      <c r="AC56" s="56"/>
      <c r="AD56" s="219"/>
      <c r="AE56" s="56"/>
      <c r="AF56" s="468">
        <f>VLOOKUP(AF55,'[2]IBAN CONTI'!A$106:B$122,2,FALSE)</f>
        <v>1</v>
      </c>
      <c r="AG56" s="467">
        <f>VLOOKUP(A54,'[2]IBAN CONTI'!A$134:B$211,2,FALSE)</f>
        <v>33</v>
      </c>
      <c r="AH56" s="993"/>
      <c r="AI56" s="580"/>
      <c r="AJ56" s="1035" t="s">
        <v>428</v>
      </c>
      <c r="AK56" s="1036"/>
      <c r="AL56" s="22">
        <v>100</v>
      </c>
      <c r="AM56" s="579">
        <f>YEARFRAC(C54,AL54,AH58)</f>
        <v>5</v>
      </c>
      <c r="AN56" s="456">
        <f>IF(B59=2,0,D55-AL54)</f>
        <v>71</v>
      </c>
      <c r="AO56" s="464">
        <f>IF(B59=2,AL55*(1+AM59)^AM58,AO57+AL55)</f>
        <v>100</v>
      </c>
      <c r="AP56" s="463">
        <f>IF(AF56=1,G54*AO57/100,A55/E55/100*AO57)</f>
        <v>0</v>
      </c>
      <c r="AQ56" s="221"/>
      <c r="AR56" s="179">
        <f>AL59*G54/100</f>
        <v>1000</v>
      </c>
      <c r="AS56" s="462">
        <f>(AR59-AP59)*G54/100</f>
        <v>24.629099999999934</v>
      </c>
      <c r="AT56" s="419"/>
      <c r="AU56" s="420"/>
      <c r="AV56" s="223"/>
      <c r="AW56" s="420"/>
      <c r="AX56" s="417"/>
      <c r="AY56" s="420"/>
      <c r="AZ56" s="223"/>
      <c r="BA56" s="419"/>
      <c r="BB56" s="223"/>
      <c r="BC56" s="223"/>
      <c r="BD56" s="223"/>
      <c r="BE56" s="223"/>
      <c r="BF56" s="416"/>
      <c r="BG56" s="418"/>
      <c r="BH56" s="416"/>
      <c r="BI56" s="416"/>
      <c r="BJ56" s="416"/>
      <c r="BK56" s="418"/>
      <c r="BL56" s="417"/>
      <c r="BM56" s="416"/>
      <c r="BN56" s="416"/>
      <c r="BO56" s="416"/>
      <c r="BP56" s="416"/>
      <c r="BQ56" s="416"/>
      <c r="BR56" s="416"/>
      <c r="BS56" s="416"/>
      <c r="BT56" s="389"/>
      <c r="BU56" s="389"/>
      <c r="BV56" s="389"/>
      <c r="BW56" s="389"/>
      <c r="BX56" s="415"/>
      <c r="BY56" s="389"/>
      <c r="BZ56" s="389"/>
      <c r="CA56" s="389"/>
      <c r="CB56" s="389"/>
      <c r="CC56" s="389"/>
      <c r="CD56" s="389"/>
      <c r="CE56" s="389"/>
      <c r="CF56" s="389"/>
      <c r="CG56" s="389"/>
      <c r="CH56" s="389"/>
      <c r="CI56" s="389"/>
      <c r="CJ56" s="389"/>
      <c r="CK56" s="389"/>
      <c r="CL56" s="389"/>
      <c r="CM56" s="389"/>
      <c r="CN56" s="389"/>
      <c r="CO56" s="389"/>
      <c r="CP56" s="389"/>
      <c r="CQ56" s="389"/>
      <c r="CR56" s="389"/>
      <c r="CS56" s="415"/>
      <c r="CT56" s="389"/>
      <c r="CU56" s="389"/>
      <c r="CV56" s="389"/>
      <c r="CW56" s="389"/>
      <c r="CX56" s="389"/>
      <c r="CY56" s="389"/>
      <c r="CZ56" s="389"/>
      <c r="DA56" s="389"/>
      <c r="DB56" s="389"/>
      <c r="DC56" s="389"/>
      <c r="DD56" s="389"/>
      <c r="DE56" s="389"/>
      <c r="DF56" s="389"/>
      <c r="DG56" s="389"/>
      <c r="DH56" s="389"/>
      <c r="DI56" s="389"/>
      <c r="DJ56" s="389"/>
      <c r="DK56" s="389"/>
      <c r="DL56" s="389"/>
      <c r="DM56" s="389"/>
      <c r="DN56" s="389"/>
      <c r="DO56" s="414"/>
      <c r="DP56" s="39"/>
      <c r="DQ56" s="39"/>
      <c r="DR56" s="39"/>
      <c r="DS56" s="39"/>
      <c r="DT56" s="39"/>
      <c r="DU56" s="39"/>
      <c r="DV56" s="39"/>
      <c r="DW56" s="39"/>
      <c r="DX56" s="39"/>
      <c r="DY56" s="39"/>
      <c r="DZ56" s="39"/>
      <c r="EA56" s="39"/>
      <c r="EB56" s="39"/>
      <c r="EC56" s="39"/>
      <c r="ED56" s="136"/>
      <c r="EE56" s="136"/>
      <c r="EF56" s="136"/>
      <c r="EG56" s="136"/>
      <c r="EH56" s="136"/>
      <c r="EI56" s="136"/>
      <c r="EJ56" s="136"/>
      <c r="EK56" s="136"/>
      <c r="EL56" s="136"/>
      <c r="EM56" s="136"/>
      <c r="EN56" s="136"/>
      <c r="EO56" s="136"/>
      <c r="EP56" s="136"/>
      <c r="EQ56" s="136"/>
      <c r="ER56" s="136"/>
      <c r="ES56" s="136"/>
      <c r="ET56" s="136"/>
      <c r="EU56" s="136"/>
      <c r="EV56" s="136"/>
      <c r="EW56" s="136"/>
      <c r="EX56" s="136"/>
      <c r="EY56" s="136"/>
      <c r="EZ56" s="136"/>
      <c r="FA56" s="136"/>
      <c r="FB56" s="136"/>
      <c r="FC56" s="136"/>
      <c r="FD56" s="136"/>
      <c r="FE56" s="136"/>
      <c r="FF56" s="136"/>
      <c r="FG56" s="136"/>
      <c r="FH56" s="136"/>
      <c r="FI56" s="136"/>
      <c r="FJ56" s="136"/>
      <c r="FK56" s="136"/>
      <c r="FL56" s="136"/>
      <c r="FM56" s="136"/>
      <c r="FN56" s="136"/>
      <c r="FO56" s="39"/>
      <c r="FP56" s="39"/>
      <c r="FQ56" s="39"/>
      <c r="FR56" s="412"/>
      <c r="FS56" s="412"/>
      <c r="FT56" s="412"/>
      <c r="FU56" s="412"/>
      <c r="FV56" s="412"/>
      <c r="FW56" s="412"/>
      <c r="FX56" s="412"/>
      <c r="FY56" s="412"/>
      <c r="FZ56" s="412"/>
      <c r="GA56" s="412"/>
      <c r="GB56" s="412"/>
      <c r="GC56" s="412"/>
      <c r="GD56" s="412"/>
      <c r="GE56" s="412"/>
      <c r="GF56" s="412"/>
      <c r="GG56" s="412"/>
      <c r="GH56" s="412"/>
      <c r="GI56" s="412"/>
      <c r="GJ56" s="412"/>
      <c r="GK56" s="412"/>
      <c r="GL56" s="412"/>
      <c r="GM56" s="412"/>
      <c r="GN56" s="412"/>
      <c r="GO56" s="278"/>
      <c r="GP56" s="277"/>
      <c r="GQ56" s="277"/>
      <c r="GR56" s="277"/>
      <c r="GS56" s="277"/>
      <c r="GT56" s="277"/>
      <c r="GU56" s="277"/>
      <c r="GV56" s="277"/>
      <c r="GW56" s="277"/>
      <c r="GX56" s="412"/>
      <c r="GY56" s="412"/>
      <c r="GZ56" s="412"/>
      <c r="HA56" s="412"/>
      <c r="HB56" s="412"/>
      <c r="HC56" s="412"/>
      <c r="HD56" s="412"/>
      <c r="HE56" s="412"/>
      <c r="HF56" s="412"/>
      <c r="HG56" s="412"/>
      <c r="HH56" s="412"/>
      <c r="HI56" s="412"/>
      <c r="HJ56" s="412"/>
      <c r="HK56" s="412"/>
      <c r="HL56" s="412"/>
      <c r="HM56" s="412"/>
      <c r="HN56" s="412"/>
      <c r="HO56" s="412"/>
      <c r="HP56" s="412"/>
      <c r="HQ56" s="412"/>
      <c r="HR56" s="412"/>
      <c r="HS56" s="412"/>
      <c r="HT56" s="412"/>
      <c r="HU56" s="412"/>
      <c r="HV56" s="412"/>
      <c r="HW56" s="413"/>
      <c r="HX56" s="412"/>
      <c r="HY56" s="389"/>
      <c r="HZ56" s="389"/>
      <c r="IA56" s="389"/>
      <c r="IB56" s="389"/>
      <c r="IC56" s="389"/>
      <c r="ID56" s="389"/>
      <c r="IE56" s="389"/>
      <c r="IF56" s="389"/>
      <c r="IG56" s="389"/>
      <c r="IH56" s="389"/>
      <c r="II56" s="389"/>
      <c r="IJ56" s="389"/>
      <c r="IK56" s="389"/>
      <c r="IL56" s="389"/>
      <c r="IM56" s="389"/>
      <c r="IN56" s="389"/>
      <c r="IO56" s="389"/>
      <c r="IP56" s="389"/>
      <c r="IQ56" s="389"/>
      <c r="IR56" s="389"/>
      <c r="IS56" s="389"/>
      <c r="IT56" s="389"/>
      <c r="IU56" s="389"/>
      <c r="IV56" s="389"/>
      <c r="IW56" s="389"/>
      <c r="IX56" s="389"/>
      <c r="IY56" s="389"/>
      <c r="IZ56" s="389"/>
      <c r="JA56" s="389"/>
      <c r="JB56" s="389"/>
      <c r="JC56" s="389"/>
      <c r="JD56" s="389"/>
      <c r="JE56" s="389"/>
      <c r="JF56" s="389"/>
      <c r="JG56" s="389"/>
      <c r="JH56" s="389"/>
      <c r="JI56" s="389"/>
      <c r="JJ56" s="389"/>
      <c r="JK56" s="389"/>
      <c r="JL56" s="389"/>
      <c r="JM56" s="389"/>
      <c r="JN56" s="389"/>
      <c r="JO56" s="389"/>
      <c r="JP56" s="389"/>
      <c r="JQ56" s="389"/>
      <c r="JR56" s="389"/>
      <c r="JS56" s="389"/>
      <c r="JT56" s="389"/>
      <c r="JU56" s="389"/>
      <c r="JV56" s="389"/>
      <c r="JW56" s="389"/>
      <c r="JX56" s="389"/>
      <c r="JY56" s="389"/>
      <c r="JZ56" s="389"/>
      <c r="KA56" s="389"/>
      <c r="KB56" s="389"/>
      <c r="KC56" s="389"/>
      <c r="KD56" s="389"/>
      <c r="KE56" s="389"/>
      <c r="KF56" s="389"/>
      <c r="KG56" s="389"/>
      <c r="KH56" s="389"/>
      <c r="KI56" s="389"/>
      <c r="KJ56" s="389"/>
      <c r="KK56" s="389"/>
      <c r="KL56" s="389"/>
      <c r="KM56" s="389"/>
      <c r="KN56" s="389"/>
      <c r="KO56" s="389"/>
      <c r="KP56" s="389"/>
    </row>
    <row r="57" spans="1:302" s="6" customFormat="1" ht="11.1" hidden="1" customHeight="1" outlineLevel="1">
      <c r="A57" s="461">
        <v>1</v>
      </c>
      <c r="B57" s="990" t="s">
        <v>183</v>
      </c>
      <c r="C57" s="990"/>
      <c r="D57" s="452">
        <f>COUPPCD(D55,C54,K56,AH58)</f>
        <v>45104</v>
      </c>
      <c r="E57" s="767"/>
      <c r="F57" s="22"/>
      <c r="G57" s="1084">
        <v>2028</v>
      </c>
      <c r="H57" s="56"/>
      <c r="I57" s="385"/>
      <c r="J57" s="56"/>
      <c r="K57" s="987" t="s">
        <v>188</v>
      </c>
      <c r="L57" s="833"/>
      <c r="M57" s="720"/>
      <c r="N57" s="223"/>
      <c r="O57" s="223"/>
      <c r="P57" s="4"/>
      <c r="Q57" s="280"/>
      <c r="R57" s="280"/>
      <c r="S57" s="15"/>
      <c r="T57" s="431"/>
      <c r="U57" s="15"/>
      <c r="V57" s="15"/>
      <c r="W57" s="15"/>
      <c r="X57" s="442"/>
      <c r="Y57" s="430"/>
      <c r="Z57" s="430"/>
      <c r="AA57" s="430"/>
      <c r="AB57" s="9"/>
      <c r="AC57" s="56"/>
      <c r="AD57" s="15"/>
      <c r="AE57" s="56"/>
      <c r="AH57" s="457"/>
      <c r="AI57" s="457"/>
      <c r="AJ57" s="1037"/>
      <c r="AK57" s="1038"/>
      <c r="AL57" s="967">
        <f>AL56-AL55</f>
        <v>0</v>
      </c>
      <c r="AM57" s="530">
        <f>C54-AL54</f>
        <v>1827</v>
      </c>
      <c r="AN57" s="530">
        <f>IF(OR(K56&lt;&gt;1,AN56&gt;365),COUPDAYBS(D55,C54,K56,AH58),AN56)</f>
        <v>69</v>
      </c>
      <c r="AO57" s="424">
        <f>IF(B59=2,AO56-AL55,AL57/AM57*AN56)</f>
        <v>0</v>
      </c>
      <c r="AP57" s="455">
        <f>IF(B59=4,FLOOR(F54/K56*AN57/(D58-D57)*100,0.000001),IF(AH58=4,YEARFRAC(D57,D55,0)*F54*100,IF(B59=3,IF(OR(AH58=4,AH58=2),(F56*(AN57))/(360)*100,(F56*(AN57))/(365)*100),FLOOR(F54/K56*AN57/(D58-D57)*100,0.000001))))</f>
        <v>0.75708333333333344</v>
      </c>
      <c r="AQ57" s="454"/>
      <c r="AR57" s="422">
        <f>AL57*G54/100</f>
        <v>0</v>
      </c>
      <c r="AS57" s="422">
        <f>IF(AS56&lt;0,0,AS56*(100-F59)/100)</f>
        <v>6.4035659999999828</v>
      </c>
      <c r="AT57" s="419"/>
      <c r="AU57" s="420"/>
      <c r="AV57" s="223"/>
      <c r="AW57" s="420"/>
      <c r="AX57" s="417"/>
      <c r="AY57" s="420"/>
      <c r="AZ57" s="223"/>
      <c r="BA57" s="419"/>
      <c r="BB57" s="223"/>
      <c r="BC57" s="223"/>
      <c r="BD57" s="223"/>
      <c r="BE57" s="223"/>
      <c r="BF57" s="416"/>
      <c r="BG57" s="418"/>
      <c r="BH57" s="416"/>
      <c r="BI57" s="416"/>
      <c r="BJ57" s="416"/>
      <c r="BK57" s="418"/>
      <c r="BL57" s="417"/>
      <c r="BM57" s="416"/>
      <c r="BN57" s="416"/>
      <c r="BO57" s="416"/>
      <c r="BP57" s="416"/>
      <c r="BQ57" s="416"/>
      <c r="BR57" s="416"/>
      <c r="BS57" s="416"/>
      <c r="BT57" s="389"/>
      <c r="BU57" s="389"/>
      <c r="BV57" s="389"/>
      <c r="BW57" s="389"/>
      <c r="BX57" s="415"/>
      <c r="BY57" s="389"/>
      <c r="BZ57" s="389"/>
      <c r="CA57" s="389"/>
      <c r="CB57" s="389"/>
      <c r="CC57" s="389"/>
      <c r="CD57" s="389"/>
      <c r="CE57" s="389"/>
      <c r="CF57" s="389"/>
      <c r="CG57" s="389"/>
      <c r="CH57" s="389"/>
      <c r="CI57" s="389"/>
      <c r="CJ57" s="389"/>
      <c r="CK57" s="389"/>
      <c r="CL57" s="389"/>
      <c r="CM57" s="389"/>
      <c r="CN57" s="389"/>
      <c r="CO57" s="389"/>
      <c r="CP57" s="389"/>
      <c r="CQ57" s="389"/>
      <c r="CR57" s="389"/>
      <c r="CS57" s="415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414"/>
      <c r="DP57" s="39"/>
      <c r="DQ57" s="39"/>
      <c r="DR57" s="39"/>
      <c r="DS57" s="39"/>
      <c r="DT57" s="39"/>
      <c r="DU57" s="39"/>
      <c r="DV57" s="39"/>
      <c r="DW57" s="39"/>
      <c r="DX57" s="39"/>
      <c r="DY57" s="39"/>
      <c r="DZ57" s="39"/>
      <c r="EA57" s="39"/>
      <c r="EB57" s="39"/>
      <c r="EC57" s="39"/>
      <c r="ED57" s="136"/>
      <c r="EE57" s="136"/>
      <c r="EF57" s="136"/>
      <c r="EG57" s="136"/>
      <c r="EH57" s="136"/>
      <c r="EI57" s="136"/>
      <c r="EJ57" s="136"/>
      <c r="EK57" s="136"/>
      <c r="EL57" s="136"/>
      <c r="EM57" s="136"/>
      <c r="EN57" s="136"/>
      <c r="EO57" s="136"/>
      <c r="EP57" s="136"/>
      <c r="EQ57" s="136"/>
      <c r="ER57" s="136"/>
      <c r="ES57" s="136"/>
      <c r="ET57" s="136"/>
      <c r="EU57" s="136"/>
      <c r="EV57" s="136"/>
      <c r="EW57" s="136"/>
      <c r="EX57" s="136"/>
      <c r="EY57" s="136"/>
      <c r="EZ57" s="136"/>
      <c r="FA57" s="136"/>
      <c r="FB57" s="136"/>
      <c r="FC57" s="136"/>
      <c r="FD57" s="136"/>
      <c r="FE57" s="136"/>
      <c r="FF57" s="136"/>
      <c r="FG57" s="136"/>
      <c r="FH57" s="136"/>
      <c r="FI57" s="136"/>
      <c r="FJ57" s="136"/>
      <c r="FK57" s="136"/>
      <c r="FL57" s="136"/>
      <c r="FM57" s="136"/>
      <c r="FN57" s="136"/>
      <c r="FO57" s="39"/>
      <c r="FP57" s="39"/>
      <c r="FQ57" s="39"/>
      <c r="FR57" s="412"/>
      <c r="FS57" s="412"/>
      <c r="FT57" s="412"/>
      <c r="FU57" s="412"/>
      <c r="FV57" s="412"/>
      <c r="FW57" s="412"/>
      <c r="FX57" s="412"/>
      <c r="FY57" s="412"/>
      <c r="FZ57" s="412"/>
      <c r="GA57" s="412"/>
      <c r="GB57" s="412"/>
      <c r="GC57" s="412"/>
      <c r="GD57" s="412"/>
      <c r="GE57" s="412"/>
      <c r="GF57" s="412"/>
      <c r="GG57" s="412"/>
      <c r="GH57" s="412"/>
      <c r="GI57" s="412"/>
      <c r="GJ57" s="412"/>
      <c r="GK57" s="412"/>
      <c r="GL57" s="412"/>
      <c r="GM57" s="412"/>
      <c r="GN57" s="412"/>
      <c r="GO57" s="278"/>
      <c r="GP57" s="277"/>
      <c r="GQ57" s="277"/>
      <c r="GR57" s="277"/>
      <c r="GS57" s="277"/>
      <c r="GT57" s="277"/>
      <c r="GU57" s="277"/>
      <c r="GV57" s="277"/>
      <c r="GW57" s="277"/>
      <c r="GX57" s="412"/>
      <c r="GY57" s="412"/>
      <c r="GZ57" s="412"/>
      <c r="HA57" s="412"/>
      <c r="HB57" s="412"/>
      <c r="HC57" s="412"/>
      <c r="HD57" s="412"/>
      <c r="HE57" s="412"/>
      <c r="HF57" s="412"/>
      <c r="HG57" s="412"/>
      <c r="HH57" s="412"/>
      <c r="HI57" s="412"/>
      <c r="HJ57" s="412"/>
      <c r="HK57" s="412"/>
      <c r="HL57" s="412"/>
      <c r="HM57" s="412"/>
      <c r="HN57" s="412"/>
      <c r="HO57" s="412"/>
      <c r="HP57" s="412"/>
      <c r="HQ57" s="412"/>
      <c r="HR57" s="412"/>
      <c r="HS57" s="412"/>
      <c r="HT57" s="412"/>
      <c r="HU57" s="412"/>
      <c r="HV57" s="412"/>
      <c r="HW57" s="413"/>
      <c r="HX57" s="412"/>
      <c r="HY57" s="389"/>
      <c r="HZ57" s="389"/>
      <c r="IA57" s="389"/>
      <c r="IB57" s="389"/>
      <c r="IC57" s="389"/>
      <c r="ID57" s="389"/>
      <c r="IE57" s="389"/>
      <c r="IF57" s="389"/>
      <c r="IG57" s="389"/>
      <c r="IH57" s="389"/>
      <c r="II57" s="389"/>
      <c r="IJ57" s="389"/>
      <c r="IK57" s="389"/>
      <c r="IL57" s="389"/>
      <c r="IM57" s="389"/>
      <c r="IN57" s="389"/>
      <c r="IO57" s="389"/>
      <c r="IP57" s="389"/>
      <c r="IQ57" s="389"/>
      <c r="IR57" s="389"/>
      <c r="IS57" s="389"/>
      <c r="IT57" s="389"/>
      <c r="IU57" s="389"/>
      <c r="IV57" s="389"/>
      <c r="IW57" s="389"/>
      <c r="IX57" s="389"/>
      <c r="IY57" s="389"/>
      <c r="IZ57" s="389"/>
      <c r="JA57" s="389"/>
      <c r="JB57" s="389"/>
      <c r="JC57" s="389"/>
      <c r="JD57" s="389"/>
      <c r="JE57" s="389"/>
      <c r="JF57" s="389"/>
      <c r="JG57" s="389"/>
      <c r="JH57" s="389"/>
      <c r="JI57" s="389"/>
      <c r="JJ57" s="389"/>
      <c r="JK57" s="389"/>
      <c r="JL57" s="389"/>
      <c r="JM57" s="389"/>
      <c r="JN57" s="389"/>
      <c r="JO57" s="389"/>
      <c r="JP57" s="389"/>
      <c r="JQ57" s="389"/>
      <c r="JR57" s="389"/>
      <c r="JS57" s="389"/>
      <c r="JT57" s="389"/>
      <c r="JU57" s="389"/>
      <c r="JV57" s="389"/>
      <c r="JW57" s="389"/>
      <c r="JX57" s="389"/>
      <c r="JY57" s="389"/>
      <c r="JZ57" s="389"/>
      <c r="KA57" s="389"/>
      <c r="KB57" s="389"/>
      <c r="KC57" s="389"/>
      <c r="KD57" s="389"/>
      <c r="KE57" s="389"/>
      <c r="KF57" s="389"/>
      <c r="KG57" s="389"/>
      <c r="KH57" s="389"/>
      <c r="KI57" s="389"/>
      <c r="KJ57" s="389"/>
      <c r="KK57" s="389"/>
      <c r="KL57" s="389"/>
      <c r="KM57" s="389"/>
      <c r="KN57" s="389"/>
      <c r="KO57" s="389"/>
      <c r="KP57" s="389"/>
    </row>
    <row r="58" spans="1:302" s="6" customFormat="1" ht="11.1" hidden="1" customHeight="1" outlineLevel="1">
      <c r="A58" s="232"/>
      <c r="B58" s="990"/>
      <c r="C58" s="990"/>
      <c r="D58" s="452">
        <f>COUPNCD(D55,C54,K56,AH58)</f>
        <v>45287</v>
      </c>
      <c r="E58" s="932" t="s">
        <v>182</v>
      </c>
      <c r="F58" s="451" t="str">
        <f>IF(E59=1,"87,5",IF(D54&lt;40908,87.5,IF(D54&lt;41820,"80","74")))</f>
        <v>74</v>
      </c>
      <c r="G58" s="1084"/>
      <c r="H58" s="56"/>
      <c r="I58" s="385"/>
      <c r="J58" s="385"/>
      <c r="K58" s="987"/>
      <c r="L58" s="833"/>
      <c r="M58" s="720"/>
      <c r="N58" s="223"/>
      <c r="O58" s="223"/>
      <c r="P58" s="738"/>
      <c r="Q58" s="280"/>
      <c r="R58" s="280"/>
      <c r="S58" s="15"/>
      <c r="T58" s="431"/>
      <c r="U58" s="15"/>
      <c r="V58" s="15"/>
      <c r="W58" s="15"/>
      <c r="X58" s="442"/>
      <c r="Y58" s="157"/>
      <c r="Z58" s="157"/>
      <c r="AA58" s="15"/>
      <c r="AB58" s="78"/>
      <c r="AC58" s="385"/>
      <c r="AD58" s="15"/>
      <c r="AE58" s="385"/>
      <c r="AF58" s="15"/>
      <c r="AG58" s="75"/>
      <c r="AH58" s="419">
        <f>VLOOKUP(AH55,'[2]IBAN CONTI'!A:B,2,FALSE)</f>
        <v>4</v>
      </c>
      <c r="AI58" s="419"/>
      <c r="AJ58" s="989">
        <f>VLOOKUP(AJ56,'[2]IBAN CONTI'!A$67:B$77,2,FALSE)</f>
        <v>4</v>
      </c>
      <c r="AK58" s="992"/>
      <c r="AL58" s="965">
        <f>AL55</f>
        <v>100</v>
      </c>
      <c r="AM58" s="577">
        <f>IF(B59=1,YEARFRAC(D55,C54,AH58),IF(B59=2,YEARFRAC(AL54,D55,AH58)))</f>
        <v>4.8083333333333336</v>
      </c>
      <c r="AN58" s="530">
        <f>IF(B59=2,0,C54-D55-(365-AN57))</f>
        <v>1460</v>
      </c>
      <c r="AO58" s="424">
        <f>E54-AO57</f>
        <v>97.09</v>
      </c>
      <c r="AP58" s="447">
        <f>E54+AO59+AP57+0.1</f>
        <v>97.947083333333325</v>
      </c>
      <c r="AQ58" s="446"/>
      <c r="AR58" s="179">
        <f>IF(B59=3,F56*G54,F54*G54)</f>
        <v>39.5</v>
      </c>
      <c r="AS58" s="421">
        <f>AR54-AS57</f>
        <v>1022.8264340000001</v>
      </c>
      <c r="AT58" s="419"/>
      <c r="AU58" s="420"/>
      <c r="AV58" s="223"/>
      <c r="AW58" s="420"/>
      <c r="AX58" s="417"/>
      <c r="AY58" s="420"/>
      <c r="AZ58" s="223"/>
      <c r="BA58" s="419"/>
      <c r="BB58" s="223"/>
      <c r="BC58" s="223"/>
      <c r="BD58" s="223"/>
      <c r="BE58" s="223"/>
      <c r="BF58" s="416"/>
      <c r="BG58" s="418"/>
      <c r="BH58" s="416"/>
      <c r="BI58" s="416"/>
      <c r="BJ58" s="416"/>
      <c r="BK58" s="418"/>
      <c r="BL58" s="417"/>
      <c r="BM58" s="416"/>
      <c r="BN58" s="416"/>
      <c r="BO58" s="416"/>
      <c r="BP58" s="416"/>
      <c r="BQ58" s="416"/>
      <c r="BR58" s="416"/>
      <c r="BS58" s="416"/>
      <c r="BT58" s="389"/>
      <c r="BU58" s="389"/>
      <c r="BV58" s="389"/>
      <c r="BW58" s="389"/>
      <c r="BX58" s="415"/>
      <c r="BY58" s="389"/>
      <c r="BZ58" s="389"/>
      <c r="CA58" s="389"/>
      <c r="CB58" s="389"/>
      <c r="CC58" s="389"/>
      <c r="CD58" s="389"/>
      <c r="CE58" s="389"/>
      <c r="CF58" s="389"/>
      <c r="CG58" s="389"/>
      <c r="CH58" s="389"/>
      <c r="CI58" s="389"/>
      <c r="CJ58" s="389"/>
      <c r="CK58" s="389"/>
      <c r="CL58" s="389"/>
      <c r="CM58" s="389"/>
      <c r="CN58" s="389"/>
      <c r="CO58" s="389"/>
      <c r="CP58" s="389"/>
      <c r="CQ58" s="389"/>
      <c r="CR58" s="389"/>
      <c r="CS58" s="415"/>
      <c r="CT58" s="389"/>
      <c r="CU58" s="389"/>
      <c r="CV58" s="389"/>
      <c r="CW58" s="389"/>
      <c r="CX58" s="389"/>
      <c r="CY58" s="389"/>
      <c r="CZ58" s="389"/>
      <c r="DA58" s="389"/>
      <c r="DB58" s="389"/>
      <c r="DC58" s="389"/>
      <c r="DD58" s="389"/>
      <c r="DE58" s="389"/>
      <c r="DF58" s="389"/>
      <c r="DG58" s="389"/>
      <c r="DH58" s="389"/>
      <c r="DI58" s="389"/>
      <c r="DJ58" s="389"/>
      <c r="DK58" s="389"/>
      <c r="DL58" s="389"/>
      <c r="DM58" s="389"/>
      <c r="DN58" s="389"/>
      <c r="DO58" s="414"/>
      <c r="DP58" s="39"/>
      <c r="DQ58" s="39"/>
      <c r="DR58" s="39"/>
      <c r="DS58" s="136"/>
      <c r="DT58" s="136"/>
      <c r="DU58" s="136"/>
      <c r="DV58" s="136"/>
      <c r="DW58" s="136"/>
      <c r="DX58" s="136"/>
      <c r="DY58" s="136"/>
      <c r="DZ58" s="136"/>
      <c r="EA58" s="136"/>
      <c r="EB58" s="136"/>
      <c r="EC58" s="136"/>
      <c r="ED58" s="136"/>
      <c r="EE58" s="136"/>
      <c r="EF58" s="136"/>
      <c r="EG58" s="136"/>
      <c r="EH58" s="136"/>
      <c r="EI58" s="136"/>
      <c r="EJ58" s="136"/>
      <c r="EK58" s="136"/>
      <c r="EL58" s="136"/>
      <c r="EM58" s="136"/>
      <c r="EN58" s="136"/>
      <c r="EO58" s="136"/>
      <c r="EP58" s="136"/>
      <c r="EQ58" s="136"/>
      <c r="ER58" s="136"/>
      <c r="ES58" s="136"/>
      <c r="ET58" s="136"/>
      <c r="EU58" s="136"/>
      <c r="EV58" s="136"/>
      <c r="EW58" s="136"/>
      <c r="EX58" s="136"/>
      <c r="EY58" s="136"/>
      <c r="EZ58" s="136"/>
      <c r="FA58" s="136"/>
      <c r="FB58" s="136"/>
      <c r="FC58" s="136"/>
      <c r="FD58" s="136"/>
      <c r="FE58" s="136"/>
      <c r="FF58" s="136"/>
      <c r="FG58" s="136"/>
      <c r="FH58" s="136"/>
      <c r="FI58" s="136"/>
      <c r="FJ58" s="136"/>
      <c r="FK58" s="136"/>
      <c r="FL58" s="136"/>
      <c r="FM58" s="136"/>
      <c r="FN58" s="136"/>
      <c r="FO58" s="136"/>
      <c r="FP58" s="136"/>
      <c r="FQ58" s="136"/>
      <c r="FR58" s="412"/>
      <c r="FS58" s="412"/>
      <c r="FT58" s="412"/>
      <c r="FU58" s="412"/>
      <c r="FV58" s="412"/>
      <c r="FW58" s="412"/>
      <c r="FX58" s="412"/>
      <c r="FY58" s="412"/>
      <c r="FZ58" s="412"/>
      <c r="GA58" s="412"/>
      <c r="GB58" s="412"/>
      <c r="GC58" s="412"/>
      <c r="GD58" s="412"/>
      <c r="GE58" s="412"/>
      <c r="GF58" s="412"/>
      <c r="GG58" s="412"/>
      <c r="GH58" s="412"/>
      <c r="GI58" s="412"/>
      <c r="GJ58" s="412"/>
      <c r="GK58" s="412"/>
      <c r="GL58" s="412"/>
      <c r="GM58" s="412"/>
      <c r="GN58" s="412"/>
      <c r="GO58" s="278"/>
      <c r="GP58" s="277"/>
      <c r="GQ58" s="277"/>
      <c r="GR58" s="277"/>
      <c r="GS58" s="277"/>
      <c r="GT58" s="277"/>
      <c r="GU58" s="277"/>
      <c r="GV58" s="277"/>
      <c r="GW58" s="277"/>
      <c r="GX58" s="412"/>
      <c r="GY58" s="412"/>
      <c r="GZ58" s="412"/>
      <c r="HA58" s="412"/>
      <c r="HB58" s="412"/>
      <c r="HC58" s="412"/>
      <c r="HD58" s="412"/>
      <c r="HE58" s="412"/>
      <c r="HF58" s="412"/>
      <c r="HG58" s="412"/>
      <c r="HH58" s="412"/>
      <c r="HI58" s="412"/>
      <c r="HJ58" s="412"/>
      <c r="HK58" s="412"/>
      <c r="HL58" s="412"/>
      <c r="HM58" s="412"/>
      <c r="HN58" s="412"/>
      <c r="HO58" s="412"/>
      <c r="HP58" s="412"/>
      <c r="HQ58" s="412"/>
      <c r="HR58" s="412"/>
      <c r="HS58" s="412"/>
      <c r="HT58" s="412"/>
      <c r="HU58" s="412"/>
      <c r="HV58" s="412"/>
      <c r="HW58" s="413"/>
      <c r="HX58" s="412"/>
      <c r="HY58" s="389"/>
      <c r="HZ58" s="389"/>
      <c r="IA58" s="389"/>
      <c r="IB58" s="389"/>
      <c r="IC58" s="389"/>
      <c r="ID58" s="389"/>
      <c r="IE58" s="389"/>
      <c r="IF58" s="389"/>
      <c r="IG58" s="389"/>
      <c r="IH58" s="389"/>
      <c r="II58" s="389"/>
      <c r="IJ58" s="389"/>
      <c r="IK58" s="389"/>
      <c r="IL58" s="389"/>
      <c r="IM58" s="389"/>
      <c r="IN58" s="389"/>
      <c r="IO58" s="389"/>
      <c r="IP58" s="389"/>
      <c r="IQ58" s="389"/>
      <c r="IR58" s="389"/>
      <c r="IS58" s="389"/>
      <c r="IT58" s="389"/>
      <c r="IU58" s="389"/>
      <c r="IV58" s="389"/>
      <c r="IW58" s="389"/>
      <c r="IX58" s="389"/>
      <c r="IY58" s="389"/>
      <c r="IZ58" s="389"/>
      <c r="JA58" s="389"/>
      <c r="JB58" s="389"/>
      <c r="JC58" s="389"/>
      <c r="JD58" s="389"/>
      <c r="JE58" s="389"/>
      <c r="JF58" s="389"/>
      <c r="JG58" s="389"/>
      <c r="JH58" s="389"/>
      <c r="JI58" s="389"/>
      <c r="JJ58" s="389"/>
      <c r="JK58" s="389"/>
      <c r="JL58" s="389"/>
      <c r="JM58" s="389"/>
      <c r="JN58" s="389"/>
      <c r="JO58" s="389"/>
      <c r="JP58" s="389"/>
      <c r="JQ58" s="389"/>
      <c r="JR58" s="389"/>
      <c r="JS58" s="389"/>
      <c r="JT58" s="389"/>
      <c r="JU58" s="389"/>
      <c r="JV58" s="389"/>
      <c r="JW58" s="389"/>
      <c r="JX58" s="389"/>
      <c r="JY58" s="389"/>
      <c r="JZ58" s="389"/>
      <c r="KA58" s="389"/>
      <c r="KB58" s="389"/>
      <c r="KC58" s="389"/>
      <c r="KD58" s="389"/>
      <c r="KE58" s="389"/>
      <c r="KF58" s="389"/>
      <c r="KG58" s="389"/>
      <c r="KH58" s="389"/>
      <c r="KI58" s="389"/>
      <c r="KJ58" s="389"/>
      <c r="KK58" s="389"/>
      <c r="KL58" s="389"/>
      <c r="KM58" s="389"/>
      <c r="KN58" s="389"/>
      <c r="KO58" s="389"/>
      <c r="KP58" s="389"/>
    </row>
    <row r="59" spans="1:302" s="6" customFormat="1" ht="11.1" hidden="1" customHeight="1" outlineLevel="1">
      <c r="A59" s="461">
        <v>1</v>
      </c>
      <c r="B59" s="989">
        <f>VLOOKUP(B57,'[2]IBAN CONTI'!A$1:B$65562,2,FALSE)</f>
        <v>1</v>
      </c>
      <c r="C59" s="989"/>
      <c r="D59" s="436">
        <f>COUPNCD(AL54,C54,K56,AH58)</f>
        <v>45287</v>
      </c>
      <c r="E59" s="932">
        <f>VLOOKUP(E58,'[2]IBAN CONTI'!A:B,2,FALSE)</f>
        <v>2</v>
      </c>
      <c r="F59" s="444" t="str">
        <f>IF(E59=1,"87,5","74")</f>
        <v>74</v>
      </c>
      <c r="G59" s="433">
        <f>VLOOKUP(G57,'[2]IBAN CONTI'!A$244:B$273,2,FALSE)</f>
        <v>17</v>
      </c>
      <c r="H59" s="383"/>
      <c r="I59" s="385"/>
      <c r="J59" s="385"/>
      <c r="K59" s="433">
        <f>VLOOKUP(K57,'[2]IBAN CONTI'!A$80:B$101,2,FALSE)</f>
        <v>5</v>
      </c>
      <c r="L59" s="833"/>
      <c r="M59" s="720"/>
      <c r="N59" s="223"/>
      <c r="O59" s="223"/>
      <c r="P59" s="738"/>
      <c r="Q59" s="280"/>
      <c r="R59" s="280"/>
      <c r="S59" s="15"/>
      <c r="T59" s="431"/>
      <c r="U59" s="15"/>
      <c r="V59" s="15"/>
      <c r="W59" s="15"/>
      <c r="X59" s="594">
        <f ca="1">X54-$AF$2</f>
        <v>-4565.6850547453723</v>
      </c>
      <c r="Y59" s="739"/>
      <c r="Z59" s="739"/>
      <c r="AA59" s="4"/>
      <c r="AB59" s="78"/>
      <c r="AC59" s="385"/>
      <c r="AD59" s="728"/>
      <c r="AE59" s="385"/>
      <c r="AF59" s="1011">
        <v>17594.52</v>
      </c>
      <c r="AG59" s="1011"/>
      <c r="AH59" s="511"/>
      <c r="AI59" s="54"/>
      <c r="AJ59" s="441" t="s">
        <v>172</v>
      </c>
      <c r="AK59" s="428">
        <f>VLOOKUP(AJ59,'[2]IBAN CONTI'!A$61:B$64,2,FALSE)</f>
        <v>1</v>
      </c>
      <c r="AL59" s="427">
        <f>AL56-AL57*(100-F59)/100</f>
        <v>100</v>
      </c>
      <c r="AM59" s="426" t="str">
        <f>IF(B59=2,10^((LOG(AL56/AL55))/AM56)-1,"")</f>
        <v/>
      </c>
      <c r="AN59" s="422">
        <f>IF(B59=4,A56*E54/100,IF(AF56=1,G54*E54/100,A55/E55*E54/100))</f>
        <v>970.9</v>
      </c>
      <c r="AO59" s="425">
        <f>-AO57*(100-F58)/100</f>
        <v>0</v>
      </c>
      <c r="AP59" s="438">
        <f>IF(B59=2,(AN59-AP56+AN54+AN55)/G54*100,(AN59-AP55+AN54+AN55)/G54*100)</f>
        <v>97.537090000000006</v>
      </c>
      <c r="AQ59" s="423"/>
      <c r="AR59" s="422">
        <f>AL55</f>
        <v>100</v>
      </c>
      <c r="AS59" s="421"/>
      <c r="AT59" s="419"/>
      <c r="AU59" s="420"/>
      <c r="AV59" s="223"/>
      <c r="AW59" s="420"/>
      <c r="AX59" s="417"/>
      <c r="AY59" s="420"/>
      <c r="AZ59" s="223"/>
      <c r="BA59" s="419"/>
      <c r="BB59" s="223"/>
      <c r="BC59" s="223"/>
      <c r="BD59" s="223"/>
      <c r="BE59" s="223"/>
      <c r="BF59" s="416"/>
      <c r="BG59" s="418"/>
      <c r="BH59" s="416"/>
      <c r="BI59" s="416"/>
      <c r="BJ59" s="416"/>
      <c r="BK59" s="418"/>
      <c r="BL59" s="417"/>
      <c r="BM59" s="416"/>
      <c r="BN59" s="416"/>
      <c r="BO59" s="416"/>
      <c r="BP59" s="416"/>
      <c r="BQ59" s="416"/>
      <c r="BR59" s="416"/>
      <c r="BS59" s="416"/>
      <c r="BT59" s="389"/>
      <c r="BU59" s="389"/>
      <c r="BV59" s="389"/>
      <c r="BW59" s="389"/>
      <c r="BX59" s="415"/>
      <c r="BY59" s="389"/>
      <c r="BZ59" s="389"/>
      <c r="CA59" s="389"/>
      <c r="CB59" s="389"/>
      <c r="CC59" s="389"/>
      <c r="CD59" s="389"/>
      <c r="CE59" s="389"/>
      <c r="CF59" s="389"/>
      <c r="CG59" s="389"/>
      <c r="CH59" s="389"/>
      <c r="CI59" s="389"/>
      <c r="CJ59" s="389"/>
      <c r="CK59" s="389"/>
      <c r="CL59" s="389"/>
      <c r="CM59" s="389"/>
      <c r="CN59" s="389"/>
      <c r="CO59" s="389"/>
      <c r="CP59" s="389"/>
      <c r="CQ59" s="389"/>
      <c r="CR59" s="389"/>
      <c r="CS59" s="415"/>
      <c r="CT59" s="389"/>
      <c r="CU59" s="389"/>
      <c r="CV59" s="389"/>
      <c r="CW59" s="389"/>
      <c r="CX59" s="389"/>
      <c r="CY59" s="389"/>
      <c r="CZ59" s="389"/>
      <c r="DA59" s="389"/>
      <c r="DB59" s="389"/>
      <c r="DC59" s="389"/>
      <c r="DD59" s="389"/>
      <c r="DE59" s="389"/>
      <c r="DF59" s="389"/>
      <c r="DG59" s="389"/>
      <c r="DH59" s="389"/>
      <c r="DI59" s="389"/>
      <c r="DJ59" s="389"/>
      <c r="DK59" s="389"/>
      <c r="DL59" s="389"/>
      <c r="DM59" s="389"/>
      <c r="DN59" s="389"/>
      <c r="DO59" s="414"/>
      <c r="DP59" s="39"/>
      <c r="DQ59" s="39"/>
      <c r="DR59" s="39"/>
      <c r="DS59" s="136"/>
      <c r="DT59" s="136"/>
      <c r="DU59" s="136"/>
      <c r="DV59" s="136"/>
      <c r="DW59" s="136"/>
      <c r="DX59" s="136"/>
      <c r="DY59" s="136"/>
      <c r="DZ59" s="136"/>
      <c r="EA59" s="136"/>
      <c r="EB59" s="136"/>
      <c r="EC59" s="136"/>
      <c r="ED59" s="136"/>
      <c r="EE59" s="136"/>
      <c r="EF59" s="136"/>
      <c r="EG59" s="136"/>
      <c r="EH59" s="136"/>
      <c r="EI59" s="136"/>
      <c r="EJ59" s="136"/>
      <c r="EK59" s="136"/>
      <c r="EL59" s="136"/>
      <c r="EM59" s="136"/>
      <c r="EN59" s="136"/>
      <c r="EO59" s="136"/>
      <c r="EP59" s="136"/>
      <c r="EQ59" s="136"/>
      <c r="ER59" s="136"/>
      <c r="ES59" s="136"/>
      <c r="ET59" s="136"/>
      <c r="EU59" s="136"/>
      <c r="EV59" s="136"/>
      <c r="EW59" s="136"/>
      <c r="EX59" s="136"/>
      <c r="EY59" s="136"/>
      <c r="EZ59" s="136"/>
      <c r="FA59" s="136"/>
      <c r="FB59" s="136"/>
      <c r="FC59" s="136"/>
      <c r="FD59" s="136"/>
      <c r="FE59" s="136"/>
      <c r="FF59" s="136"/>
      <c r="FG59" s="136"/>
      <c r="FH59" s="136"/>
      <c r="FI59" s="136"/>
      <c r="FJ59" s="136"/>
      <c r="FK59" s="136"/>
      <c r="FL59" s="136"/>
      <c r="FM59" s="136"/>
      <c r="FN59" s="136"/>
      <c r="FO59" s="136"/>
      <c r="FP59" s="136"/>
      <c r="FQ59" s="136"/>
      <c r="FR59" s="412"/>
      <c r="FS59" s="412"/>
      <c r="FT59" s="412"/>
      <c r="FU59" s="412"/>
      <c r="FV59" s="412"/>
      <c r="FW59" s="412"/>
      <c r="FX59" s="412"/>
      <c r="FY59" s="412"/>
      <c r="FZ59" s="412"/>
      <c r="GA59" s="412"/>
      <c r="GB59" s="412"/>
      <c r="GC59" s="412"/>
      <c r="GD59" s="412"/>
      <c r="GE59" s="412"/>
      <c r="GF59" s="412"/>
      <c r="GG59" s="412"/>
      <c r="GH59" s="412"/>
      <c r="GI59" s="412"/>
      <c r="GJ59" s="412"/>
      <c r="GK59" s="412"/>
      <c r="GL59" s="412"/>
      <c r="GM59" s="412"/>
      <c r="GN59" s="412"/>
      <c r="GO59" s="278"/>
      <c r="GP59" s="277"/>
      <c r="GQ59" s="277"/>
      <c r="GR59" s="277"/>
      <c r="GS59" s="277"/>
      <c r="GT59" s="277"/>
      <c r="GU59" s="277"/>
      <c r="GV59" s="277"/>
      <c r="GW59" s="277"/>
      <c r="GX59" s="412"/>
      <c r="GY59" s="412"/>
      <c r="GZ59" s="412"/>
      <c r="HA59" s="412"/>
      <c r="HB59" s="412"/>
      <c r="HC59" s="412"/>
      <c r="HD59" s="412"/>
      <c r="HE59" s="412"/>
      <c r="HF59" s="412"/>
      <c r="HG59" s="412"/>
      <c r="HH59" s="412"/>
      <c r="HI59" s="412"/>
      <c r="HJ59" s="412"/>
      <c r="HK59" s="412"/>
      <c r="HL59" s="412"/>
      <c r="HM59" s="412"/>
      <c r="HN59" s="412"/>
      <c r="HO59" s="412"/>
      <c r="HP59" s="412"/>
      <c r="HQ59" s="412"/>
      <c r="HR59" s="412"/>
      <c r="HS59" s="412"/>
      <c r="HT59" s="412"/>
      <c r="HU59" s="412"/>
      <c r="HV59" s="412"/>
      <c r="HW59" s="413"/>
      <c r="HX59" s="412"/>
      <c r="HY59" s="389"/>
      <c r="HZ59" s="389"/>
      <c r="IA59" s="389"/>
      <c r="IB59" s="389"/>
      <c r="IC59" s="389"/>
      <c r="ID59" s="389"/>
      <c r="IE59" s="389"/>
      <c r="IF59" s="389"/>
      <c r="IG59" s="389"/>
      <c r="IH59" s="389"/>
      <c r="II59" s="389"/>
      <c r="IJ59" s="389"/>
      <c r="IK59" s="389"/>
      <c r="IL59" s="389"/>
      <c r="IM59" s="389"/>
      <c r="IN59" s="389"/>
      <c r="IO59" s="389"/>
      <c r="IP59" s="389"/>
      <c r="IQ59" s="389"/>
      <c r="IR59" s="389"/>
      <c r="IS59" s="389"/>
      <c r="IT59" s="389"/>
      <c r="IU59" s="389"/>
      <c r="IV59" s="389"/>
      <c r="IW59" s="389"/>
      <c r="IX59" s="389"/>
      <c r="IY59" s="389"/>
      <c r="IZ59" s="389"/>
      <c r="JA59" s="389"/>
      <c r="JB59" s="389"/>
      <c r="JC59" s="389"/>
      <c r="JD59" s="389"/>
      <c r="JE59" s="389"/>
      <c r="JF59" s="389"/>
      <c r="JG59" s="389"/>
      <c r="JH59" s="389"/>
      <c r="JI59" s="389"/>
      <c r="JJ59" s="389"/>
      <c r="JK59" s="389"/>
      <c r="JL59" s="389"/>
      <c r="JM59" s="389"/>
      <c r="JN59" s="389"/>
      <c r="JO59" s="389"/>
      <c r="JP59" s="389"/>
      <c r="JQ59" s="389"/>
      <c r="JR59" s="389"/>
      <c r="JS59" s="389"/>
      <c r="JT59" s="389"/>
      <c r="JU59" s="389"/>
      <c r="JV59" s="389"/>
      <c r="JW59" s="389"/>
      <c r="JX59" s="389"/>
      <c r="JY59" s="389"/>
      <c r="JZ59" s="389"/>
      <c r="KA59" s="389"/>
      <c r="KB59" s="389"/>
      <c r="KC59" s="389"/>
      <c r="KD59" s="389"/>
      <c r="KE59" s="389"/>
      <c r="KF59" s="389"/>
      <c r="KG59" s="389"/>
      <c r="KH59" s="389"/>
      <c r="KI59" s="389"/>
      <c r="KJ59" s="389"/>
      <c r="KK59" s="389"/>
      <c r="KL59" s="389"/>
      <c r="KM59" s="389"/>
      <c r="KN59" s="389"/>
      <c r="KO59" s="389"/>
      <c r="KP59" s="389"/>
    </row>
    <row r="60" spans="1:302" ht="15" hidden="1" customHeight="1" outlineLevel="1">
      <c r="A60" s="14"/>
      <c r="B60" s="14"/>
      <c r="D60" s="23"/>
      <c r="E60" s="672"/>
      <c r="F60" s="15"/>
      <c r="G60" s="15"/>
      <c r="H60" s="15"/>
      <c r="I60" s="15"/>
      <c r="J60" s="15"/>
      <c r="K60" s="18"/>
      <c r="L60" s="839"/>
      <c r="M60" s="720"/>
      <c r="N60" s="223"/>
      <c r="O60" s="223"/>
      <c r="P60" s="738"/>
      <c r="Q60" s="280"/>
      <c r="R60" s="280"/>
      <c r="S60" s="15"/>
      <c r="T60" s="383"/>
      <c r="U60" s="15"/>
      <c r="V60" s="15"/>
      <c r="W60" s="15"/>
      <c r="X60" s="442"/>
      <c r="Y60" s="14"/>
      <c r="Z60" s="14"/>
      <c r="AB60" s="23"/>
      <c r="AC60" s="23"/>
      <c r="AE60" s="23"/>
      <c r="AG60" s="44"/>
      <c r="AH60" s="608"/>
      <c r="AI60" s="410"/>
      <c r="AJ60" s="608"/>
      <c r="AK60" s="737"/>
      <c r="AN60" s="23"/>
      <c r="AQ60" s="23"/>
      <c r="AR60" s="18"/>
      <c r="AS60" s="18"/>
      <c r="AU60" s="18"/>
      <c r="AV60" s="18"/>
      <c r="AW60" s="18"/>
      <c r="AX60" s="18"/>
      <c r="AY60" s="18"/>
      <c r="AZ60" s="18"/>
      <c r="BB60" s="18"/>
      <c r="BC60" s="18"/>
      <c r="BD60" s="18"/>
      <c r="BE60" s="18"/>
      <c r="BF60" s="18"/>
      <c r="BH60" s="18"/>
      <c r="BI60" s="18"/>
      <c r="BJ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393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32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606"/>
      <c r="HX60" s="32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</row>
    <row r="61" spans="1:302" s="1" customFormat="1" ht="5.0999999999999996" customHeight="1" collapsed="1" thickBot="1">
      <c r="A61" s="575"/>
      <c r="B61" s="933"/>
      <c r="C61" s="933"/>
      <c r="D61" s="436"/>
      <c r="E61" s="932"/>
      <c r="F61" s="435"/>
      <c r="G61" s="433"/>
      <c r="H61" s="383"/>
      <c r="I61" s="434"/>
      <c r="J61" s="434"/>
      <c r="K61" s="433"/>
      <c r="L61" s="720"/>
      <c r="M61" s="720"/>
      <c r="N61" s="223"/>
      <c r="O61" s="223"/>
      <c r="P61" s="318"/>
      <c r="Q61" s="280"/>
      <c r="R61" s="432"/>
      <c r="S61" s="15"/>
      <c r="T61" s="15"/>
      <c r="U61" s="15"/>
      <c r="V61" s="15"/>
      <c r="W61" s="15"/>
      <c r="X61" s="442"/>
      <c r="Y61" s="430"/>
      <c r="Z61" s="430"/>
      <c r="AA61" s="430"/>
      <c r="AB61" s="9"/>
      <c r="AC61" s="36"/>
      <c r="AD61" s="219"/>
      <c r="AE61" s="219"/>
      <c r="AF61" s="934"/>
      <c r="AG61" s="934"/>
      <c r="AH61" s="54"/>
      <c r="AI61" s="54"/>
      <c r="AJ61" s="441"/>
      <c r="AK61" s="428"/>
      <c r="AL61" s="427"/>
      <c r="AM61" s="524"/>
      <c r="AN61" s="422"/>
      <c r="AO61" s="425"/>
      <c r="AP61" s="424"/>
      <c r="AQ61" s="424"/>
      <c r="AR61" s="555"/>
      <c r="AS61" s="421"/>
      <c r="AT61" s="419"/>
      <c r="AU61" s="420"/>
      <c r="AV61" s="223"/>
      <c r="AW61" s="420"/>
      <c r="AX61" s="417"/>
      <c r="AY61" s="420"/>
      <c r="AZ61" s="223"/>
      <c r="BA61" s="419"/>
      <c r="BB61" s="223"/>
      <c r="BC61" s="223"/>
      <c r="BD61" s="223"/>
      <c r="BE61" s="223"/>
      <c r="BF61" s="416"/>
      <c r="BG61" s="418"/>
      <c r="BH61" s="416"/>
      <c r="BI61" s="416"/>
      <c r="BJ61" s="416"/>
      <c r="BK61" s="418"/>
      <c r="BL61" s="417"/>
      <c r="BM61" s="416"/>
      <c r="BN61" s="416"/>
      <c r="BO61" s="416"/>
      <c r="BP61" s="416"/>
      <c r="BQ61" s="416"/>
      <c r="BR61" s="416"/>
      <c r="BS61" s="416"/>
      <c r="BT61" s="389"/>
      <c r="BU61" s="389"/>
      <c r="BV61" s="389"/>
      <c r="BW61" s="389"/>
      <c r="BX61" s="415"/>
      <c r="BY61" s="389"/>
      <c r="BZ61" s="389"/>
      <c r="CA61" s="389"/>
      <c r="CB61" s="389"/>
      <c r="CC61" s="389"/>
      <c r="CD61" s="389"/>
      <c r="CE61" s="389"/>
      <c r="CF61" s="389"/>
      <c r="CG61" s="389"/>
      <c r="CH61" s="389"/>
      <c r="CI61" s="389"/>
      <c r="CJ61" s="389"/>
      <c r="CK61" s="389"/>
      <c r="CL61" s="389"/>
      <c r="CM61" s="389"/>
      <c r="CN61" s="389"/>
      <c r="CO61" s="389"/>
      <c r="CP61" s="389"/>
      <c r="CQ61" s="389"/>
      <c r="CR61" s="389"/>
      <c r="CS61" s="415"/>
      <c r="CT61" s="389"/>
      <c r="CU61" s="389"/>
      <c r="CV61" s="389"/>
      <c r="CW61" s="389"/>
      <c r="CX61" s="389"/>
      <c r="CY61" s="389"/>
      <c r="CZ61" s="389"/>
      <c r="DA61" s="389"/>
      <c r="DB61" s="389"/>
      <c r="DC61" s="389"/>
      <c r="DD61" s="389"/>
      <c r="DE61" s="389"/>
      <c r="DF61" s="389"/>
      <c r="DG61" s="389"/>
      <c r="DH61" s="389"/>
      <c r="DI61" s="389"/>
      <c r="DJ61" s="389"/>
      <c r="DK61" s="389"/>
      <c r="DL61" s="389"/>
      <c r="DM61" s="389"/>
      <c r="DN61" s="389"/>
      <c r="DO61" s="414"/>
      <c r="DP61" s="39"/>
      <c r="DQ61" s="39"/>
      <c r="DR61" s="39"/>
      <c r="DS61" s="136"/>
      <c r="DT61" s="136"/>
      <c r="DU61" s="136"/>
      <c r="DV61" s="136"/>
      <c r="DW61" s="136"/>
      <c r="DX61" s="136"/>
      <c r="DY61" s="136"/>
      <c r="DZ61" s="136"/>
      <c r="EA61" s="136"/>
      <c r="EB61" s="136"/>
      <c r="EC61" s="136"/>
      <c r="ED61" s="136"/>
      <c r="EE61" s="136"/>
      <c r="EF61" s="136"/>
      <c r="EG61" s="136"/>
      <c r="EH61" s="136"/>
      <c r="EI61" s="136"/>
      <c r="EJ61" s="136"/>
      <c r="EK61" s="136"/>
      <c r="EL61" s="136"/>
      <c r="EM61" s="136"/>
      <c r="EN61" s="136"/>
      <c r="EO61" s="136"/>
      <c r="EP61" s="136"/>
      <c r="EQ61" s="136"/>
      <c r="ER61" s="136"/>
      <c r="ES61" s="136"/>
      <c r="ET61" s="136"/>
      <c r="EU61" s="136"/>
      <c r="EV61" s="136"/>
      <c r="EW61" s="136"/>
      <c r="EX61" s="136"/>
      <c r="EY61" s="136"/>
      <c r="EZ61" s="136"/>
      <c r="FA61" s="136"/>
      <c r="FB61" s="136"/>
      <c r="FC61" s="136"/>
      <c r="FD61" s="136"/>
      <c r="FE61" s="136"/>
      <c r="FF61" s="136"/>
      <c r="FG61" s="136"/>
      <c r="FH61" s="136"/>
      <c r="FI61" s="136"/>
      <c r="FJ61" s="136"/>
      <c r="FK61" s="136"/>
      <c r="FL61" s="136"/>
      <c r="FM61" s="136"/>
      <c r="FN61" s="136"/>
      <c r="FO61" s="136"/>
      <c r="FP61" s="136"/>
      <c r="FQ61" s="136"/>
      <c r="FR61" s="412"/>
      <c r="FS61" s="412"/>
      <c r="FT61" s="412"/>
      <c r="FU61" s="412"/>
      <c r="FV61" s="412"/>
      <c r="FW61" s="412"/>
      <c r="FX61" s="412"/>
      <c r="FY61" s="412"/>
      <c r="FZ61" s="412"/>
      <c r="GA61" s="412"/>
      <c r="GB61" s="412"/>
      <c r="GC61" s="412"/>
      <c r="GD61" s="412"/>
      <c r="GE61" s="412"/>
      <c r="GF61" s="412"/>
      <c r="GG61" s="412"/>
      <c r="GH61" s="412"/>
      <c r="GI61" s="412"/>
      <c r="GJ61" s="412"/>
      <c r="GK61" s="412"/>
      <c r="GL61" s="412"/>
      <c r="GM61" s="412"/>
      <c r="GN61" s="412"/>
      <c r="GO61" s="412"/>
      <c r="GP61" s="412"/>
      <c r="GQ61" s="412"/>
      <c r="GR61" s="278"/>
      <c r="GS61" s="277"/>
      <c r="GT61" s="277"/>
      <c r="GU61" s="277"/>
      <c r="GV61" s="277"/>
      <c r="GW61" s="277"/>
      <c r="GX61" s="277"/>
      <c r="GY61" s="277"/>
      <c r="GZ61" s="277"/>
      <c r="HA61" s="277"/>
      <c r="HB61" s="277"/>
      <c r="HC61" s="277"/>
      <c r="HD61" s="277"/>
      <c r="HE61" s="277"/>
      <c r="HF61" s="277"/>
      <c r="HG61" s="554"/>
      <c r="HH61" s="554"/>
      <c r="HI61" s="554"/>
      <c r="HJ61" s="554"/>
      <c r="HK61" s="554"/>
      <c r="HL61" s="554"/>
      <c r="HM61" s="554"/>
      <c r="HN61" s="554"/>
      <c r="HO61" s="554"/>
      <c r="HP61" s="554"/>
      <c r="HQ61" s="554"/>
      <c r="HR61" s="554"/>
      <c r="HS61" s="554"/>
      <c r="HT61" s="554"/>
      <c r="HU61" s="277"/>
      <c r="HV61" s="277"/>
      <c r="HW61" s="277"/>
      <c r="HX61" s="277"/>
      <c r="HY61" s="412"/>
      <c r="HZ61" s="412"/>
      <c r="IA61" s="412"/>
      <c r="IB61" s="412"/>
      <c r="IC61" s="412"/>
      <c r="ID61" s="412"/>
      <c r="IE61" s="412"/>
      <c r="IF61" s="412"/>
      <c r="IG61" s="412"/>
      <c r="IH61" s="412"/>
      <c r="II61" s="412"/>
      <c r="IJ61" s="412"/>
      <c r="IK61" s="413"/>
      <c r="IL61" s="412"/>
      <c r="IM61" s="389"/>
      <c r="IN61" s="389"/>
      <c r="IO61" s="389"/>
      <c r="IP61" s="389"/>
      <c r="IQ61" s="389"/>
      <c r="IR61" s="389"/>
      <c r="IS61" s="389"/>
      <c r="IT61" s="389"/>
      <c r="IU61" s="389"/>
      <c r="IV61" s="389"/>
      <c r="IW61" s="389"/>
      <c r="IX61" s="389"/>
      <c r="IY61" s="389"/>
      <c r="IZ61" s="389"/>
      <c r="JA61" s="389"/>
      <c r="JB61" s="389"/>
      <c r="JC61" s="389"/>
      <c r="JD61" s="389"/>
      <c r="JE61" s="389"/>
      <c r="JF61" s="389"/>
      <c r="JG61" s="389"/>
      <c r="JH61" s="389"/>
      <c r="JI61" s="389"/>
      <c r="JJ61" s="389"/>
      <c r="JK61" s="14"/>
      <c r="JL61" s="14"/>
      <c r="JM61" s="14"/>
      <c r="JN61" s="14"/>
      <c r="JO61" s="14"/>
      <c r="JP61" s="14"/>
      <c r="JQ61" s="14"/>
      <c r="JR61" s="14"/>
      <c r="JS61" s="14"/>
      <c r="JT61" s="553"/>
      <c r="JU61" s="14"/>
      <c r="JV61" s="14"/>
      <c r="JW61" s="14"/>
      <c r="JX61" s="14"/>
      <c r="JY61" s="14"/>
      <c r="JZ61" s="14"/>
      <c r="KA61" s="14"/>
      <c r="KB61" s="14"/>
      <c r="KC61" s="14"/>
      <c r="KD61" s="14"/>
      <c r="KE61" s="14"/>
      <c r="KF61" s="14"/>
      <c r="KG61" s="14"/>
      <c r="KH61" s="14"/>
      <c r="KI61" s="14"/>
      <c r="KJ61" s="14"/>
      <c r="KK61" s="14"/>
      <c r="KL61" s="14"/>
      <c r="KM61" s="14"/>
      <c r="KN61" s="14"/>
      <c r="KO61" s="14"/>
      <c r="KP61" s="14"/>
    </row>
    <row r="62" spans="1:302" ht="11.1" customHeight="1">
      <c r="A62" s="497" t="s">
        <v>202</v>
      </c>
      <c r="B62" s="590" t="s">
        <v>194</v>
      </c>
      <c r="C62" s="495">
        <v>47031</v>
      </c>
      <c r="D62" s="201">
        <v>45196</v>
      </c>
      <c r="E62" s="819">
        <v>100</v>
      </c>
      <c r="F62" s="490">
        <v>6.5000000000000002E-2</v>
      </c>
      <c r="G62" s="383">
        <v>1000</v>
      </c>
      <c r="H62" s="492">
        <f>G62</f>
        <v>1000</v>
      </c>
      <c r="I62" s="385">
        <f>G62*F62/100*F67</f>
        <v>48.1</v>
      </c>
      <c r="J62" s="492">
        <f>I62</f>
        <v>48.1</v>
      </c>
      <c r="K62" s="574" t="s">
        <v>201</v>
      </c>
      <c r="L62" s="833">
        <f>MONTH(C62)</f>
        <v>10</v>
      </c>
      <c r="M62" s="842">
        <f>IFERROR(IF(N62&gt;12,N62-12,N62),"")</f>
        <v>4</v>
      </c>
      <c r="N62" s="594">
        <f>IF(K64=1,"",MONTH(C62)+6)</f>
        <v>16</v>
      </c>
      <c r="O62" s="832">
        <f>IF(K64=1,I62,I62/2)</f>
        <v>24.05</v>
      </c>
      <c r="P62" s="215">
        <f>VLOOKUP(B63,[2]Prezzi!$A$2:$R$125,18,FALSE)</f>
        <v>106.45999908447266</v>
      </c>
      <c r="Q62" s="280"/>
      <c r="R62" s="526"/>
      <c r="S62" s="493">
        <f ca="1">MAX(0,IF(B67=5,I62/AM64*X62,(((((F62)*AF$2)/365)*G62*F67/100)+((((F62)*X67)/365)*G62*F67/100))))</f>
        <v>5.139452054794333</v>
      </c>
      <c r="T62" s="492">
        <f ca="1">S62</f>
        <v>5.139452054794333</v>
      </c>
      <c r="U62" s="469"/>
      <c r="V62" s="4"/>
      <c r="W62" s="469"/>
      <c r="X62" s="491">
        <f ca="1">IF(B67=4,COUPDAYBS($AB$2,C62,K64,AH66),IF($AB$2-AL62&lt;365,IF(K64&gt;1,FLOOR(365/K64-(E64-AB$2),1),IF(B67=2,0,IF(AL62&gt;$AB$2,0,IF(AND(E64-AL62&lt;365,$AB$2&lt;E64),$AB$2-AL62,COUPDAYBS($AB$2,C62,K64,AH66))))),COUPDAYBS($AB$2,C62,K64,AH66)))</f>
        <v>39</v>
      </c>
      <c r="Y62" s="456">
        <f ca="1">G62*AF62</f>
        <v>3444.8813292145946</v>
      </c>
      <c r="Z62" s="456">
        <f ca="1">IF(G62=0,"0",G62*AG62)</f>
        <v>34.516009855615657</v>
      </c>
      <c r="AA62" s="22"/>
      <c r="AB62" s="979">
        <f ca="1">IF(B67=5,(((I62/AM65)*X62)+(G62)),(G62*P62*A67/100)+(S62*A67))</f>
        <v>1069.7394428995208</v>
      </c>
      <c r="AC62" s="383">
        <f ca="1">AB62</f>
        <v>1069.7394428995208</v>
      </c>
      <c r="AD62" s="156">
        <f>IF(E63="",((P62-E62)/100)*G62,((((P62-E62)/100)*A63)/F63)+((A63/F63)-(A63/E63)))</f>
        <v>64.599990844726563</v>
      </c>
      <c r="AE62" s="383">
        <f>AD62</f>
        <v>64.599990844726563</v>
      </c>
      <c r="AF62" s="446">
        <f ca="1">IF(B67=1,MDURATION($AB$2,C62,F62,AG62,K64,AH66),IF(B67=2,YEARFRAC(C62,$AB$2,AH66)))</f>
        <v>3.4448813292145948</v>
      </c>
      <c r="AG62" s="824">
        <f ca="1">YIELD(AB$2,C62,F62,P62,AL64,K64,AH66)*F67/100</f>
        <v>3.4516009855615655E-2</v>
      </c>
      <c r="AH62" s="489">
        <f ca="1">(((F62)*X62)/365)*F67</f>
        <v>0.51394520547945211</v>
      </c>
      <c r="AI62" s="573"/>
      <c r="AJ62" s="572"/>
      <c r="AK62" s="571"/>
      <c r="AL62" s="570">
        <v>45204</v>
      </c>
      <c r="AM62" s="545" t="s">
        <v>486</v>
      </c>
      <c r="AN62" s="179">
        <f>IF(B67=4,MIN(G62*E62*A65*AV$3/100,AV$4),IF(AF64=1,MIN(G62*E62*AV$3/100,AV$4),MIN((A63*E62/E63*AV$3/100),AV$4)+(((A63/E63*E62/100)+(A63/E63*E62*AV$3/100)+AN63+AO62)*AZ$3)))</f>
        <v>1</v>
      </c>
      <c r="AO62" s="484">
        <f>IF(B67=4,AP65*A64/100,IF(AF64=1,G62*AP65/100,A63/E63/100*AP65))</f>
        <v>0</v>
      </c>
      <c r="AP62" s="188">
        <f>IF(B67=2,AN67+AN62+AN63+AP63,AN67+AN62+AN63+AO62+AO63+AP63)</f>
        <v>1004.5</v>
      </c>
      <c r="AQ62" s="326">
        <f>AP62</f>
        <v>1004.5</v>
      </c>
      <c r="AR62" s="569">
        <f>AR64+AR66+AR63</f>
        <v>1048.0999999999999</v>
      </c>
      <c r="AS62" s="825">
        <f ca="1">AG62</f>
        <v>3.4516009855615655E-2</v>
      </c>
      <c r="AT62" s="419">
        <f>IF(B67=1,G62,"")</f>
        <v>1000</v>
      </c>
      <c r="AU62" s="420" t="str">
        <f>IF(B67=2,G62,"")</f>
        <v/>
      </c>
      <c r="AV62" s="223" t="str">
        <f>IF(B67=3,G62,"")</f>
        <v/>
      </c>
      <c r="AW62" s="420" t="str">
        <f>IF(B67=4,G62,"")</f>
        <v/>
      </c>
      <c r="AX62" s="417" t="str">
        <f>IF(B67=5,G62,"")</f>
        <v/>
      </c>
      <c r="AY62" s="420" t="str">
        <f>IF(B67=6,G62,"")</f>
        <v/>
      </c>
      <c r="AZ62" s="223" t="str">
        <f>IF(B67=7,G62,"")</f>
        <v/>
      </c>
      <c r="BA62" s="419" t="str">
        <f>IF(B64=1,G62,"")</f>
        <v/>
      </c>
      <c r="BB62" s="223" t="str">
        <f>IF(B64=2,G62,"")</f>
        <v/>
      </c>
      <c r="BC62" s="223" t="str">
        <f>IF(B64=3,G62,"")</f>
        <v/>
      </c>
      <c r="BD62" s="223" t="str">
        <f>IF(B64=4,G62,"")</f>
        <v/>
      </c>
      <c r="BE62" s="223" t="str">
        <f>IF(B64=5,G62,"")</f>
        <v/>
      </c>
      <c r="BF62" s="417">
        <f>IF(B64=6,G62,"")</f>
        <v>1000</v>
      </c>
      <c r="BG62" s="419">
        <f>IF(AK67=1,G62,"")</f>
        <v>1000</v>
      </c>
      <c r="BH62" s="223" t="str">
        <f>IF(AK67=2,G62,"")</f>
        <v/>
      </c>
      <c r="BI62" s="223" t="str">
        <f>IF(AK67=3,G62,"")</f>
        <v/>
      </c>
      <c r="BJ62" s="223" t="str">
        <f>IF(AK67=4,G62,"")</f>
        <v/>
      </c>
      <c r="BK62" s="419" t="str">
        <f>IF(AJ66=1,G62,"")</f>
        <v/>
      </c>
      <c r="BL62" s="482" t="str">
        <f>IF(BK62&lt;&gt;"",AB62,"")</f>
        <v/>
      </c>
      <c r="BM62" s="223" t="str">
        <f>IF(AJ66=2,G62,"")</f>
        <v/>
      </c>
      <c r="BN62" s="223" t="str">
        <f>IF(BM62&lt;&gt;"",AB62,"")</f>
        <v/>
      </c>
      <c r="BO62" s="223" t="str">
        <f>IF(AJ66=3,G62,"")</f>
        <v/>
      </c>
      <c r="BP62" s="223" t="str">
        <f>IF(AJ66=4,G62,"")</f>
        <v/>
      </c>
      <c r="BQ62" s="223" t="str">
        <f>IF(AJ66=5,G62,"")</f>
        <v/>
      </c>
      <c r="BR62" s="223">
        <f>IF(AJ66=6,G62,"")</f>
        <v>1000</v>
      </c>
      <c r="BS62" s="223" t="str">
        <f>IF(AJ66=7,G62,"")</f>
        <v/>
      </c>
      <c r="BT62" s="223" t="str">
        <f>IF(AJ66=8,G62,"")</f>
        <v/>
      </c>
      <c r="BU62" s="223" t="str">
        <f>IF(AJ66=9,G62,"")</f>
        <v/>
      </c>
      <c r="BV62" s="223" t="str">
        <f>IF(AJ66=10,G62,"")</f>
        <v/>
      </c>
      <c r="BW62" s="223" t="str">
        <f>IF(AJ66=11,G62,"")</f>
        <v/>
      </c>
      <c r="BX62" s="419">
        <f>IF(AF64=1,G62,"")</f>
        <v>1000</v>
      </c>
      <c r="BY62" s="223" t="str">
        <f>IF(AF64=2,G62,"")</f>
        <v/>
      </c>
      <c r="BZ62" s="223" t="str">
        <f>IF(AF64=3,G62,"")</f>
        <v/>
      </c>
      <c r="CA62" s="223" t="str">
        <f>IF(AF64=4,G62,"")</f>
        <v/>
      </c>
      <c r="CB62" s="223" t="str">
        <f>IF(AF64=5,G62,"")</f>
        <v/>
      </c>
      <c r="CC62" s="223" t="str">
        <f>IF(AF64=6,G62,"")</f>
        <v/>
      </c>
      <c r="CD62" s="223" t="str">
        <f>IF(AF64=7,G62,"")</f>
        <v/>
      </c>
      <c r="CE62" s="223" t="str">
        <f>IF(AF64=8,G62,"")</f>
        <v/>
      </c>
      <c r="CF62" s="223" t="str">
        <f>IF(AF64=9,G62,"")</f>
        <v/>
      </c>
      <c r="CG62" s="223" t="str">
        <f>IF(AF64=10,G62,"")</f>
        <v/>
      </c>
      <c r="CH62" s="223" t="str">
        <f>IF(AF64=11,G62,"")</f>
        <v/>
      </c>
      <c r="CI62" s="223" t="str">
        <f>IF(AF64=12,G62,"")</f>
        <v/>
      </c>
      <c r="CJ62" s="223" t="str">
        <f>IF(AF64=13,G62,"")</f>
        <v/>
      </c>
      <c r="CK62" s="223" t="str">
        <f>IF(AF64=14,G62,"")</f>
        <v/>
      </c>
      <c r="CL62" s="223" t="str">
        <f>IF(AF64=15,G62,"")</f>
        <v/>
      </c>
      <c r="CM62" s="223" t="str">
        <f>IF(AF64=16,G62,"")</f>
        <v/>
      </c>
      <c r="CN62" s="223" t="str">
        <f>IF(AF64=17,G62,"")</f>
        <v/>
      </c>
      <c r="CO62" s="223" t="str">
        <f>IF(AF64=18,G62,"")</f>
        <v/>
      </c>
      <c r="CP62" s="223" t="str">
        <f>IF(AF64=19,G62,"")</f>
        <v/>
      </c>
      <c r="CQ62" s="223" t="str">
        <f>IF(AF64=20,G62,"")</f>
        <v/>
      </c>
      <c r="CR62" s="223" t="str">
        <f>IF(AF64=21,G62,"")</f>
        <v/>
      </c>
      <c r="CS62" s="419">
        <f>IF(K67=1,G62,"")</f>
        <v>1000</v>
      </c>
      <c r="CT62" s="223" t="str">
        <f>IF(K67=2,G62,"")</f>
        <v/>
      </c>
      <c r="CU62" s="223" t="str">
        <f>IF(K67=3,G62,"")</f>
        <v/>
      </c>
      <c r="CV62" s="223" t="str">
        <f>IF(K67=4,G62,"")</f>
        <v/>
      </c>
      <c r="CW62" s="223" t="str">
        <f>IF(K67=5,G62,"")</f>
        <v/>
      </c>
      <c r="CX62" s="223" t="str">
        <f>IF(K67=6,G62,"")</f>
        <v/>
      </c>
      <c r="CY62" s="223" t="str">
        <f>IF(K67=7,G62,"")</f>
        <v/>
      </c>
      <c r="CZ62" s="223" t="str">
        <f>IF(K67=8,G62,"")</f>
        <v/>
      </c>
      <c r="DA62" s="223" t="str">
        <f>IF(K67=9,G62,"")</f>
        <v/>
      </c>
      <c r="DB62" s="223" t="str">
        <f>IF(K67=10,G62,"")</f>
        <v/>
      </c>
      <c r="DC62" s="223" t="str">
        <f>IF(K67=11,G62,"")</f>
        <v/>
      </c>
      <c r="DD62" s="223" t="str">
        <f>IF(K67=12,G62,"")</f>
        <v/>
      </c>
      <c r="DE62" s="223" t="str">
        <f>IF(K67=13,G62,"")</f>
        <v/>
      </c>
      <c r="DF62" s="223" t="str">
        <f>IF(K67=14,G62,"")</f>
        <v/>
      </c>
      <c r="DG62" s="223" t="str">
        <f>IF(K67=15,G62,"")</f>
        <v/>
      </c>
      <c r="DH62" s="223" t="str">
        <f>IF(K67=16,G62,"")</f>
        <v/>
      </c>
      <c r="DI62" s="223" t="str">
        <f>IF(K67=17,G62,"")</f>
        <v/>
      </c>
      <c r="DJ62" s="223" t="str">
        <f>IF(K67=18,G62,"")</f>
        <v/>
      </c>
      <c r="DK62" s="223" t="str">
        <f>IF(K67=19,G62,"")</f>
        <v/>
      </c>
      <c r="DL62" s="223" t="str">
        <f>IF(K67=20,G62,"")</f>
        <v/>
      </c>
      <c r="DM62" s="223"/>
      <c r="DN62" s="223"/>
      <c r="DO62" s="419" t="str">
        <f>IF(AG64=1,G62,"")</f>
        <v/>
      </c>
      <c r="DP62" s="223" t="str">
        <f>IF(AG64=2,G62,"")</f>
        <v/>
      </c>
      <c r="DQ62" s="223" t="str">
        <f>IF(AG64=3,G62,"")</f>
        <v/>
      </c>
      <c r="DR62" s="223" t="str">
        <f>IF(AG64=4,G62,"")</f>
        <v/>
      </c>
      <c r="DS62" s="223" t="str">
        <f>IF(AG64=5,G62,"")</f>
        <v/>
      </c>
      <c r="DT62" s="223" t="str">
        <f>IF(AG64=6,G62,"")</f>
        <v/>
      </c>
      <c r="DU62" s="223" t="str">
        <f>IF(AG64=7,G62,"")</f>
        <v/>
      </c>
      <c r="DV62" s="223" t="str">
        <f>IF(AG64=8,G62,"")</f>
        <v/>
      </c>
      <c r="DW62" s="136" t="str">
        <f>IF(AG64=9,G62,"")</f>
        <v/>
      </c>
      <c r="DX62" s="136" t="str">
        <f>IF(AG64=10,G62,"")</f>
        <v/>
      </c>
      <c r="DY62" s="136" t="str">
        <f>IF(AG64=11,G62,"")</f>
        <v/>
      </c>
      <c r="DZ62" s="136" t="str">
        <f>IF(AG64=12,G62,"")</f>
        <v/>
      </c>
      <c r="EA62" s="136" t="str">
        <f>IF(AG64=13,G62,"")</f>
        <v/>
      </c>
      <c r="EB62" s="136" t="str">
        <f>IF(AG64=14,G62,"")</f>
        <v/>
      </c>
      <c r="EC62" s="317" t="str">
        <f>IF(AG64=15,G62,"")</f>
        <v/>
      </c>
      <c r="ED62" s="136" t="str">
        <f>IF(AG64=16,G62,"")</f>
        <v/>
      </c>
      <c r="EE62" s="136" t="str">
        <f>IF(AG64=17,G62,"")</f>
        <v/>
      </c>
      <c r="EF62" s="136" t="str">
        <f>IF(AG64=18,G62,"")</f>
        <v/>
      </c>
      <c r="EG62" s="136" t="str">
        <f>IF(AG64=19,G62,"")</f>
        <v/>
      </c>
      <c r="EH62" s="136" t="str">
        <f>IF(AG64=20,G62,"")</f>
        <v/>
      </c>
      <c r="EI62" s="136" t="str">
        <f>IF(AG64=21,G62,"")</f>
        <v/>
      </c>
      <c r="EJ62" s="136" t="str">
        <f>IF(AG64=22,G62,"")</f>
        <v/>
      </c>
      <c r="EK62" s="136" t="str">
        <f>IF(AG64=23,G62,"")</f>
        <v/>
      </c>
      <c r="EL62" s="136" t="str">
        <f>IF(AG64=24,G62,"")</f>
        <v/>
      </c>
      <c r="EM62" s="136" t="str">
        <f>IF(AG64=25,G62,"")</f>
        <v/>
      </c>
      <c r="EN62" s="136" t="str">
        <f>IF(AG64=26,G62,"")</f>
        <v/>
      </c>
      <c r="EO62" s="136" t="str">
        <f>IF(AG64=27,G62,"")</f>
        <v/>
      </c>
      <c r="EP62" s="136" t="str">
        <f>IF(AG64=28,G62,"")</f>
        <v/>
      </c>
      <c r="EQ62" s="136" t="str">
        <f>IF(AG64=29,G62,"")</f>
        <v/>
      </c>
      <c r="ER62" s="136" t="str">
        <f>IF(AG64=30,G62,"")</f>
        <v/>
      </c>
      <c r="ES62" s="136" t="str">
        <f>IF(AG64=31,G62,"")</f>
        <v/>
      </c>
      <c r="ET62" s="136" t="str">
        <f>IF(AG64=32,G62,"")</f>
        <v/>
      </c>
      <c r="EU62" s="136" t="str">
        <f>IF(AG64=33,G62,"")</f>
        <v/>
      </c>
      <c r="EV62" s="136" t="str">
        <f>IF(AG64=34,G62,"")</f>
        <v/>
      </c>
      <c r="EW62" s="136" t="str">
        <f>IF(AG64=35,G62,"")</f>
        <v/>
      </c>
      <c r="EX62" s="136" t="str">
        <f>IF(AG64=36,G62,"")</f>
        <v/>
      </c>
      <c r="EY62" s="136" t="str">
        <f>IF(AG64=37,G62,"")</f>
        <v/>
      </c>
      <c r="EZ62" s="136" t="str">
        <f>IF(AG64=38,G62,"")</f>
        <v/>
      </c>
      <c r="FA62" s="136" t="str">
        <f>IF(AG64=39,G62,"")</f>
        <v/>
      </c>
      <c r="FB62" s="136" t="str">
        <f>IF(AG64=40,G62,"")</f>
        <v/>
      </c>
      <c r="FC62" s="136" t="str">
        <f>IF(AG64=41,G62,"")</f>
        <v/>
      </c>
      <c r="FD62" s="136" t="str">
        <f>IF(AG64=42,G62,"")</f>
        <v/>
      </c>
      <c r="FE62" s="136">
        <f>IF(AG64=43,G62,"")</f>
        <v>1000</v>
      </c>
      <c r="FF62" s="136" t="str">
        <f>IF(AG64=44,G62,"")</f>
        <v/>
      </c>
      <c r="FG62" s="136" t="str">
        <f>IF(AG64=45,G62,"")</f>
        <v/>
      </c>
      <c r="FH62" s="136" t="str">
        <f>IF(AG64=46,G62,"")</f>
        <v/>
      </c>
      <c r="FI62" s="136" t="str">
        <f>IF(AG64=47,G62,"")</f>
        <v/>
      </c>
      <c r="FJ62" s="136" t="str">
        <f>IF(AG64=48,G62,"")</f>
        <v/>
      </c>
      <c r="FK62" s="136" t="str">
        <f>IF(AG64=49,G62,"")</f>
        <v/>
      </c>
      <c r="FL62" s="136" t="str">
        <f>IF(AG64=50,G62,"")</f>
        <v/>
      </c>
      <c r="FM62" s="136" t="str">
        <f>IF(AG64=51,G62,"")</f>
        <v/>
      </c>
      <c r="FN62" s="136" t="str">
        <f>IF(AG64=52,G62,"")</f>
        <v/>
      </c>
      <c r="FO62" s="136" t="str">
        <f>IF(AG64=53,G62,"")</f>
        <v/>
      </c>
      <c r="FP62" s="136" t="str">
        <f>IF(AG64=54,G62,"")</f>
        <v/>
      </c>
      <c r="FQ62" s="136" t="str">
        <f>IF(AG64=55,G62,"")</f>
        <v/>
      </c>
      <c r="FR62" s="412" t="str">
        <f>IF(AG64=56,G62,"")</f>
        <v/>
      </c>
      <c r="FS62" s="412" t="str">
        <f>IF(AG64=57,G62,"")</f>
        <v/>
      </c>
      <c r="FT62" s="412" t="str">
        <f>IF(AG64=58,G62,"")</f>
        <v/>
      </c>
      <c r="FU62" s="412" t="str">
        <f>IF(AG64=59,G62,"")</f>
        <v/>
      </c>
      <c r="FV62" s="412" t="str">
        <f>IF(AG64=60,G62,"")</f>
        <v/>
      </c>
      <c r="FW62" s="412" t="str">
        <f>IF(AG64=61,G62,"")</f>
        <v/>
      </c>
      <c r="FX62" s="412" t="str">
        <f>IF(AG64=62,G62,"")</f>
        <v/>
      </c>
      <c r="FY62" s="412" t="str">
        <f>IF(AG64=63,G62,"")</f>
        <v/>
      </c>
      <c r="FZ62" s="412" t="str">
        <f>IF(AG64=64,G62,"")</f>
        <v/>
      </c>
      <c r="GA62" s="412" t="str">
        <f>IF(AG64=65,G62,"")</f>
        <v/>
      </c>
      <c r="GB62" s="412" t="str">
        <f>IF(AG64=66,G62,"")</f>
        <v/>
      </c>
      <c r="GC62" s="412" t="str">
        <f>IF(AG64=67,G62,"")</f>
        <v/>
      </c>
      <c r="GD62" s="412" t="str">
        <f>IF(AG64=68,G62,"")</f>
        <v/>
      </c>
      <c r="GE62" s="412" t="str">
        <f>IF(AG64=69,G62,"")</f>
        <v/>
      </c>
      <c r="GF62" s="412" t="str">
        <f>IF(AG64=70,G62,"")</f>
        <v/>
      </c>
      <c r="GG62" s="412" t="str">
        <f>IF(AG64=71,G62,"")</f>
        <v/>
      </c>
      <c r="GH62" s="412" t="str">
        <f>IF(AG64=72,G62,"")</f>
        <v/>
      </c>
      <c r="GI62" s="412" t="str">
        <f>IF(AG64=73,G62,"")</f>
        <v/>
      </c>
      <c r="GJ62" s="412" t="str">
        <f>IF(AG64=74,G62,"")</f>
        <v/>
      </c>
      <c r="GK62" s="412" t="str">
        <f>IF(AG64=75,G62,"")</f>
        <v/>
      </c>
      <c r="GL62" s="412" t="str">
        <f>IF(AG64=76,G62,"")</f>
        <v/>
      </c>
      <c r="GM62" s="412" t="str">
        <f>IF(AG64=77,G62,"")</f>
        <v/>
      </c>
      <c r="GN62" s="412" t="str">
        <f>IF(AG64=78,G62,"")</f>
        <v/>
      </c>
      <c r="GO62" s="412" t="str">
        <f>IF(AG64=79,G62,"")</f>
        <v/>
      </c>
      <c r="GP62" s="412" t="str">
        <f>IF(AG64=80,G62,"")</f>
        <v/>
      </c>
      <c r="GQ62" s="412" t="str">
        <f>IF(AG64=81,G62,"")</f>
        <v/>
      </c>
      <c r="GR62" s="412" t="str">
        <f>IF(AG64=82,G62,"")</f>
        <v/>
      </c>
      <c r="GS62" s="412" t="str">
        <f>IF(AG64=83,G62,"")</f>
        <v/>
      </c>
      <c r="GT62" s="412" t="str">
        <f>IF(AG64=84,G62,"")</f>
        <v/>
      </c>
      <c r="GU62" s="412" t="str">
        <f>IF(AG64=85,G62,"")</f>
        <v/>
      </c>
      <c r="GV62" s="412" t="str">
        <f>IF(AG64=86,G62,"")</f>
        <v/>
      </c>
      <c r="GW62" s="412"/>
      <c r="GX62" s="412"/>
      <c r="GY62" s="412"/>
      <c r="GZ62" s="412"/>
      <c r="HA62" s="412"/>
      <c r="HB62" s="412"/>
      <c r="HC62" s="412"/>
      <c r="HD62" s="412"/>
      <c r="HE62" s="412"/>
      <c r="HF62" s="412"/>
      <c r="HG62" s="136"/>
      <c r="HH62" s="136"/>
      <c r="HI62" s="136"/>
      <c r="HJ62" s="136"/>
      <c r="HK62" s="136"/>
      <c r="HL62" s="136"/>
      <c r="HM62" s="136"/>
      <c r="HN62" s="136"/>
      <c r="HO62" s="136"/>
      <c r="HP62" s="136"/>
      <c r="HQ62" s="136"/>
      <c r="HR62" s="136"/>
      <c r="HS62" s="136"/>
      <c r="HT62" s="136"/>
      <c r="HU62" s="278">
        <f ca="1">IF(AF64=1,AB62,"")</f>
        <v>1069.7394428995208</v>
      </c>
      <c r="HV62" s="277" t="str">
        <f>IF(AF64=2,AB62,"")</f>
        <v/>
      </c>
      <c r="HW62" s="277" t="str">
        <f>IF(AF64=3,AB62,"")</f>
        <v/>
      </c>
      <c r="HX62" s="277" t="str">
        <f>IF(AF64=4,AB62,"")</f>
        <v/>
      </c>
      <c r="HY62" s="277" t="str">
        <f>IF(AF64=5,AB62,"")</f>
        <v/>
      </c>
      <c r="HZ62" s="277" t="str">
        <f>IF(AF64=6,AB62,"")</f>
        <v/>
      </c>
      <c r="IA62" s="277" t="str">
        <f>IF(AF64=7,AB62,"")</f>
        <v/>
      </c>
      <c r="IB62" s="277" t="str">
        <f>IF(AF64=8,AB62,"")</f>
        <v/>
      </c>
      <c r="IC62" s="277" t="str">
        <f>IF(AF64=9,AB62,"")</f>
        <v/>
      </c>
      <c r="ID62" s="412" t="str">
        <f>IF(AF64=10,AB62,"")</f>
        <v/>
      </c>
      <c r="IE62" s="223" t="str">
        <f>IF(AF64=11,AB62,"")</f>
        <v/>
      </c>
      <c r="IF62" s="223" t="str">
        <f>IF(AF64=12,AB62,"")</f>
        <v/>
      </c>
      <c r="IG62" s="223" t="str">
        <f>IF(AF64=13,AB62,"")</f>
        <v/>
      </c>
      <c r="IH62" s="223" t="str">
        <f>IF(AF64=14,AB62,"")</f>
        <v/>
      </c>
      <c r="II62" s="223" t="str">
        <f>IF(AF64=15,AB62,"")</f>
        <v/>
      </c>
      <c r="IJ62" s="223" t="str">
        <f>IF(AF64=16,AB62,"")</f>
        <v/>
      </c>
      <c r="IK62" s="223" t="str">
        <f>IF(AF64=17,AB62,"")</f>
        <v/>
      </c>
      <c r="IL62" s="223" t="str">
        <f>IF(AF64=18,AB62,"")</f>
        <v/>
      </c>
      <c r="IM62" s="223" t="str">
        <f>IF(AF64=19,AB62,"")</f>
        <v/>
      </c>
      <c r="IN62" s="223" t="str">
        <f>IF(AF64=20,AB62,"")</f>
        <v/>
      </c>
      <c r="IO62" s="223" t="str">
        <f>IF(AF64=21,AB62,"")</f>
        <v/>
      </c>
      <c r="IP62" s="413"/>
      <c r="IQ62" s="478" t="str">
        <f>IF(G67=6,G62,"")</f>
        <v/>
      </c>
      <c r="IR62" s="317" t="str">
        <f>IF(G67=7,G62,"")</f>
        <v/>
      </c>
      <c r="IS62" s="478" t="str">
        <f>IF(G67=8,G62,"")</f>
        <v/>
      </c>
      <c r="IT62" s="317" t="str">
        <f>IF(G67=9,G62,"")</f>
        <v/>
      </c>
      <c r="IU62" s="478" t="str">
        <f>IF(G67=10,G62,"")</f>
        <v/>
      </c>
      <c r="IV62" s="478" t="str">
        <f>IF(G67=11,G62,"")</f>
        <v/>
      </c>
      <c r="IW62" s="478" t="str">
        <f>IF(G67=12,G62,"")</f>
        <v/>
      </c>
      <c r="IX62" s="478" t="str">
        <f>IF(G67=13,G62,"")</f>
        <v/>
      </c>
      <c r="IY62" s="478" t="str">
        <f>IF(G67=14,G62,"")</f>
        <v/>
      </c>
      <c r="IZ62" s="478" t="str">
        <f>IF(G67=15,G62,"")</f>
        <v/>
      </c>
      <c r="JA62" s="478" t="str">
        <f>IF(G67=16,G62,"")</f>
        <v/>
      </c>
      <c r="JB62" s="478">
        <f>IF(G67=17,G62,"")</f>
        <v>1000</v>
      </c>
      <c r="JC62" s="478" t="str">
        <f>IF(G67=18,G62,"")</f>
        <v/>
      </c>
      <c r="JD62" s="478" t="str">
        <f>IF(G67=19,G62,"")</f>
        <v/>
      </c>
      <c r="JE62" s="478" t="str">
        <f>IF(G67=20,G62,"")</f>
        <v/>
      </c>
      <c r="JF62" s="478" t="str">
        <f>IF(G67=21,G62,"")</f>
        <v/>
      </c>
      <c r="JG62" s="478" t="str">
        <f>IF(G67=22,G62,"")</f>
        <v/>
      </c>
      <c r="JH62" s="478" t="str">
        <f>IF(G67=23,G62,"")</f>
        <v/>
      </c>
      <c r="JI62" s="478" t="str">
        <f>IF(G67=24,G62,"")</f>
        <v/>
      </c>
      <c r="JJ62" s="478" t="str">
        <f>IF(G67=25,G62,"")</f>
        <v/>
      </c>
      <c r="JK62" s="478" t="str">
        <f>IF(G67=26,G62,"")</f>
        <v/>
      </c>
      <c r="JL62" s="478" t="str">
        <f>IF(G67=27,G62,"")</f>
        <v/>
      </c>
      <c r="JM62" s="478" t="str">
        <f>IF(G67=28,G62,"")</f>
        <v/>
      </c>
      <c r="JN62" s="478" t="str">
        <f>IF(G67=29,G62,"")</f>
        <v/>
      </c>
      <c r="JO62" s="478" t="str">
        <f>IF(G67=30,G62,"")</f>
        <v/>
      </c>
      <c r="JP62" s="445"/>
      <c r="JQ62" s="481">
        <f>IF(AND(AJ66=4,K67=1,G67&lt;=3),G62,0)</f>
        <v>0</v>
      </c>
      <c r="JR62" s="445"/>
      <c r="JS62" s="445"/>
      <c r="JT62" s="480" t="str">
        <f>IF(AF64&gt;1,((A63/F63)-(A63/E63)),"")</f>
        <v/>
      </c>
      <c r="JU62" s="479" t="str">
        <f>IF(AF64=2,((A63/F63)-(A63/E63)),"")</f>
        <v/>
      </c>
      <c r="JV62" s="479" t="str">
        <f>IF(AF64=3,((A63/F63)-(A63/E63)),"")</f>
        <v/>
      </c>
      <c r="JW62" s="479" t="str">
        <f>IF(AF64=4,((A63/F63)-(A63/E63)),"")</f>
        <v/>
      </c>
      <c r="JX62" s="479" t="str">
        <f>IF(AF64=5,((A63/F63)-(A63/E63)),"")</f>
        <v/>
      </c>
      <c r="JY62" s="479" t="str">
        <f>IF(AF64=6,((A63/F63)-(A63/E63)),"")</f>
        <v/>
      </c>
      <c r="JZ62" s="479" t="str">
        <f>IF(AF64=7,((A63/F63)-(A63/E63)),"")</f>
        <v/>
      </c>
      <c r="KA62" s="478" t="str">
        <f>IF(AF64=8,((A63/F63)-(A63/E63)),"")</f>
        <v/>
      </c>
      <c r="KB62" s="478" t="str">
        <f>IF(AF64=9,((A63/F63)-(A63/E63)),"")</f>
        <v/>
      </c>
      <c r="KC62" s="478" t="str">
        <f>IF(AF64=10,((A63/F63)-(A63/E63)),"")</f>
        <v/>
      </c>
      <c r="KD62" s="478" t="str">
        <f>IF(AF64=11,((A63/F63)-(A63/E63)),"")</f>
        <v/>
      </c>
      <c r="KE62" s="478" t="str">
        <f>IF(AF64=12,((A63/F63)-(A63/E63)),"")</f>
        <v/>
      </c>
      <c r="KF62" s="478" t="str">
        <f>IF(AF64=13,((A63/F63)-(A63/E63)),"")</f>
        <v/>
      </c>
      <c r="KG62" s="478" t="str">
        <f>IF(AF64=14,((A63/F63)-(A63/E63)),"")</f>
        <v/>
      </c>
      <c r="KH62" s="478" t="str">
        <f>IF(AF64=15,((A63/F63)-(A63/E63)),"")</f>
        <v/>
      </c>
      <c r="KI62" s="478" t="str">
        <f>IF(AF64=16,((A63/F63)-(A63/E63)),"")</f>
        <v/>
      </c>
      <c r="KJ62" s="478" t="str">
        <f>IF(AF64=17,((A63/F63)-(A63/E63)),"")</f>
        <v/>
      </c>
      <c r="KK62" s="478" t="str">
        <f>IF(AF64=18,((A63/F63)-(A63/E63)),"")</f>
        <v/>
      </c>
      <c r="KL62" s="478" t="str">
        <f>IF(AF64=19,((A63/F63)-(A63/E63)),"")</f>
        <v/>
      </c>
      <c r="KM62" s="478" t="str">
        <f>IF(AF64=20,((A63/F63)-(A63/E63)),"")</f>
        <v/>
      </c>
      <c r="KN62" s="445"/>
      <c r="KO62" s="445"/>
      <c r="KP62" s="445"/>
    </row>
    <row r="63" spans="1:302" ht="11.1" customHeight="1" thickBot="1">
      <c r="A63" s="603"/>
      <c r="B63" s="567" t="s">
        <v>487</v>
      </c>
      <c r="C63" s="933"/>
      <c r="D63" s="476">
        <v>45204</v>
      </c>
      <c r="E63" s="765"/>
      <c r="F63" s="602"/>
      <c r="G63" s="431"/>
      <c r="H63" s="431"/>
      <c r="I63" s="528"/>
      <c r="J63" s="431"/>
      <c r="K63" s="431"/>
      <c r="L63" s="722"/>
      <c r="M63" s="720"/>
      <c r="N63" s="223"/>
      <c r="O63" s="223"/>
      <c r="P63" s="276"/>
      <c r="Q63" s="280"/>
      <c r="R63" s="526"/>
      <c r="S63" s="4"/>
      <c r="T63" s="431"/>
      <c r="U63" s="469"/>
      <c r="V63" s="4"/>
      <c r="W63" s="469"/>
      <c r="X63" s="442"/>
      <c r="Y63" s="22"/>
      <c r="Z63" s="22"/>
      <c r="AA63" s="22"/>
      <c r="AB63" s="360"/>
      <c r="AC63" s="431"/>
      <c r="AD63" s="825">
        <f>IF(E63="",((P62-E62)/E62),((P62-E62)/E62)+(((1/F63)-(1/E63))/(1/E63)))</f>
        <v>6.4599990844726563E-2</v>
      </c>
      <c r="AE63" s="431"/>
      <c r="AF63" s="279" t="s">
        <v>65</v>
      </c>
      <c r="AG63" s="824"/>
      <c r="AH63" s="954" t="s">
        <v>177</v>
      </c>
      <c r="AI63" s="564"/>
      <c r="AJ63" s="563"/>
      <c r="AK63" s="562"/>
      <c r="AL63" s="54">
        <v>100</v>
      </c>
      <c r="AM63" s="581" t="s">
        <v>176</v>
      </c>
      <c r="AN63" s="179">
        <v>3.5</v>
      </c>
      <c r="AO63" s="179">
        <f>IF(B67=2,"0",AO62*-(100-F66)/100)</f>
        <v>0</v>
      </c>
      <c r="AP63" s="463">
        <f>IF(AP64&lt;0,0,AP64*-(100-F66)/100)</f>
        <v>0</v>
      </c>
      <c r="AQ63" s="179"/>
      <c r="AR63" s="463">
        <f>AR66*-(100-F67)/100</f>
        <v>-16.899999999999999</v>
      </c>
      <c r="AS63" s="471">
        <f>-AP62+AS66+(F62/365*AN66*F67/100)*G62</f>
        <v>236.26356164383549</v>
      </c>
      <c r="AT63" s="419"/>
      <c r="AU63" s="420"/>
      <c r="AV63" s="223"/>
      <c r="AW63" s="420"/>
      <c r="AX63" s="417"/>
      <c r="AY63" s="420"/>
      <c r="AZ63" s="223"/>
      <c r="BA63" s="419"/>
      <c r="BB63" s="223"/>
      <c r="BC63" s="223"/>
      <c r="BD63" s="223"/>
      <c r="BE63" s="223"/>
      <c r="BF63" s="416"/>
      <c r="BG63" s="418"/>
      <c r="BH63" s="416"/>
      <c r="BI63" s="416"/>
      <c r="BJ63" s="416"/>
      <c r="BK63" s="418"/>
      <c r="BL63" s="417"/>
      <c r="BM63" s="417"/>
      <c r="BN63" s="417"/>
      <c r="BO63" s="417"/>
      <c r="BP63" s="417"/>
      <c r="BQ63" s="417"/>
      <c r="BR63" s="417"/>
      <c r="BS63" s="417"/>
      <c r="BT63" s="412"/>
      <c r="BU63" s="412"/>
      <c r="BV63" s="412"/>
      <c r="BW63" s="412"/>
      <c r="BX63" s="415"/>
      <c r="BY63" s="389"/>
      <c r="BZ63" s="389"/>
      <c r="CA63" s="389"/>
      <c r="CB63" s="389"/>
      <c r="CC63" s="389"/>
      <c r="CD63" s="389"/>
      <c r="CE63" s="389"/>
      <c r="CF63" s="389"/>
      <c r="CG63" s="389"/>
      <c r="CH63" s="389"/>
      <c r="CI63" s="389"/>
      <c r="CJ63" s="389"/>
      <c r="CK63" s="389"/>
      <c r="CL63" s="389"/>
      <c r="CM63" s="389"/>
      <c r="CN63" s="389"/>
      <c r="CO63" s="389"/>
      <c r="CP63" s="389"/>
      <c r="CQ63" s="389"/>
      <c r="CR63" s="389"/>
      <c r="CS63" s="415"/>
      <c r="CT63" s="389"/>
      <c r="CU63" s="389"/>
      <c r="CV63" s="389"/>
      <c r="CW63" s="389"/>
      <c r="CX63" s="389"/>
      <c r="CY63" s="389"/>
      <c r="CZ63" s="389"/>
      <c r="DA63" s="389"/>
      <c r="DB63" s="389"/>
      <c r="DC63" s="389"/>
      <c r="DD63" s="389"/>
      <c r="DE63" s="389"/>
      <c r="DF63" s="389"/>
      <c r="DG63" s="389"/>
      <c r="DH63" s="389"/>
      <c r="DI63" s="389"/>
      <c r="DJ63" s="389"/>
      <c r="DK63" s="389"/>
      <c r="DL63" s="389"/>
      <c r="DM63" s="389"/>
      <c r="DN63" s="389"/>
      <c r="DO63" s="414"/>
      <c r="DP63" s="39"/>
      <c r="DQ63" s="39"/>
      <c r="DR63" s="39"/>
      <c r="DS63" s="39"/>
      <c r="DT63" s="39"/>
      <c r="DU63" s="39"/>
      <c r="DV63" s="39"/>
      <c r="DW63" s="39"/>
      <c r="DX63" s="39"/>
      <c r="DY63" s="39"/>
      <c r="DZ63" s="39"/>
      <c r="EA63" s="39"/>
      <c r="EB63" s="39"/>
      <c r="EC63" s="39"/>
      <c r="ED63" s="136"/>
      <c r="EE63" s="136"/>
      <c r="EF63" s="136"/>
      <c r="EG63" s="136"/>
      <c r="EH63" s="136"/>
      <c r="EI63" s="136"/>
      <c r="EJ63" s="136"/>
      <c r="EK63" s="136"/>
      <c r="EL63" s="136"/>
      <c r="EM63" s="136"/>
      <c r="EN63" s="136"/>
      <c r="EO63" s="136"/>
      <c r="EP63" s="136"/>
      <c r="EQ63" s="136"/>
      <c r="ER63" s="136"/>
      <c r="ES63" s="136"/>
      <c r="ET63" s="136"/>
      <c r="EU63" s="136"/>
      <c r="EV63" s="136"/>
      <c r="EW63" s="136"/>
      <c r="EX63" s="136"/>
      <c r="EY63" s="136"/>
      <c r="EZ63" s="136"/>
      <c r="FA63" s="136"/>
      <c r="FB63" s="136"/>
      <c r="FC63" s="136"/>
      <c r="FD63" s="136"/>
      <c r="FE63" s="136"/>
      <c r="FF63" s="136"/>
      <c r="FG63" s="136"/>
      <c r="FH63" s="136"/>
      <c r="FI63" s="136"/>
      <c r="FJ63" s="136"/>
      <c r="FK63" s="136"/>
      <c r="FL63" s="136"/>
      <c r="FM63" s="136"/>
      <c r="FN63" s="136"/>
      <c r="FO63" s="39"/>
      <c r="FP63" s="39"/>
      <c r="FQ63" s="39"/>
      <c r="FR63" s="412"/>
      <c r="FS63" s="412"/>
      <c r="FT63" s="412"/>
      <c r="FU63" s="412"/>
      <c r="FV63" s="412"/>
      <c r="FW63" s="412"/>
      <c r="FX63" s="412"/>
      <c r="FY63" s="412"/>
      <c r="FZ63" s="412"/>
      <c r="GA63" s="412"/>
      <c r="GB63" s="412"/>
      <c r="GC63" s="412"/>
      <c r="GD63" s="412"/>
      <c r="GE63" s="412"/>
      <c r="GF63" s="412"/>
      <c r="GG63" s="412"/>
      <c r="GH63" s="412"/>
      <c r="GI63" s="412"/>
      <c r="GJ63" s="412"/>
      <c r="GK63" s="412"/>
      <c r="GL63" s="412"/>
      <c r="GM63" s="412"/>
      <c r="GN63" s="412"/>
      <c r="GO63" s="412"/>
      <c r="GP63" s="412"/>
      <c r="GQ63" s="412"/>
      <c r="GR63" s="412"/>
      <c r="GS63" s="412"/>
      <c r="GT63" s="412"/>
      <c r="GU63" s="412"/>
      <c r="GV63" s="412"/>
      <c r="GW63" s="412"/>
      <c r="GX63" s="412"/>
      <c r="GY63" s="412"/>
      <c r="GZ63" s="412"/>
      <c r="HA63" s="412"/>
      <c r="HB63" s="412"/>
      <c r="HC63" s="412"/>
      <c r="HD63" s="412"/>
      <c r="HE63" s="412"/>
      <c r="HF63" s="412"/>
      <c r="HG63" s="136"/>
      <c r="HH63" s="136"/>
      <c r="HI63" s="136"/>
      <c r="HJ63" s="136"/>
      <c r="HK63" s="136"/>
      <c r="HL63" s="136"/>
      <c r="HM63" s="136"/>
      <c r="HN63" s="136"/>
      <c r="HO63" s="136"/>
      <c r="HP63" s="136"/>
      <c r="HQ63" s="136"/>
      <c r="HR63" s="136"/>
      <c r="HS63" s="136"/>
      <c r="HT63" s="136"/>
      <c r="HU63" s="278"/>
      <c r="HV63" s="277"/>
      <c r="HW63" s="277"/>
      <c r="HX63" s="277"/>
      <c r="HY63" s="277"/>
      <c r="HZ63" s="277"/>
      <c r="IA63" s="277"/>
      <c r="IB63" s="277"/>
      <c r="IC63" s="277"/>
      <c r="ID63" s="412"/>
      <c r="IE63" s="412"/>
      <c r="IF63" s="412"/>
      <c r="IG63" s="412"/>
      <c r="IH63" s="412"/>
      <c r="II63" s="412"/>
      <c r="IJ63" s="412"/>
      <c r="IK63" s="412"/>
      <c r="IL63" s="412"/>
      <c r="IM63" s="412"/>
      <c r="IN63" s="412"/>
      <c r="IO63" s="412"/>
      <c r="IP63" s="413"/>
      <c r="IQ63" s="389"/>
      <c r="IR63" s="389"/>
      <c r="IS63" s="389"/>
      <c r="IT63" s="389"/>
      <c r="IU63" s="389"/>
      <c r="IV63" s="389"/>
      <c r="IW63" s="389"/>
      <c r="IX63" s="389"/>
      <c r="IY63" s="389"/>
      <c r="IZ63" s="389"/>
      <c r="JA63" s="389"/>
      <c r="JB63" s="389"/>
      <c r="JC63" s="389"/>
      <c r="JD63" s="389"/>
      <c r="JE63" s="389"/>
      <c r="JF63" s="389"/>
      <c r="JG63" s="389"/>
      <c r="JH63" s="389"/>
      <c r="JI63" s="389"/>
      <c r="JJ63" s="389"/>
      <c r="JK63" s="389"/>
      <c r="JL63" s="389"/>
      <c r="JM63" s="389"/>
      <c r="JN63" s="389"/>
      <c r="JO63" s="389"/>
      <c r="JT63" s="553"/>
    </row>
    <row r="64" spans="1:302" ht="11.1" hidden="1" customHeight="1" outlineLevel="1">
      <c r="A64" s="8"/>
      <c r="B64" s="468">
        <f>VLOOKUP(B62,'[2]IBAN CONTI'!A$53:B$58,2,FALSE)</f>
        <v>6</v>
      </c>
      <c r="C64" s="536"/>
      <c r="D64" s="536"/>
      <c r="E64" s="766">
        <f ca="1">IF(B67=2,C62,COUPNCD($AB$2,C62,K64,AH66))</f>
        <v>45752</v>
      </c>
      <c r="F64" s="561"/>
      <c r="G64" s="431"/>
      <c r="H64" s="431"/>
      <c r="I64" s="528"/>
      <c r="J64" s="431"/>
      <c r="K64" s="223">
        <v>2</v>
      </c>
      <c r="L64" s="836"/>
      <c r="M64" s="720"/>
      <c r="N64" s="223"/>
      <c r="O64" s="223"/>
      <c r="P64" s="470"/>
      <c r="Q64" s="280"/>
      <c r="R64" s="526"/>
      <c r="S64" s="4"/>
      <c r="T64" s="431"/>
      <c r="U64" s="469"/>
      <c r="V64" s="4"/>
      <c r="W64" s="469"/>
      <c r="X64" s="442"/>
      <c r="Y64" s="22"/>
      <c r="Z64" s="22"/>
      <c r="AA64" s="22"/>
      <c r="AB64" s="979"/>
      <c r="AC64" s="431"/>
      <c r="AD64" s="560"/>
      <c r="AE64" s="431"/>
      <c r="AF64" s="468">
        <f>VLOOKUP(AF63,'[2]IBAN CONTI'!A$106:B$122,2,FALSE)</f>
        <v>1</v>
      </c>
      <c r="AG64" s="467">
        <f>VLOOKUP(A62,'[2]IBAN CONTI'!A$134:B$211,2,FALSE)</f>
        <v>43</v>
      </c>
      <c r="AH64" s="954"/>
      <c r="AI64" s="954"/>
      <c r="AJ64" s="1035" t="s">
        <v>196</v>
      </c>
      <c r="AK64" s="1039"/>
      <c r="AL64" s="54">
        <v>100</v>
      </c>
      <c r="AM64" s="535">
        <f>YEARFRAC(C62,AL62,AH66)</f>
        <v>5.0009124087591239</v>
      </c>
      <c r="AN64" s="456">
        <f>IF(B67=2,0,D63-AL62)</f>
        <v>0</v>
      </c>
      <c r="AO64" s="464">
        <f>IF(B67=2,AL63*(1+AM67)^AM66,AO65+AL63)</f>
        <v>100</v>
      </c>
      <c r="AP64" s="463">
        <f>IF(AF64=1,G62*AO65/100,A63/E63/100*AO65)</f>
        <v>0</v>
      </c>
      <c r="AQ64" s="221"/>
      <c r="AR64" s="463">
        <f>AL67*G62/100</f>
        <v>1000</v>
      </c>
      <c r="AS64" s="462">
        <f>(AR67-AP67)*G62/100</f>
        <v>-4.4999999999998863</v>
      </c>
      <c r="AT64" s="419"/>
      <c r="AU64" s="420"/>
      <c r="AV64" s="223"/>
      <c r="AW64" s="420"/>
      <c r="AX64" s="417"/>
      <c r="AY64" s="420"/>
      <c r="AZ64" s="223"/>
      <c r="BA64" s="419"/>
      <c r="BB64" s="223"/>
      <c r="BC64" s="223"/>
      <c r="BD64" s="223"/>
      <c r="BE64" s="223"/>
      <c r="BF64" s="416"/>
      <c r="BG64" s="418"/>
      <c r="BH64" s="416"/>
      <c r="BI64" s="416"/>
      <c r="BJ64" s="416"/>
      <c r="BK64" s="418"/>
      <c r="BL64" s="417"/>
      <c r="BM64" s="416"/>
      <c r="BN64" s="416"/>
      <c r="BO64" s="416"/>
      <c r="BP64" s="416"/>
      <c r="BQ64" s="416"/>
      <c r="BR64" s="416"/>
      <c r="BS64" s="416"/>
      <c r="BT64" s="389"/>
      <c r="BU64" s="389"/>
      <c r="BV64" s="389"/>
      <c r="BW64" s="389"/>
      <c r="BX64" s="415"/>
      <c r="BY64" s="389"/>
      <c r="BZ64" s="389"/>
      <c r="CA64" s="389"/>
      <c r="CB64" s="389"/>
      <c r="CC64" s="389"/>
      <c r="CD64" s="389"/>
      <c r="CE64" s="389"/>
      <c r="CF64" s="389"/>
      <c r="CG64" s="389"/>
      <c r="CH64" s="389"/>
      <c r="CI64" s="389"/>
      <c r="CJ64" s="389"/>
      <c r="CK64" s="389"/>
      <c r="CL64" s="389"/>
      <c r="CM64" s="389"/>
      <c r="CN64" s="389"/>
      <c r="CO64" s="389"/>
      <c r="CP64" s="389"/>
      <c r="CQ64" s="389"/>
      <c r="CR64" s="389"/>
      <c r="CS64" s="415"/>
      <c r="CT64" s="389"/>
      <c r="CU64" s="389"/>
      <c r="CV64" s="389"/>
      <c r="CW64" s="389"/>
      <c r="CX64" s="389"/>
      <c r="CY64" s="389"/>
      <c r="CZ64" s="389"/>
      <c r="DA64" s="389"/>
      <c r="DB64" s="389"/>
      <c r="DC64" s="389"/>
      <c r="DD64" s="389"/>
      <c r="DE64" s="389"/>
      <c r="DF64" s="389"/>
      <c r="DG64" s="389"/>
      <c r="DH64" s="389"/>
      <c r="DI64" s="389"/>
      <c r="DJ64" s="389"/>
      <c r="DK64" s="389"/>
      <c r="DL64" s="389"/>
      <c r="DM64" s="389"/>
      <c r="DN64" s="389"/>
      <c r="DO64" s="414"/>
      <c r="DP64" s="39"/>
      <c r="DQ64" s="39"/>
      <c r="DR64" s="39"/>
      <c r="DS64" s="39"/>
      <c r="DT64" s="39"/>
      <c r="DU64" s="39"/>
      <c r="DV64" s="39"/>
      <c r="DW64" s="39"/>
      <c r="DX64" s="39"/>
      <c r="DY64" s="39"/>
      <c r="DZ64" s="39"/>
      <c r="EA64" s="39"/>
      <c r="EB64" s="39"/>
      <c r="EC64" s="39"/>
      <c r="ED64" s="136"/>
      <c r="EE64" s="136"/>
      <c r="EF64" s="136"/>
      <c r="EG64" s="136"/>
      <c r="EH64" s="136"/>
      <c r="EI64" s="136"/>
      <c r="EJ64" s="136"/>
      <c r="EK64" s="136"/>
      <c r="EL64" s="136"/>
      <c r="EM64" s="136"/>
      <c r="EN64" s="136"/>
      <c r="EO64" s="136"/>
      <c r="EP64" s="136"/>
      <c r="EQ64" s="136"/>
      <c r="ER64" s="136"/>
      <c r="ES64" s="136"/>
      <c r="ET64" s="136"/>
      <c r="EU64" s="136"/>
      <c r="EV64" s="136"/>
      <c r="EW64" s="136"/>
      <c r="EX64" s="136"/>
      <c r="EY64" s="136"/>
      <c r="EZ64" s="136"/>
      <c r="FA64" s="136"/>
      <c r="FB64" s="136"/>
      <c r="FC64" s="136"/>
      <c r="FD64" s="136"/>
      <c r="FE64" s="136"/>
      <c r="FF64" s="136"/>
      <c r="FG64" s="136"/>
      <c r="FH64" s="136"/>
      <c r="FI64" s="136"/>
      <c r="FJ64" s="136"/>
      <c r="FK64" s="136"/>
      <c r="FL64" s="136"/>
      <c r="FM64" s="136"/>
      <c r="FN64" s="136"/>
      <c r="FO64" s="39"/>
      <c r="FP64" s="39"/>
      <c r="FQ64" s="39"/>
      <c r="FR64" s="412"/>
      <c r="FS64" s="412"/>
      <c r="FT64" s="412"/>
      <c r="FU64" s="412"/>
      <c r="FV64" s="412"/>
      <c r="FW64" s="412"/>
      <c r="FX64" s="412"/>
      <c r="FY64" s="412"/>
      <c r="FZ64" s="412"/>
      <c r="GA64" s="412"/>
      <c r="GB64" s="412"/>
      <c r="GC64" s="412"/>
      <c r="GD64" s="412"/>
      <c r="GE64" s="412"/>
      <c r="GF64" s="412"/>
      <c r="GG64" s="412"/>
      <c r="GH64" s="412"/>
      <c r="GI64" s="412"/>
      <c r="GJ64" s="412"/>
      <c r="GK64" s="412"/>
      <c r="GL64" s="412"/>
      <c r="GM64" s="412"/>
      <c r="GN64" s="412"/>
      <c r="GO64" s="412"/>
      <c r="GP64" s="412"/>
      <c r="GQ64" s="412"/>
      <c r="GR64" s="412"/>
      <c r="GS64" s="412"/>
      <c r="GT64" s="412"/>
      <c r="GU64" s="412"/>
      <c r="GV64" s="412"/>
      <c r="GW64" s="412"/>
      <c r="GX64" s="412"/>
      <c r="GY64" s="412"/>
      <c r="GZ64" s="412"/>
      <c r="HA64" s="412"/>
      <c r="HB64" s="412"/>
      <c r="HC64" s="412"/>
      <c r="HD64" s="412"/>
      <c r="HE64" s="412"/>
      <c r="HF64" s="412"/>
      <c r="HG64" s="136"/>
      <c r="HH64" s="136"/>
      <c r="HI64" s="136"/>
      <c r="HJ64" s="136"/>
      <c r="HK64" s="136"/>
      <c r="HL64" s="136"/>
      <c r="HM64" s="136"/>
      <c r="HN64" s="136"/>
      <c r="HO64" s="136"/>
      <c r="HP64" s="136"/>
      <c r="HQ64" s="136"/>
      <c r="HR64" s="136"/>
      <c r="HS64" s="136"/>
      <c r="HT64" s="136"/>
      <c r="HU64" s="278"/>
      <c r="HV64" s="277"/>
      <c r="HW64" s="277"/>
      <c r="HX64" s="277"/>
      <c r="HY64" s="277"/>
      <c r="HZ64" s="277"/>
      <c r="IA64" s="277"/>
      <c r="IB64" s="277"/>
      <c r="IC64" s="277"/>
      <c r="ID64" s="412"/>
      <c r="IE64" s="412"/>
      <c r="IF64" s="412"/>
      <c r="IG64" s="412"/>
      <c r="IH64" s="412"/>
      <c r="II64" s="412"/>
      <c r="IJ64" s="412"/>
      <c r="IK64" s="412"/>
      <c r="IL64" s="412"/>
      <c r="IM64" s="412"/>
      <c r="IN64" s="412"/>
      <c r="IO64" s="412"/>
      <c r="IP64" s="413"/>
      <c r="IQ64" s="389"/>
      <c r="IR64" s="389"/>
      <c r="IS64" s="389"/>
      <c r="IT64" s="389"/>
      <c r="IU64" s="389"/>
      <c r="IV64" s="389"/>
      <c r="IW64" s="389"/>
      <c r="IX64" s="389"/>
      <c r="IY64" s="389"/>
      <c r="IZ64" s="389"/>
      <c r="JA64" s="389"/>
      <c r="JB64" s="389"/>
      <c r="JC64" s="389"/>
      <c r="JD64" s="389"/>
      <c r="JE64" s="389"/>
      <c r="JF64" s="389"/>
      <c r="JG64" s="389"/>
      <c r="JH64" s="389"/>
      <c r="JI64" s="389"/>
      <c r="JJ64" s="389"/>
      <c r="JK64" s="389"/>
      <c r="JL64" s="389"/>
      <c r="JM64" s="389"/>
      <c r="JN64" s="389"/>
      <c r="JO64" s="389"/>
      <c r="JT64" s="553"/>
    </row>
    <row r="65" spans="1:302" ht="10.5" hidden="1" customHeight="1" outlineLevel="1">
      <c r="A65" s="559">
        <v>1</v>
      </c>
      <c r="B65" s="990" t="s">
        <v>183</v>
      </c>
      <c r="C65" s="990"/>
      <c r="D65" s="452">
        <f>COUPPCD(D63,C62,K64,AH66)</f>
        <v>45204</v>
      </c>
      <c r="E65" s="769"/>
      <c r="F65" s="15"/>
      <c r="G65" s="985">
        <v>2028</v>
      </c>
      <c r="H65" s="431"/>
      <c r="I65" s="528"/>
      <c r="J65" s="431"/>
      <c r="K65" s="987" t="s">
        <v>174</v>
      </c>
      <c r="L65" s="833"/>
      <c r="M65" s="720"/>
      <c r="N65" s="223"/>
      <c r="O65" s="223"/>
      <c r="P65" s="558"/>
      <c r="Q65" s="280"/>
      <c r="R65" s="526"/>
      <c r="S65" s="15"/>
      <c r="T65" s="431"/>
      <c r="U65" s="15"/>
      <c r="V65" s="15"/>
      <c r="W65" s="15"/>
      <c r="X65" s="442"/>
      <c r="Y65" s="430"/>
      <c r="Z65" s="430"/>
      <c r="AA65" s="430"/>
      <c r="AB65" s="533"/>
      <c r="AC65" s="431"/>
      <c r="AD65" s="78"/>
      <c r="AE65" s="431"/>
      <c r="AF65" s="557"/>
      <c r="AG65" s="490"/>
      <c r="AH65" s="457"/>
      <c r="AI65" s="457"/>
      <c r="AJ65" s="1037"/>
      <c r="AK65" s="990"/>
      <c r="AL65" s="427">
        <f>AL64-AL63</f>
        <v>0</v>
      </c>
      <c r="AM65" s="532">
        <f>C62-AL62</f>
        <v>1827</v>
      </c>
      <c r="AN65" s="530">
        <f>IF(OR(K64&lt;&gt;1,AN64&gt;365),COUPDAYBS(D63,C62,K64,AH66),AN64)</f>
        <v>0</v>
      </c>
      <c r="AO65" s="424">
        <f>IF(B67=2,AO64-AL63,AL65/AM65*AN64)</f>
        <v>0</v>
      </c>
      <c r="AP65" s="455">
        <f>IF(B67=4,FLOOR(F62/K64*AN65/(D66-D65)*100,0.000001),IF(AH66=4,YEARFRAC(D65,D63,0)*F62*100,IF(B67=3,IF(OR(AH66=4,AH66=2),(F64*(AN65))/(360)*100,(F64*(AN65))/(365)*100),FLOOR(F62/K64*AN65/(D66-D65)*100,0.000001))))</f>
        <v>0</v>
      </c>
      <c r="AQ65" s="454"/>
      <c r="AR65" s="555">
        <f>AL65*G62/100</f>
        <v>0</v>
      </c>
      <c r="AS65" s="422">
        <f>IF(AS64&lt;0,0,AS64*(100-F67)/100)</f>
        <v>0</v>
      </c>
      <c r="AT65" s="419"/>
      <c r="AU65" s="420"/>
      <c r="AV65" s="223"/>
      <c r="AW65" s="420"/>
      <c r="AX65" s="417"/>
      <c r="AY65" s="420"/>
      <c r="AZ65" s="223"/>
      <c r="BA65" s="419"/>
      <c r="BB65" s="223"/>
      <c r="BC65" s="223"/>
      <c r="BD65" s="223"/>
      <c r="BE65" s="223"/>
      <c r="BF65" s="416"/>
      <c r="BG65" s="418"/>
      <c r="BH65" s="416"/>
      <c r="BI65" s="416"/>
      <c r="BJ65" s="416"/>
      <c r="BK65" s="418"/>
      <c r="BL65" s="417"/>
      <c r="BM65" s="416"/>
      <c r="BN65" s="416"/>
      <c r="BO65" s="416"/>
      <c r="BP65" s="416"/>
      <c r="BQ65" s="416"/>
      <c r="BR65" s="416"/>
      <c r="BS65" s="416"/>
      <c r="BT65" s="389"/>
      <c r="BU65" s="389"/>
      <c r="BV65" s="389"/>
      <c r="BW65" s="389"/>
      <c r="BX65" s="415"/>
      <c r="BY65" s="389"/>
      <c r="BZ65" s="389"/>
      <c r="CA65" s="389"/>
      <c r="CB65" s="389"/>
      <c r="CC65" s="389"/>
      <c r="CD65" s="389"/>
      <c r="CE65" s="389"/>
      <c r="CF65" s="389"/>
      <c r="CG65" s="389"/>
      <c r="CH65" s="389"/>
      <c r="CI65" s="389"/>
      <c r="CJ65" s="389"/>
      <c r="CK65" s="389"/>
      <c r="CL65" s="389"/>
      <c r="CM65" s="389"/>
      <c r="CN65" s="389"/>
      <c r="CO65" s="389"/>
      <c r="CP65" s="389"/>
      <c r="CQ65" s="389"/>
      <c r="CR65" s="389"/>
      <c r="CS65" s="415"/>
      <c r="CT65" s="389"/>
      <c r="CU65" s="389"/>
      <c r="CV65" s="389"/>
      <c r="CW65" s="389"/>
      <c r="CX65" s="389"/>
      <c r="CY65" s="389"/>
      <c r="CZ65" s="389"/>
      <c r="DA65" s="389"/>
      <c r="DB65" s="389"/>
      <c r="DC65" s="389"/>
      <c r="DD65" s="389"/>
      <c r="DE65" s="389"/>
      <c r="DF65" s="389"/>
      <c r="DG65" s="389"/>
      <c r="DH65" s="389"/>
      <c r="DI65" s="389"/>
      <c r="DJ65" s="389"/>
      <c r="DK65" s="389"/>
      <c r="DL65" s="389"/>
      <c r="DM65" s="389"/>
      <c r="DN65" s="389"/>
      <c r="DO65" s="414"/>
      <c r="DP65" s="39"/>
      <c r="DQ65" s="39"/>
      <c r="DR65" s="39"/>
      <c r="DS65" s="39"/>
      <c r="DT65" s="39"/>
      <c r="DU65" s="39"/>
      <c r="DV65" s="39"/>
      <c r="DW65" s="39"/>
      <c r="DX65" s="39"/>
      <c r="DY65" s="39"/>
      <c r="DZ65" s="39"/>
      <c r="EA65" s="39"/>
      <c r="EB65" s="39"/>
      <c r="EC65" s="39"/>
      <c r="ED65" s="136"/>
      <c r="EE65" s="136"/>
      <c r="EF65" s="136"/>
      <c r="EG65" s="136"/>
      <c r="EH65" s="136"/>
      <c r="EI65" s="136"/>
      <c r="EJ65" s="136"/>
      <c r="EK65" s="136"/>
      <c r="EL65" s="136"/>
      <c r="EM65" s="136"/>
      <c r="EN65" s="136"/>
      <c r="EO65" s="136"/>
      <c r="EP65" s="136"/>
      <c r="EQ65" s="136"/>
      <c r="ER65" s="136"/>
      <c r="ES65" s="136"/>
      <c r="ET65" s="136"/>
      <c r="EU65" s="136"/>
      <c r="EV65" s="136"/>
      <c r="EW65" s="136"/>
      <c r="EX65" s="136"/>
      <c r="EY65" s="136"/>
      <c r="EZ65" s="136"/>
      <c r="FA65" s="136"/>
      <c r="FB65" s="136"/>
      <c r="FC65" s="136"/>
      <c r="FD65" s="136"/>
      <c r="FE65" s="136"/>
      <c r="FF65" s="136"/>
      <c r="FG65" s="136"/>
      <c r="FH65" s="136"/>
      <c r="FI65" s="136"/>
      <c r="FJ65" s="136"/>
      <c r="FK65" s="136"/>
      <c r="FL65" s="136"/>
      <c r="FM65" s="136"/>
      <c r="FN65" s="136"/>
      <c r="FO65" s="39"/>
      <c r="FP65" s="39"/>
      <c r="FQ65" s="39"/>
      <c r="FR65" s="412"/>
      <c r="FS65" s="412"/>
      <c r="FT65" s="412"/>
      <c r="FU65" s="412"/>
      <c r="FV65" s="412"/>
      <c r="FW65" s="412"/>
      <c r="FX65" s="412"/>
      <c r="FY65" s="412"/>
      <c r="FZ65" s="412"/>
      <c r="GA65" s="412"/>
      <c r="GB65" s="412"/>
      <c r="GC65" s="412"/>
      <c r="GD65" s="412"/>
      <c r="GE65" s="412"/>
      <c r="GF65" s="412"/>
      <c r="GG65" s="412"/>
      <c r="GH65" s="412"/>
      <c r="GI65" s="412"/>
      <c r="GJ65" s="412"/>
      <c r="GK65" s="412"/>
      <c r="GL65" s="412"/>
      <c r="GM65" s="412"/>
      <c r="GN65" s="412"/>
      <c r="GO65" s="412"/>
      <c r="GP65" s="412"/>
      <c r="GQ65" s="412"/>
      <c r="GR65" s="412"/>
      <c r="GS65" s="412"/>
      <c r="GT65" s="412"/>
      <c r="GU65" s="412"/>
      <c r="GV65" s="412"/>
      <c r="GW65" s="412"/>
      <c r="GX65" s="412"/>
      <c r="GY65" s="412"/>
      <c r="GZ65" s="412"/>
      <c r="HA65" s="412"/>
      <c r="HB65" s="412"/>
      <c r="HC65" s="412"/>
      <c r="HD65" s="412"/>
      <c r="HE65" s="412"/>
      <c r="HF65" s="412"/>
      <c r="HG65" s="136"/>
      <c r="HH65" s="136"/>
      <c r="HI65" s="136"/>
      <c r="HJ65" s="136"/>
      <c r="HK65" s="136"/>
      <c r="HL65" s="136"/>
      <c r="HM65" s="136"/>
      <c r="HN65" s="136"/>
      <c r="HO65" s="136"/>
      <c r="HP65" s="136"/>
      <c r="HQ65" s="136"/>
      <c r="HR65" s="136"/>
      <c r="HS65" s="136"/>
      <c r="HT65" s="136"/>
      <c r="HU65" s="278"/>
      <c r="HV65" s="277"/>
      <c r="HW65" s="277"/>
      <c r="HX65" s="277"/>
      <c r="HY65" s="277"/>
      <c r="HZ65" s="277"/>
      <c r="IA65" s="277"/>
      <c r="IB65" s="277"/>
      <c r="IC65" s="277"/>
      <c r="ID65" s="412"/>
      <c r="IE65" s="412"/>
      <c r="IF65" s="412"/>
      <c r="IG65" s="412"/>
      <c r="IH65" s="412"/>
      <c r="II65" s="412"/>
      <c r="IJ65" s="412"/>
      <c r="IK65" s="412"/>
      <c r="IL65" s="412"/>
      <c r="IM65" s="412"/>
      <c r="IN65" s="412"/>
      <c r="IO65" s="412"/>
      <c r="IP65" s="413"/>
      <c r="IQ65" s="389"/>
      <c r="IR65" s="389"/>
      <c r="IS65" s="389"/>
      <c r="IT65" s="389"/>
      <c r="IU65" s="389"/>
      <c r="IV65" s="389"/>
      <c r="IW65" s="389"/>
      <c r="IX65" s="389"/>
      <c r="IY65" s="389"/>
      <c r="IZ65" s="389"/>
      <c r="JA65" s="389"/>
      <c r="JB65" s="389"/>
      <c r="JC65" s="389"/>
      <c r="JD65" s="389"/>
      <c r="JE65" s="389"/>
      <c r="JF65" s="389"/>
      <c r="JG65" s="389"/>
      <c r="JH65" s="389"/>
      <c r="JI65" s="389"/>
      <c r="JJ65" s="389"/>
      <c r="JK65" s="389"/>
      <c r="JL65" s="389"/>
      <c r="JM65" s="389"/>
      <c r="JN65" s="389"/>
      <c r="JO65" s="389"/>
      <c r="JT65" s="553"/>
    </row>
    <row r="66" spans="1:302" ht="10.5" hidden="1" customHeight="1" outlineLevel="1" thickBot="1">
      <c r="A66" s="8"/>
      <c r="B66" s="990"/>
      <c r="C66" s="990"/>
      <c r="D66" s="452">
        <f>COUPNCD(D63,C62,K64,AH66)</f>
        <v>45387</v>
      </c>
      <c r="E66" s="932" t="s">
        <v>182</v>
      </c>
      <c r="F66" s="451" t="str">
        <f>IF(E67=1,"87,5",IF(D62&lt;40908,87.5,IF(D62&lt;41820,"80","74")))</f>
        <v>74</v>
      </c>
      <c r="G66" s="986"/>
      <c r="H66" s="431"/>
      <c r="I66" s="528"/>
      <c r="J66" s="431"/>
      <c r="K66" s="987"/>
      <c r="L66" s="833"/>
      <c r="M66" s="720"/>
      <c r="N66" s="223"/>
      <c r="O66" s="223"/>
      <c r="P66" s="558"/>
      <c r="Q66" s="280"/>
      <c r="R66" s="526"/>
      <c r="S66" s="15"/>
      <c r="T66" s="431"/>
      <c r="U66" s="15"/>
      <c r="V66" s="15"/>
      <c r="W66" s="15"/>
      <c r="X66" s="442"/>
      <c r="Y66" s="430"/>
      <c r="Z66" s="430"/>
      <c r="AA66" s="430"/>
      <c r="AB66" s="78"/>
      <c r="AC66" s="431"/>
      <c r="AD66" s="78"/>
      <c r="AE66" s="431"/>
      <c r="AF66" s="557"/>
      <c r="AG66" s="490"/>
      <c r="AH66" s="419">
        <f>VLOOKUP(AH63,'[2]IBAN CONTI'!A:B,2,FALSE)</f>
        <v>1</v>
      </c>
      <c r="AI66" s="419"/>
      <c r="AJ66" s="1033">
        <f>VLOOKUP(AJ64,'[2]IBAN CONTI'!A$67:B$77,2,FALSE)</f>
        <v>6</v>
      </c>
      <c r="AK66" s="1034"/>
      <c r="AL66" s="556">
        <f>AL63</f>
        <v>100</v>
      </c>
      <c r="AM66" s="449">
        <f>IF(B67=1,YEARFRAC(D63,C62,AH66),IF(B67=2,YEARFRAC(AL62,D63,AH66)))</f>
        <v>5.0009124087591239</v>
      </c>
      <c r="AN66" s="530">
        <f>IF(B67=2,0,C62-D63-(365-AN65))</f>
        <v>1462</v>
      </c>
      <c r="AO66" s="424">
        <f>E62-AO65</f>
        <v>100</v>
      </c>
      <c r="AP66" s="447">
        <f>E62+AO67+AP65+0.1</f>
        <v>100.1</v>
      </c>
      <c r="AQ66" s="446"/>
      <c r="AR66" s="463">
        <f>IF(B67=3,F64*G62,F62*G62)</f>
        <v>65</v>
      </c>
      <c r="AS66" s="421">
        <f>AR62-AS65</f>
        <v>1048.0999999999999</v>
      </c>
      <c r="AT66" s="419"/>
      <c r="AU66" s="420"/>
      <c r="AV66" s="223"/>
      <c r="AW66" s="420"/>
      <c r="AX66" s="417"/>
      <c r="AY66" s="420"/>
      <c r="AZ66" s="223"/>
      <c r="BA66" s="419"/>
      <c r="BB66" s="223"/>
      <c r="BC66" s="223"/>
      <c r="BD66" s="223"/>
      <c r="BE66" s="223"/>
      <c r="BF66" s="416"/>
      <c r="BG66" s="418"/>
      <c r="BH66" s="416"/>
      <c r="BI66" s="416"/>
      <c r="BJ66" s="416"/>
      <c r="BK66" s="418"/>
      <c r="BL66" s="417"/>
      <c r="BM66" s="416"/>
      <c r="BN66" s="416"/>
      <c r="BO66" s="416"/>
      <c r="BP66" s="416"/>
      <c r="BQ66" s="416"/>
      <c r="BR66" s="416"/>
      <c r="BS66" s="416"/>
      <c r="BT66" s="389"/>
      <c r="BU66" s="389"/>
      <c r="BV66" s="389"/>
      <c r="BW66" s="389"/>
      <c r="BX66" s="415"/>
      <c r="BY66" s="389"/>
      <c r="BZ66" s="389"/>
      <c r="CA66" s="389"/>
      <c r="CB66" s="389"/>
      <c r="CC66" s="389"/>
      <c r="CD66" s="389"/>
      <c r="CE66" s="389"/>
      <c r="CF66" s="389"/>
      <c r="CG66" s="389"/>
      <c r="CH66" s="389"/>
      <c r="CI66" s="389"/>
      <c r="CJ66" s="389"/>
      <c r="CK66" s="389"/>
      <c r="CL66" s="389"/>
      <c r="CM66" s="389"/>
      <c r="CN66" s="389"/>
      <c r="CO66" s="389"/>
      <c r="CP66" s="389"/>
      <c r="CQ66" s="389"/>
      <c r="CR66" s="389"/>
      <c r="CS66" s="415"/>
      <c r="CT66" s="389"/>
      <c r="CU66" s="389"/>
      <c r="CV66" s="389"/>
      <c r="CW66" s="389"/>
      <c r="CX66" s="389"/>
      <c r="CY66" s="389"/>
      <c r="CZ66" s="389"/>
      <c r="DA66" s="389"/>
      <c r="DB66" s="389"/>
      <c r="DC66" s="389"/>
      <c r="DD66" s="389"/>
      <c r="DE66" s="389"/>
      <c r="DF66" s="389"/>
      <c r="DG66" s="389"/>
      <c r="DH66" s="389"/>
      <c r="DI66" s="389"/>
      <c r="DJ66" s="389"/>
      <c r="DK66" s="389"/>
      <c r="DL66" s="389"/>
      <c r="DM66" s="389"/>
      <c r="DN66" s="389"/>
      <c r="DO66" s="414"/>
      <c r="DP66" s="39"/>
      <c r="DQ66" s="39"/>
      <c r="DR66" s="39"/>
      <c r="DS66" s="136"/>
      <c r="DT66" s="136"/>
      <c r="DU66" s="136"/>
      <c r="DV66" s="136"/>
      <c r="DW66" s="136"/>
      <c r="DX66" s="136"/>
      <c r="DY66" s="136"/>
      <c r="DZ66" s="136"/>
      <c r="EA66" s="136"/>
      <c r="EB66" s="136"/>
      <c r="EC66" s="136"/>
      <c r="ED66" s="136"/>
      <c r="EE66" s="136"/>
      <c r="EF66" s="136"/>
      <c r="EG66" s="136"/>
      <c r="EH66" s="136"/>
      <c r="EI66" s="136"/>
      <c r="EJ66" s="136"/>
      <c r="EK66" s="136"/>
      <c r="EL66" s="136"/>
      <c r="EM66" s="136"/>
      <c r="EN66" s="136"/>
      <c r="EO66" s="136"/>
      <c r="EP66" s="136"/>
      <c r="EQ66" s="136"/>
      <c r="ER66" s="136"/>
      <c r="ES66" s="136"/>
      <c r="ET66" s="136"/>
      <c r="EU66" s="136"/>
      <c r="EV66" s="136"/>
      <c r="EW66" s="136"/>
      <c r="EX66" s="136"/>
      <c r="EY66" s="136"/>
      <c r="EZ66" s="136"/>
      <c r="FA66" s="136"/>
      <c r="FB66" s="136"/>
      <c r="FC66" s="136"/>
      <c r="FD66" s="136"/>
      <c r="FE66" s="136"/>
      <c r="FF66" s="136"/>
      <c r="FG66" s="136"/>
      <c r="FH66" s="136"/>
      <c r="FI66" s="136"/>
      <c r="FJ66" s="136"/>
      <c r="FK66" s="136"/>
      <c r="FL66" s="136"/>
      <c r="FM66" s="136"/>
      <c r="FN66" s="136"/>
      <c r="FO66" s="136"/>
      <c r="FP66" s="136"/>
      <c r="FQ66" s="136"/>
      <c r="FR66" s="412"/>
      <c r="FS66" s="412"/>
      <c r="FT66" s="412"/>
      <c r="FU66" s="412"/>
      <c r="FV66" s="412"/>
      <c r="FW66" s="412"/>
      <c r="FX66" s="412"/>
      <c r="FY66" s="412"/>
      <c r="FZ66" s="412"/>
      <c r="GA66" s="412"/>
      <c r="GB66" s="412"/>
      <c r="GC66" s="412"/>
      <c r="GD66" s="412"/>
      <c r="GE66" s="412"/>
      <c r="GF66" s="412"/>
      <c r="GG66" s="412"/>
      <c r="GH66" s="412"/>
      <c r="GI66" s="412"/>
      <c r="GJ66" s="412"/>
      <c r="GK66" s="412"/>
      <c r="GL66" s="412"/>
      <c r="GM66" s="412"/>
      <c r="GN66" s="412"/>
      <c r="GO66" s="412"/>
      <c r="GP66" s="412"/>
      <c r="GQ66" s="412"/>
      <c r="GR66" s="412"/>
      <c r="GS66" s="412"/>
      <c r="GT66" s="412"/>
      <c r="GU66" s="412"/>
      <c r="GV66" s="412"/>
      <c r="GW66" s="412"/>
      <c r="GX66" s="412"/>
      <c r="GY66" s="412"/>
      <c r="GZ66" s="412"/>
      <c r="HA66" s="412"/>
      <c r="HB66" s="412"/>
      <c r="HC66" s="412"/>
      <c r="HD66" s="412"/>
      <c r="HE66" s="412"/>
      <c r="HF66" s="412"/>
      <c r="HG66" s="136"/>
      <c r="HH66" s="136"/>
      <c r="HI66" s="136"/>
      <c r="HJ66" s="136"/>
      <c r="HK66" s="136"/>
      <c r="HL66" s="136"/>
      <c r="HM66" s="136"/>
      <c r="HN66" s="136"/>
      <c r="HO66" s="136"/>
      <c r="HP66" s="136"/>
      <c r="HQ66" s="136"/>
      <c r="HR66" s="136"/>
      <c r="HS66" s="136"/>
      <c r="HT66" s="136"/>
      <c r="HU66" s="278"/>
      <c r="HV66" s="277"/>
      <c r="HW66" s="277"/>
      <c r="HX66" s="277"/>
      <c r="HY66" s="277"/>
      <c r="HZ66" s="277"/>
      <c r="IA66" s="277"/>
      <c r="IB66" s="277"/>
      <c r="IC66" s="277"/>
      <c r="ID66" s="412"/>
      <c r="IE66" s="412"/>
      <c r="IF66" s="412"/>
      <c r="IG66" s="412"/>
      <c r="IH66" s="412"/>
      <c r="II66" s="412"/>
      <c r="IJ66" s="412"/>
      <c r="IK66" s="412"/>
      <c r="IL66" s="412"/>
      <c r="IM66" s="412"/>
      <c r="IN66" s="412"/>
      <c r="IO66" s="412"/>
      <c r="IP66" s="413"/>
      <c r="IQ66" s="389"/>
      <c r="IR66" s="389"/>
      <c r="IS66" s="389"/>
      <c r="IT66" s="389"/>
      <c r="IU66" s="389"/>
      <c r="IV66" s="389"/>
      <c r="IW66" s="389"/>
      <c r="IX66" s="389"/>
      <c r="IY66" s="389"/>
      <c r="IZ66" s="389"/>
      <c r="JA66" s="389"/>
      <c r="JB66" s="389"/>
      <c r="JC66" s="389"/>
      <c r="JD66" s="389"/>
      <c r="JE66" s="389"/>
      <c r="JF66" s="389"/>
      <c r="JG66" s="389"/>
      <c r="JH66" s="389"/>
      <c r="JI66" s="389"/>
      <c r="JJ66" s="389"/>
      <c r="JK66" s="389"/>
      <c r="JL66" s="389"/>
      <c r="JM66" s="389"/>
      <c r="JN66" s="389"/>
      <c r="JO66" s="389"/>
      <c r="JT66" s="553"/>
    </row>
    <row r="67" spans="1:302" ht="11.1" hidden="1" customHeight="1" outlineLevel="1">
      <c r="A67" s="529">
        <v>1</v>
      </c>
      <c r="B67" s="989">
        <f>VLOOKUP(B65,'[2]IBAN CONTI'!A$1:B$65562,2,FALSE)</f>
        <v>1</v>
      </c>
      <c r="C67" s="989"/>
      <c r="D67" s="431"/>
      <c r="E67" s="932">
        <f>VLOOKUP(E66,'[2]IBAN CONTI'!A:B,2,FALSE)</f>
        <v>2</v>
      </c>
      <c r="F67" s="444" t="str">
        <f>IF(E67=1,"87,5","74")</f>
        <v>74</v>
      </c>
      <c r="G67" s="443">
        <f>VLOOKUP(G65,'[2]IBAN CONTI'!A$244:B$273,2,FALSE)</f>
        <v>17</v>
      </c>
      <c r="H67" s="431"/>
      <c r="I67" s="528"/>
      <c r="J67" s="431"/>
      <c r="K67" s="433">
        <f>VLOOKUP(K65,'[2]IBAN CONTI'!A$80:B$101,2,FALSE)</f>
        <v>1</v>
      </c>
      <c r="L67" s="833"/>
      <c r="M67" s="720"/>
      <c r="N67" s="223"/>
      <c r="O67" s="223"/>
      <c r="P67" s="284"/>
      <c r="Q67" s="280"/>
      <c r="R67" s="526"/>
      <c r="S67" s="15"/>
      <c r="T67" s="431"/>
      <c r="U67" s="15"/>
      <c r="V67" s="15"/>
      <c r="W67" s="15"/>
      <c r="X67" s="594">
        <f ca="1">X62-$AF$2</f>
        <v>-4662.6850547453723</v>
      </c>
      <c r="Y67" s="430"/>
      <c r="Z67" s="430"/>
      <c r="AA67" s="430"/>
      <c r="AB67" s="78"/>
      <c r="AC67" s="431"/>
      <c r="AD67" s="117"/>
      <c r="AE67" s="431"/>
      <c r="AF67" s="1012">
        <v>35031.5</v>
      </c>
      <c r="AG67" s="1012"/>
      <c r="AH67" s="552"/>
      <c r="AI67" s="552"/>
      <c r="AJ67" s="441" t="s">
        <v>172</v>
      </c>
      <c r="AK67" s="440">
        <f>VLOOKUP(AJ67,'[2]IBAN CONTI'!A$61:B$64,2,FALSE)</f>
        <v>1</v>
      </c>
      <c r="AL67" s="427">
        <f>AL64-AL65*(100-F67)/100</f>
        <v>100</v>
      </c>
      <c r="AM67" s="524" t="str">
        <f>IF(B67=2,10^((LOG(AL64/AL63))/AM64)-1,"")</f>
        <v/>
      </c>
      <c r="AN67" s="422">
        <f>IF(B67=4,A64*E62/100,IF(AF64=1,G62*E62/100,A63/E63*E62/100))</f>
        <v>1000</v>
      </c>
      <c r="AO67" s="425">
        <f>-AO65*(100-F66)/100</f>
        <v>0</v>
      </c>
      <c r="AP67" s="438">
        <f>IF(B67=2,(AN67-AP64+AN62+AN63)/G62*100,(AN67-AP63+AN62+AN63)/G62*100)</f>
        <v>100.44999999999999</v>
      </c>
      <c r="AQ67" s="423"/>
      <c r="AR67" s="555">
        <f>AL63</f>
        <v>100</v>
      </c>
      <c r="AS67" s="421"/>
      <c r="AT67" s="419"/>
      <c r="AU67" s="420"/>
      <c r="AV67" s="223"/>
      <c r="AW67" s="420"/>
      <c r="AX67" s="417"/>
      <c r="AY67" s="420"/>
      <c r="AZ67" s="223"/>
      <c r="BA67" s="419"/>
      <c r="BB67" s="223"/>
      <c r="BC67" s="223"/>
      <c r="BD67" s="223"/>
      <c r="BE67" s="223"/>
      <c r="BF67" s="416"/>
      <c r="BG67" s="418"/>
      <c r="BH67" s="416"/>
      <c r="BI67" s="416"/>
      <c r="BJ67" s="416"/>
      <c r="BK67" s="418"/>
      <c r="BL67" s="417"/>
      <c r="BM67" s="416"/>
      <c r="BN67" s="416"/>
      <c r="BO67" s="416"/>
      <c r="BP67" s="416"/>
      <c r="BQ67" s="416"/>
      <c r="BR67" s="416"/>
      <c r="BS67" s="416"/>
      <c r="BT67" s="389"/>
      <c r="BU67" s="389"/>
      <c r="BV67" s="389"/>
      <c r="BW67" s="389"/>
      <c r="BX67" s="415"/>
      <c r="BY67" s="389"/>
      <c r="BZ67" s="389"/>
      <c r="CA67" s="389"/>
      <c r="CB67" s="389"/>
      <c r="CC67" s="389"/>
      <c r="CD67" s="389"/>
      <c r="CE67" s="389"/>
      <c r="CF67" s="389"/>
      <c r="CG67" s="389"/>
      <c r="CH67" s="389"/>
      <c r="CI67" s="389"/>
      <c r="CJ67" s="389"/>
      <c r="CK67" s="389"/>
      <c r="CL67" s="389"/>
      <c r="CM67" s="389"/>
      <c r="CN67" s="389"/>
      <c r="CO67" s="389"/>
      <c r="CP67" s="389"/>
      <c r="CQ67" s="389"/>
      <c r="CR67" s="389"/>
      <c r="CS67" s="415"/>
      <c r="CT67" s="389"/>
      <c r="CU67" s="389"/>
      <c r="CV67" s="389"/>
      <c r="CW67" s="389"/>
      <c r="CX67" s="389"/>
      <c r="CY67" s="389"/>
      <c r="CZ67" s="389"/>
      <c r="DA67" s="389"/>
      <c r="DB67" s="389"/>
      <c r="DC67" s="389"/>
      <c r="DD67" s="389"/>
      <c r="DE67" s="389"/>
      <c r="DF67" s="389"/>
      <c r="DG67" s="389"/>
      <c r="DH67" s="389"/>
      <c r="DI67" s="389"/>
      <c r="DJ67" s="389"/>
      <c r="DK67" s="389"/>
      <c r="DL67" s="389"/>
      <c r="DM67" s="389"/>
      <c r="DN67" s="389"/>
      <c r="DO67" s="414"/>
      <c r="DP67" s="39"/>
      <c r="DQ67" s="39"/>
      <c r="DR67" s="39"/>
      <c r="DS67" s="136"/>
      <c r="DT67" s="136"/>
      <c r="DU67" s="136"/>
      <c r="DV67" s="136"/>
      <c r="DW67" s="136"/>
      <c r="DX67" s="136"/>
      <c r="DY67" s="136"/>
      <c r="DZ67" s="136"/>
      <c r="EA67" s="136"/>
      <c r="EB67" s="136"/>
      <c r="EC67" s="136"/>
      <c r="ED67" s="136"/>
      <c r="EE67" s="136"/>
      <c r="EF67" s="136"/>
      <c r="EG67" s="136"/>
      <c r="EH67" s="136"/>
      <c r="EI67" s="136"/>
      <c r="EJ67" s="136"/>
      <c r="EK67" s="136"/>
      <c r="EL67" s="136"/>
      <c r="EM67" s="136"/>
      <c r="EN67" s="136"/>
      <c r="EO67" s="136"/>
      <c r="EP67" s="136"/>
      <c r="EQ67" s="136"/>
      <c r="ER67" s="136"/>
      <c r="ES67" s="136"/>
      <c r="ET67" s="136"/>
      <c r="EU67" s="136"/>
      <c r="EV67" s="136"/>
      <c r="EW67" s="136"/>
      <c r="EX67" s="136"/>
      <c r="EY67" s="136"/>
      <c r="EZ67" s="136"/>
      <c r="FA67" s="136"/>
      <c r="FB67" s="136"/>
      <c r="FC67" s="136"/>
      <c r="FD67" s="136"/>
      <c r="FE67" s="136"/>
      <c r="FF67" s="136"/>
      <c r="FG67" s="136"/>
      <c r="FH67" s="136"/>
      <c r="FI67" s="136"/>
      <c r="FJ67" s="136"/>
      <c r="FK67" s="136"/>
      <c r="FL67" s="136"/>
      <c r="FM67" s="136"/>
      <c r="FN67" s="136"/>
      <c r="FO67" s="136"/>
      <c r="FP67" s="136"/>
      <c r="FQ67" s="136"/>
      <c r="FR67" s="412"/>
      <c r="FS67" s="412"/>
      <c r="FT67" s="412"/>
      <c r="FU67" s="412"/>
      <c r="FV67" s="412"/>
      <c r="FW67" s="412"/>
      <c r="FX67" s="412"/>
      <c r="FY67" s="412"/>
      <c r="FZ67" s="412"/>
      <c r="GA67" s="412"/>
      <c r="GB67" s="412"/>
      <c r="GC67" s="412"/>
      <c r="GD67" s="412"/>
      <c r="GE67" s="412"/>
      <c r="GF67" s="412"/>
      <c r="GG67" s="412"/>
      <c r="GH67" s="412"/>
      <c r="GI67" s="412"/>
      <c r="GJ67" s="412"/>
      <c r="GK67" s="412"/>
      <c r="GL67" s="412"/>
      <c r="GM67" s="412"/>
      <c r="GN67" s="412"/>
      <c r="GO67" s="412"/>
      <c r="GP67" s="412"/>
      <c r="GQ67" s="412"/>
      <c r="GR67" s="412"/>
      <c r="GS67" s="412"/>
      <c r="GT67" s="412"/>
      <c r="GU67" s="412"/>
      <c r="GV67" s="412"/>
      <c r="GW67" s="412"/>
      <c r="GX67" s="412"/>
      <c r="GY67" s="412"/>
      <c r="GZ67" s="412"/>
      <c r="HA67" s="412"/>
      <c r="HB67" s="412"/>
      <c r="HC67" s="412"/>
      <c r="HD67" s="412"/>
      <c r="HE67" s="412"/>
      <c r="HF67" s="412"/>
      <c r="HG67" s="136"/>
      <c r="HH67" s="136"/>
      <c r="HI67" s="136"/>
      <c r="HJ67" s="136"/>
      <c r="HK67" s="136"/>
      <c r="HL67" s="136"/>
      <c r="HM67" s="136"/>
      <c r="HN67" s="136"/>
      <c r="HO67" s="136"/>
      <c r="HP67" s="136"/>
      <c r="HQ67" s="136"/>
      <c r="HR67" s="136"/>
      <c r="HS67" s="136"/>
      <c r="HT67" s="136"/>
      <c r="HU67" s="278"/>
      <c r="HV67" s="277"/>
      <c r="HW67" s="277"/>
      <c r="HX67" s="277"/>
      <c r="HY67" s="277"/>
      <c r="HZ67" s="277"/>
      <c r="IA67" s="277"/>
      <c r="IB67" s="277"/>
      <c r="IC67" s="277"/>
      <c r="ID67" s="412"/>
      <c r="IE67" s="412"/>
      <c r="IF67" s="412"/>
      <c r="IG67" s="412"/>
      <c r="IH67" s="412"/>
      <c r="II67" s="412"/>
      <c r="IJ67" s="412"/>
      <c r="IK67" s="412"/>
      <c r="IL67" s="412"/>
      <c r="IM67" s="412"/>
      <c r="IN67" s="412"/>
      <c r="IO67" s="412"/>
      <c r="IP67" s="413"/>
      <c r="IQ67" s="389"/>
      <c r="IR67" s="389"/>
      <c r="IS67" s="389"/>
      <c r="IT67" s="389"/>
      <c r="IU67" s="389"/>
      <c r="IV67" s="389"/>
      <c r="IW67" s="389"/>
      <c r="IX67" s="389"/>
      <c r="IY67" s="389"/>
      <c r="IZ67" s="389"/>
      <c r="JA67" s="389"/>
      <c r="JB67" s="389"/>
      <c r="JC67" s="389"/>
      <c r="JD67" s="389"/>
      <c r="JE67" s="389"/>
      <c r="JF67" s="389"/>
      <c r="JG67" s="389"/>
      <c r="JH67" s="389"/>
      <c r="JI67" s="389"/>
      <c r="JJ67" s="389"/>
      <c r="JK67" s="389"/>
      <c r="JL67" s="389"/>
      <c r="JM67" s="389"/>
      <c r="JN67" s="389"/>
      <c r="JO67" s="389"/>
      <c r="JT67" s="553"/>
    </row>
    <row r="68" spans="1:302" s="14" customFormat="1" ht="15" hidden="1" customHeight="1" outlineLevel="1" collapsed="1">
      <c r="A68" s="3"/>
      <c r="B68" s="41"/>
      <c r="D68" s="23"/>
      <c r="E68" s="672"/>
      <c r="F68" s="3"/>
      <c r="K68" s="40"/>
      <c r="L68" s="836"/>
      <c r="M68" s="848"/>
      <c r="N68" s="609"/>
      <c r="O68" s="609"/>
      <c r="P68" s="3"/>
      <c r="Q68" s="280"/>
      <c r="R68" s="7"/>
      <c r="S68" s="600"/>
      <c r="T68" s="600"/>
      <c r="U68" s="600"/>
      <c r="V68" s="600"/>
      <c r="W68" s="600"/>
      <c r="X68" s="442"/>
      <c r="AB68" s="23"/>
      <c r="AG68" s="34"/>
      <c r="AH68" s="409"/>
      <c r="AI68" s="409"/>
      <c r="AJ68" s="409"/>
      <c r="AK68" s="409"/>
      <c r="AL68" s="32"/>
      <c r="AN68" s="32"/>
      <c r="AQ68" s="23"/>
      <c r="AR68" s="555"/>
      <c r="AS68" s="421"/>
      <c r="AT68" s="419"/>
      <c r="AU68" s="420"/>
      <c r="AV68" s="223"/>
      <c r="AW68" s="420"/>
      <c r="AX68" s="417"/>
      <c r="AY68" s="420"/>
      <c r="AZ68" s="223"/>
      <c r="BA68" s="419"/>
      <c r="BB68" s="223"/>
      <c r="BC68" s="223"/>
      <c r="BD68" s="223"/>
      <c r="BE68" s="223"/>
      <c r="BF68" s="416"/>
      <c r="BG68" s="418"/>
      <c r="BH68" s="416"/>
      <c r="BI68" s="416"/>
      <c r="BJ68" s="416"/>
      <c r="BK68" s="418"/>
      <c r="BL68" s="417"/>
      <c r="BM68" s="416"/>
      <c r="BN68" s="416"/>
      <c r="BO68" s="416"/>
      <c r="BP68" s="416"/>
      <c r="BQ68" s="416"/>
      <c r="BR68" s="416"/>
      <c r="BS68" s="416"/>
      <c r="BT68" s="389"/>
      <c r="BU68" s="389"/>
      <c r="BV68" s="389"/>
      <c r="BW68" s="389"/>
      <c r="BX68" s="415"/>
      <c r="BY68" s="389"/>
      <c r="BZ68" s="389"/>
      <c r="CA68" s="389"/>
      <c r="CB68" s="389"/>
      <c r="CC68" s="389"/>
      <c r="CD68" s="389"/>
      <c r="CE68" s="389"/>
      <c r="CF68" s="389"/>
      <c r="CG68" s="389"/>
      <c r="CH68" s="389"/>
      <c r="CI68" s="389"/>
      <c r="CJ68" s="389"/>
      <c r="CK68" s="389"/>
      <c r="CL68" s="389"/>
      <c r="CM68" s="389"/>
      <c r="CN68" s="389"/>
      <c r="CO68" s="389"/>
      <c r="CP68" s="389"/>
      <c r="CQ68" s="389"/>
      <c r="CR68" s="389"/>
      <c r="CS68" s="415"/>
      <c r="CT68" s="389"/>
      <c r="CU68" s="389"/>
      <c r="CV68" s="389"/>
      <c r="CW68" s="389"/>
      <c r="CX68" s="389"/>
      <c r="CY68" s="389"/>
      <c r="CZ68" s="389"/>
      <c r="DA68" s="389"/>
      <c r="DB68" s="389"/>
      <c r="DC68" s="389"/>
      <c r="DD68" s="389"/>
      <c r="DE68" s="389"/>
      <c r="DF68" s="389"/>
      <c r="DG68" s="389"/>
      <c r="DH68" s="389"/>
      <c r="DI68" s="389"/>
      <c r="DJ68" s="389"/>
      <c r="DK68" s="389"/>
      <c r="DL68" s="389"/>
      <c r="DM68" s="389"/>
      <c r="DN68" s="389"/>
      <c r="DO68" s="414"/>
      <c r="DP68" s="39"/>
      <c r="DQ68" s="39"/>
      <c r="DR68" s="39"/>
      <c r="DS68" s="136"/>
      <c r="DT68" s="136"/>
      <c r="DU68" s="136"/>
      <c r="DV68" s="136"/>
      <c r="DW68" s="136"/>
      <c r="DX68" s="136"/>
      <c r="DY68" s="136"/>
      <c r="DZ68" s="136"/>
      <c r="EA68" s="136"/>
      <c r="EB68" s="136"/>
      <c r="EC68" s="136"/>
      <c r="ED68" s="136"/>
      <c r="EE68" s="136"/>
      <c r="EF68" s="136"/>
      <c r="EG68" s="136"/>
      <c r="EH68" s="136"/>
      <c r="EI68" s="136"/>
      <c r="EJ68" s="136"/>
      <c r="EK68" s="136"/>
      <c r="EL68" s="136"/>
      <c r="EM68" s="136"/>
      <c r="EN68" s="136"/>
      <c r="EO68" s="136"/>
      <c r="EP68" s="136"/>
      <c r="EQ68" s="136"/>
      <c r="ER68" s="136"/>
      <c r="ES68" s="136"/>
      <c r="ET68" s="136"/>
      <c r="EU68" s="136"/>
      <c r="EV68" s="136"/>
      <c r="EW68" s="136"/>
      <c r="EX68" s="136"/>
      <c r="EY68" s="136"/>
      <c r="EZ68" s="136"/>
      <c r="FA68" s="136"/>
      <c r="FB68" s="136"/>
      <c r="FC68" s="136"/>
      <c r="FD68" s="136"/>
      <c r="FE68" s="136"/>
      <c r="FF68" s="136"/>
      <c r="FG68" s="136"/>
      <c r="FH68" s="136"/>
      <c r="FI68" s="136"/>
      <c r="FJ68" s="136"/>
      <c r="FK68" s="136"/>
      <c r="FL68" s="136"/>
      <c r="FM68" s="136"/>
      <c r="FN68" s="136"/>
      <c r="FO68" s="136"/>
      <c r="FP68" s="136"/>
      <c r="FQ68" s="136"/>
      <c r="FR68" s="412"/>
      <c r="FS68" s="412"/>
      <c r="FT68" s="412"/>
      <c r="FU68" s="412"/>
      <c r="FV68" s="412"/>
      <c r="FW68" s="412"/>
      <c r="FX68" s="412"/>
      <c r="FY68" s="412"/>
      <c r="FZ68" s="412"/>
      <c r="GA68" s="412"/>
      <c r="GB68" s="412"/>
      <c r="GC68" s="412"/>
      <c r="GD68" s="412"/>
      <c r="GE68" s="412"/>
      <c r="GF68" s="412"/>
      <c r="GG68" s="412"/>
      <c r="GH68" s="412"/>
      <c r="GI68" s="412"/>
      <c r="GJ68" s="412"/>
      <c r="GK68" s="412"/>
      <c r="GL68" s="412"/>
      <c r="GM68" s="412"/>
      <c r="GN68" s="412"/>
      <c r="GO68" s="412"/>
      <c r="GP68" s="412"/>
      <c r="GQ68" s="412"/>
      <c r="GR68" s="412"/>
      <c r="GS68" s="412"/>
      <c r="GT68" s="412"/>
      <c r="GU68" s="412"/>
      <c r="GV68" s="412"/>
      <c r="GW68" s="412"/>
      <c r="GX68" s="412"/>
      <c r="GY68" s="412"/>
      <c r="GZ68" s="412"/>
      <c r="HA68" s="412"/>
      <c r="HB68" s="412"/>
      <c r="HC68" s="412"/>
      <c r="HD68" s="412"/>
      <c r="HE68" s="412"/>
      <c r="HF68" s="412"/>
      <c r="HG68" s="136"/>
      <c r="HH68" s="136"/>
      <c r="HI68" s="136"/>
      <c r="HJ68" s="136"/>
      <c r="HK68" s="136"/>
      <c r="HL68" s="136"/>
      <c r="HM68" s="136"/>
      <c r="HN68" s="136"/>
      <c r="HO68" s="136"/>
      <c r="HP68" s="136"/>
      <c r="HQ68" s="136"/>
      <c r="HR68" s="136"/>
      <c r="HS68" s="136"/>
      <c r="HT68" s="136"/>
      <c r="HU68" s="278"/>
      <c r="HV68" s="277"/>
      <c r="HW68" s="277"/>
      <c r="HX68" s="277"/>
      <c r="HY68" s="277"/>
      <c r="HZ68" s="277"/>
      <c r="IA68" s="277"/>
      <c r="IB68" s="277"/>
      <c r="IC68" s="277"/>
      <c r="ID68" s="412"/>
      <c r="IE68" s="412"/>
      <c r="IF68" s="412"/>
      <c r="IG68" s="412"/>
      <c r="IH68" s="412"/>
      <c r="II68" s="412"/>
      <c r="IJ68" s="412"/>
      <c r="IK68" s="412"/>
      <c r="IL68" s="412"/>
      <c r="IM68" s="412"/>
      <c r="IN68" s="412"/>
      <c r="IO68" s="412"/>
      <c r="IP68" s="412"/>
      <c r="IQ68" s="389"/>
      <c r="IR68" s="389"/>
      <c r="IS68" s="389"/>
      <c r="IT68" s="389"/>
      <c r="IU68" s="389"/>
      <c r="IV68" s="389"/>
      <c r="IW68" s="389"/>
      <c r="IX68" s="389"/>
      <c r="IY68" s="389"/>
      <c r="IZ68" s="389"/>
      <c r="JA68" s="389"/>
      <c r="JB68" s="389"/>
      <c r="JC68" s="389"/>
      <c r="JD68" s="389"/>
      <c r="JE68" s="389"/>
      <c r="JF68" s="389"/>
      <c r="JG68" s="389"/>
      <c r="JH68" s="389"/>
      <c r="JI68" s="389"/>
      <c r="JJ68" s="389"/>
      <c r="JK68" s="389"/>
      <c r="JL68" s="389"/>
      <c r="JM68" s="389"/>
      <c r="JN68" s="389"/>
      <c r="JO68" s="389"/>
      <c r="JT68" s="553"/>
    </row>
    <row r="69" spans="1:302" s="1" customFormat="1" ht="5.0999999999999996" customHeight="1" collapsed="1">
      <c r="A69" s="411"/>
      <c r="B69" s="598"/>
      <c r="C69" s="547"/>
      <c r="D69" s="940"/>
      <c r="E69" s="599"/>
      <c r="F69" s="385"/>
      <c r="G69" s="492"/>
      <c r="H69" s="492"/>
      <c r="I69" s="434"/>
      <c r="J69" s="492"/>
      <c r="K69" s="757"/>
      <c r="L69" s="840"/>
      <c r="M69" s="720"/>
      <c r="N69" s="223"/>
      <c r="O69" s="223"/>
      <c r="P69" s="733">
        <v>116.56</v>
      </c>
      <c r="Q69" s="756"/>
      <c r="R69" s="756"/>
      <c r="S69" s="6"/>
      <c r="T69" s="492"/>
      <c r="AB69" s="9"/>
      <c r="AC69" s="492"/>
      <c r="AD69" s="174"/>
      <c r="AE69" s="492"/>
      <c r="AF69" s="382"/>
      <c r="AG69" s="382"/>
      <c r="AH69" s="511"/>
      <c r="AI69" s="511"/>
      <c r="AJ69" s="469"/>
      <c r="AK69" s="510"/>
      <c r="AL69" s="22"/>
      <c r="AM69" s="374"/>
      <c r="AN69" s="422"/>
      <c r="AO69" s="381"/>
      <c r="AP69" s="381"/>
      <c r="AQ69" s="381"/>
      <c r="AR69" s="32"/>
      <c r="AS69" s="15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HU69" s="10"/>
      <c r="JT69" s="380"/>
    </row>
    <row r="70" spans="1:302" s="1" customFormat="1" ht="11.1" customHeight="1">
      <c r="A70" s="497" t="s">
        <v>235</v>
      </c>
      <c r="B70" s="590" t="s">
        <v>194</v>
      </c>
      <c r="C70" s="974">
        <v>47063</v>
      </c>
      <c r="D70" s="201">
        <v>45236</v>
      </c>
      <c r="E70" s="762">
        <v>101.95</v>
      </c>
      <c r="F70" s="490">
        <v>7.7499999999999999E-2</v>
      </c>
      <c r="G70" s="383">
        <v>1000</v>
      </c>
      <c r="H70" s="492">
        <f>G70</f>
        <v>1000</v>
      </c>
      <c r="I70" s="385">
        <f>G70*F70/100*F75</f>
        <v>57.35</v>
      </c>
      <c r="J70" s="492">
        <f>I70</f>
        <v>57.35</v>
      </c>
      <c r="K70" s="574" t="s">
        <v>179</v>
      </c>
      <c r="L70" s="833">
        <f>MONTH(C70)</f>
        <v>11</v>
      </c>
      <c r="M70" s="842">
        <f>IFERROR(IF(N70&gt;12,N70-12,N70),"")</f>
        <v>5</v>
      </c>
      <c r="N70" s="594">
        <f>IF(K72=1,"",MONTH(C70)+6)</f>
        <v>17</v>
      </c>
      <c r="O70" s="832">
        <f>IF(K72=1,I70,I70/2)</f>
        <v>28.675000000000001</v>
      </c>
      <c r="P70" s="215">
        <f>VLOOKUP(B71,[2]Prezzi!$A$2:$R$125,18,FALSE)</f>
        <v>105.90500259399414</v>
      </c>
      <c r="Q70" s="726"/>
      <c r="R70" s="22"/>
      <c r="S70" s="493">
        <f ca="1">MAX(0,IF(B75=5,I70/AM72*X70,(((((F70)*AF$2)/365)*G70*F75/100)+((((F70)*X75)/365)*G70*F75/100))))</f>
        <v>1.0998630136984957</v>
      </c>
      <c r="T70" s="492">
        <f ca="1">S70</f>
        <v>1.0998630136984957</v>
      </c>
      <c r="U70" s="469"/>
      <c r="V70" s="4"/>
      <c r="W70" s="469"/>
      <c r="X70" s="491">
        <f ca="1">IF(B75=4,COUPDAYBS($AB$2,C70,K72,AH74),IF($AB$2-AL70&lt;365,IF(K72&gt;1,FLOOR(365/K72-(E72-AB$2),1),IF(B75=2,0,IF(AL70&gt;$AB$2,0,IF(AND(E72-AL70&lt;365,$AB$2&lt;E72),$AB$2-AL70,COUPDAYBS($AB$2,C70,K72,AH74))))),COUPDAYBS($AB$2,C70,K72,AH74)))</f>
        <v>7</v>
      </c>
      <c r="Y70" s="456">
        <f ca="1">G70*AF70</f>
        <v>3449.1773534632962</v>
      </c>
      <c r="Z70" s="456">
        <f ca="1">IF(G70=0,"0",G70*AG70)</f>
        <v>44.826860243444187</v>
      </c>
      <c r="AA70" s="22"/>
      <c r="AB70" s="979">
        <f ca="1">IF(B75=5,(((I70/AM73)*X70)+(G70)),(G70*P70*A75/100)+(S70*A75))</f>
        <v>1060.1498889536399</v>
      </c>
      <c r="AC70" s="492">
        <f ca="1">AB70</f>
        <v>1060.1498889536399</v>
      </c>
      <c r="AD70" s="290">
        <f>IF(E71="",((P70-E70)/100)*G70,((((P70-E70)/100)*A71)/F71)+((A71/F71)-(A71/E71)))</f>
        <v>39.550025939941378</v>
      </c>
      <c r="AE70" s="492">
        <f>AD70</f>
        <v>39.550025939941378</v>
      </c>
      <c r="AF70" s="446">
        <f ca="1">IF(B75=1,MDURATION($AB$2,C70,F70,AG70,K72,AH74),IF(B75=2,YEARFRAC(C70,$AB$2,AH74)))</f>
        <v>3.4491773534632961</v>
      </c>
      <c r="AG70" s="824">
        <f ca="1">YIELD(AB$2,C70,F70,P70,AL72,K72,AH74)*F75/100</f>
        <v>4.4826860243444185E-2</v>
      </c>
      <c r="AH70" s="489">
        <f ca="1">(((F70)*X70)/365)*F75</f>
        <v>0.10998630136986301</v>
      </c>
      <c r="AI70" s="489"/>
      <c r="AJ70" s="180"/>
      <c r="AK70" s="546"/>
      <c r="AL70" s="201">
        <v>45236</v>
      </c>
      <c r="AM70" s="374" t="s">
        <v>493</v>
      </c>
      <c r="AN70" s="213">
        <v>85.64</v>
      </c>
      <c r="AO70" s="484">
        <f>IF(B75=4,AP73*A72/100,IF(AF72=1,G70*AP73/100,A71/E71/100*AP73))</f>
        <v>0.42581999999999992</v>
      </c>
      <c r="AP70" s="188">
        <f>IF(B75=2,AN75+AN70+AN71+AP71,AN75+AN70+AN71+AO70+AO71+AP71)</f>
        <v>1108.9551068000001</v>
      </c>
      <c r="AQ70" s="326">
        <f>AP70</f>
        <v>1108.9551068000001</v>
      </c>
      <c r="AR70" s="483">
        <f>AR72+AR74+AR71</f>
        <v>1057.3499999999999</v>
      </c>
      <c r="AS70" s="825">
        <f ca="1">AG70</f>
        <v>4.4826860243444185E-2</v>
      </c>
      <c r="AT70" s="419">
        <f>IF(B75=1,G70,"")</f>
        <v>1000</v>
      </c>
      <c r="AU70" s="420" t="str">
        <f>IF(B75=2,G70,"")</f>
        <v/>
      </c>
      <c r="AV70" s="223" t="str">
        <f>IF(B75=3,G70,"")</f>
        <v/>
      </c>
      <c r="AW70" s="420" t="str">
        <f>IF(B75=4,G70,"")</f>
        <v/>
      </c>
      <c r="AX70" s="417" t="str">
        <f>IF(B75=5,G70,"")</f>
        <v/>
      </c>
      <c r="AY70" s="420" t="str">
        <f>IF(B75=6,G70,"")</f>
        <v/>
      </c>
      <c r="AZ70" s="223" t="str">
        <f>IF(B75=7,G70,"")</f>
        <v/>
      </c>
      <c r="BA70" s="419" t="str">
        <f>IF(B72=1,G70,"")</f>
        <v/>
      </c>
      <c r="BB70" s="223" t="str">
        <f>IF(B72=2,G70,"")</f>
        <v/>
      </c>
      <c r="BC70" s="223" t="str">
        <f>IF(B72=3,G70,"")</f>
        <v/>
      </c>
      <c r="BD70" s="223" t="str">
        <f>IF(B72=4,G70,"")</f>
        <v/>
      </c>
      <c r="BE70" s="223" t="str">
        <f>IF(B72=5,G70,"")</f>
        <v/>
      </c>
      <c r="BF70" s="417">
        <f>IF(B72=6,G70,"")</f>
        <v>1000</v>
      </c>
      <c r="BG70" s="419">
        <f>IF(AK75=1,G70,"")</f>
        <v>1000</v>
      </c>
      <c r="BH70" s="223" t="str">
        <f>IF(AK75=2,G70,"")</f>
        <v/>
      </c>
      <c r="BI70" s="223" t="str">
        <f>IF(AK75=3,G70,"")</f>
        <v/>
      </c>
      <c r="BJ70" s="223" t="str">
        <f>IF(AK75=4,G70,"")</f>
        <v/>
      </c>
      <c r="BK70" s="419" t="str">
        <f>IF(AJ74=1,G70,"")</f>
        <v/>
      </c>
      <c r="BL70" s="482" t="str">
        <f>IF(BK70&lt;&gt;"",AB70,"")</f>
        <v/>
      </c>
      <c r="BM70" s="223" t="str">
        <f>IF(AJ74=2,G70,"")</f>
        <v/>
      </c>
      <c r="BN70" s="223" t="str">
        <f>IF(BM70&lt;&gt;"",AB70,"")</f>
        <v/>
      </c>
      <c r="BO70" s="223" t="str">
        <f>IF(AJ74=3,G70,"")</f>
        <v/>
      </c>
      <c r="BP70" s="223" t="str">
        <f>IF(AJ74=4,G70,"")</f>
        <v/>
      </c>
      <c r="BQ70" s="223" t="str">
        <f>IF(AJ74=5,G70,"")</f>
        <v/>
      </c>
      <c r="BR70" s="223" t="str">
        <f>IF(AJ74=6,G70,"")</f>
        <v/>
      </c>
      <c r="BS70" s="223" t="str">
        <f>IF(AJ74=7,G70,"")</f>
        <v/>
      </c>
      <c r="BT70" s="223" t="str">
        <f>IF(AJ74=8,G70,"")</f>
        <v/>
      </c>
      <c r="BU70" s="223">
        <f>IF(AJ74=9,G70,"")</f>
        <v>1000</v>
      </c>
      <c r="BV70" s="223" t="str">
        <f>IF(AJ74=10,G70,"")</f>
        <v/>
      </c>
      <c r="BW70" s="223" t="str">
        <f>IF(AJ74=11,G70,"")</f>
        <v/>
      </c>
      <c r="BX70" s="419">
        <f>IF(AF72=1,G70,"")</f>
        <v>1000</v>
      </c>
      <c r="BY70" s="223" t="str">
        <f>IF(AF72=2,G70,"")</f>
        <v/>
      </c>
      <c r="BZ70" s="223" t="str">
        <f>IF(AF72=3,G70,"")</f>
        <v/>
      </c>
      <c r="CA70" s="223" t="str">
        <f>IF(AF72=4,G70,"")</f>
        <v/>
      </c>
      <c r="CB70" s="223" t="str">
        <f>IF(AF72=5,G70,"")</f>
        <v/>
      </c>
      <c r="CC70" s="223" t="str">
        <f>IF(AF72=6,G70,"")</f>
        <v/>
      </c>
      <c r="CD70" s="223" t="str">
        <f>IF(AF72=7,G70,"")</f>
        <v/>
      </c>
      <c r="CE70" s="223" t="str">
        <f>IF(AF72=8,G70,"")</f>
        <v/>
      </c>
      <c r="CF70" s="223" t="str">
        <f>IF(AF72=9,G70,"")</f>
        <v/>
      </c>
      <c r="CG70" s="223" t="str">
        <f>IF(AF72=10,G70,"")</f>
        <v/>
      </c>
      <c r="CH70" s="223" t="str">
        <f>IF(AF72=11,G70,"")</f>
        <v/>
      </c>
      <c r="CI70" s="223" t="str">
        <f>IF(AF72=12,G70,"")</f>
        <v/>
      </c>
      <c r="CJ70" s="223" t="str">
        <f>IF(AF72=13,G70,"")</f>
        <v/>
      </c>
      <c r="CK70" s="223" t="str">
        <f>IF(AF72=14,G70,"")</f>
        <v/>
      </c>
      <c r="CL70" s="223" t="str">
        <f>IF(AF72=15,G70,"")</f>
        <v/>
      </c>
      <c r="CM70" s="223" t="str">
        <f>IF(AF72=16,G70,"")</f>
        <v/>
      </c>
      <c r="CN70" s="223" t="str">
        <f>IF(AF72=17,G70,"")</f>
        <v/>
      </c>
      <c r="CO70" s="223" t="str">
        <f>IF(AF72=18,G70,"")</f>
        <v/>
      </c>
      <c r="CP70" s="223" t="str">
        <f>IF(AF72=19,G70,"")</f>
        <v/>
      </c>
      <c r="CQ70" s="223" t="str">
        <f>IF(AF72=20,G70,"")</f>
        <v/>
      </c>
      <c r="CR70" s="223" t="str">
        <f>IF(AF72=21,G70,"")</f>
        <v/>
      </c>
      <c r="CS70" s="419">
        <f>IF(K75=1,G70,"")</f>
        <v>1000</v>
      </c>
      <c r="CT70" s="223" t="str">
        <f>IF(K75=2,G70,"")</f>
        <v/>
      </c>
      <c r="CU70" s="223" t="str">
        <f>IF(K75=3,G70,"")</f>
        <v/>
      </c>
      <c r="CV70" s="223" t="str">
        <f>IF(K75=4,G70,"")</f>
        <v/>
      </c>
      <c r="CW70" s="223" t="str">
        <f>IF(K75=5,G70,"")</f>
        <v/>
      </c>
      <c r="CX70" s="223" t="str">
        <f>IF(K75=6,G70,"")</f>
        <v/>
      </c>
      <c r="CY70" s="223" t="str">
        <f>IF(K75=7,G70,"")</f>
        <v/>
      </c>
      <c r="CZ70" s="223" t="str">
        <f>IF(K75=8,G70,"")</f>
        <v/>
      </c>
      <c r="DA70" s="223" t="str">
        <f>IF(K75=9,G70,"")</f>
        <v/>
      </c>
      <c r="DB70" s="223" t="str">
        <f>IF(K75=10,G70,"")</f>
        <v/>
      </c>
      <c r="DC70" s="223" t="str">
        <f>IF(K75=11,G70,"")</f>
        <v/>
      </c>
      <c r="DD70" s="223" t="str">
        <f>IF(K75=12,G70,"")</f>
        <v/>
      </c>
      <c r="DE70" s="223" t="str">
        <f>IF(K75=13,G70,"")</f>
        <v/>
      </c>
      <c r="DF70" s="223" t="str">
        <f>IF(K75=14,G70,"")</f>
        <v/>
      </c>
      <c r="DG70" s="223" t="str">
        <f>IF(K75=15,G70,"")</f>
        <v/>
      </c>
      <c r="DH70" s="223" t="str">
        <f>IF(K75=16,G70,"")</f>
        <v/>
      </c>
      <c r="DI70" s="223" t="str">
        <f>IF(K75=17,G70,"")</f>
        <v/>
      </c>
      <c r="DJ70" s="223" t="str">
        <f>IF(K75=18,G70,"")</f>
        <v/>
      </c>
      <c r="DK70" s="223" t="str">
        <f>IF(K75=19,G70,"")</f>
        <v/>
      </c>
      <c r="DL70" s="223" t="str">
        <f>IF(K75=20,G70,"")</f>
        <v/>
      </c>
      <c r="DM70" s="223"/>
      <c r="DN70" s="223"/>
      <c r="DO70" s="419" t="str">
        <f>IF(AG72=1,G70,"")</f>
        <v/>
      </c>
      <c r="DP70" s="223" t="str">
        <f>IF(AG72=2,G70,"")</f>
        <v/>
      </c>
      <c r="DQ70" s="223" t="str">
        <f>IF(AG72=3,G70,"")</f>
        <v/>
      </c>
      <c r="DR70" s="223" t="str">
        <f>IF(AG72=4,G70,"")</f>
        <v/>
      </c>
      <c r="DS70" s="223" t="str">
        <f>IF(AG72=5,G70,"")</f>
        <v/>
      </c>
      <c r="DT70" s="223" t="str">
        <f>IF(AG72=6,G70,"")</f>
        <v/>
      </c>
      <c r="DU70" s="223" t="str">
        <f>IF(AG72=7,G70,"")</f>
        <v/>
      </c>
      <c r="DV70" s="223" t="str">
        <f>IF(AG72=8,G70,"")</f>
        <v/>
      </c>
      <c r="DW70" s="136" t="str">
        <f>IF(AG72=9,G70,"")</f>
        <v/>
      </c>
      <c r="DX70" s="136" t="str">
        <f>IF(AG72=10,G70,"")</f>
        <v/>
      </c>
      <c r="DY70" s="136" t="str">
        <f>IF(AG72=11,G70,"")</f>
        <v/>
      </c>
      <c r="DZ70" s="136" t="str">
        <f>IF(AG72=12,G70,"")</f>
        <v/>
      </c>
      <c r="EA70" s="136" t="str">
        <f>IF(AG72=13,G70,"")</f>
        <v/>
      </c>
      <c r="EB70" s="136" t="str">
        <f>IF(AG72=14,G70,"")</f>
        <v/>
      </c>
      <c r="EC70" s="317" t="str">
        <f>IF(AG72=15,G70,"")</f>
        <v/>
      </c>
      <c r="ED70" s="136" t="str">
        <f>IF(AG72=16,G70,"")</f>
        <v/>
      </c>
      <c r="EE70" s="136" t="str">
        <f>IF(AG72=17,G70,"")</f>
        <v/>
      </c>
      <c r="EF70" s="136" t="str">
        <f>IF(AG72=18,G70,"")</f>
        <v/>
      </c>
      <c r="EG70" s="136" t="str">
        <f>IF(AG72=19,G70,"")</f>
        <v/>
      </c>
      <c r="EH70" s="136" t="str">
        <f>IF(AG72=20,G70,"")</f>
        <v/>
      </c>
      <c r="EI70" s="136" t="str">
        <f>IF(AG72=21,G70,"")</f>
        <v/>
      </c>
      <c r="EJ70" s="136" t="str">
        <f>IF(AG72=22,G70,"")</f>
        <v/>
      </c>
      <c r="EK70" s="136" t="str">
        <f>IF(AG72=23,G70,"")</f>
        <v/>
      </c>
      <c r="EL70" s="136" t="str">
        <f>IF(AG72=24,G70,"")</f>
        <v/>
      </c>
      <c r="EM70" s="136" t="str">
        <f>IF(AG72=25,G70,"")</f>
        <v/>
      </c>
      <c r="EN70" s="136" t="str">
        <f>IF(AG72=26,G70,"")</f>
        <v/>
      </c>
      <c r="EO70" s="136" t="str">
        <f>IF(AG72=27,G70,"")</f>
        <v/>
      </c>
      <c r="EP70" s="136" t="str">
        <f>IF(AG72=28,G70,"")</f>
        <v/>
      </c>
      <c r="EQ70" s="136" t="str">
        <f>IF(AG72=29,G70,"")</f>
        <v/>
      </c>
      <c r="ER70" s="136" t="str">
        <f>IF(AG72=30,G70,"")</f>
        <v/>
      </c>
      <c r="ES70" s="136" t="str">
        <f>IF(AG72=31,G70,"")</f>
        <v/>
      </c>
      <c r="ET70" s="136" t="str">
        <f>IF(AG72=32,G70,"")</f>
        <v/>
      </c>
      <c r="EU70" s="136" t="str">
        <f>IF(AG72=33,G70,"")</f>
        <v/>
      </c>
      <c r="EV70" s="136" t="str">
        <f>IF(AG72=34,G70,"")</f>
        <v/>
      </c>
      <c r="EW70" s="136" t="str">
        <f>IF(AG72=35,G70,"")</f>
        <v/>
      </c>
      <c r="EX70" s="136" t="str">
        <f>IF(AG72=36,G70,"")</f>
        <v/>
      </c>
      <c r="EY70" s="136" t="str">
        <f>IF(AG72=37,G70,"")</f>
        <v/>
      </c>
      <c r="EZ70" s="136" t="str">
        <f>IF(AG72=38,G70,"")</f>
        <v/>
      </c>
      <c r="FA70" s="136" t="str">
        <f>IF(AG72=39,G70,"")</f>
        <v/>
      </c>
      <c r="FB70" s="136" t="str">
        <f>IF(AG72=40,G70,"")</f>
        <v/>
      </c>
      <c r="FC70" s="136" t="str">
        <f>IF(AG72=41,G70,"")</f>
        <v/>
      </c>
      <c r="FD70" s="136" t="str">
        <f>IF(AG72=42,G70,"")</f>
        <v/>
      </c>
      <c r="FE70" s="136" t="str">
        <f>IF(AG72=43,G70,"")</f>
        <v/>
      </c>
      <c r="FF70" s="136" t="str">
        <f>IF(AG72=44,G70,"")</f>
        <v/>
      </c>
      <c r="FG70" s="136" t="str">
        <f>IF(AG72=45,G70,"")</f>
        <v/>
      </c>
      <c r="FH70" s="136" t="str">
        <f>IF(AG72=46,G70,"")</f>
        <v/>
      </c>
      <c r="FI70" s="136" t="str">
        <f>IF(AG72=47,G70,"")</f>
        <v/>
      </c>
      <c r="FJ70" s="136" t="str">
        <f>IF(AG72=48,G70,"")</f>
        <v/>
      </c>
      <c r="FK70" s="136" t="str">
        <f>IF(AG72=49,G70,"")</f>
        <v/>
      </c>
      <c r="FL70" s="136" t="str">
        <f>IF(AG72=50,G70,"")</f>
        <v/>
      </c>
      <c r="FM70" s="136" t="str">
        <f>IF(AG72=51,G70,"")</f>
        <v/>
      </c>
      <c r="FN70" s="136" t="str">
        <f>IF(AG72=52,G70,"")</f>
        <v/>
      </c>
      <c r="FO70" s="136" t="str">
        <f>IF(AG72=53,G70,"")</f>
        <v/>
      </c>
      <c r="FP70" s="136" t="str">
        <f>IF(AG72=54,G70,"")</f>
        <v/>
      </c>
      <c r="FQ70" s="136" t="str">
        <f>IF(AG72=55,G70,"")</f>
        <v/>
      </c>
      <c r="FR70" s="412" t="str">
        <f>IF(AG72=56,G70,"")</f>
        <v/>
      </c>
      <c r="FS70" s="412" t="str">
        <f>IF(AG72=57,G70,"")</f>
        <v/>
      </c>
      <c r="FT70" s="412" t="str">
        <f>IF(AG72=58,G70,"")</f>
        <v/>
      </c>
      <c r="FU70" s="412" t="str">
        <f>IF(AG72=59,G70,"")</f>
        <v/>
      </c>
      <c r="FV70" s="412" t="str">
        <f>IF(AG72=60,G70,"")</f>
        <v/>
      </c>
      <c r="FW70" s="412" t="str">
        <f>IF(AG72=61,G70,"")</f>
        <v/>
      </c>
      <c r="FX70" s="412" t="str">
        <f>IF(AG72=62,G70,"")</f>
        <v/>
      </c>
      <c r="FY70" s="412" t="str">
        <f>IF(AG72=63,G70,"")</f>
        <v/>
      </c>
      <c r="FZ70" s="412" t="str">
        <f>IF(AG72=64,G70,"")</f>
        <v/>
      </c>
      <c r="GA70" s="412" t="str">
        <f>IF(AG72=65,G70,"")</f>
        <v/>
      </c>
      <c r="GB70" s="412" t="str">
        <f>IF(AG72=66,G70,"")</f>
        <v/>
      </c>
      <c r="GC70" s="412" t="str">
        <f>IF(AG72=67,G70,"")</f>
        <v/>
      </c>
      <c r="GD70" s="412" t="str">
        <f>IF(AG72=68,G70,"")</f>
        <v/>
      </c>
      <c r="GE70" s="412" t="str">
        <f>IF(AG72=69,G70,"")</f>
        <v/>
      </c>
      <c r="GF70" s="412" t="str">
        <f>IF(AG72=70,G70,"")</f>
        <v/>
      </c>
      <c r="GG70" s="412" t="str">
        <f>IF(AG72=71,G70,"")</f>
        <v/>
      </c>
      <c r="GH70" s="412" t="str">
        <f>IF(AG72=72,G70,"")</f>
        <v/>
      </c>
      <c r="GI70" s="412" t="str">
        <f>IF(AG72=73,G70,"")</f>
        <v/>
      </c>
      <c r="GJ70" s="412" t="str">
        <f>IF(AG72=74,G70,"")</f>
        <v/>
      </c>
      <c r="GK70" s="412" t="str">
        <f>IF(AG72=75,G70,"")</f>
        <v/>
      </c>
      <c r="GL70" s="412" t="str">
        <f>IF(AG72=76,G70,"")</f>
        <v/>
      </c>
      <c r="GM70" s="412" t="str">
        <f>IF(AG72=77,G70,"")</f>
        <v/>
      </c>
      <c r="GN70" s="412" t="str">
        <f>IF(AG72=78,G70,"")</f>
        <v/>
      </c>
      <c r="GO70" s="412" t="str">
        <f>IF(AG72=79,G70,"")</f>
        <v/>
      </c>
      <c r="GP70" s="412" t="str">
        <f>IF(AG72=80,G70,"")</f>
        <v/>
      </c>
      <c r="GQ70" s="412" t="str">
        <f>IF(AG72=81,G70,"")</f>
        <v/>
      </c>
      <c r="GR70" s="412" t="str">
        <f>IF(AG72=82,G70,"")</f>
        <v/>
      </c>
      <c r="GS70" s="412" t="str">
        <f>IF(AG72=83,G70,"")</f>
        <v/>
      </c>
      <c r="GT70" s="412" t="str">
        <f>IF(AG72=84,G70,"")</f>
        <v/>
      </c>
      <c r="GU70" s="412" t="str">
        <f>IF(AG72=85,G70,"")</f>
        <v/>
      </c>
      <c r="GV70" s="412" t="str">
        <f>IF(AG72=86,G70,"")</f>
        <v/>
      </c>
      <c r="GW70" s="412" t="str">
        <f>IF(AG72=87,G70,"")</f>
        <v/>
      </c>
      <c r="GX70" s="412" t="str">
        <f>IF(AG72=88,G70,"")</f>
        <v/>
      </c>
      <c r="GY70" s="412" t="str">
        <f>IF(AG72=89,G70,"")</f>
        <v/>
      </c>
      <c r="GZ70" s="412" t="str">
        <f>IF(AG72=90,G70,"")</f>
        <v/>
      </c>
      <c r="HA70" s="412" t="str">
        <f>IF(AG72=91,G70,"")</f>
        <v/>
      </c>
      <c r="HB70" s="412" t="str">
        <f>IF(AG72=92,G70,"")</f>
        <v/>
      </c>
      <c r="HC70" s="412">
        <f>IF(AG72=93,G70,"")</f>
        <v>1000</v>
      </c>
      <c r="HD70" s="412" t="str">
        <f>IF(AG72=94,G70,"")</f>
        <v/>
      </c>
      <c r="HE70" s="412" t="str">
        <f>IF(AG72=95,G70,"")</f>
        <v/>
      </c>
      <c r="HF70" s="412" t="str">
        <f>IF(AG72=96,G70,"")</f>
        <v/>
      </c>
      <c r="HG70" s="412" t="str">
        <f>IF(AG72=97,G70,"")</f>
        <v/>
      </c>
      <c r="HH70" s="412" t="str">
        <f>IF(AG72=98,G70,"")</f>
        <v/>
      </c>
      <c r="HI70" s="412" t="str">
        <f>IF(AG72=99,G70,"")</f>
        <v/>
      </c>
      <c r="HJ70" s="412"/>
      <c r="HK70" s="412"/>
      <c r="HL70" s="412"/>
      <c r="HM70" s="412"/>
      <c r="HN70" s="412"/>
      <c r="HO70" s="412"/>
      <c r="HP70" s="412"/>
      <c r="HQ70" s="412"/>
      <c r="HR70" s="412"/>
      <c r="HS70" s="412"/>
      <c r="HT70" s="412"/>
      <c r="HU70" s="278">
        <f ca="1">IF(AF72=1,AB70,"")</f>
        <v>1060.1498889536399</v>
      </c>
      <c r="HV70" s="277" t="str">
        <f>IF(AF72=2,AB70,"")</f>
        <v/>
      </c>
      <c r="HW70" s="277" t="str">
        <f>IF(AF72=3,AB70,"")</f>
        <v/>
      </c>
      <c r="HX70" s="277" t="str">
        <f>IF(AF72=4,AB70,"")</f>
        <v/>
      </c>
      <c r="HY70" s="277" t="str">
        <f>IF(AF72=5,AB70,"")</f>
        <v/>
      </c>
      <c r="HZ70" s="277" t="str">
        <f>IF(AF72=6,AB70,"")</f>
        <v/>
      </c>
      <c r="IA70" s="277" t="str">
        <f>IF(AF72=7,AB70,"")</f>
        <v/>
      </c>
      <c r="IB70" s="277" t="str">
        <f>IF(AF72=8,AB70,"")</f>
        <v/>
      </c>
      <c r="IC70" s="277" t="str">
        <f>IF(AF72=9,AB70,"")</f>
        <v/>
      </c>
      <c r="ID70" s="412" t="str">
        <f>IF(AF72=10,AB70,"")</f>
        <v/>
      </c>
      <c r="IE70" s="223" t="str">
        <f>IF(AF72=11,AB70,"")</f>
        <v/>
      </c>
      <c r="IF70" s="223" t="str">
        <f>IF(AF72=12,AB70,"")</f>
        <v/>
      </c>
      <c r="IG70" s="223" t="str">
        <f>IF(AF72=13,AB70,"")</f>
        <v/>
      </c>
      <c r="IH70" s="223" t="str">
        <f>IF(AF72=14,AB70,"")</f>
        <v/>
      </c>
      <c r="II70" s="223" t="str">
        <f>IF(AF72=15,AB70,"")</f>
        <v/>
      </c>
      <c r="IJ70" s="223" t="str">
        <f>IF(AF72=16,AB70,"")</f>
        <v/>
      </c>
      <c r="IK70" s="223" t="str">
        <f>IF(AF72=17,AB70,"")</f>
        <v/>
      </c>
      <c r="IL70" s="223" t="str">
        <f>IF(AF72=18,AB70,"")</f>
        <v/>
      </c>
      <c r="IM70" s="223" t="str">
        <f>IF(AF72=19,AB70,"")</f>
        <v/>
      </c>
      <c r="IN70" s="223" t="str">
        <f>IF(AF72=20,AB70,"")</f>
        <v/>
      </c>
      <c r="IO70" s="223" t="str">
        <f>IF(AF72=21,AB70,"")</f>
        <v/>
      </c>
      <c r="IP70" s="413"/>
      <c r="IQ70" s="478" t="str">
        <f>IF(G75=6,G70,"")</f>
        <v/>
      </c>
      <c r="IR70" s="317" t="str">
        <f>IF(G75=7,G70,"")</f>
        <v/>
      </c>
      <c r="IS70" s="478" t="str">
        <f>IF(G75=8,G70,"")</f>
        <v/>
      </c>
      <c r="IT70" s="317" t="str">
        <f>IF(G75=9,G70,"")</f>
        <v/>
      </c>
      <c r="IU70" s="478" t="str">
        <f>IF(G75=10,G70,"")</f>
        <v/>
      </c>
      <c r="IV70" s="478" t="str">
        <f>IF(G75=11,G70,"")</f>
        <v/>
      </c>
      <c r="IW70" s="478" t="str">
        <f>IF(G75=12,G70,"")</f>
        <v/>
      </c>
      <c r="IX70" s="478" t="str">
        <f>IF(G75=13,G70,"")</f>
        <v/>
      </c>
      <c r="IY70" s="478" t="str">
        <f>IF(G75=14,G70,"")</f>
        <v/>
      </c>
      <c r="IZ70" s="478" t="str">
        <f>IF(G75=15,G70,"")</f>
        <v/>
      </c>
      <c r="JA70" s="478" t="str">
        <f>IF(G75=16,G70,"")</f>
        <v/>
      </c>
      <c r="JB70" s="478">
        <f>IF(G75=17,G70,"")</f>
        <v>1000</v>
      </c>
      <c r="JC70" s="478" t="str">
        <f>IF(G75=18,G70,"")</f>
        <v/>
      </c>
      <c r="JD70" s="478" t="str">
        <f>IF(G75=19,G70,"")</f>
        <v/>
      </c>
      <c r="JE70" s="478" t="str">
        <f>IF(G75=20,G70,"")</f>
        <v/>
      </c>
      <c r="JF70" s="478" t="str">
        <f>IF(G75=21,G70,"")</f>
        <v/>
      </c>
      <c r="JG70" s="478" t="str">
        <f>IF(G75=22,G70,"")</f>
        <v/>
      </c>
      <c r="JH70" s="478" t="str">
        <f>IF(G75=23,G70,"")</f>
        <v/>
      </c>
      <c r="JI70" s="478" t="str">
        <f>IF(G75=24,G70,"")</f>
        <v/>
      </c>
      <c r="JJ70" s="478" t="str">
        <f>IF(G75=25,G70,"")</f>
        <v/>
      </c>
      <c r="JK70" s="478" t="str">
        <f>IF(G75=26,G70,"")</f>
        <v/>
      </c>
      <c r="JL70" s="478" t="str">
        <f>IF(G75=27,G70,"")</f>
        <v/>
      </c>
      <c r="JM70" s="478" t="str">
        <f>IF(G75=28,G70,"")</f>
        <v/>
      </c>
      <c r="JN70" s="478" t="str">
        <f>IF(G75=29,G70,"")</f>
        <v/>
      </c>
      <c r="JO70" s="478" t="str">
        <f>IF(G75=30,G70,"")</f>
        <v/>
      </c>
      <c r="JP70" s="478"/>
      <c r="JQ70" s="481">
        <f>IF(AND(AJ74=4,K75=1,G75&lt;=3),G70,0)</f>
        <v>0</v>
      </c>
      <c r="JR70" s="445"/>
      <c r="JS70" s="445"/>
      <c r="JT70" s="480" t="str">
        <f>IF(AF72&gt;1,((A71/F71)-(A71/E71)),"")</f>
        <v/>
      </c>
      <c r="JU70" s="479" t="str">
        <f>IF(AF72=2,((A71/F71)-(A71/E71)),"")</f>
        <v/>
      </c>
      <c r="JV70" s="479" t="str">
        <f>IF(AF72=3,((A71/F71)-(A71/E71)),"")</f>
        <v/>
      </c>
      <c r="JW70" s="479" t="str">
        <f>IF(AF72=4,((A71/F71)-(A71/E71)),"")</f>
        <v/>
      </c>
      <c r="JX70" s="479" t="str">
        <f>IF(AF72=5,((A71/F71)-(A71/E71)),"")</f>
        <v/>
      </c>
      <c r="JY70" s="479" t="str">
        <f>IF(AF72=6,((A71/F71)-(A71/E71)),"")</f>
        <v/>
      </c>
      <c r="JZ70" s="479" t="str">
        <f>IF(AF72=7,((A71/F71)-(A71/E71)),"")</f>
        <v/>
      </c>
      <c r="KA70" s="478" t="str">
        <f>IF(AF72=8,((A71/F71)-(A71/E71)),"")</f>
        <v/>
      </c>
      <c r="KB70" s="478" t="str">
        <f>IF(AF72=9,((A71/F71)-(A71/E71)),"")</f>
        <v/>
      </c>
      <c r="KC70" s="478" t="str">
        <f>IF(AF72=10,((A71/F71)-(A71/E71)),"")</f>
        <v/>
      </c>
      <c r="KD70" s="478" t="str">
        <f>IF(AF72=11,((A71/F71)-(A71/E71)),"")</f>
        <v/>
      </c>
      <c r="KE70" s="478" t="str">
        <f>IF(AF72=12,((A71/F71)-(A71/E71)),"")</f>
        <v/>
      </c>
      <c r="KF70" s="478" t="str">
        <f>IF(AF72=13,((A71/F71)-(A71/E71)),"")</f>
        <v/>
      </c>
      <c r="KG70" s="478" t="str">
        <f>IF(AF72=14,((A71/F71)-(A71/E71)),"")</f>
        <v/>
      </c>
      <c r="KH70" s="478" t="str">
        <f>IF(AF72=15,((A71/F71)-(A71/E71)),"")</f>
        <v/>
      </c>
      <c r="KI70" s="478" t="str">
        <f>IF(AF72=16,((A71/F71)-(A71/E71)),"")</f>
        <v/>
      </c>
      <c r="KJ70" s="478" t="str">
        <f>IF(AF72=17,((A71/F71)-(A71/E71)),"")</f>
        <v/>
      </c>
      <c r="KK70" s="478" t="str">
        <f>IF(AF72=18,((A71/F71)-(A71/E71)),"")</f>
        <v/>
      </c>
      <c r="KL70" s="478" t="str">
        <f>IF(AF72=19,((A71/F71)-(A71/E71)),"")</f>
        <v/>
      </c>
      <c r="KM70" s="478" t="str">
        <f>IF(AF72=20,((A71/F71)-(A71/E71)),"")</f>
        <v/>
      </c>
      <c r="KN70" s="478"/>
      <c r="KO70" s="478"/>
      <c r="KP70" s="478"/>
    </row>
    <row r="71" spans="1:302" s="1" customFormat="1" ht="11.1" customHeight="1">
      <c r="A71" s="755"/>
      <c r="B71" s="598" t="s">
        <v>492</v>
      </c>
      <c r="C71" s="56"/>
      <c r="D71" s="828">
        <f>IF(WEEKDAY(D70,2)=4,D70+4,IF(WEEKDAY(D70,2)=5,D70+4,D70+2))</f>
        <v>45238</v>
      </c>
      <c r="E71" s="475"/>
      <c r="F71" s="754"/>
      <c r="G71" s="492"/>
      <c r="H71" s="492"/>
      <c r="I71" s="385"/>
      <c r="J71" s="492"/>
      <c r="K71" s="753">
        <v>1</v>
      </c>
      <c r="L71" s="722"/>
      <c r="M71" s="720"/>
      <c r="N71" s="720"/>
      <c r="O71" s="223"/>
      <c r="P71" s="540"/>
      <c r="Q71" s="752"/>
      <c r="R71" s="752"/>
      <c r="S71" s="4"/>
      <c r="T71" s="431"/>
      <c r="U71" s="469"/>
      <c r="V71" s="4"/>
      <c r="W71" s="469"/>
      <c r="X71" s="442"/>
      <c r="Y71" s="22"/>
      <c r="Z71" s="22"/>
      <c r="AA71" s="22"/>
      <c r="AB71" s="360"/>
      <c r="AC71" s="383"/>
      <c r="AD71" s="825">
        <f>IF(E71="",((P70-E70)/E70),((P70-E70)/E70)+(((1/F71)-(1/E71))/(1/E71)))</f>
        <v>3.8793551682139653E-2</v>
      </c>
      <c r="AE71" s="383"/>
      <c r="AF71" s="279" t="s">
        <v>65</v>
      </c>
      <c r="AG71" s="824"/>
      <c r="AH71" s="993" t="s">
        <v>177</v>
      </c>
      <c r="AI71" s="954"/>
      <c r="AJ71" s="824"/>
      <c r="AK71" s="538"/>
      <c r="AL71" s="22">
        <v>100</v>
      </c>
      <c r="AM71" s="758" t="s">
        <v>432</v>
      </c>
      <c r="AN71" s="179">
        <f>AV$6</f>
        <v>3.5</v>
      </c>
      <c r="AO71" s="179">
        <f>IF(B75=2,"0",AO70*-(100-F74)/100)</f>
        <v>-0.11071319999999998</v>
      </c>
      <c r="AP71" s="463">
        <f>IF(AP72&lt;0,0,AP72*-(100-F74)/100)</f>
        <v>0</v>
      </c>
      <c r="AQ71" s="179"/>
      <c r="AR71" s="179">
        <f>AR74*-(100-F75)/100</f>
        <v>-20.149999999999999</v>
      </c>
      <c r="AS71" s="471">
        <f>-AP70+AS74+(F70/365*AN74*F75/100)*G70</f>
        <v>178.1091397753423</v>
      </c>
      <c r="AT71" s="419"/>
      <c r="AU71" s="420"/>
      <c r="AV71" s="223"/>
      <c r="AW71" s="420"/>
      <c r="AX71" s="417"/>
      <c r="AY71" s="420"/>
      <c r="AZ71" s="223"/>
      <c r="BA71" s="419"/>
      <c r="BB71" s="223"/>
      <c r="BC71" s="223"/>
      <c r="BD71" s="223"/>
      <c r="BE71" s="223"/>
      <c r="BF71" s="416"/>
      <c r="BG71" s="418"/>
      <c r="BH71" s="416"/>
      <c r="BI71" s="416"/>
      <c r="BJ71" s="416"/>
      <c r="BK71" s="418"/>
      <c r="BL71" s="417"/>
      <c r="BM71" s="417"/>
      <c r="BN71" s="417"/>
      <c r="BO71" s="417"/>
      <c r="BP71" s="417"/>
      <c r="BQ71" s="417"/>
      <c r="BR71" s="417"/>
      <c r="BS71" s="417"/>
      <c r="BT71" s="412"/>
      <c r="BU71" s="412"/>
      <c r="BV71" s="412"/>
      <c r="BW71" s="412"/>
      <c r="BX71" s="415"/>
      <c r="BY71" s="389"/>
      <c r="BZ71" s="389"/>
      <c r="CA71" s="389"/>
      <c r="CB71" s="389"/>
      <c r="CC71" s="389"/>
      <c r="CD71" s="389"/>
      <c r="CE71" s="389"/>
      <c r="CF71" s="389"/>
      <c r="CG71" s="389"/>
      <c r="CH71" s="389"/>
      <c r="CI71" s="389"/>
      <c r="CJ71" s="389"/>
      <c r="CK71" s="389"/>
      <c r="CL71" s="389"/>
      <c r="CM71" s="389"/>
      <c r="CN71" s="389"/>
      <c r="CO71" s="389"/>
      <c r="CP71" s="389"/>
      <c r="CQ71" s="389"/>
      <c r="CR71" s="389"/>
      <c r="CS71" s="415"/>
      <c r="CT71" s="389"/>
      <c r="CU71" s="389"/>
      <c r="CV71" s="389"/>
      <c r="CW71" s="389"/>
      <c r="CX71" s="389"/>
      <c r="CY71" s="389"/>
      <c r="CZ71" s="389"/>
      <c r="DA71" s="389"/>
      <c r="DB71" s="389"/>
      <c r="DC71" s="389"/>
      <c r="DD71" s="389"/>
      <c r="DE71" s="389"/>
      <c r="DF71" s="389"/>
      <c r="DG71" s="389"/>
      <c r="DH71" s="389"/>
      <c r="DI71" s="389"/>
      <c r="DJ71" s="389"/>
      <c r="DK71" s="389"/>
      <c r="DL71" s="389"/>
      <c r="DM71" s="389"/>
      <c r="DN71" s="389"/>
      <c r="DO71" s="414"/>
      <c r="DP71" s="39"/>
      <c r="DQ71" s="39"/>
      <c r="DR71" s="39"/>
      <c r="DS71" s="39"/>
      <c r="DT71" s="39"/>
      <c r="DU71" s="39"/>
      <c r="DV71" s="39"/>
      <c r="DW71" s="39"/>
      <c r="DX71" s="39"/>
      <c r="DY71" s="39"/>
      <c r="DZ71" s="39"/>
      <c r="EA71" s="39"/>
      <c r="EB71" s="39"/>
      <c r="EC71" s="39"/>
      <c r="ED71" s="136"/>
      <c r="EE71" s="136"/>
      <c r="EF71" s="136"/>
      <c r="EG71" s="136"/>
      <c r="EH71" s="136"/>
      <c r="EI71" s="136"/>
      <c r="EJ71" s="136"/>
      <c r="EK71" s="136"/>
      <c r="EL71" s="136"/>
      <c r="EM71" s="136"/>
      <c r="EN71" s="136"/>
      <c r="EO71" s="136"/>
      <c r="EP71" s="136"/>
      <c r="EQ71" s="136"/>
      <c r="ER71" s="136"/>
      <c r="ES71" s="136"/>
      <c r="ET71" s="136"/>
      <c r="EU71" s="136"/>
      <c r="EV71" s="136"/>
      <c r="EW71" s="136"/>
      <c r="EX71" s="136"/>
      <c r="EY71" s="136"/>
      <c r="EZ71" s="136"/>
      <c r="FA71" s="136"/>
      <c r="FB71" s="136"/>
      <c r="FC71" s="136"/>
      <c r="FD71" s="136"/>
      <c r="FE71" s="136"/>
      <c r="FF71" s="136"/>
      <c r="FG71" s="136"/>
      <c r="FH71" s="136"/>
      <c r="FI71" s="136"/>
      <c r="FJ71" s="136"/>
      <c r="FK71" s="136"/>
      <c r="FL71" s="136"/>
      <c r="FM71" s="136"/>
      <c r="FN71" s="136"/>
      <c r="FO71" s="39"/>
      <c r="FP71" s="39"/>
      <c r="FQ71" s="39"/>
      <c r="FR71" s="412"/>
      <c r="FS71" s="412"/>
      <c r="FT71" s="412"/>
      <c r="FU71" s="412"/>
      <c r="FV71" s="412"/>
      <c r="FW71" s="412"/>
      <c r="FX71" s="412"/>
      <c r="FY71" s="412"/>
      <c r="FZ71" s="412"/>
      <c r="GA71" s="412"/>
      <c r="GB71" s="412"/>
      <c r="GC71" s="412"/>
      <c r="GD71" s="412"/>
      <c r="GE71" s="412"/>
      <c r="GF71" s="412"/>
      <c r="GG71" s="412"/>
      <c r="GH71" s="412"/>
      <c r="GI71" s="412"/>
      <c r="GJ71" s="412"/>
      <c r="GK71" s="412"/>
      <c r="GL71" s="412"/>
      <c r="GM71" s="412"/>
      <c r="GN71" s="412"/>
      <c r="GO71" s="412"/>
      <c r="GP71" s="412"/>
      <c r="GQ71" s="412"/>
      <c r="GR71" s="412"/>
      <c r="GS71" s="412"/>
      <c r="GT71" s="412"/>
      <c r="GU71" s="412"/>
      <c r="GV71" s="412"/>
      <c r="GW71" s="412"/>
      <c r="GX71" s="412"/>
      <c r="GY71" s="412"/>
      <c r="GZ71" s="412"/>
      <c r="HA71" s="412"/>
      <c r="HB71" s="412"/>
      <c r="HC71" s="412"/>
      <c r="HD71" s="412"/>
      <c r="HE71" s="412"/>
      <c r="HF71" s="412"/>
      <c r="HG71" s="412"/>
      <c r="HH71" s="412"/>
      <c r="HI71" s="412"/>
      <c r="HJ71" s="412"/>
      <c r="HK71" s="412"/>
      <c r="HL71" s="412"/>
      <c r="HM71" s="412"/>
      <c r="HN71" s="412"/>
      <c r="HO71" s="412"/>
      <c r="HP71" s="412"/>
      <c r="HQ71" s="412"/>
      <c r="HR71" s="412"/>
      <c r="HS71" s="412"/>
      <c r="HT71" s="412"/>
      <c r="HU71" s="278"/>
      <c r="HV71" s="277"/>
      <c r="HW71" s="277"/>
      <c r="HX71" s="277"/>
      <c r="HY71" s="277"/>
      <c r="HZ71" s="277"/>
      <c r="IA71" s="277"/>
      <c r="IB71" s="277"/>
      <c r="IC71" s="277"/>
      <c r="ID71" s="412"/>
      <c r="IE71" s="412"/>
      <c r="IF71" s="412"/>
      <c r="IG71" s="412"/>
      <c r="IH71" s="412"/>
      <c r="II71" s="412"/>
      <c r="IJ71" s="412"/>
      <c r="IK71" s="412"/>
      <c r="IL71" s="412"/>
      <c r="IM71" s="412"/>
      <c r="IN71" s="412"/>
      <c r="IO71" s="412"/>
      <c r="IP71" s="413"/>
      <c r="IQ71" s="389"/>
      <c r="IR71" s="389"/>
      <c r="IS71" s="389"/>
      <c r="IT71" s="389"/>
      <c r="IU71" s="389"/>
      <c r="IV71" s="389"/>
      <c r="IW71" s="389"/>
      <c r="IX71" s="389"/>
      <c r="IY71" s="389"/>
      <c r="IZ71" s="389"/>
      <c r="JA71" s="389"/>
      <c r="JB71" s="389"/>
      <c r="JC71" s="389"/>
      <c r="JD71" s="389"/>
      <c r="JE71" s="389"/>
      <c r="JF71" s="389"/>
      <c r="JG71" s="389"/>
      <c r="JH71" s="389"/>
      <c r="JI71" s="389"/>
      <c r="JJ71" s="389"/>
      <c r="JK71" s="389"/>
      <c r="JL71" s="389"/>
      <c r="JM71" s="389"/>
      <c r="JN71" s="389"/>
      <c r="JO71" s="389"/>
      <c r="JP71" s="389"/>
      <c r="JQ71" s="389"/>
      <c r="JR71" s="389"/>
      <c r="JS71" s="389"/>
      <c r="JT71" s="596"/>
      <c r="JU71" s="389"/>
      <c r="JV71" s="389"/>
      <c r="JW71" s="389"/>
      <c r="JX71" s="389"/>
      <c r="JY71" s="389"/>
      <c r="JZ71" s="389"/>
      <c r="KA71" s="389"/>
      <c r="KB71" s="389"/>
      <c r="KC71" s="389"/>
      <c r="KD71" s="389"/>
      <c r="KE71" s="389"/>
      <c r="KF71" s="389"/>
      <c r="KG71" s="389"/>
      <c r="KH71" s="389"/>
      <c r="KI71" s="389"/>
      <c r="KJ71" s="389"/>
      <c r="KK71" s="389"/>
      <c r="KL71" s="389"/>
      <c r="KM71" s="389"/>
      <c r="KN71" s="389"/>
      <c r="KO71" s="389"/>
      <c r="KP71" s="389"/>
    </row>
    <row r="72" spans="1:302" s="1" customFormat="1" ht="11.1" hidden="1" customHeight="1" outlineLevel="1">
      <c r="A72" s="749"/>
      <c r="B72" s="468">
        <f>VLOOKUP(B70,'[2]IBAN CONTI'!A$53:B$58,2,FALSE)</f>
        <v>6</v>
      </c>
      <c r="C72" s="56"/>
      <c r="D72" s="707"/>
      <c r="E72" s="766">
        <f ca="1">IF(B75=2,C70,COUPNCD($AB$2,C70,K72,AH74))</f>
        <v>45783</v>
      </c>
      <c r="F72" s="460"/>
      <c r="G72" s="383"/>
      <c r="H72" s="383"/>
      <c r="I72" s="434"/>
      <c r="J72" s="383"/>
      <c r="K72" s="67">
        <v>2</v>
      </c>
      <c r="L72" s="840"/>
      <c r="M72" s="845"/>
      <c r="N72" s="845"/>
      <c r="O72" s="136"/>
      <c r="P72" s="470"/>
      <c r="Q72" s="22"/>
      <c r="R72" s="22"/>
      <c r="S72" s="4"/>
      <c r="T72" s="431"/>
      <c r="U72" s="469"/>
      <c r="V72" s="4"/>
      <c r="W72" s="469"/>
      <c r="X72" s="442"/>
      <c r="Y72" s="22"/>
      <c r="Z72" s="22"/>
      <c r="AA72" s="22"/>
      <c r="AB72" s="979"/>
      <c r="AC72" s="383"/>
      <c r="AD72" s="219"/>
      <c r="AE72" s="383"/>
      <c r="AF72" s="468">
        <f>VLOOKUP(AF71,'[2]IBAN CONTI'!A$106:B$122,2,FALSE)</f>
        <v>1</v>
      </c>
      <c r="AG72" s="467">
        <f>VLOOKUP(A70,'[2]IBAN CONTI'!A$134:B$232,2,FALSE)</f>
        <v>93</v>
      </c>
      <c r="AH72" s="993"/>
      <c r="AI72" s="954"/>
      <c r="AJ72" s="990" t="s">
        <v>192</v>
      </c>
      <c r="AK72" s="991"/>
      <c r="AL72" s="22">
        <v>100</v>
      </c>
      <c r="AM72" s="730">
        <f>YEARFRAC(C70,AL70)</f>
        <v>5</v>
      </c>
      <c r="AN72" s="465">
        <f>IF(B75=2,0,D71-AL70)</f>
        <v>2</v>
      </c>
      <c r="AO72" s="464">
        <f>IF(B75=2,AL71*(1+AM75)^AM74,AO73+AL71)</f>
        <v>100</v>
      </c>
      <c r="AP72" s="463">
        <f>IF(AF72=1,G70*AO73/100,A71/E71/100*AO73)</f>
        <v>0</v>
      </c>
      <c r="AQ72" s="179"/>
      <c r="AR72" s="179">
        <f>AL75*G70/100</f>
        <v>1000</v>
      </c>
      <c r="AS72" s="462">
        <f>(AR75-AP75)*G70/100</f>
        <v>-108.64000000000004</v>
      </c>
      <c r="AT72" s="419"/>
      <c r="AU72" s="420"/>
      <c r="AV72" s="223"/>
      <c r="AW72" s="420"/>
      <c r="AX72" s="417"/>
      <c r="AY72" s="420"/>
      <c r="AZ72" s="223"/>
      <c r="BA72" s="419"/>
      <c r="BB72" s="223"/>
      <c r="BC72" s="223"/>
      <c r="BD72" s="223"/>
      <c r="BE72" s="223"/>
      <c r="BF72" s="416"/>
      <c r="BG72" s="418"/>
      <c r="BH72" s="416"/>
      <c r="BI72" s="416"/>
      <c r="BJ72" s="416"/>
      <c r="BK72" s="418"/>
      <c r="BL72" s="417"/>
      <c r="BM72" s="416"/>
      <c r="BN72" s="416"/>
      <c r="BO72" s="416"/>
      <c r="BP72" s="416"/>
      <c r="BQ72" s="416"/>
      <c r="BR72" s="416"/>
      <c r="BS72" s="416"/>
      <c r="BT72" s="389"/>
      <c r="BU72" s="389"/>
      <c r="BV72" s="389"/>
      <c r="BW72" s="389"/>
      <c r="BX72" s="415"/>
      <c r="BY72" s="389"/>
      <c r="BZ72" s="389"/>
      <c r="CA72" s="389"/>
      <c r="CB72" s="389"/>
      <c r="CC72" s="389"/>
      <c r="CD72" s="389"/>
      <c r="CE72" s="389"/>
      <c r="CF72" s="389"/>
      <c r="CG72" s="389"/>
      <c r="CH72" s="389"/>
      <c r="CI72" s="389"/>
      <c r="CJ72" s="389"/>
      <c r="CK72" s="389"/>
      <c r="CL72" s="389"/>
      <c r="CM72" s="389"/>
      <c r="CN72" s="389"/>
      <c r="CO72" s="389"/>
      <c r="CP72" s="389"/>
      <c r="CQ72" s="389"/>
      <c r="CR72" s="389"/>
      <c r="CS72" s="415"/>
      <c r="CT72" s="389"/>
      <c r="CU72" s="389"/>
      <c r="CV72" s="389"/>
      <c r="CW72" s="389"/>
      <c r="CX72" s="389"/>
      <c r="CY72" s="389"/>
      <c r="CZ72" s="389"/>
      <c r="DA72" s="389"/>
      <c r="DB72" s="389"/>
      <c r="DC72" s="389"/>
      <c r="DD72" s="389"/>
      <c r="DE72" s="389"/>
      <c r="DF72" s="389"/>
      <c r="DG72" s="389"/>
      <c r="DH72" s="389"/>
      <c r="DI72" s="389"/>
      <c r="DJ72" s="389"/>
      <c r="DK72" s="389"/>
      <c r="DL72" s="389"/>
      <c r="DM72" s="389"/>
      <c r="DN72" s="389"/>
      <c r="DO72" s="414"/>
      <c r="DP72" s="39"/>
      <c r="DQ72" s="39"/>
      <c r="DR72" s="39"/>
      <c r="DS72" s="39"/>
      <c r="DT72" s="39"/>
      <c r="DU72" s="39"/>
      <c r="DV72" s="39"/>
      <c r="DW72" s="39"/>
      <c r="DX72" s="39"/>
      <c r="DY72" s="39"/>
      <c r="DZ72" s="39"/>
      <c r="EA72" s="39"/>
      <c r="EB72" s="39"/>
      <c r="EC72" s="39"/>
      <c r="ED72" s="136"/>
      <c r="EE72" s="136"/>
      <c r="EF72" s="136"/>
      <c r="EG72" s="136"/>
      <c r="EH72" s="136"/>
      <c r="EI72" s="136"/>
      <c r="EJ72" s="136"/>
      <c r="EK72" s="136"/>
      <c r="EL72" s="136"/>
      <c r="EM72" s="136"/>
      <c r="EN72" s="136"/>
      <c r="EO72" s="136"/>
      <c r="EP72" s="136"/>
      <c r="EQ72" s="136"/>
      <c r="ER72" s="136"/>
      <c r="ES72" s="136"/>
      <c r="ET72" s="136"/>
      <c r="EU72" s="136"/>
      <c r="EV72" s="136"/>
      <c r="EW72" s="136"/>
      <c r="EX72" s="136"/>
      <c r="EY72" s="136"/>
      <c r="EZ72" s="136"/>
      <c r="FA72" s="136"/>
      <c r="FB72" s="136"/>
      <c r="FC72" s="136"/>
      <c r="FD72" s="136"/>
      <c r="FE72" s="136"/>
      <c r="FF72" s="136"/>
      <c r="FG72" s="136"/>
      <c r="FH72" s="136"/>
      <c r="FI72" s="136"/>
      <c r="FJ72" s="136"/>
      <c r="FK72" s="136"/>
      <c r="FL72" s="136"/>
      <c r="FM72" s="136"/>
      <c r="FN72" s="136"/>
      <c r="FO72" s="39"/>
      <c r="FP72" s="39"/>
      <c r="FQ72" s="39"/>
      <c r="FR72" s="412"/>
      <c r="FS72" s="412"/>
      <c r="FT72" s="412"/>
      <c r="FU72" s="412"/>
      <c r="FV72" s="412"/>
      <c r="FW72" s="412"/>
      <c r="FX72" s="412"/>
      <c r="FY72" s="412"/>
      <c r="FZ72" s="412"/>
      <c r="GA72" s="412"/>
      <c r="GB72" s="412"/>
      <c r="GC72" s="412"/>
      <c r="GD72" s="412"/>
      <c r="GE72" s="412"/>
      <c r="GF72" s="412"/>
      <c r="GG72" s="412"/>
      <c r="GH72" s="412"/>
      <c r="GI72" s="412"/>
      <c r="GJ72" s="412"/>
      <c r="GK72" s="412"/>
      <c r="GL72" s="412"/>
      <c r="GM72" s="412"/>
      <c r="GN72" s="412"/>
      <c r="GO72" s="412"/>
      <c r="GP72" s="412"/>
      <c r="GQ72" s="412"/>
      <c r="GR72" s="412"/>
      <c r="GS72" s="412"/>
      <c r="GT72" s="412"/>
      <c r="GU72" s="412"/>
      <c r="GV72" s="412"/>
      <c r="GW72" s="412"/>
      <c r="GX72" s="412"/>
      <c r="GY72" s="412"/>
      <c r="GZ72" s="412"/>
      <c r="HA72" s="412"/>
      <c r="HB72" s="412"/>
      <c r="HC72" s="412"/>
      <c r="HD72" s="412"/>
      <c r="HE72" s="412"/>
      <c r="HF72" s="412"/>
      <c r="HG72" s="412"/>
      <c r="HH72" s="412"/>
      <c r="HI72" s="412"/>
      <c r="HJ72" s="412"/>
      <c r="HK72" s="412"/>
      <c r="HL72" s="412"/>
      <c r="HM72" s="412"/>
      <c r="HN72" s="412"/>
      <c r="HO72" s="412"/>
      <c r="HP72" s="412"/>
      <c r="HQ72" s="412"/>
      <c r="HR72" s="412"/>
      <c r="HS72" s="412"/>
      <c r="HT72" s="412"/>
      <c r="HU72" s="278"/>
      <c r="HV72" s="277"/>
      <c r="HW72" s="277"/>
      <c r="HX72" s="277"/>
      <c r="HY72" s="277"/>
      <c r="HZ72" s="277"/>
      <c r="IA72" s="277"/>
      <c r="IB72" s="277"/>
      <c r="IC72" s="277"/>
      <c r="ID72" s="412"/>
      <c r="IE72" s="412"/>
      <c r="IF72" s="412"/>
      <c r="IG72" s="412"/>
      <c r="IH72" s="412"/>
      <c r="II72" s="412"/>
      <c r="IJ72" s="412"/>
      <c r="IK72" s="412"/>
      <c r="IL72" s="412"/>
      <c r="IM72" s="412"/>
      <c r="IN72" s="412"/>
      <c r="IO72" s="412"/>
      <c r="IP72" s="413"/>
      <c r="IQ72" s="389"/>
      <c r="IR72" s="389"/>
      <c r="IS72" s="389"/>
      <c r="IT72" s="389"/>
      <c r="IU72" s="389"/>
      <c r="IV72" s="389"/>
      <c r="IW72" s="389"/>
      <c r="IX72" s="389"/>
      <c r="IY72" s="389"/>
      <c r="IZ72" s="389"/>
      <c r="JA72" s="389"/>
      <c r="JB72" s="389"/>
      <c r="JC72" s="389"/>
      <c r="JD72" s="389"/>
      <c r="JE72" s="389"/>
      <c r="JF72" s="389"/>
      <c r="JG72" s="389"/>
      <c r="JH72" s="389"/>
      <c r="JI72" s="389"/>
      <c r="JJ72" s="389"/>
      <c r="JK72" s="389"/>
      <c r="JL72" s="389"/>
      <c r="JM72" s="389"/>
      <c r="JN72" s="389"/>
      <c r="JO72" s="389"/>
      <c r="JP72" s="389"/>
      <c r="JQ72" s="389"/>
      <c r="JR72" s="389"/>
      <c r="JS72" s="389"/>
      <c r="JT72" s="596"/>
      <c r="JU72" s="389"/>
      <c r="JV72" s="389"/>
      <c r="JW72" s="389"/>
      <c r="JX72" s="389"/>
      <c r="JY72" s="389"/>
      <c r="JZ72" s="389"/>
      <c r="KA72" s="389"/>
      <c r="KB72" s="389"/>
      <c r="KC72" s="389"/>
      <c r="KD72" s="389"/>
      <c r="KE72" s="389"/>
      <c r="KF72" s="389"/>
      <c r="KG72" s="389"/>
      <c r="KH72" s="389"/>
      <c r="KI72" s="389"/>
      <c r="KJ72" s="389"/>
      <c r="KK72" s="389"/>
      <c r="KL72" s="389"/>
      <c r="KM72" s="389"/>
      <c r="KN72" s="389"/>
      <c r="KO72" s="389"/>
      <c r="KP72" s="389"/>
    </row>
    <row r="73" spans="1:302" s="1" customFormat="1" ht="11.1" hidden="1" customHeight="1" outlineLevel="1">
      <c r="A73" s="461">
        <v>1</v>
      </c>
      <c r="B73" s="990" t="s">
        <v>183</v>
      </c>
      <c r="C73" s="990"/>
      <c r="D73" s="452">
        <f>COUPPCD(D71,C70,K72,AH74)</f>
        <v>45236</v>
      </c>
      <c r="E73" s="436">
        <f>COUPPCD($Z$2,C70,K72,AH74)</f>
        <v>0</v>
      </c>
      <c r="F73" s="460"/>
      <c r="G73" s="985">
        <v>2028</v>
      </c>
      <c r="H73" s="383"/>
      <c r="I73" s="434"/>
      <c r="J73" s="383"/>
      <c r="K73" s="987" t="s">
        <v>174</v>
      </c>
      <c r="L73" s="840"/>
      <c r="M73" s="845"/>
      <c r="N73" s="845"/>
      <c r="O73" s="136"/>
      <c r="P73" s="751"/>
      <c r="Q73" s="22"/>
      <c r="R73" s="22"/>
      <c r="S73" s="15"/>
      <c r="T73" s="431"/>
      <c r="U73" s="15"/>
      <c r="V73" s="15"/>
      <c r="W73" s="15"/>
      <c r="X73" s="442"/>
      <c r="Y73" s="430"/>
      <c r="Z73" s="430"/>
      <c r="AA73" s="430"/>
      <c r="AB73" s="9"/>
      <c r="AC73" s="383"/>
      <c r="AD73" s="219"/>
      <c r="AE73" s="383"/>
      <c r="AF73" s="459"/>
      <c r="AG73" s="458"/>
      <c r="AH73" s="457"/>
      <c r="AI73" s="457"/>
      <c r="AJ73" s="990"/>
      <c r="AK73" s="991"/>
      <c r="AL73" s="22">
        <f>IF(AL71&gt;100,0,AL72-AL71)</f>
        <v>0</v>
      </c>
      <c r="AM73" s="729">
        <f>C70-AL70</f>
        <v>1827</v>
      </c>
      <c r="AN73" s="448">
        <f>IF(OR(K72&lt;&gt;1,AN72&gt;365),COUPDAYBS(D71,C70,K72,AH74),AN72)</f>
        <v>2</v>
      </c>
      <c r="AO73" s="424">
        <f>IF(B75=2,AO72-AL71,AL73/AM73*AN72)</f>
        <v>0</v>
      </c>
      <c r="AP73" s="455">
        <f>IF(B75=4,FLOOR(F70/K72*AN73/(D74-D73)*100,0.000001),IF(AH74=4,YEARFRAC(D73,D71,0)*F70*100,IF(B75=3,IF(OR(AH74=4,AH74=2),(F72*(AN73))/(360)*100,(F72*(AN73))/(365)*100),FLOOR(F70/K72*AN73/(D74-D73)*100,0.000001))))</f>
        <v>4.2581999999999995E-2</v>
      </c>
      <c r="AQ73" s="454"/>
      <c r="AR73" s="422">
        <f>AL73*G70/100</f>
        <v>0</v>
      </c>
      <c r="AS73" s="422">
        <f>IF(AS72&lt;0,0,AS72*(100-F75)/100)</f>
        <v>0</v>
      </c>
      <c r="AT73" s="419"/>
      <c r="AU73" s="420"/>
      <c r="AV73" s="223"/>
      <c r="AW73" s="420"/>
      <c r="AX73" s="417"/>
      <c r="AY73" s="420"/>
      <c r="AZ73" s="223"/>
      <c r="BA73" s="419"/>
      <c r="BB73" s="223"/>
      <c r="BC73" s="223"/>
      <c r="BD73" s="223"/>
      <c r="BE73" s="223"/>
      <c r="BF73" s="416"/>
      <c r="BG73" s="418"/>
      <c r="BH73" s="416"/>
      <c r="BI73" s="416"/>
      <c r="BJ73" s="416"/>
      <c r="BK73" s="418"/>
      <c r="BL73" s="417"/>
      <c r="BM73" s="416"/>
      <c r="BN73" s="416"/>
      <c r="BO73" s="416"/>
      <c r="BP73" s="416"/>
      <c r="BQ73" s="416"/>
      <c r="BR73" s="416"/>
      <c r="BS73" s="416"/>
      <c r="BT73" s="389"/>
      <c r="BU73" s="389"/>
      <c r="BV73" s="389"/>
      <c r="BW73" s="389"/>
      <c r="BX73" s="415"/>
      <c r="BY73" s="389"/>
      <c r="BZ73" s="389"/>
      <c r="CA73" s="389"/>
      <c r="CB73" s="389"/>
      <c r="CC73" s="389"/>
      <c r="CD73" s="389"/>
      <c r="CE73" s="389"/>
      <c r="CF73" s="389"/>
      <c r="CG73" s="389"/>
      <c r="CH73" s="389"/>
      <c r="CI73" s="389"/>
      <c r="CJ73" s="389"/>
      <c r="CK73" s="389"/>
      <c r="CL73" s="389"/>
      <c r="CM73" s="389"/>
      <c r="CN73" s="389"/>
      <c r="CO73" s="389"/>
      <c r="CP73" s="389"/>
      <c r="CQ73" s="389"/>
      <c r="CR73" s="389"/>
      <c r="CS73" s="415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414"/>
      <c r="DP73" s="39"/>
      <c r="DQ73" s="39"/>
      <c r="DR73" s="39"/>
      <c r="DS73" s="39"/>
      <c r="DT73" s="39"/>
      <c r="DU73" s="39"/>
      <c r="DV73" s="39"/>
      <c r="DW73" s="39"/>
      <c r="DX73" s="39"/>
      <c r="DY73" s="39"/>
      <c r="DZ73" s="39"/>
      <c r="EA73" s="39"/>
      <c r="EB73" s="39"/>
      <c r="EC73" s="39"/>
      <c r="ED73" s="136"/>
      <c r="EE73" s="136"/>
      <c r="EF73" s="136"/>
      <c r="EG73" s="136"/>
      <c r="EH73" s="136"/>
      <c r="EI73" s="136"/>
      <c r="EJ73" s="136"/>
      <c r="EK73" s="136"/>
      <c r="EL73" s="136"/>
      <c r="EM73" s="136"/>
      <c r="EN73" s="136"/>
      <c r="EO73" s="136"/>
      <c r="EP73" s="136"/>
      <c r="EQ73" s="136"/>
      <c r="ER73" s="136"/>
      <c r="ES73" s="136"/>
      <c r="ET73" s="136"/>
      <c r="EU73" s="136"/>
      <c r="EV73" s="136"/>
      <c r="EW73" s="136"/>
      <c r="EX73" s="136"/>
      <c r="EY73" s="136"/>
      <c r="EZ73" s="136"/>
      <c r="FA73" s="136"/>
      <c r="FB73" s="136"/>
      <c r="FC73" s="136"/>
      <c r="FD73" s="136"/>
      <c r="FE73" s="136"/>
      <c r="FF73" s="136"/>
      <c r="FG73" s="136"/>
      <c r="FH73" s="136"/>
      <c r="FI73" s="136"/>
      <c r="FJ73" s="136"/>
      <c r="FK73" s="136"/>
      <c r="FL73" s="136"/>
      <c r="FM73" s="136"/>
      <c r="FN73" s="136"/>
      <c r="FO73" s="39"/>
      <c r="FP73" s="39"/>
      <c r="FQ73" s="39"/>
      <c r="FR73" s="412"/>
      <c r="FS73" s="412"/>
      <c r="FT73" s="412"/>
      <c r="FU73" s="412"/>
      <c r="FV73" s="412"/>
      <c r="FW73" s="412"/>
      <c r="FX73" s="412"/>
      <c r="FY73" s="412"/>
      <c r="FZ73" s="412"/>
      <c r="GA73" s="412"/>
      <c r="GB73" s="412"/>
      <c r="GC73" s="412"/>
      <c r="GD73" s="412"/>
      <c r="GE73" s="412"/>
      <c r="GF73" s="412"/>
      <c r="GG73" s="412"/>
      <c r="GH73" s="412"/>
      <c r="GI73" s="412"/>
      <c r="GJ73" s="412"/>
      <c r="GK73" s="412"/>
      <c r="GL73" s="412"/>
      <c r="GM73" s="412"/>
      <c r="GN73" s="412"/>
      <c r="GO73" s="412"/>
      <c r="GP73" s="412"/>
      <c r="GQ73" s="412"/>
      <c r="GR73" s="412"/>
      <c r="GS73" s="412"/>
      <c r="GT73" s="412"/>
      <c r="GU73" s="412"/>
      <c r="GV73" s="412"/>
      <c r="GW73" s="412"/>
      <c r="GX73" s="412"/>
      <c r="GY73" s="412"/>
      <c r="GZ73" s="412"/>
      <c r="HA73" s="412"/>
      <c r="HB73" s="412"/>
      <c r="HC73" s="412"/>
      <c r="HD73" s="412"/>
      <c r="HE73" s="412"/>
      <c r="HF73" s="412"/>
      <c r="HG73" s="412"/>
      <c r="HH73" s="412"/>
      <c r="HI73" s="412"/>
      <c r="HJ73" s="412"/>
      <c r="HK73" s="412"/>
      <c r="HL73" s="412"/>
      <c r="HM73" s="412"/>
      <c r="HN73" s="412"/>
      <c r="HO73" s="412"/>
      <c r="HP73" s="412"/>
      <c r="HQ73" s="412"/>
      <c r="HR73" s="412"/>
      <c r="HS73" s="412"/>
      <c r="HT73" s="412"/>
      <c r="HU73" s="278"/>
      <c r="HV73" s="277"/>
      <c r="HW73" s="277"/>
      <c r="HX73" s="277"/>
      <c r="HY73" s="277"/>
      <c r="HZ73" s="277"/>
      <c r="IA73" s="277"/>
      <c r="IB73" s="277"/>
      <c r="IC73" s="277"/>
      <c r="ID73" s="412"/>
      <c r="IE73" s="412"/>
      <c r="IF73" s="412"/>
      <c r="IG73" s="412"/>
      <c r="IH73" s="412"/>
      <c r="II73" s="412"/>
      <c r="IJ73" s="412"/>
      <c r="IK73" s="412"/>
      <c r="IL73" s="412"/>
      <c r="IM73" s="412"/>
      <c r="IN73" s="412"/>
      <c r="IO73" s="412"/>
      <c r="IP73" s="413"/>
      <c r="IQ73" s="389"/>
      <c r="IR73" s="389"/>
      <c r="IS73" s="389"/>
      <c r="IT73" s="389"/>
      <c r="IU73" s="389"/>
      <c r="IV73" s="389"/>
      <c r="IW73" s="389"/>
      <c r="IX73" s="389"/>
      <c r="IY73" s="389"/>
      <c r="IZ73" s="389"/>
      <c r="JA73" s="389"/>
      <c r="JB73" s="389"/>
      <c r="JC73" s="389"/>
      <c r="JD73" s="389"/>
      <c r="JE73" s="389"/>
      <c r="JF73" s="389"/>
      <c r="JG73" s="389"/>
      <c r="JH73" s="389"/>
      <c r="JI73" s="389"/>
      <c r="JJ73" s="389"/>
      <c r="JK73" s="389"/>
      <c r="JL73" s="389"/>
      <c r="JM73" s="389"/>
      <c r="JN73" s="389"/>
      <c r="JO73" s="389"/>
      <c r="JP73" s="389"/>
      <c r="JQ73" s="389"/>
      <c r="JR73" s="389"/>
      <c r="JS73" s="389"/>
      <c r="JT73" s="596"/>
      <c r="JU73" s="389"/>
      <c r="JV73" s="389"/>
      <c r="JW73" s="389"/>
      <c r="JX73" s="389"/>
      <c r="JY73" s="389"/>
      <c r="JZ73" s="389"/>
      <c r="KA73" s="389"/>
      <c r="KB73" s="389"/>
      <c r="KC73" s="389"/>
      <c r="KD73" s="389"/>
      <c r="KE73" s="389"/>
      <c r="KF73" s="389"/>
      <c r="KG73" s="389"/>
      <c r="KH73" s="389"/>
      <c r="KI73" s="389"/>
      <c r="KJ73" s="389"/>
      <c r="KK73" s="389"/>
      <c r="KL73" s="389"/>
      <c r="KM73" s="389"/>
      <c r="KN73" s="389"/>
      <c r="KO73" s="389"/>
      <c r="KP73" s="389"/>
    </row>
    <row r="74" spans="1:302" s="1" customFormat="1" ht="11.1" hidden="1" customHeight="1" outlineLevel="1">
      <c r="A74" s="749"/>
      <c r="B74" s="990"/>
      <c r="C74" s="990"/>
      <c r="D74" s="452">
        <f>COUPNCD(D71,C70,K72,AH74)</f>
        <v>45418</v>
      </c>
      <c r="E74" s="932" t="s">
        <v>182</v>
      </c>
      <c r="F74" s="451" t="str">
        <f>IF(E75=1,"87,5",IF(D70&lt;40908,87.5,IF(D70&lt;41820,"80","74")))</f>
        <v>74</v>
      </c>
      <c r="G74" s="986"/>
      <c r="H74" s="383"/>
      <c r="I74" s="434"/>
      <c r="J74" s="383"/>
      <c r="K74" s="987"/>
      <c r="L74" s="840"/>
      <c r="M74" s="845"/>
      <c r="N74" s="845"/>
      <c r="O74" s="136"/>
      <c r="P74" s="750">
        <v>0</v>
      </c>
      <c r="Q74" s="22"/>
      <c r="R74" s="22"/>
      <c r="S74" s="15"/>
      <c r="T74" s="431"/>
      <c r="U74" s="15"/>
      <c r="V74" s="15"/>
      <c r="W74" s="15"/>
      <c r="X74" s="442"/>
      <c r="Y74" s="430"/>
      <c r="Z74" s="430"/>
      <c r="AA74" s="430"/>
      <c r="AB74" s="9"/>
      <c r="AC74" s="383"/>
      <c r="AD74" s="219"/>
      <c r="AE74" s="383"/>
      <c r="AF74" s="15"/>
      <c r="AG74" s="75"/>
      <c r="AH74" s="419">
        <f>VLOOKUP(AH71,'[2]IBAN CONTI'!A:B,2,FALSE)</f>
        <v>1</v>
      </c>
      <c r="AI74" s="419"/>
      <c r="AJ74" s="989">
        <f>VLOOKUP(AJ72,'[2]IBAN CONTI'!A$67:B$77,2,FALSE)</f>
        <v>9</v>
      </c>
      <c r="AK74" s="992"/>
      <c r="AL74" s="579">
        <f>AL71</f>
        <v>100</v>
      </c>
      <c r="AM74" s="449">
        <f>YEARFRAC(D71,C70,AH74)</f>
        <v>4.9954379562043796</v>
      </c>
      <c r="AN74" s="448">
        <f>IF(B75=2,0,C70-D71-(365-AN73))</f>
        <v>1462</v>
      </c>
      <c r="AO74" s="424">
        <f>E70-AO73</f>
        <v>101.95</v>
      </c>
      <c r="AP74" s="447">
        <f>E70+AO75+AP73+0.1</f>
        <v>102.09258199999999</v>
      </c>
      <c r="AQ74" s="446"/>
      <c r="AR74" s="179">
        <f>IF(B75=3,F72*G70,F70*G70)</f>
        <v>77.5</v>
      </c>
      <c r="AS74" s="421">
        <f>AR70-AS73</f>
        <v>1057.3499999999999</v>
      </c>
      <c r="AT74" s="419"/>
      <c r="AU74" s="420"/>
      <c r="AV74" s="223"/>
      <c r="AW74" s="420"/>
      <c r="AX74" s="417"/>
      <c r="AY74" s="420"/>
      <c r="AZ74" s="223"/>
      <c r="BA74" s="419"/>
      <c r="BB74" s="223"/>
      <c r="BC74" s="223"/>
      <c r="BD74" s="223"/>
      <c r="BE74" s="223"/>
      <c r="BF74" s="416"/>
      <c r="BG74" s="418"/>
      <c r="BH74" s="416"/>
      <c r="BI74" s="416"/>
      <c r="BJ74" s="416"/>
      <c r="BK74" s="418"/>
      <c r="BL74" s="417"/>
      <c r="BM74" s="416"/>
      <c r="BN74" s="416"/>
      <c r="BO74" s="416"/>
      <c r="BP74" s="416"/>
      <c r="BQ74" s="416"/>
      <c r="BR74" s="416"/>
      <c r="BS74" s="416"/>
      <c r="BT74" s="389"/>
      <c r="BU74" s="389"/>
      <c r="BV74" s="389"/>
      <c r="BW74" s="389"/>
      <c r="BX74" s="415"/>
      <c r="BY74" s="389"/>
      <c r="BZ74" s="389"/>
      <c r="CA74" s="389"/>
      <c r="CB74" s="389"/>
      <c r="CC74" s="389"/>
      <c r="CD74" s="389"/>
      <c r="CE74" s="389"/>
      <c r="CF74" s="389"/>
      <c r="CG74" s="389"/>
      <c r="CH74" s="389"/>
      <c r="CI74" s="389"/>
      <c r="CJ74" s="389"/>
      <c r="CK74" s="389"/>
      <c r="CL74" s="389"/>
      <c r="CM74" s="389"/>
      <c r="CN74" s="389"/>
      <c r="CO74" s="389"/>
      <c r="CP74" s="389"/>
      <c r="CQ74" s="389"/>
      <c r="CR74" s="389"/>
      <c r="CS74" s="415"/>
      <c r="CT74" s="389"/>
      <c r="CU74" s="389"/>
      <c r="CV74" s="389"/>
      <c r="CW74" s="389"/>
      <c r="CX74" s="389"/>
      <c r="CY74" s="389"/>
      <c r="CZ74" s="389"/>
      <c r="DA74" s="389"/>
      <c r="DB74" s="389"/>
      <c r="DC74" s="389"/>
      <c r="DD74" s="389"/>
      <c r="DE74" s="389"/>
      <c r="DF74" s="389"/>
      <c r="DG74" s="389"/>
      <c r="DH74" s="389"/>
      <c r="DI74" s="389"/>
      <c r="DJ74" s="389"/>
      <c r="DK74" s="389"/>
      <c r="DL74" s="389"/>
      <c r="DM74" s="389"/>
      <c r="DN74" s="389"/>
      <c r="DO74" s="414"/>
      <c r="DP74" s="39"/>
      <c r="DQ74" s="39"/>
      <c r="DR74" s="39"/>
      <c r="DS74" s="136"/>
      <c r="DT74" s="136"/>
      <c r="DU74" s="136"/>
      <c r="DV74" s="136"/>
      <c r="DW74" s="136"/>
      <c r="DX74" s="136"/>
      <c r="DY74" s="136"/>
      <c r="DZ74" s="136"/>
      <c r="EA74" s="136"/>
      <c r="EB74" s="136"/>
      <c r="EC74" s="136"/>
      <c r="ED74" s="136"/>
      <c r="EE74" s="136"/>
      <c r="EF74" s="136"/>
      <c r="EG74" s="136"/>
      <c r="EH74" s="136"/>
      <c r="EI74" s="136"/>
      <c r="EJ74" s="136"/>
      <c r="EK74" s="136"/>
      <c r="EL74" s="136"/>
      <c r="EM74" s="136"/>
      <c r="EN74" s="136"/>
      <c r="EO74" s="136"/>
      <c r="EP74" s="136"/>
      <c r="EQ74" s="136"/>
      <c r="ER74" s="136"/>
      <c r="ES74" s="136"/>
      <c r="ET74" s="136"/>
      <c r="EU74" s="136"/>
      <c r="EV74" s="136"/>
      <c r="EW74" s="136"/>
      <c r="EX74" s="136"/>
      <c r="EY74" s="136"/>
      <c r="EZ74" s="136"/>
      <c r="FA74" s="136"/>
      <c r="FB74" s="136"/>
      <c r="FC74" s="136"/>
      <c r="FD74" s="136"/>
      <c r="FE74" s="136"/>
      <c r="FF74" s="136"/>
      <c r="FG74" s="136"/>
      <c r="FH74" s="136"/>
      <c r="FI74" s="136"/>
      <c r="FJ74" s="136"/>
      <c r="FK74" s="136"/>
      <c r="FL74" s="136"/>
      <c r="FM74" s="136"/>
      <c r="FN74" s="136"/>
      <c r="FO74" s="136"/>
      <c r="FP74" s="136"/>
      <c r="FQ74" s="136"/>
      <c r="FR74" s="412"/>
      <c r="FS74" s="412"/>
      <c r="FT74" s="412"/>
      <c r="FU74" s="412"/>
      <c r="FV74" s="412"/>
      <c r="FW74" s="412"/>
      <c r="FX74" s="412"/>
      <c r="FY74" s="412"/>
      <c r="FZ74" s="412"/>
      <c r="GA74" s="412"/>
      <c r="GB74" s="412"/>
      <c r="GC74" s="412"/>
      <c r="GD74" s="412"/>
      <c r="GE74" s="412"/>
      <c r="GF74" s="412"/>
      <c r="GG74" s="412"/>
      <c r="GH74" s="412"/>
      <c r="GI74" s="412"/>
      <c r="GJ74" s="412"/>
      <c r="GK74" s="412"/>
      <c r="GL74" s="412"/>
      <c r="GM74" s="412"/>
      <c r="GN74" s="412"/>
      <c r="GO74" s="412"/>
      <c r="GP74" s="412"/>
      <c r="GQ74" s="412"/>
      <c r="GR74" s="412"/>
      <c r="GS74" s="412"/>
      <c r="GT74" s="412"/>
      <c r="GU74" s="412"/>
      <c r="GV74" s="412"/>
      <c r="GW74" s="412"/>
      <c r="GX74" s="412"/>
      <c r="GY74" s="412"/>
      <c r="GZ74" s="412"/>
      <c r="HA74" s="412"/>
      <c r="HB74" s="412"/>
      <c r="HC74" s="412"/>
      <c r="HD74" s="412"/>
      <c r="HE74" s="412"/>
      <c r="HF74" s="412"/>
      <c r="HG74" s="412"/>
      <c r="HH74" s="412"/>
      <c r="HI74" s="412"/>
      <c r="HJ74" s="412"/>
      <c r="HK74" s="412"/>
      <c r="HL74" s="412"/>
      <c r="HM74" s="412"/>
      <c r="HN74" s="412"/>
      <c r="HO74" s="412"/>
      <c r="HP74" s="412"/>
      <c r="HQ74" s="412"/>
      <c r="HR74" s="412"/>
      <c r="HS74" s="412"/>
      <c r="HT74" s="412"/>
      <c r="HU74" s="278"/>
      <c r="HV74" s="277"/>
      <c r="HW74" s="277"/>
      <c r="HX74" s="277"/>
      <c r="HY74" s="277"/>
      <c r="HZ74" s="277"/>
      <c r="IA74" s="277"/>
      <c r="IB74" s="277"/>
      <c r="IC74" s="277"/>
      <c r="ID74" s="412"/>
      <c r="IE74" s="412"/>
      <c r="IF74" s="412"/>
      <c r="IG74" s="412"/>
      <c r="IH74" s="412"/>
      <c r="II74" s="412"/>
      <c r="IJ74" s="412"/>
      <c r="IK74" s="412"/>
      <c r="IL74" s="412"/>
      <c r="IM74" s="412"/>
      <c r="IN74" s="412"/>
      <c r="IO74" s="412"/>
      <c r="IP74" s="413"/>
      <c r="IQ74" s="389"/>
      <c r="IR74" s="389"/>
      <c r="IS74" s="389"/>
      <c r="IT74" s="389"/>
      <c r="IU74" s="389"/>
      <c r="IV74" s="389"/>
      <c r="IW74" s="389"/>
      <c r="IX74" s="389"/>
      <c r="IY74" s="389"/>
      <c r="IZ74" s="389"/>
      <c r="JA74" s="389"/>
      <c r="JB74" s="389"/>
      <c r="JC74" s="389"/>
      <c r="JD74" s="389"/>
      <c r="JE74" s="389"/>
      <c r="JF74" s="389"/>
      <c r="JG74" s="389"/>
      <c r="JH74" s="389"/>
      <c r="JI74" s="389"/>
      <c r="JJ74" s="389"/>
      <c r="JK74" s="389"/>
      <c r="JL74" s="389"/>
      <c r="JM74" s="389"/>
      <c r="JN74" s="389"/>
      <c r="JO74" s="389"/>
      <c r="JP74" s="389"/>
      <c r="JQ74" s="389"/>
      <c r="JR74" s="389"/>
      <c r="JS74" s="389"/>
      <c r="JT74" s="596"/>
      <c r="JU74" s="389"/>
      <c r="JV74" s="389"/>
      <c r="JW74" s="389"/>
      <c r="JX74" s="389"/>
      <c r="JY74" s="389"/>
      <c r="JZ74" s="389"/>
      <c r="KA74" s="389"/>
      <c r="KB74" s="389"/>
      <c r="KC74" s="389"/>
      <c r="KD74" s="389"/>
      <c r="KE74" s="389"/>
      <c r="KF74" s="389"/>
      <c r="KG74" s="389"/>
      <c r="KH74" s="389"/>
      <c r="KI74" s="389"/>
      <c r="KJ74" s="389"/>
      <c r="KK74" s="389"/>
      <c r="KL74" s="389"/>
      <c r="KM74" s="389"/>
      <c r="KN74" s="389"/>
      <c r="KO74" s="389"/>
      <c r="KP74" s="389"/>
    </row>
    <row r="75" spans="1:302" s="1" customFormat="1" ht="11.1" hidden="1" customHeight="1" outlineLevel="1">
      <c r="A75" s="529">
        <v>1</v>
      </c>
      <c r="B75" s="989">
        <f>VLOOKUP(B73,'[2]IBAN CONTI'!A$1:B$65562,2,FALSE)</f>
        <v>1</v>
      </c>
      <c r="C75" s="989"/>
      <c r="D75" s="436">
        <f>COUPNCD(AL70,C70,K72,AH74)</f>
        <v>45418</v>
      </c>
      <c r="E75" s="933">
        <f>VLOOKUP(E74,'[2]IBAN CONTI'!A:B,2,FALSE)</f>
        <v>2</v>
      </c>
      <c r="F75" s="444" t="str">
        <f>IF(E75=1,"87,5","74")</f>
        <v>74</v>
      </c>
      <c r="G75" s="443">
        <f>VLOOKUP(G73,'[2]IBAN CONTI'!A$244:B$273,2,FALSE)</f>
        <v>17</v>
      </c>
      <c r="H75" s="383"/>
      <c r="I75" s="434"/>
      <c r="J75" s="383"/>
      <c r="K75" s="433">
        <f>VLOOKUP(K73,'[2]IBAN CONTI'!A$80:B$101,2,FALSE)</f>
        <v>1</v>
      </c>
      <c r="L75" s="840"/>
      <c r="M75" s="843"/>
      <c r="N75" s="843"/>
      <c r="O75" s="39"/>
      <c r="P75" s="750" t="s">
        <v>30</v>
      </c>
      <c r="Q75" s="22"/>
      <c r="R75" s="22"/>
      <c r="S75" s="15"/>
      <c r="T75" s="431"/>
      <c r="U75" s="15"/>
      <c r="V75" s="15"/>
      <c r="W75" s="15"/>
      <c r="X75" s="594">
        <f ca="1">X70-$AF$2</f>
        <v>-4694.6850547453723</v>
      </c>
      <c r="Y75" s="430"/>
      <c r="Z75" s="430"/>
      <c r="AA75" s="430"/>
      <c r="AB75" s="9"/>
      <c r="AC75" s="383"/>
      <c r="AD75" s="219"/>
      <c r="AE75" s="383"/>
      <c r="AF75" s="1011">
        <v>-35782.67</v>
      </c>
      <c r="AG75" s="1011"/>
      <c r="AH75" s="54"/>
      <c r="AI75" s="54"/>
      <c r="AJ75" s="441" t="s">
        <v>172</v>
      </c>
      <c r="AK75" s="525">
        <f>VLOOKUP(AJ75,'[2]IBAN CONTI'!A$61:B$64,2,FALSE)</f>
        <v>1</v>
      </c>
      <c r="AL75" s="967">
        <f>AL72-AL73*(100-F75)/100</f>
        <v>100</v>
      </c>
      <c r="AM75" s="524" t="str">
        <f>IF(B75=2,10^((LOG(AL72/AL71))/AM72)-1,"")</f>
        <v/>
      </c>
      <c r="AN75" s="439">
        <f>IF(B75=4,A72*E70/100,IF(AF72=1,G70*E70/100,A71/E71*E70/100))</f>
        <v>1019.5</v>
      </c>
      <c r="AO75" s="425">
        <f>-AO73*(100-F74)/100</f>
        <v>0</v>
      </c>
      <c r="AP75" s="438">
        <f>IF(B75=2,(AN75-AP72+AN70+AN71)/G70*100,(AN75-AP71+AN70+AN71)/G70*100)</f>
        <v>110.864</v>
      </c>
      <c r="AQ75" s="423"/>
      <c r="AR75" s="422">
        <f>AL71</f>
        <v>100</v>
      </c>
      <c r="AS75" s="421"/>
      <c r="AT75" s="419"/>
      <c r="AU75" s="420"/>
      <c r="AV75" s="223"/>
      <c r="AW75" s="420"/>
      <c r="AX75" s="417"/>
      <c r="AY75" s="420"/>
      <c r="AZ75" s="223"/>
      <c r="BA75" s="419"/>
      <c r="BB75" s="223"/>
      <c r="BC75" s="223"/>
      <c r="BD75" s="223"/>
      <c r="BE75" s="223"/>
      <c r="BF75" s="416"/>
      <c r="BG75" s="418"/>
      <c r="BH75" s="416"/>
      <c r="BI75" s="416"/>
      <c r="BJ75" s="416"/>
      <c r="BK75" s="418"/>
      <c r="BL75" s="417"/>
      <c r="BM75" s="416"/>
      <c r="BN75" s="416"/>
      <c r="BO75" s="416"/>
      <c r="BP75" s="416"/>
      <c r="BQ75" s="416"/>
      <c r="BR75" s="416"/>
      <c r="BS75" s="416"/>
      <c r="BT75" s="389"/>
      <c r="BU75" s="389"/>
      <c r="BV75" s="389"/>
      <c r="BW75" s="389"/>
      <c r="BX75" s="415"/>
      <c r="BY75" s="389"/>
      <c r="BZ75" s="389"/>
      <c r="CA75" s="389"/>
      <c r="CB75" s="389"/>
      <c r="CC75" s="389"/>
      <c r="CD75" s="389"/>
      <c r="CE75" s="389"/>
      <c r="CF75" s="389"/>
      <c r="CG75" s="389"/>
      <c r="CH75" s="389"/>
      <c r="CI75" s="389"/>
      <c r="CJ75" s="389"/>
      <c r="CK75" s="389"/>
      <c r="CL75" s="389"/>
      <c r="CM75" s="389"/>
      <c r="CN75" s="389"/>
      <c r="CO75" s="389"/>
      <c r="CP75" s="389"/>
      <c r="CQ75" s="389"/>
      <c r="CR75" s="389"/>
      <c r="CS75" s="415"/>
      <c r="CT75" s="389"/>
      <c r="CU75" s="389"/>
      <c r="CV75" s="389"/>
      <c r="CW75" s="389"/>
      <c r="CX75" s="389"/>
      <c r="CY75" s="389"/>
      <c r="CZ75" s="389"/>
      <c r="DA75" s="389"/>
      <c r="DB75" s="389"/>
      <c r="DC75" s="389"/>
      <c r="DD75" s="389"/>
      <c r="DE75" s="389"/>
      <c r="DF75" s="389"/>
      <c r="DG75" s="389"/>
      <c r="DH75" s="389"/>
      <c r="DI75" s="389"/>
      <c r="DJ75" s="389"/>
      <c r="DK75" s="389"/>
      <c r="DL75" s="389"/>
      <c r="DM75" s="389"/>
      <c r="DN75" s="389"/>
      <c r="DO75" s="414"/>
      <c r="DP75" s="39"/>
      <c r="DQ75" s="39"/>
      <c r="DR75" s="39"/>
      <c r="DS75" s="136"/>
      <c r="DT75" s="136"/>
      <c r="DU75" s="136"/>
      <c r="DV75" s="136"/>
      <c r="DW75" s="136"/>
      <c r="DX75" s="136"/>
      <c r="DY75" s="136"/>
      <c r="DZ75" s="136"/>
      <c r="EA75" s="136"/>
      <c r="EB75" s="136"/>
      <c r="EC75" s="136"/>
      <c r="ED75" s="136"/>
      <c r="EE75" s="136"/>
      <c r="EF75" s="136"/>
      <c r="EG75" s="136"/>
      <c r="EH75" s="136"/>
      <c r="EI75" s="136"/>
      <c r="EJ75" s="136"/>
      <c r="EK75" s="136"/>
      <c r="EL75" s="136"/>
      <c r="EM75" s="136"/>
      <c r="EN75" s="136"/>
      <c r="EO75" s="136"/>
      <c r="EP75" s="136"/>
      <c r="EQ75" s="136"/>
      <c r="ER75" s="136"/>
      <c r="ES75" s="136"/>
      <c r="ET75" s="136"/>
      <c r="EU75" s="136"/>
      <c r="EV75" s="136"/>
      <c r="EW75" s="136"/>
      <c r="EX75" s="136"/>
      <c r="EY75" s="136"/>
      <c r="EZ75" s="136"/>
      <c r="FA75" s="136"/>
      <c r="FB75" s="136"/>
      <c r="FC75" s="136"/>
      <c r="FD75" s="136"/>
      <c r="FE75" s="136"/>
      <c r="FF75" s="136"/>
      <c r="FG75" s="136"/>
      <c r="FH75" s="136"/>
      <c r="FI75" s="136"/>
      <c r="FJ75" s="136"/>
      <c r="FK75" s="136"/>
      <c r="FL75" s="136"/>
      <c r="FM75" s="136"/>
      <c r="FN75" s="136"/>
      <c r="FO75" s="136"/>
      <c r="FP75" s="136"/>
      <c r="FQ75" s="136"/>
      <c r="FR75" s="412"/>
      <c r="FS75" s="412"/>
      <c r="FT75" s="412"/>
      <c r="FU75" s="412"/>
      <c r="FV75" s="412"/>
      <c r="FW75" s="412"/>
      <c r="FX75" s="412"/>
      <c r="FY75" s="412"/>
      <c r="FZ75" s="412"/>
      <c r="GA75" s="412"/>
      <c r="GB75" s="412"/>
      <c r="GC75" s="412"/>
      <c r="GD75" s="412"/>
      <c r="GE75" s="412"/>
      <c r="GF75" s="412"/>
      <c r="GG75" s="412"/>
      <c r="GH75" s="412"/>
      <c r="GI75" s="412"/>
      <c r="GJ75" s="412"/>
      <c r="GK75" s="412"/>
      <c r="GL75" s="412"/>
      <c r="GM75" s="412"/>
      <c r="GN75" s="412"/>
      <c r="GO75" s="412"/>
      <c r="GP75" s="412"/>
      <c r="GQ75" s="412"/>
      <c r="GR75" s="412"/>
      <c r="GS75" s="412"/>
      <c r="GT75" s="412"/>
      <c r="GU75" s="412"/>
      <c r="GV75" s="412"/>
      <c r="GW75" s="412"/>
      <c r="GX75" s="412"/>
      <c r="GY75" s="412"/>
      <c r="GZ75" s="412"/>
      <c r="HA75" s="412"/>
      <c r="HB75" s="412"/>
      <c r="HC75" s="412"/>
      <c r="HD75" s="412"/>
      <c r="HE75" s="412"/>
      <c r="HF75" s="412"/>
      <c r="HG75" s="412"/>
      <c r="HH75" s="412"/>
      <c r="HI75" s="412"/>
      <c r="HJ75" s="412"/>
      <c r="HK75" s="412"/>
      <c r="HL75" s="412"/>
      <c r="HM75" s="412"/>
      <c r="HN75" s="412"/>
      <c r="HO75" s="412"/>
      <c r="HP75" s="412"/>
      <c r="HQ75" s="412"/>
      <c r="HR75" s="412"/>
      <c r="HS75" s="412"/>
      <c r="HT75" s="412"/>
      <c r="HU75" s="278"/>
      <c r="HV75" s="277"/>
      <c r="HW75" s="277"/>
      <c r="HX75" s="277"/>
      <c r="HY75" s="277"/>
      <c r="HZ75" s="277"/>
      <c r="IA75" s="277"/>
      <c r="IB75" s="277"/>
      <c r="IC75" s="277"/>
      <c r="ID75" s="412"/>
      <c r="IE75" s="412"/>
      <c r="IF75" s="412"/>
      <c r="IG75" s="412"/>
      <c r="IH75" s="412"/>
      <c r="II75" s="412"/>
      <c r="IJ75" s="412"/>
      <c r="IK75" s="412"/>
      <c r="IL75" s="412"/>
      <c r="IM75" s="412"/>
      <c r="IN75" s="412"/>
      <c r="IO75" s="412"/>
      <c r="IP75" s="413"/>
      <c r="IQ75" s="389"/>
      <c r="IR75" s="389"/>
      <c r="IS75" s="389"/>
      <c r="IT75" s="389"/>
      <c r="IU75" s="389"/>
      <c r="IV75" s="389"/>
      <c r="IW75" s="389"/>
      <c r="IX75" s="389"/>
      <c r="IY75" s="389"/>
      <c r="IZ75" s="389"/>
      <c r="JA75" s="389"/>
      <c r="JB75" s="389"/>
      <c r="JC75" s="389"/>
      <c r="JD75" s="389"/>
      <c r="JE75" s="389"/>
      <c r="JF75" s="389"/>
      <c r="JG75" s="389"/>
      <c r="JH75" s="389"/>
      <c r="JI75" s="389"/>
      <c r="JJ75" s="389"/>
      <c r="JK75" s="389"/>
      <c r="JL75" s="389"/>
      <c r="JM75" s="389"/>
      <c r="JN75" s="389"/>
      <c r="JO75" s="389"/>
      <c r="JP75" s="389"/>
      <c r="JQ75" s="389"/>
      <c r="JR75" s="389"/>
      <c r="JS75" s="389"/>
      <c r="JT75" s="596"/>
      <c r="JU75" s="389"/>
      <c r="JV75" s="389"/>
      <c r="JW75" s="389"/>
      <c r="JX75" s="389"/>
      <c r="JY75" s="389"/>
      <c r="JZ75" s="389"/>
      <c r="KA75" s="389"/>
      <c r="KB75" s="389"/>
      <c r="KC75" s="389"/>
      <c r="KD75" s="389"/>
      <c r="KE75" s="389"/>
      <c r="KF75" s="389"/>
      <c r="KG75" s="389"/>
      <c r="KH75" s="389"/>
      <c r="KI75" s="389"/>
      <c r="KJ75" s="389"/>
      <c r="KK75" s="389"/>
      <c r="KL75" s="389"/>
      <c r="KM75" s="389"/>
      <c r="KN75" s="389"/>
      <c r="KO75" s="389"/>
      <c r="KP75" s="389"/>
    </row>
    <row r="76" spans="1:302" s="1" customFormat="1" ht="11.1" hidden="1" customHeight="1" outlineLevel="1">
      <c r="A76" s="529"/>
      <c r="B76" s="933"/>
      <c r="C76" s="933"/>
      <c r="D76" s="436"/>
      <c r="E76" s="933"/>
      <c r="F76" s="435"/>
      <c r="G76" s="433"/>
      <c r="H76" s="383"/>
      <c r="I76" s="434"/>
      <c r="J76" s="383"/>
      <c r="K76" s="433"/>
      <c r="L76" s="840"/>
      <c r="M76" s="849"/>
      <c r="N76" s="845"/>
      <c r="O76" s="136"/>
      <c r="P76" s="751" t="s">
        <v>431</v>
      </c>
      <c r="Q76" s="22"/>
      <c r="R76" s="22"/>
      <c r="S76" s="15"/>
      <c r="T76" s="383"/>
      <c r="U76" s="15"/>
      <c r="V76" s="15"/>
      <c r="W76" s="15"/>
      <c r="X76" s="442"/>
      <c r="Y76" s="430"/>
      <c r="Z76" s="430"/>
      <c r="AA76" s="430"/>
      <c r="AB76" s="9"/>
      <c r="AC76" s="383"/>
      <c r="AD76" s="219"/>
      <c r="AE76" s="383"/>
      <c r="AF76" s="934"/>
      <c r="AG76" s="934"/>
      <c r="AH76" s="54"/>
      <c r="AI76" s="54"/>
      <c r="AJ76" s="441"/>
      <c r="AK76" s="595"/>
      <c r="AL76" s="967"/>
      <c r="AM76" s="524"/>
      <c r="AN76" s="439"/>
      <c r="AO76" s="425" t="str">
        <f>IF(D70&gt;41820,"nuova","vecchia")</f>
        <v>nuova</v>
      </c>
      <c r="AP76" s="424"/>
      <c r="AQ76" s="424"/>
      <c r="AR76" s="422"/>
      <c r="AS76" s="421"/>
      <c r="AT76" s="223"/>
      <c r="AU76" s="420"/>
      <c r="AV76" s="223"/>
      <c r="AW76" s="420"/>
      <c r="AX76" s="417"/>
      <c r="AY76" s="420"/>
      <c r="AZ76" s="223"/>
      <c r="BA76" s="223"/>
      <c r="BB76" s="223"/>
      <c r="BC76" s="223"/>
      <c r="BD76" s="223"/>
      <c r="BE76" s="223"/>
      <c r="BF76" s="416"/>
      <c r="BG76" s="417"/>
      <c r="BH76" s="416"/>
      <c r="BI76" s="416"/>
      <c r="BJ76" s="416"/>
      <c r="BK76" s="417"/>
      <c r="BL76" s="417"/>
      <c r="BM76" s="416"/>
      <c r="BN76" s="416"/>
      <c r="BO76" s="416"/>
      <c r="BP76" s="416"/>
      <c r="BQ76" s="416"/>
      <c r="BR76" s="416"/>
      <c r="BS76" s="416"/>
      <c r="BT76" s="389"/>
      <c r="BU76" s="389"/>
      <c r="BV76" s="389"/>
      <c r="BW76" s="389"/>
      <c r="BX76" s="412"/>
      <c r="BY76" s="389"/>
      <c r="BZ76" s="389"/>
      <c r="CA76" s="389"/>
      <c r="CB76" s="389"/>
      <c r="CC76" s="389"/>
      <c r="CD76" s="389"/>
      <c r="CE76" s="389"/>
      <c r="CF76" s="389"/>
      <c r="CG76" s="389"/>
      <c r="CH76" s="389"/>
      <c r="CI76" s="389"/>
      <c r="CJ76" s="389"/>
      <c r="CK76" s="389"/>
      <c r="CL76" s="389"/>
      <c r="CM76" s="389"/>
      <c r="CN76" s="389"/>
      <c r="CO76" s="389"/>
      <c r="CP76" s="389"/>
      <c r="CQ76" s="389"/>
      <c r="CR76" s="389"/>
      <c r="CS76" s="412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136"/>
      <c r="DP76" s="39"/>
      <c r="DQ76" s="39"/>
      <c r="DR76" s="39"/>
      <c r="DS76" s="136"/>
      <c r="DT76" s="136"/>
      <c r="DU76" s="136"/>
      <c r="DV76" s="136"/>
      <c r="DW76" s="136"/>
      <c r="DX76" s="136"/>
      <c r="DY76" s="136"/>
      <c r="DZ76" s="136"/>
      <c r="EA76" s="136"/>
      <c r="EB76" s="136"/>
      <c r="EC76" s="136"/>
      <c r="ED76" s="136"/>
      <c r="EE76" s="136"/>
      <c r="EF76" s="136"/>
      <c r="EG76" s="136"/>
      <c r="EH76" s="136"/>
      <c r="EI76" s="136"/>
      <c r="EJ76" s="136"/>
      <c r="EK76" s="136"/>
      <c r="EL76" s="136"/>
      <c r="EM76" s="136"/>
      <c r="EN76" s="136"/>
      <c r="EO76" s="136"/>
      <c r="EP76" s="136"/>
      <c r="EQ76" s="136"/>
      <c r="ER76" s="136"/>
      <c r="ES76" s="136"/>
      <c r="ET76" s="136"/>
      <c r="EU76" s="136"/>
      <c r="EV76" s="136"/>
      <c r="EW76" s="136"/>
      <c r="EX76" s="136"/>
      <c r="EY76" s="136"/>
      <c r="EZ76" s="136"/>
      <c r="FA76" s="136"/>
      <c r="FB76" s="136"/>
      <c r="FC76" s="136"/>
      <c r="FD76" s="136"/>
      <c r="FE76" s="136"/>
      <c r="FF76" s="136"/>
      <c r="FG76" s="136"/>
      <c r="FH76" s="136"/>
      <c r="FI76" s="136"/>
      <c r="FJ76" s="136"/>
      <c r="FK76" s="136"/>
      <c r="FL76" s="136"/>
      <c r="FM76" s="136"/>
      <c r="FN76" s="136"/>
      <c r="FO76" s="136"/>
      <c r="FP76" s="136"/>
      <c r="FQ76" s="136"/>
      <c r="FR76" s="412"/>
      <c r="FS76" s="412"/>
      <c r="FT76" s="412"/>
      <c r="FU76" s="412"/>
      <c r="FV76" s="412"/>
      <c r="FW76" s="412"/>
      <c r="FX76" s="412"/>
      <c r="FY76" s="412"/>
      <c r="FZ76" s="412"/>
      <c r="GA76" s="412"/>
      <c r="GB76" s="412"/>
      <c r="GC76" s="412"/>
      <c r="GD76" s="412"/>
      <c r="GE76" s="412"/>
      <c r="GF76" s="412"/>
      <c r="GG76" s="412"/>
      <c r="GH76" s="412"/>
      <c r="GI76" s="412"/>
      <c r="GJ76" s="412"/>
      <c r="GK76" s="412"/>
      <c r="GL76" s="412"/>
      <c r="GM76" s="412"/>
      <c r="GN76" s="412"/>
      <c r="GO76" s="412"/>
      <c r="GP76" s="412"/>
      <c r="GQ76" s="412"/>
      <c r="GR76" s="412"/>
      <c r="GS76" s="412"/>
      <c r="GT76" s="412"/>
      <c r="GU76" s="412"/>
      <c r="GV76" s="412"/>
      <c r="GW76" s="412"/>
      <c r="GX76" s="412"/>
      <c r="GY76" s="412"/>
      <c r="GZ76" s="412"/>
      <c r="HA76" s="412"/>
      <c r="HB76" s="412"/>
      <c r="HC76" s="412"/>
      <c r="HD76" s="412"/>
      <c r="HE76" s="412"/>
      <c r="HF76" s="412"/>
      <c r="HG76" s="412"/>
      <c r="HH76" s="412"/>
      <c r="HI76" s="412"/>
      <c r="HJ76" s="412"/>
      <c r="HK76" s="412"/>
      <c r="HL76" s="412"/>
      <c r="HM76" s="412"/>
      <c r="HN76" s="412"/>
      <c r="HO76" s="412"/>
      <c r="HP76" s="412"/>
      <c r="HQ76" s="412"/>
      <c r="HR76" s="412"/>
      <c r="HS76" s="412"/>
      <c r="HT76" s="412"/>
      <c r="HU76" s="278"/>
      <c r="HV76" s="277"/>
      <c r="HW76" s="277"/>
      <c r="HX76" s="277"/>
      <c r="HY76" s="277"/>
      <c r="HZ76" s="277"/>
      <c r="IA76" s="277"/>
      <c r="IB76" s="277"/>
      <c r="IC76" s="277"/>
      <c r="ID76" s="412"/>
      <c r="IE76" s="412"/>
      <c r="IF76" s="412"/>
      <c r="IG76" s="412"/>
      <c r="IH76" s="412"/>
      <c r="II76" s="412"/>
      <c r="IJ76" s="412"/>
      <c r="IK76" s="412"/>
      <c r="IL76" s="412"/>
      <c r="IM76" s="412"/>
      <c r="IN76" s="412"/>
      <c r="IO76" s="412"/>
      <c r="IP76" s="412"/>
      <c r="IQ76" s="389"/>
      <c r="IR76" s="389"/>
      <c r="IS76" s="389"/>
      <c r="IT76" s="389"/>
      <c r="IU76" s="389"/>
      <c r="IV76" s="389"/>
      <c r="IW76" s="389"/>
      <c r="IX76" s="389"/>
      <c r="IY76" s="389"/>
      <c r="IZ76" s="389"/>
      <c r="JA76" s="389"/>
      <c r="JB76" s="389"/>
      <c r="JC76" s="389"/>
      <c r="JD76" s="389"/>
      <c r="JE76" s="389"/>
      <c r="JF76" s="389"/>
      <c r="JG76" s="389"/>
      <c r="JH76" s="389"/>
      <c r="JI76" s="389"/>
      <c r="JJ76" s="389"/>
      <c r="JK76" s="389"/>
      <c r="JL76" s="389"/>
      <c r="JM76" s="389"/>
      <c r="JN76" s="389"/>
      <c r="JO76" s="389"/>
      <c r="JP76" s="389"/>
      <c r="JQ76" s="389"/>
      <c r="JR76" s="389"/>
      <c r="JS76" s="389"/>
      <c r="JT76" s="596"/>
      <c r="JU76" s="389"/>
      <c r="JV76" s="389"/>
      <c r="JW76" s="389"/>
      <c r="JX76" s="389"/>
      <c r="JY76" s="389"/>
      <c r="JZ76" s="389"/>
      <c r="KA76" s="389"/>
      <c r="KB76" s="389"/>
      <c r="KC76" s="389"/>
      <c r="KD76" s="389"/>
      <c r="KE76" s="389"/>
      <c r="KF76" s="389"/>
      <c r="KG76" s="389"/>
      <c r="KH76" s="389"/>
      <c r="KI76" s="389"/>
      <c r="KJ76" s="389"/>
      <c r="KK76" s="389"/>
      <c r="KL76" s="389"/>
      <c r="KM76" s="389"/>
      <c r="KN76" s="389"/>
      <c r="KO76" s="389"/>
      <c r="KP76" s="389"/>
    </row>
    <row r="77" spans="1:302" s="1" customFormat="1" ht="11.1" customHeight="1" collapsed="1">
      <c r="A77" s="522">
        <v>2029</v>
      </c>
      <c r="B77" s="508"/>
      <c r="C77" s="521"/>
      <c r="D77" s="250"/>
      <c r="E77" s="768"/>
      <c r="F77" s="519"/>
      <c r="G77" s="966"/>
      <c r="H77" s="966"/>
      <c r="I77" s="519"/>
      <c r="J77" s="966"/>
      <c r="K77" s="260"/>
      <c r="L77" s="837"/>
      <c r="M77" s="847"/>
      <c r="N77" s="847"/>
      <c r="O77" s="260"/>
      <c r="P77" s="518" t="s">
        <v>30</v>
      </c>
      <c r="Q77" s="517"/>
      <c r="R77" s="517"/>
      <c r="S77" s="516"/>
      <c r="T77" s="966"/>
      <c r="U77" s="516"/>
      <c r="V77" s="516"/>
      <c r="W77" s="516"/>
      <c r="X77" s="516"/>
      <c r="Y77" s="516"/>
      <c r="Z77" s="516"/>
      <c r="AA77" s="516"/>
      <c r="AB77" s="515"/>
      <c r="AC77" s="966"/>
      <c r="AD77" s="514"/>
      <c r="AE77" s="966"/>
      <c r="AF77" s="513"/>
      <c r="AG77" s="513"/>
      <c r="AH77" s="512"/>
      <c r="AI77" s="511"/>
      <c r="AJ77" s="469"/>
      <c r="AK77" s="510"/>
      <c r="AL77" s="509"/>
      <c r="AM77" s="374"/>
      <c r="AN77" s="508"/>
      <c r="AO77" s="250"/>
      <c r="AP77" s="249"/>
      <c r="AQ77" s="249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HU77" s="10"/>
      <c r="JT77" s="380"/>
    </row>
    <row r="78" spans="1:302" ht="5.0999999999999996" customHeight="1" collapsed="1">
      <c r="A78" s="8"/>
      <c r="B78" s="933"/>
      <c r="C78" s="933"/>
      <c r="D78" s="431"/>
      <c r="E78" s="475"/>
      <c r="F78" s="602"/>
      <c r="G78" s="431"/>
      <c r="H78" s="431"/>
      <c r="I78" s="528"/>
      <c r="J78" s="431"/>
      <c r="K78" s="431"/>
      <c r="L78" s="833"/>
      <c r="M78" s="720"/>
      <c r="N78" s="720"/>
      <c r="O78" s="223"/>
      <c r="P78" s="318" t="s">
        <v>30</v>
      </c>
      <c r="Q78" s="526"/>
      <c r="R78" s="526"/>
      <c r="S78" s="15"/>
      <c r="T78" s="431"/>
      <c r="U78" s="18"/>
      <c r="V78" s="18"/>
      <c r="W78" s="18"/>
      <c r="X78" s="430"/>
      <c r="Y78" s="430"/>
      <c r="Z78" s="430"/>
      <c r="AA78" s="430"/>
      <c r="AB78" s="78"/>
      <c r="AC78" s="431"/>
      <c r="AD78" s="117"/>
      <c r="AE78" s="431"/>
      <c r="AF78" s="934"/>
      <c r="AG78" s="934"/>
      <c r="AH78" s="552"/>
      <c r="AI78" s="551"/>
      <c r="AJ78" s="550"/>
      <c r="AK78" s="549"/>
      <c r="AL78" s="967"/>
      <c r="AM78" s="426"/>
      <c r="AN78" s="743"/>
      <c r="AO78" s="425"/>
      <c r="AP78" s="424"/>
      <c r="AQ78" s="424"/>
      <c r="AR78" s="422"/>
      <c r="AS78" s="421"/>
      <c r="AT78" s="223"/>
      <c r="AU78" s="420"/>
      <c r="AV78" s="223"/>
      <c r="AW78" s="420"/>
      <c r="AX78" s="526"/>
      <c r="AY78" s="420"/>
      <c r="AZ78" s="223"/>
      <c r="BA78" s="223"/>
      <c r="BB78" s="223"/>
      <c r="BC78" s="223"/>
      <c r="BD78" s="223"/>
      <c r="BE78" s="223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32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  <c r="IW78" s="18"/>
      <c r="IX78" s="18"/>
      <c r="IY78" s="18"/>
      <c r="IZ78" s="18"/>
      <c r="JA78" s="18"/>
      <c r="JB78" s="18"/>
      <c r="JC78" s="18"/>
      <c r="JD78" s="18"/>
      <c r="JE78" s="18"/>
      <c r="JF78" s="18"/>
      <c r="JG78" s="18"/>
      <c r="JH78" s="18"/>
      <c r="JI78" s="18"/>
      <c r="JJ78" s="18"/>
      <c r="JK78" s="18"/>
      <c r="JL78" s="18"/>
      <c r="JM78" s="18"/>
      <c r="JN78" s="18"/>
      <c r="JO78" s="18"/>
      <c r="JP78" s="18"/>
      <c r="JQ78" s="18"/>
      <c r="JR78" s="18"/>
      <c r="JS78" s="18"/>
      <c r="JT78" s="724"/>
      <c r="JU78" s="18"/>
      <c r="JV78" s="18"/>
      <c r="JW78" s="18"/>
      <c r="JX78" s="18"/>
      <c r="JY78" s="18"/>
      <c r="JZ78" s="18"/>
      <c r="KA78" s="18"/>
      <c r="KB78" s="18"/>
      <c r="KC78" s="18"/>
      <c r="KD78" s="18"/>
      <c r="KE78" s="18"/>
      <c r="KF78" s="18"/>
      <c r="KG78" s="18"/>
      <c r="KH78" s="18"/>
      <c r="KI78" s="18"/>
      <c r="KJ78" s="18"/>
      <c r="KK78" s="18"/>
      <c r="KL78" s="18"/>
      <c r="KM78" s="18"/>
      <c r="KN78" s="18"/>
      <c r="KO78" s="18"/>
      <c r="KP78" s="18"/>
    </row>
    <row r="79" spans="1:302" ht="11.1" customHeight="1">
      <c r="A79" s="497" t="s">
        <v>498</v>
      </c>
      <c r="B79" s="590" t="s">
        <v>194</v>
      </c>
      <c r="C79" s="495">
        <v>47274</v>
      </c>
      <c r="D79" s="725">
        <v>45450</v>
      </c>
      <c r="E79" s="762">
        <v>100.69</v>
      </c>
      <c r="F79" s="490">
        <v>4.7500000000000001E-2</v>
      </c>
      <c r="G79" s="383">
        <v>1000</v>
      </c>
      <c r="H79" s="492">
        <f>G79</f>
        <v>1000</v>
      </c>
      <c r="I79" s="385">
        <f>G79*F79/100*F84</f>
        <v>35.15</v>
      </c>
      <c r="J79" s="492">
        <f>I79</f>
        <v>35.15</v>
      </c>
      <c r="K79" s="384" t="s">
        <v>458</v>
      </c>
      <c r="L79" s="833">
        <f>MONTH(C79)</f>
        <v>6</v>
      </c>
      <c r="M79" s="842">
        <f>IFERROR(IF(N79&gt;12,N79-12,N79),"")</f>
        <v>12</v>
      </c>
      <c r="N79" s="594">
        <f>IF(K81=1,"",MONTH(C79)+6)</f>
        <v>12</v>
      </c>
      <c r="O79" s="832">
        <f>IF(K81=1,I79,I79/2)</f>
        <v>17.574999999999999</v>
      </c>
      <c r="P79" s="215">
        <f>VLOOKUP(B80,[2]Prezzi!$A$2:$R$125,18,FALSE)</f>
        <v>103.91000366210937</v>
      </c>
      <c r="Q79" s="526"/>
      <c r="R79" s="526"/>
      <c r="S79" s="493">
        <f ca="1">MAX(0,IF(B84=5,I79/AM81*X79,(((((F79)*AF$2)/365)*G79*F84/100)+((((F79)*X84)/365)*G79*F84/100))))</f>
        <v>15.504520547945219</v>
      </c>
      <c r="T79" s="492">
        <f ca="1">S79</f>
        <v>15.504520547945219</v>
      </c>
      <c r="U79" s="469"/>
      <c r="V79" s="4"/>
      <c r="W79" s="469"/>
      <c r="X79" s="491">
        <f ca="1">IF(B84=4,COUPDAYBS($AB$2,C79,K81,AH83),IF($AB$2-AL79&lt;365,IF(K81&gt;1,FLOOR(365/K81-(E81-AB$2),1),IF(B84=2,0,IF(AL79&gt;$AB$2,0,IF(AND(E81-AL79&lt;365,$AB$2&lt;E81),$AB$2-AL79,COUPDAYBS($AB$2,C79,K81,AH83))))),COUPDAYBS($AB$2,C79,K81,AH83)))</f>
        <v>161</v>
      </c>
      <c r="Y79" s="456">
        <f ca="1">G79*AF79</f>
        <v>4037.0832888544232</v>
      </c>
      <c r="Z79" s="456">
        <f ca="1">IF(G79=0,"0",G79*AG79)</f>
        <v>28.173952140791464</v>
      </c>
      <c r="AA79" s="22"/>
      <c r="AB79" s="979">
        <f ca="1">IF(B84=5,(((I79/AM82)*X79)+(G79)),(G79*P79*A84/100)+(S79*A84))</f>
        <v>1054.604557169039</v>
      </c>
      <c r="AC79" s="383">
        <f ca="1">AB79</f>
        <v>1054.604557169039</v>
      </c>
      <c r="AD79" s="156">
        <f>IF(E80="",((P79-E79)/100)*G79,((((P79-E79)/100)*A80)/F80)+((A80/F80)-(A80/E80)))</f>
        <v>32.200036621093773</v>
      </c>
      <c r="AE79" s="383">
        <f>AD79</f>
        <v>32.200036621093773</v>
      </c>
      <c r="AF79" s="446">
        <f ca="1">IF(B84=1,MDURATION($AB$2,C79,F79,AG79,K81,AH83),IF(B84=2,YEARFRAC(C79,$AB$2,AH83)))</f>
        <v>4.037083288854423</v>
      </c>
      <c r="AG79" s="824">
        <f ca="1">YIELD(AB$2,C79,F79,P79,AL81,K81,AH83)*F84/100</f>
        <v>2.8173952140791464E-2</v>
      </c>
      <c r="AH79" s="489">
        <f ca="1">(((F79)*X79)/365)*F84</f>
        <v>1.5504520547945206</v>
      </c>
      <c r="AI79" s="573"/>
      <c r="AJ79" s="180"/>
      <c r="AK79" s="546"/>
      <c r="AL79" s="245">
        <v>45448</v>
      </c>
      <c r="AM79" s="545" t="s">
        <v>429</v>
      </c>
      <c r="AN79" s="813">
        <f>IF(B84=4,MIN(G79*E79*A82*AZ$2/100,AV$4),IF(AF81=1,MIN(G79*E79*AZ$2/100,AV$4),MIN((A80*E79/E80*AZ$2/100),AV$4)+(((A80/E80*E79/100)+(A80/E80*E79*AZ$2/100)+AN80+AO79)*AZ$3)))</f>
        <v>1.0068999999999999</v>
      </c>
      <c r="AO79" s="484">
        <f>IF(B84=4,AP82*A81/100,IF(AF81=1,G79*AP82/100,A80/E80/100*AP82))</f>
        <v>0.77867999999999993</v>
      </c>
      <c r="AP79" s="326">
        <f>IF(B84=2,AN84+AN79+AN80+AP80,AN84+AN79+AN80+AO79+AO80+AP80)</f>
        <v>1011.9831231999999</v>
      </c>
      <c r="AQ79" s="326">
        <f>AP79</f>
        <v>1011.9831231999999</v>
      </c>
      <c r="AR79" s="483">
        <f>AR81+AR83+AR80</f>
        <v>1035.1500000000001</v>
      </c>
      <c r="AS79" s="825">
        <f ca="1">AG79</f>
        <v>2.8173952140791464E-2</v>
      </c>
      <c r="AT79" s="419">
        <f>IF(B84=1,G79,"")</f>
        <v>1000</v>
      </c>
      <c r="AU79" s="420" t="str">
        <f>IF(B84=2,G79,"")</f>
        <v/>
      </c>
      <c r="AV79" s="223" t="str">
        <f>IF(B84=3,G79,"")</f>
        <v/>
      </c>
      <c r="AW79" s="420" t="str">
        <f>IF(B84=4,G79,"")</f>
        <v/>
      </c>
      <c r="AX79" s="417" t="str">
        <f>IF(B84=5,G79,"")</f>
        <v/>
      </c>
      <c r="AY79" s="420" t="str">
        <f>IF(B84=6,G79,"")</f>
        <v/>
      </c>
      <c r="AZ79" s="223" t="str">
        <f>IF(B84=7,G79,"")</f>
        <v/>
      </c>
      <c r="BA79" s="419" t="str">
        <f>IF(B81=1,G79,"")</f>
        <v/>
      </c>
      <c r="BB79" s="223" t="str">
        <f>IF(B81=2,G79,"")</f>
        <v/>
      </c>
      <c r="BC79" s="223" t="str">
        <f>IF(B81=3,G79,"")</f>
        <v/>
      </c>
      <c r="BD79" s="223" t="str">
        <f>IF(B81=4,G79,"")</f>
        <v/>
      </c>
      <c r="BE79" s="223" t="str">
        <f>IF(B81=5,G79,"")</f>
        <v/>
      </c>
      <c r="BF79" s="417">
        <f>IF(B81=6,G79,"")</f>
        <v>1000</v>
      </c>
      <c r="BG79" s="419">
        <f>IF(AK84=1,G79,"")</f>
        <v>1000</v>
      </c>
      <c r="BH79" s="223" t="str">
        <f>IF(AK84=2,G79,"")</f>
        <v/>
      </c>
      <c r="BI79" s="223" t="str">
        <f>IF(AK84=3,G79,"")</f>
        <v/>
      </c>
      <c r="BJ79" s="223" t="str">
        <f>IF(AK84=4,G79,"")</f>
        <v/>
      </c>
      <c r="BK79" s="419" t="str">
        <f>IF(AJ83=1,G79,"")</f>
        <v/>
      </c>
      <c r="BL79" s="482" t="str">
        <f>IF(BK79&lt;&gt;"",AB79,"")</f>
        <v/>
      </c>
      <c r="BM79" s="223" t="str">
        <f>IF(AJ83=2,G79,"")</f>
        <v/>
      </c>
      <c r="BN79" s="223" t="str">
        <f>IF(BM79&lt;&gt;"",AB79,"")</f>
        <v/>
      </c>
      <c r="BO79" s="223" t="str">
        <f>IF(AJ83=3,G79,"")</f>
        <v/>
      </c>
      <c r="BP79" s="223" t="str">
        <f>IF(AJ83=4,G79,"")</f>
        <v/>
      </c>
      <c r="BQ79" s="223" t="str">
        <f>IF(AJ83=5,G79,"")</f>
        <v/>
      </c>
      <c r="BR79" s="223">
        <f>IF(AJ83=6,G79,"")</f>
        <v>1000</v>
      </c>
      <c r="BS79" s="223" t="str">
        <f>IF(AJ83=7,G79,"")</f>
        <v/>
      </c>
      <c r="BT79" s="223" t="str">
        <f>IF(AJ83=8,G79,"")</f>
        <v/>
      </c>
      <c r="BU79" s="223" t="str">
        <f>IF(AJ83=9,G79,"")</f>
        <v/>
      </c>
      <c r="BV79" s="223" t="str">
        <f>IF(AJ83=10,G79,"")</f>
        <v/>
      </c>
      <c r="BW79" s="223" t="str">
        <f>IF(AJ83=11,G79,"")</f>
        <v/>
      </c>
      <c r="BX79" s="419">
        <f>IF(AF81=1,G79,"")</f>
        <v>1000</v>
      </c>
      <c r="BY79" s="223" t="str">
        <f>IF(AF81=2,G79,"")</f>
        <v/>
      </c>
      <c r="BZ79" s="223" t="str">
        <f>IF(AF81=3,G79,"")</f>
        <v/>
      </c>
      <c r="CA79" s="223" t="str">
        <f>IF(AF81=4,G79,"")</f>
        <v/>
      </c>
      <c r="CB79" s="223" t="str">
        <f>IF(AF81=5,G79,"")</f>
        <v/>
      </c>
      <c r="CC79" s="223" t="str">
        <f>IF(AF81=6,G79,"")</f>
        <v/>
      </c>
      <c r="CD79" s="223" t="str">
        <f>IF(AF81=7,G79,"")</f>
        <v/>
      </c>
      <c r="CE79" s="223" t="str">
        <f>IF(AF81=8,G79,"")</f>
        <v/>
      </c>
      <c r="CF79" s="223" t="str">
        <f>IF(AF81=9,G79,"")</f>
        <v/>
      </c>
      <c r="CG79" s="223" t="str">
        <f>IF(AF81=10,G79,"")</f>
        <v/>
      </c>
      <c r="CH79" s="223" t="str">
        <f>IF(AF81=11,G79,"")</f>
        <v/>
      </c>
      <c r="CI79" s="223" t="str">
        <f>IF(AF81=12,G79,"")</f>
        <v/>
      </c>
      <c r="CJ79" s="223" t="str">
        <f>IF(AF81=13,G79,"")</f>
        <v/>
      </c>
      <c r="CK79" s="223" t="str">
        <f>IF(AF81=14,G79,"")</f>
        <v/>
      </c>
      <c r="CL79" s="223" t="str">
        <f>IF(AF81=15,G79,"")</f>
        <v/>
      </c>
      <c r="CM79" s="223" t="str">
        <f>IF(AF81=16,G79,"")</f>
        <v/>
      </c>
      <c r="CN79" s="223" t="str">
        <f>IF(AF81=17,G79,"")</f>
        <v/>
      </c>
      <c r="CO79" s="223" t="str">
        <f>IF(AF81=18,G79,"")</f>
        <v/>
      </c>
      <c r="CP79" s="223" t="str">
        <f>IF(AF81=19,G79,"")</f>
        <v/>
      </c>
      <c r="CQ79" s="223" t="str">
        <f>IF(AF81=20,G79,"")</f>
        <v/>
      </c>
      <c r="CR79" s="223" t="str">
        <f>IF(AF81=21,G79,"")</f>
        <v/>
      </c>
      <c r="CS79" s="419">
        <f>IF(K84=1,G79,"")</f>
        <v>1000</v>
      </c>
      <c r="CT79" s="223" t="str">
        <f>IF(K84=2,G79,"")</f>
        <v/>
      </c>
      <c r="CU79" s="223" t="str">
        <f>IF(K84=3,G79,"")</f>
        <v/>
      </c>
      <c r="CV79" s="223" t="str">
        <f>IF(K84=4,G79,"")</f>
        <v/>
      </c>
      <c r="CW79" s="223" t="str">
        <f>IF(K84=5,G79,"")</f>
        <v/>
      </c>
      <c r="CX79" s="223" t="str">
        <f>IF(K84=6,G79,"")</f>
        <v/>
      </c>
      <c r="CY79" s="223" t="str">
        <f>IF(K84=7,G79,"")</f>
        <v/>
      </c>
      <c r="CZ79" s="223" t="str">
        <f>IF(K84=8,G79,"")</f>
        <v/>
      </c>
      <c r="DA79" s="223" t="str">
        <f>IF(K84=9,G79,"")</f>
        <v/>
      </c>
      <c r="DB79" s="223" t="str">
        <f>IF(K84=10,G79,"")</f>
        <v/>
      </c>
      <c r="DC79" s="223" t="str">
        <f>IF(K84=11,G79,"")</f>
        <v/>
      </c>
      <c r="DD79" s="223" t="str">
        <f>IF(K84=12,G79,"")</f>
        <v/>
      </c>
      <c r="DE79" s="223" t="str">
        <f>IF(K84=13,G79,"")</f>
        <v/>
      </c>
      <c r="DF79" s="223" t="str">
        <f>IF(K84=14,G79,"")</f>
        <v/>
      </c>
      <c r="DG79" s="223" t="str">
        <f>IF(K84=15,G79,"")</f>
        <v/>
      </c>
      <c r="DH79" s="223" t="str">
        <f>IF(K84=16,G79,"")</f>
        <v/>
      </c>
      <c r="DI79" s="223" t="str">
        <f>IF(K84=17,G79,"")</f>
        <v/>
      </c>
      <c r="DJ79" s="223" t="str">
        <f>IF(K84=18,G79,"")</f>
        <v/>
      </c>
      <c r="DK79" s="223" t="str">
        <f>IF(K84=19,G79,"")</f>
        <v/>
      </c>
      <c r="DL79" s="223" t="str">
        <f>IF(K84=20,G79,"")</f>
        <v/>
      </c>
      <c r="DM79" s="223"/>
      <c r="DN79" s="223"/>
      <c r="DO79" s="419" t="str">
        <f>IF(AG81=1,G79,"")</f>
        <v/>
      </c>
      <c r="DP79" s="223" t="str">
        <f>IF(AG81=2,G79,"")</f>
        <v/>
      </c>
      <c r="DQ79" s="223" t="str">
        <f>IF(AG81=3,G79,"")</f>
        <v/>
      </c>
      <c r="DR79" s="223" t="str">
        <f>IF(AG81=4,G79,"")</f>
        <v/>
      </c>
      <c r="DS79" s="223" t="str">
        <f>IF(AG81=5,G79,"")</f>
        <v/>
      </c>
      <c r="DT79" s="223" t="str">
        <f>IF(AG81=6,G79,"")</f>
        <v/>
      </c>
      <c r="DU79" s="223" t="str">
        <f>IF(AG81=7,G79,"")</f>
        <v/>
      </c>
      <c r="DV79" s="223" t="str">
        <f>IF(AG81=8,G79,"")</f>
        <v/>
      </c>
      <c r="DW79" s="136" t="str">
        <f>IF(AG81=9,G79,"")</f>
        <v/>
      </c>
      <c r="DX79" s="136" t="str">
        <f>IF(AG81=10,G79,"")</f>
        <v/>
      </c>
      <c r="DY79" s="136" t="str">
        <f>IF(AG81=11,G79,"")</f>
        <v/>
      </c>
      <c r="DZ79" s="136" t="str">
        <f>IF(AG81=12,G79,"")</f>
        <v/>
      </c>
      <c r="EA79" s="136" t="str">
        <f>IF(AG81=13,G79,"")</f>
        <v/>
      </c>
      <c r="EB79" s="136" t="str">
        <f>IF(AG81=14,G79,"")</f>
        <v/>
      </c>
      <c r="EC79" s="317" t="str">
        <f>IF(AG81=15,G79,"")</f>
        <v/>
      </c>
      <c r="ED79" s="136" t="str">
        <f>IF(AG81=16,G79,"")</f>
        <v/>
      </c>
      <c r="EE79" s="136" t="str">
        <f>IF(AG81=17,G79,"")</f>
        <v/>
      </c>
      <c r="EF79" s="136" t="str">
        <f>IF(AG81=18,G79,"")</f>
        <v/>
      </c>
      <c r="EG79" s="136" t="str">
        <f>IF(AG81=19,G79,"")</f>
        <v/>
      </c>
      <c r="EH79" s="136" t="str">
        <f>IF(AG81=20,G79,"")</f>
        <v/>
      </c>
      <c r="EI79" s="136" t="str">
        <f>IF(AG81=21,G79,"")</f>
        <v/>
      </c>
      <c r="EJ79" s="136" t="str">
        <f>IF(AG81=22,G79,"")</f>
        <v/>
      </c>
      <c r="EK79" s="136" t="str">
        <f>IF(AG81=23,G79,"")</f>
        <v/>
      </c>
      <c r="EL79" s="136" t="str">
        <f>IF(AG81=24,G79,"")</f>
        <v/>
      </c>
      <c r="EM79" s="136" t="str">
        <f>IF(AG81=25,G79,"")</f>
        <v/>
      </c>
      <c r="EN79" s="136" t="str">
        <f>IF(AG81=26,G79,"")</f>
        <v/>
      </c>
      <c r="EO79" s="136">
        <f>IF(AG81=27,G79,"")</f>
        <v>1000</v>
      </c>
      <c r="EP79" s="136" t="str">
        <f>IF(AG81=28,G79,"")</f>
        <v/>
      </c>
      <c r="EQ79" s="136" t="str">
        <f>IF(AG81=29,G79,"")</f>
        <v/>
      </c>
      <c r="ER79" s="136" t="str">
        <f>IF(AG81=30,G79,"")</f>
        <v/>
      </c>
      <c r="ES79" s="136" t="str">
        <f>IF(AG81=31,G79,"")</f>
        <v/>
      </c>
      <c r="ET79" s="136" t="str">
        <f>IF(AG81=32,G79,"")</f>
        <v/>
      </c>
      <c r="EU79" s="136" t="str">
        <f>IF(AG81=33,G79,"")</f>
        <v/>
      </c>
      <c r="EV79" s="136" t="str">
        <f>IF(AG81=34,G79,"")</f>
        <v/>
      </c>
      <c r="EW79" s="136" t="str">
        <f>IF(AG81=35,G79,"")</f>
        <v/>
      </c>
      <c r="EX79" s="136" t="str">
        <f>IF(AG81=36,G79,"")</f>
        <v/>
      </c>
      <c r="EY79" s="136" t="str">
        <f>IF(AG81=37,G79,"")</f>
        <v/>
      </c>
      <c r="EZ79" s="136" t="str">
        <f>IF(AG81=38,G79,"")</f>
        <v/>
      </c>
      <c r="FA79" s="136" t="str">
        <f>IF(AG81=39,G79,"")</f>
        <v/>
      </c>
      <c r="FB79" s="136" t="str">
        <f>IF(AG81=40,G79,"")</f>
        <v/>
      </c>
      <c r="FC79" s="136" t="str">
        <f>IF(AG81=41,G79,"")</f>
        <v/>
      </c>
      <c r="FD79" s="136" t="str">
        <f>IF(AG81=42,G79,"")</f>
        <v/>
      </c>
      <c r="FE79" s="136" t="str">
        <f>IF(AG81=43,G79,"")</f>
        <v/>
      </c>
      <c r="FF79" s="136" t="str">
        <f>IF(AG81=44,G79,"")</f>
        <v/>
      </c>
      <c r="FG79" s="136" t="str">
        <f>IF(AG81=45,G79,"")</f>
        <v/>
      </c>
      <c r="FH79" s="136" t="str">
        <f>IF(AG81=46,G79,"")</f>
        <v/>
      </c>
      <c r="FI79" s="136" t="str">
        <f>IF(AG81=47,G79,"")</f>
        <v/>
      </c>
      <c r="FJ79" s="136" t="str">
        <f>IF(AG81=48,G79,"")</f>
        <v/>
      </c>
      <c r="FK79" s="136" t="str">
        <f>IF(AG81=49,G79,"")</f>
        <v/>
      </c>
      <c r="FL79" s="136" t="str">
        <f>IF(AG81=50,G79,"")</f>
        <v/>
      </c>
      <c r="FM79" s="136" t="str">
        <f>IF(AG81=51,G79,"")</f>
        <v/>
      </c>
      <c r="FN79" s="136" t="str">
        <f>IF(AG81=52,G79,"")</f>
        <v/>
      </c>
      <c r="FO79" s="136" t="str">
        <f>IF(AG81=53,G79,"")</f>
        <v/>
      </c>
      <c r="FP79" s="136" t="str">
        <f>IF(AG81=54,G79,"")</f>
        <v/>
      </c>
      <c r="FQ79" s="136" t="str">
        <f>IF(AG81=55,G79,"")</f>
        <v/>
      </c>
      <c r="FR79" s="412" t="str">
        <f>IF(AG81=56,G79,"")</f>
        <v/>
      </c>
      <c r="FS79" s="412" t="str">
        <f>IF(AG81=57,G79,"")</f>
        <v/>
      </c>
      <c r="FT79" s="412" t="str">
        <f>IF(AG81=58,G79,"")</f>
        <v/>
      </c>
      <c r="FU79" s="412" t="str">
        <f>IF(AG81=59,G79,"")</f>
        <v/>
      </c>
      <c r="FV79" s="412" t="str">
        <f>IF(AG81=60,G79,"")</f>
        <v/>
      </c>
      <c r="FW79" s="412" t="str">
        <f>IF(AG81=61,G79,"")</f>
        <v/>
      </c>
      <c r="FX79" s="412" t="str">
        <f>IF(AG81=62,G79,"")</f>
        <v/>
      </c>
      <c r="FY79" s="412" t="str">
        <f>IF(AG81=63,G79,"")</f>
        <v/>
      </c>
      <c r="FZ79" s="412" t="str">
        <f>IF(AG81=64,G79,"")</f>
        <v/>
      </c>
      <c r="GA79" s="412" t="str">
        <f>IF(AG81=65,G79,"")</f>
        <v/>
      </c>
      <c r="GB79" s="412" t="str">
        <f>IF(AG81=66,G79,"")</f>
        <v/>
      </c>
      <c r="GC79" s="412" t="str">
        <f>IF(AG81=67,G79,"")</f>
        <v/>
      </c>
      <c r="GD79" s="412" t="str">
        <f>IF(AG81=68,G79,"")</f>
        <v/>
      </c>
      <c r="GE79" s="412" t="str">
        <f>IF(AG81=69,G79,"")</f>
        <v/>
      </c>
      <c r="GF79" s="412" t="str">
        <f>IF(AG81=70,G79,"")</f>
        <v/>
      </c>
      <c r="GG79" s="412" t="str">
        <f>IF(AG81=71,G79,"")</f>
        <v/>
      </c>
      <c r="GH79" s="412" t="str">
        <f>IF(AG81=72,G79,"")</f>
        <v/>
      </c>
      <c r="GI79" s="412" t="str">
        <f>IF(AG81=73,G79,"")</f>
        <v/>
      </c>
      <c r="GJ79" s="412" t="str">
        <f>IF(AG81=74,G79,"")</f>
        <v/>
      </c>
      <c r="GK79" s="412" t="str">
        <f>IF(AG81=75,G79,"")</f>
        <v/>
      </c>
      <c r="GL79" s="412" t="str">
        <f>IF(AG81=76,G79,"")</f>
        <v/>
      </c>
      <c r="GM79" s="412" t="str">
        <f>IF(AG81=77,G79,"")</f>
        <v/>
      </c>
      <c r="GN79" s="412" t="str">
        <f>IF(AG81=78,G79,"")</f>
        <v/>
      </c>
      <c r="GO79" s="412" t="str">
        <f>IF(AG81=79,G79,"")</f>
        <v/>
      </c>
      <c r="GP79" s="412" t="str">
        <f>IF(AG81=80,G79,"")</f>
        <v/>
      </c>
      <c r="GQ79" s="412" t="str">
        <f>IF(AG81=81,G79,"")</f>
        <v/>
      </c>
      <c r="GR79" s="412" t="str">
        <f>IF(AG81=82,G79,"")</f>
        <v/>
      </c>
      <c r="GS79" s="412" t="str">
        <f>IF(AG81=83,G79,"")</f>
        <v/>
      </c>
      <c r="GT79" s="412" t="str">
        <f>IF(AG81=84,G79,"")</f>
        <v/>
      </c>
      <c r="GU79" s="412"/>
      <c r="GV79" s="412"/>
      <c r="GW79" s="412"/>
      <c r="GX79" s="412"/>
      <c r="GY79" s="412"/>
      <c r="GZ79" s="412"/>
      <c r="HA79" s="412"/>
      <c r="HB79" s="412"/>
      <c r="HC79" s="412"/>
      <c r="HD79" s="412"/>
      <c r="HE79" s="412"/>
      <c r="HF79" s="412"/>
      <c r="HG79" s="412"/>
      <c r="HH79" s="412"/>
      <c r="HI79" s="412"/>
      <c r="HJ79" s="412"/>
      <c r="HK79" s="412"/>
      <c r="HL79" s="412"/>
      <c r="HM79" s="412"/>
      <c r="HN79" s="412"/>
      <c r="HO79" s="412"/>
      <c r="HP79" s="412"/>
      <c r="HQ79" s="412"/>
      <c r="HR79" s="412"/>
      <c r="HS79" s="412"/>
      <c r="HT79" s="412"/>
      <c r="HU79" s="278">
        <f ca="1">IF(AF81=1,AB79,"")</f>
        <v>1054.604557169039</v>
      </c>
      <c r="HV79" s="277" t="str">
        <f>IF(AF81=2,AB79,"")</f>
        <v/>
      </c>
      <c r="HW79" s="277" t="str">
        <f>IF(AF81=3,AB79,"")</f>
        <v/>
      </c>
      <c r="HX79" s="277" t="str">
        <f>IF(AF81=4,AB79,"")</f>
        <v/>
      </c>
      <c r="HY79" s="277" t="str">
        <f>IF(AF81=5,AB79,"")</f>
        <v/>
      </c>
      <c r="HZ79" s="277" t="str">
        <f>IF(AF81=6,AB79,"")</f>
        <v/>
      </c>
      <c r="IA79" s="277" t="str">
        <f>IF(AF81=7,AB79,"")</f>
        <v/>
      </c>
      <c r="IB79" s="277" t="str">
        <f>IF(AF81=8,AB79,"")</f>
        <v/>
      </c>
      <c r="IC79" s="277" t="str">
        <f>IF(AF81=9,AB79,"")</f>
        <v/>
      </c>
      <c r="ID79" s="412" t="str">
        <f>IF(AF81=10,AB79,"")</f>
        <v/>
      </c>
      <c r="IE79" s="223" t="str">
        <f>IF(AF81=11,AB79,"")</f>
        <v/>
      </c>
      <c r="IF79" s="223" t="str">
        <f>IF(AF81=12,AB79,"")</f>
        <v/>
      </c>
      <c r="IG79" s="223" t="str">
        <f>IF(AF81=13,AB79,"")</f>
        <v/>
      </c>
      <c r="IH79" s="223" t="str">
        <f>IF(AF81=14,AB79,"")</f>
        <v/>
      </c>
      <c r="II79" s="223" t="str">
        <f>IF(AF81=15,AB79,"")</f>
        <v/>
      </c>
      <c r="IJ79" s="223" t="str">
        <f>IF(AF81=16,AB79,"")</f>
        <v/>
      </c>
      <c r="IK79" s="223" t="str">
        <f>IF(AF81=17,AB79,"")</f>
        <v/>
      </c>
      <c r="IL79" s="223" t="str">
        <f>IF(AF81=18,AB79,"")</f>
        <v/>
      </c>
      <c r="IM79" s="223" t="str">
        <f>IF(AF81=19,AB79,"")</f>
        <v/>
      </c>
      <c r="IN79" s="223" t="str">
        <f>IF(AF81=20,AB79,"")</f>
        <v/>
      </c>
      <c r="IO79" s="223" t="str">
        <f>IF(AF81=21,AB79,"")</f>
        <v/>
      </c>
      <c r="IP79" s="413"/>
      <c r="IQ79" s="478" t="str">
        <f>IF(G84=6,G79,"")</f>
        <v/>
      </c>
      <c r="IR79" s="317" t="str">
        <f>IF(G84=7,G79,"")</f>
        <v/>
      </c>
      <c r="IS79" s="478" t="str">
        <f>IF(G84=8,G79,"")</f>
        <v/>
      </c>
      <c r="IT79" s="317" t="str">
        <f>IF(G84=9,G79,"")</f>
        <v/>
      </c>
      <c r="IU79" s="478" t="str">
        <f>IF(G84=10,G79,"")</f>
        <v/>
      </c>
      <c r="IV79" s="478" t="str">
        <f>IF(G84=11,G79,"")</f>
        <v/>
      </c>
      <c r="IW79" s="478" t="str">
        <f>IF(G84=12,G79,"")</f>
        <v/>
      </c>
      <c r="IX79" s="478" t="str">
        <f>IF(G84=13,G79,"")</f>
        <v/>
      </c>
      <c r="IY79" s="478" t="str">
        <f>IF(G84=14,G79,"")</f>
        <v/>
      </c>
      <c r="IZ79" s="478" t="str">
        <f>IF(G84=15,G79,"")</f>
        <v/>
      </c>
      <c r="JA79" s="478" t="str">
        <f>IF(G84=16,G79,"")</f>
        <v/>
      </c>
      <c r="JB79" s="478" t="str">
        <f>IF(G84=17,G79,"")</f>
        <v/>
      </c>
      <c r="JC79" s="478">
        <f>IF(G84=18,G79,"")</f>
        <v>1000</v>
      </c>
      <c r="JD79" s="478" t="str">
        <f>IF(G84=19,G79,"")</f>
        <v/>
      </c>
      <c r="JE79" s="478" t="str">
        <f>IF(G84=20,G79,"")</f>
        <v/>
      </c>
      <c r="JF79" s="478" t="str">
        <f>IF(G84=21,G79,"")</f>
        <v/>
      </c>
      <c r="JG79" s="478" t="str">
        <f>IF(G84=22,G79,"")</f>
        <v/>
      </c>
      <c r="JH79" s="478" t="str">
        <f>IF(G84=23,G79,"")</f>
        <v/>
      </c>
      <c r="JI79" s="478" t="str">
        <f>IF(G84=24,G79,"")</f>
        <v/>
      </c>
      <c r="JJ79" s="478" t="str">
        <f>IF(G84=25,G79,"")</f>
        <v/>
      </c>
      <c r="JK79" s="478" t="str">
        <f>IF(G84=26,G79,"")</f>
        <v/>
      </c>
      <c r="JL79" s="478" t="str">
        <f>IF(G84=27,G79,"")</f>
        <v/>
      </c>
      <c r="JM79" s="478" t="str">
        <f>IF(G84=28,G79,"")</f>
        <v/>
      </c>
      <c r="JN79" s="478" t="str">
        <f>IF(G84=29,G79,"")</f>
        <v/>
      </c>
      <c r="JO79" s="478" t="str">
        <f>IF(G84=30,G79,"")</f>
        <v/>
      </c>
      <c r="JP79" s="478"/>
      <c r="JQ79" s="481">
        <f>IF(AND(AJ83=4,K84=1,G84&lt;=3),G79,0)</f>
        <v>0</v>
      </c>
      <c r="JR79" s="445"/>
      <c r="JS79" s="445"/>
      <c r="JT79" s="480" t="str">
        <f>IF(AF81&gt;1,((A80/F80)-(A80/E80)),"")</f>
        <v/>
      </c>
      <c r="JU79" s="479" t="str">
        <f>IF(AF81=2,((A80/F80)-(A80/E80)),"")</f>
        <v/>
      </c>
      <c r="JV79" s="479" t="str">
        <f>IF(AF81=3,((A80/F80)-(A80/E80)),"")</f>
        <v/>
      </c>
      <c r="JW79" s="479" t="str">
        <f>IF(AF81=4,((A80/F80)-(A80/E80)),"")</f>
        <v/>
      </c>
      <c r="JX79" s="479" t="str">
        <f>IF(AF81=5,((A80/F80)-(A80/E80)),"")</f>
        <v/>
      </c>
      <c r="JY79" s="479" t="str">
        <f>IF(AF81=6,((A80/F80)-(A80/E80)),"")</f>
        <v/>
      </c>
      <c r="JZ79" s="479" t="str">
        <f>IF(AF81=7,((A80/F80)-(A80/E80)),"")</f>
        <v/>
      </c>
      <c r="KA79" s="478" t="str">
        <f>IF(AF81=8,((A80/F80)-(A80/E80)),"")</f>
        <v/>
      </c>
      <c r="KB79" s="478" t="str">
        <f>IF(AF81=9,((A80/F80)-(A80/E80)),"")</f>
        <v/>
      </c>
      <c r="KC79" s="478" t="str">
        <f>IF(AF81=10,((A80/F80)-(A80/E80)),"")</f>
        <v/>
      </c>
      <c r="KD79" s="478" t="str">
        <f>IF(AF81=11,((A80/F80)-(A80/E80)),"")</f>
        <v/>
      </c>
      <c r="KE79" s="478" t="str">
        <f>IF(AF81=12,((A80/F80)-(A80/E80)),"")</f>
        <v/>
      </c>
      <c r="KF79" s="478" t="str">
        <f>IF(AF81=13,((A80/F80)-(A80/E80)),"")</f>
        <v/>
      </c>
      <c r="KG79" s="478" t="str">
        <f>IF(AF81=14,((A80/F80)-(A80/E80)),"")</f>
        <v/>
      </c>
      <c r="KH79" s="478" t="str">
        <f>IF(AF81=15,((A80/F80)-(A80/E80)),"")</f>
        <v/>
      </c>
      <c r="KI79" s="478" t="str">
        <f>IF(AF81=16,((A80/F80)-(A80/E80)),"")</f>
        <v/>
      </c>
      <c r="KJ79" s="478" t="str">
        <f>IF(AF81=17,((A80/F80)-(A80/E80)),"")</f>
        <v/>
      </c>
      <c r="KK79" s="478" t="str">
        <f>IF(AF81=18,((A80/F80)-(A80/E80)),"")</f>
        <v/>
      </c>
      <c r="KL79" s="478" t="str">
        <f>IF(AF81=19,((A80/F80)-(A80/E80)),"")</f>
        <v/>
      </c>
      <c r="KM79" s="478" t="str">
        <f>IF(AF81=20,((A80/F80)-(A80/E80)),"")</f>
        <v/>
      </c>
      <c r="KN79" s="478"/>
      <c r="KO79" s="478"/>
      <c r="KP79" s="478"/>
    </row>
    <row r="80" spans="1:302" ht="11.1" customHeight="1">
      <c r="A80" s="603"/>
      <c r="B80" s="541" t="s">
        <v>499</v>
      </c>
      <c r="C80" s="933"/>
      <c r="D80" s="828">
        <f>IF(WEEKDAY(D79,2)=4,D79+4,IF(WEEKDAY(D79,2)=5,D79+4,D79+2))</f>
        <v>45454</v>
      </c>
      <c r="E80" s="475"/>
      <c r="F80" s="602"/>
      <c r="G80" s="431"/>
      <c r="H80" s="431"/>
      <c r="I80" s="528"/>
      <c r="J80" s="431"/>
      <c r="K80" s="431"/>
      <c r="L80" s="722"/>
      <c r="M80" s="720"/>
      <c r="N80" s="720"/>
      <c r="O80" s="223"/>
      <c r="P80" s="736"/>
      <c r="Q80" s="526"/>
      <c r="R80" s="526"/>
      <c r="S80" s="4"/>
      <c r="T80" s="431"/>
      <c r="U80" s="469"/>
      <c r="V80" s="4"/>
      <c r="W80" s="469"/>
      <c r="X80" s="442"/>
      <c r="Y80" s="22"/>
      <c r="Z80" s="22"/>
      <c r="AA80" s="22"/>
      <c r="AB80" s="360"/>
      <c r="AC80" s="431"/>
      <c r="AD80" s="825">
        <f>IF(E80="",((P79-E79)/E79),((P79-E79)/E79)+(((1/F80)-(1/E80))/(1/E80)))</f>
        <v>3.1979378906637969E-2</v>
      </c>
      <c r="AE80" s="431"/>
      <c r="AF80" s="279" t="s">
        <v>65</v>
      </c>
      <c r="AG80" s="824"/>
      <c r="AH80" s="993" t="s">
        <v>177</v>
      </c>
      <c r="AI80" s="564"/>
      <c r="AJ80" s="824"/>
      <c r="AK80" s="538"/>
      <c r="AL80" s="731">
        <v>100</v>
      </c>
      <c r="AM80" s="537" t="s">
        <v>176</v>
      </c>
      <c r="AN80" s="179">
        <v>3.5</v>
      </c>
      <c r="AO80" s="179">
        <f>IF(B84=2,"0",AO79*-(100-F83)/100)</f>
        <v>-0.20245679999999996</v>
      </c>
      <c r="AP80" s="463">
        <f>IF(AP81&lt;0,0,AP81*-(100-F83)/100)</f>
        <v>0</v>
      </c>
      <c r="AQ80" s="179"/>
      <c r="AR80" s="179">
        <f>AR83*-(100-F84)/100</f>
        <v>-12.35</v>
      </c>
      <c r="AS80" s="471">
        <f>-AP79+AS83+(F79/365*AN83*F84/100)*G79</f>
        <v>163.86317816986318</v>
      </c>
      <c r="AT80" s="419"/>
      <c r="AU80" s="420"/>
      <c r="AV80" s="223"/>
      <c r="AW80" s="420"/>
      <c r="AX80" s="417"/>
      <c r="AY80" s="420"/>
      <c r="AZ80" s="223"/>
      <c r="BA80" s="419"/>
      <c r="BB80" s="223"/>
      <c r="BC80" s="223"/>
      <c r="BD80" s="223"/>
      <c r="BE80" s="223"/>
      <c r="BF80" s="416"/>
      <c r="BG80" s="418"/>
      <c r="BH80" s="416"/>
      <c r="BI80" s="416"/>
      <c r="BJ80" s="416"/>
      <c r="BK80" s="418"/>
      <c r="BL80" s="417"/>
      <c r="BM80" s="417"/>
      <c r="BN80" s="417"/>
      <c r="BO80" s="417"/>
      <c r="BP80" s="417"/>
      <c r="BQ80" s="417"/>
      <c r="BR80" s="417"/>
      <c r="BS80" s="417"/>
      <c r="BT80" s="412"/>
      <c r="BU80" s="412"/>
      <c r="BV80" s="412"/>
      <c r="BW80" s="412"/>
      <c r="BX80" s="415"/>
      <c r="BY80" s="389"/>
      <c r="BZ80" s="389"/>
      <c r="CA80" s="389"/>
      <c r="CB80" s="389"/>
      <c r="CC80" s="389"/>
      <c r="CD80" s="389"/>
      <c r="CE80" s="389"/>
      <c r="CF80" s="389"/>
      <c r="CG80" s="389"/>
      <c r="CH80" s="389"/>
      <c r="CI80" s="389"/>
      <c r="CJ80" s="389"/>
      <c r="CK80" s="389"/>
      <c r="CL80" s="389"/>
      <c r="CM80" s="389"/>
      <c r="CN80" s="389"/>
      <c r="CO80" s="389"/>
      <c r="CP80" s="389"/>
      <c r="CQ80" s="389"/>
      <c r="CR80" s="389"/>
      <c r="CS80" s="415"/>
      <c r="CT80" s="389"/>
      <c r="CU80" s="389"/>
      <c r="CV80" s="389"/>
      <c r="CW80" s="389"/>
      <c r="CX80" s="389"/>
      <c r="CY80" s="389"/>
      <c r="CZ80" s="389"/>
      <c r="DA80" s="389"/>
      <c r="DB80" s="389"/>
      <c r="DC80" s="389"/>
      <c r="DD80" s="389"/>
      <c r="DE80" s="389"/>
      <c r="DF80" s="389"/>
      <c r="DG80" s="389"/>
      <c r="DH80" s="389"/>
      <c r="DI80" s="389"/>
      <c r="DJ80" s="389"/>
      <c r="DK80" s="389"/>
      <c r="DL80" s="389"/>
      <c r="DM80" s="389"/>
      <c r="DN80" s="389"/>
      <c r="DO80" s="414"/>
      <c r="DP80" s="39"/>
      <c r="DQ80" s="39"/>
      <c r="DR80" s="39"/>
      <c r="DS80" s="39"/>
      <c r="DT80" s="39"/>
      <c r="DU80" s="39"/>
      <c r="DV80" s="39"/>
      <c r="DW80" s="39"/>
      <c r="DX80" s="39"/>
      <c r="DY80" s="39"/>
      <c r="DZ80" s="39"/>
      <c r="EA80" s="39"/>
      <c r="EB80" s="39"/>
      <c r="EC80" s="39"/>
      <c r="ED80" s="136"/>
      <c r="EE80" s="136"/>
      <c r="EF80" s="136"/>
      <c r="EG80" s="136"/>
      <c r="EH80" s="136"/>
      <c r="EI80" s="136"/>
      <c r="EJ80" s="136"/>
      <c r="EK80" s="136"/>
      <c r="EL80" s="136"/>
      <c r="EM80" s="136"/>
      <c r="EN80" s="136"/>
      <c r="EO80" s="136"/>
      <c r="EP80" s="136"/>
      <c r="EQ80" s="136"/>
      <c r="ER80" s="136"/>
      <c r="ES80" s="136"/>
      <c r="ET80" s="136"/>
      <c r="EU80" s="136"/>
      <c r="EV80" s="136"/>
      <c r="EW80" s="136"/>
      <c r="EX80" s="136"/>
      <c r="EY80" s="136"/>
      <c r="EZ80" s="136"/>
      <c r="FA80" s="136"/>
      <c r="FB80" s="136"/>
      <c r="FC80" s="136"/>
      <c r="FD80" s="136"/>
      <c r="FE80" s="136"/>
      <c r="FF80" s="136"/>
      <c r="FG80" s="136"/>
      <c r="FH80" s="136"/>
      <c r="FI80" s="136"/>
      <c r="FJ80" s="136"/>
      <c r="FK80" s="136"/>
      <c r="FL80" s="136"/>
      <c r="FM80" s="136"/>
      <c r="FN80" s="136"/>
      <c r="FO80" s="39"/>
      <c r="FP80" s="39"/>
      <c r="FQ80" s="39"/>
      <c r="FR80" s="412"/>
      <c r="FS80" s="412"/>
      <c r="FT80" s="412"/>
      <c r="FU80" s="412"/>
      <c r="FV80" s="412"/>
      <c r="FW80" s="412"/>
      <c r="FX80" s="412"/>
      <c r="FY80" s="412"/>
      <c r="FZ80" s="412"/>
      <c r="GA80" s="412"/>
      <c r="GB80" s="412"/>
      <c r="GC80" s="412"/>
      <c r="GD80" s="412"/>
      <c r="GE80" s="412"/>
      <c r="GF80" s="412"/>
      <c r="GG80" s="412"/>
      <c r="GH80" s="412"/>
      <c r="GI80" s="412"/>
      <c r="GJ80" s="412"/>
      <c r="GK80" s="412"/>
      <c r="GL80" s="412"/>
      <c r="GM80" s="412"/>
      <c r="GN80" s="412"/>
      <c r="GO80" s="278"/>
      <c r="GP80" s="277"/>
      <c r="GQ80" s="277"/>
      <c r="GR80" s="277"/>
      <c r="GS80" s="277"/>
      <c r="GT80" s="277"/>
      <c r="GU80" s="277"/>
      <c r="GV80" s="277"/>
      <c r="GW80" s="277"/>
      <c r="GX80" s="277"/>
      <c r="GY80" s="277"/>
      <c r="GZ80" s="277"/>
      <c r="HA80" s="277"/>
      <c r="HB80" s="277"/>
      <c r="HC80" s="277"/>
      <c r="HD80" s="277"/>
      <c r="HE80" s="277"/>
      <c r="HF80" s="277"/>
      <c r="HG80" s="277"/>
      <c r="HH80" s="277"/>
      <c r="HI80" s="277"/>
      <c r="HJ80" s="277"/>
      <c r="HK80" s="277"/>
      <c r="HL80" s="277"/>
      <c r="HM80" s="277"/>
      <c r="HN80" s="277"/>
      <c r="HO80" s="277"/>
      <c r="HP80" s="277"/>
      <c r="HQ80" s="277"/>
      <c r="HR80" s="277"/>
      <c r="HS80" s="277"/>
      <c r="HT80" s="277"/>
      <c r="HU80" s="277"/>
      <c r="HV80" s="277"/>
      <c r="HW80" s="277"/>
      <c r="HX80" s="277"/>
      <c r="HY80" s="277"/>
      <c r="HZ80" s="277"/>
      <c r="IA80" s="412"/>
      <c r="IB80" s="412"/>
      <c r="IC80" s="412"/>
      <c r="ID80" s="412"/>
      <c r="IE80" s="412"/>
      <c r="IF80" s="412"/>
      <c r="IG80" s="412"/>
      <c r="IH80" s="412"/>
      <c r="II80" s="412"/>
      <c r="IJ80" s="412"/>
      <c r="IK80" s="412"/>
      <c r="IL80" s="412"/>
      <c r="IM80" s="413"/>
      <c r="IN80" s="412"/>
      <c r="IO80" s="389"/>
      <c r="IP80" s="389"/>
      <c r="IQ80" s="389"/>
      <c r="IR80" s="389"/>
      <c r="IS80" s="389"/>
      <c r="IT80" s="389"/>
      <c r="IU80" s="389"/>
      <c r="IV80" s="389"/>
      <c r="IW80" s="389"/>
      <c r="IX80" s="389"/>
      <c r="IY80" s="389"/>
      <c r="IZ80" s="389"/>
      <c r="JA80" s="389"/>
      <c r="JB80" s="389"/>
      <c r="JC80" s="389"/>
      <c r="JD80" s="389"/>
      <c r="JE80" s="389"/>
      <c r="JF80" s="389"/>
      <c r="JG80" s="389"/>
      <c r="JH80" s="389"/>
      <c r="JI80" s="389"/>
      <c r="JJ80" s="389"/>
      <c r="JK80" s="389"/>
      <c r="JL80" s="389"/>
      <c r="JM80" s="389"/>
      <c r="JN80" s="389"/>
      <c r="JO80" s="389"/>
      <c r="JP80" s="389"/>
      <c r="JQ80" s="389"/>
      <c r="JR80" s="389"/>
      <c r="JS80" s="389"/>
      <c r="JT80" s="596"/>
      <c r="JU80" s="389"/>
      <c r="JV80" s="389"/>
      <c r="JW80" s="389"/>
      <c r="JX80" s="389"/>
      <c r="JY80" s="389"/>
      <c r="JZ80" s="389"/>
      <c r="KA80" s="389"/>
      <c r="KB80" s="389"/>
      <c r="KC80" s="389"/>
      <c r="KD80" s="389"/>
      <c r="KE80" s="389"/>
      <c r="KF80" s="389"/>
      <c r="KG80" s="389"/>
      <c r="KH80" s="389"/>
      <c r="KI80" s="389"/>
      <c r="KJ80" s="389"/>
      <c r="KK80" s="389"/>
      <c r="KL80" s="389"/>
      <c r="KM80" s="389"/>
      <c r="KN80" s="389"/>
      <c r="KO80" s="389"/>
      <c r="KP80" s="389"/>
    </row>
    <row r="81" spans="1:302" ht="11.1" hidden="1" customHeight="1" outlineLevel="1">
      <c r="A81" s="8"/>
      <c r="B81" s="468">
        <f>VLOOKUP(B79,'[2]IBAN CONTI'!A$53:B$58,2,FALSE)</f>
        <v>6</v>
      </c>
      <c r="C81" s="536"/>
      <c r="D81" s="707"/>
      <c r="E81" s="766">
        <f ca="1">IF(B84=2,C79,COUPNCD($AB$2,C79,K81,AH83))</f>
        <v>45631</v>
      </c>
      <c r="F81" s="561"/>
      <c r="G81" s="431"/>
      <c r="H81" s="431"/>
      <c r="I81" s="528"/>
      <c r="J81" s="431"/>
      <c r="K81" s="223">
        <v>2</v>
      </c>
      <c r="L81" s="833"/>
      <c r="M81" s="845"/>
      <c r="N81" s="845"/>
      <c r="O81" s="136"/>
      <c r="P81" s="470"/>
      <c r="Q81" s="526"/>
      <c r="R81" s="526"/>
      <c r="S81" s="4"/>
      <c r="T81" s="431"/>
      <c r="U81" s="469"/>
      <c r="V81" s="4"/>
      <c r="W81" s="469"/>
      <c r="X81" s="442"/>
      <c r="Y81" s="22"/>
      <c r="Z81" s="22"/>
      <c r="AA81" s="22"/>
      <c r="AB81" s="979"/>
      <c r="AC81" s="431"/>
      <c r="AD81" s="560"/>
      <c r="AE81" s="431"/>
      <c r="AF81" s="468">
        <f>VLOOKUP(AF80,'[2]IBAN CONTI'!A$106:B$122,2,FALSE)</f>
        <v>1</v>
      </c>
      <c r="AG81" s="467">
        <f>VLOOKUP(A79,'[2]IBAN CONTI'!A$134:B$216,2,FALSE)</f>
        <v>27</v>
      </c>
      <c r="AH81" s="993"/>
      <c r="AI81" s="954"/>
      <c r="AJ81" s="990" t="s">
        <v>196</v>
      </c>
      <c r="AK81" s="991"/>
      <c r="AL81" s="22">
        <v>100</v>
      </c>
      <c r="AM81" s="466">
        <f>YEARFRAC(C79,AL79)</f>
        <v>5</v>
      </c>
      <c r="AN81" s="456">
        <f>IF(B84=2,0,D80-AL79)</f>
        <v>6</v>
      </c>
      <c r="AO81" s="464">
        <f>IF(B84=2,AL80*(1+AM84)^AM83,AO82+AL80)</f>
        <v>100</v>
      </c>
      <c r="AP81" s="463">
        <f>IF(AF81=1,G79*AO82/100,A80/E80/100*AO82)</f>
        <v>0</v>
      </c>
      <c r="AQ81" s="221"/>
      <c r="AR81" s="179">
        <f>AL84*G79/100</f>
        <v>1000</v>
      </c>
      <c r="AS81" s="462">
        <f>(AR84-AP84)*G79/100</f>
        <v>-11.406899999999924</v>
      </c>
      <c r="AT81" s="419"/>
      <c r="AU81" s="420"/>
      <c r="AV81" s="223"/>
      <c r="AW81" s="420"/>
      <c r="AX81" s="417"/>
      <c r="AY81" s="420"/>
      <c r="AZ81" s="223"/>
      <c r="BA81" s="419"/>
      <c r="BB81" s="223"/>
      <c r="BC81" s="223"/>
      <c r="BD81" s="223"/>
      <c r="BE81" s="223"/>
      <c r="BF81" s="416"/>
      <c r="BG81" s="418"/>
      <c r="BH81" s="416"/>
      <c r="BI81" s="416"/>
      <c r="BJ81" s="416"/>
      <c r="BK81" s="418"/>
      <c r="BL81" s="417"/>
      <c r="BM81" s="416"/>
      <c r="BN81" s="416"/>
      <c r="BO81" s="416"/>
      <c r="BP81" s="416"/>
      <c r="BQ81" s="416"/>
      <c r="BR81" s="416"/>
      <c r="BS81" s="416"/>
      <c r="BT81" s="389"/>
      <c r="BU81" s="389"/>
      <c r="BV81" s="389"/>
      <c r="BW81" s="389"/>
      <c r="BX81" s="415"/>
      <c r="BY81" s="389"/>
      <c r="BZ81" s="389"/>
      <c r="CA81" s="389"/>
      <c r="CB81" s="389"/>
      <c r="CC81" s="389"/>
      <c r="CD81" s="389"/>
      <c r="CE81" s="389"/>
      <c r="CF81" s="389"/>
      <c r="CG81" s="389"/>
      <c r="CH81" s="389"/>
      <c r="CI81" s="389"/>
      <c r="CJ81" s="389"/>
      <c r="CK81" s="389"/>
      <c r="CL81" s="389"/>
      <c r="CM81" s="389"/>
      <c r="CN81" s="389"/>
      <c r="CO81" s="389"/>
      <c r="CP81" s="389"/>
      <c r="CQ81" s="389"/>
      <c r="CR81" s="389"/>
      <c r="CS81" s="415"/>
      <c r="CT81" s="389"/>
      <c r="CU81" s="389"/>
      <c r="CV81" s="389"/>
      <c r="CW81" s="389"/>
      <c r="CX81" s="389"/>
      <c r="CY81" s="389"/>
      <c r="CZ81" s="389"/>
      <c r="DA81" s="389"/>
      <c r="DB81" s="389"/>
      <c r="DC81" s="389"/>
      <c r="DD81" s="389"/>
      <c r="DE81" s="389"/>
      <c r="DF81" s="389"/>
      <c r="DG81" s="389"/>
      <c r="DH81" s="389"/>
      <c r="DI81" s="389"/>
      <c r="DJ81" s="389"/>
      <c r="DK81" s="389"/>
      <c r="DL81" s="389"/>
      <c r="DM81" s="389"/>
      <c r="DN81" s="389"/>
      <c r="DO81" s="414"/>
      <c r="DP81" s="39"/>
      <c r="DQ81" s="39"/>
      <c r="DR81" s="39"/>
      <c r="DS81" s="39"/>
      <c r="DT81" s="39"/>
      <c r="DU81" s="39"/>
      <c r="DV81" s="39"/>
      <c r="DW81" s="39"/>
      <c r="DX81" s="39"/>
      <c r="DY81" s="39"/>
      <c r="DZ81" s="39"/>
      <c r="EA81" s="39"/>
      <c r="EB81" s="39"/>
      <c r="EC81" s="39"/>
      <c r="ED81" s="136"/>
      <c r="EE81" s="136"/>
      <c r="EF81" s="136"/>
      <c r="EG81" s="136"/>
      <c r="EH81" s="136"/>
      <c r="EI81" s="136"/>
      <c r="EJ81" s="136"/>
      <c r="EK81" s="136"/>
      <c r="EL81" s="136"/>
      <c r="EM81" s="136"/>
      <c r="EN81" s="136"/>
      <c r="EO81" s="136"/>
      <c r="EP81" s="136"/>
      <c r="EQ81" s="136"/>
      <c r="ER81" s="136"/>
      <c r="ES81" s="136"/>
      <c r="ET81" s="136"/>
      <c r="EU81" s="136"/>
      <c r="EV81" s="136"/>
      <c r="EW81" s="136"/>
      <c r="EX81" s="136"/>
      <c r="EY81" s="136"/>
      <c r="EZ81" s="136"/>
      <c r="FA81" s="136"/>
      <c r="FB81" s="136"/>
      <c r="FC81" s="136"/>
      <c r="FD81" s="136"/>
      <c r="FE81" s="136"/>
      <c r="FF81" s="136"/>
      <c r="FG81" s="136"/>
      <c r="FH81" s="136"/>
      <c r="FI81" s="136"/>
      <c r="FJ81" s="136"/>
      <c r="FK81" s="136"/>
      <c r="FL81" s="136"/>
      <c r="FM81" s="136"/>
      <c r="FN81" s="136"/>
      <c r="FO81" s="39"/>
      <c r="FP81" s="39"/>
      <c r="FQ81" s="39"/>
      <c r="FR81" s="412"/>
      <c r="FS81" s="412"/>
      <c r="FT81" s="412"/>
      <c r="FU81" s="412"/>
      <c r="FV81" s="412"/>
      <c r="FW81" s="412"/>
      <c r="FX81" s="412"/>
      <c r="FY81" s="412"/>
      <c r="FZ81" s="412"/>
      <c r="GA81" s="412"/>
      <c r="GB81" s="412"/>
      <c r="GC81" s="412"/>
      <c r="GD81" s="412"/>
      <c r="GE81" s="412"/>
      <c r="GF81" s="412"/>
      <c r="GG81" s="412"/>
      <c r="GH81" s="412"/>
      <c r="GI81" s="412"/>
      <c r="GJ81" s="412"/>
      <c r="GK81" s="412"/>
      <c r="GL81" s="412"/>
      <c r="GM81" s="412"/>
      <c r="GN81" s="412"/>
      <c r="GO81" s="278"/>
      <c r="GP81" s="277"/>
      <c r="GQ81" s="277"/>
      <c r="GR81" s="277"/>
      <c r="GS81" s="277"/>
      <c r="GT81" s="277"/>
      <c r="GU81" s="277"/>
      <c r="GV81" s="277"/>
      <c r="GW81" s="277"/>
      <c r="GX81" s="277"/>
      <c r="GY81" s="277"/>
      <c r="GZ81" s="277"/>
      <c r="HA81" s="277"/>
      <c r="HB81" s="277"/>
      <c r="HC81" s="277"/>
      <c r="HD81" s="277"/>
      <c r="HE81" s="277"/>
      <c r="HF81" s="277"/>
      <c r="HG81" s="277"/>
      <c r="HH81" s="277"/>
      <c r="HI81" s="277"/>
      <c r="HJ81" s="277"/>
      <c r="HK81" s="277"/>
      <c r="HL81" s="277"/>
      <c r="HM81" s="277"/>
      <c r="HN81" s="277"/>
      <c r="HO81" s="277"/>
      <c r="HP81" s="277"/>
      <c r="HQ81" s="277"/>
      <c r="HR81" s="277"/>
      <c r="HS81" s="277"/>
      <c r="HT81" s="277"/>
      <c r="HU81" s="277"/>
      <c r="HV81" s="277"/>
      <c r="HW81" s="277"/>
      <c r="HX81" s="277"/>
      <c r="HY81" s="277"/>
      <c r="HZ81" s="277"/>
      <c r="IA81" s="412"/>
      <c r="IB81" s="412"/>
      <c r="IC81" s="412"/>
      <c r="ID81" s="412"/>
      <c r="IE81" s="412"/>
      <c r="IF81" s="412"/>
      <c r="IG81" s="412"/>
      <c r="IH81" s="412"/>
      <c r="II81" s="412"/>
      <c r="IJ81" s="412"/>
      <c r="IK81" s="412"/>
      <c r="IL81" s="412"/>
      <c r="IM81" s="413"/>
      <c r="IN81" s="412"/>
      <c r="IO81" s="389"/>
      <c r="IP81" s="389"/>
      <c r="IQ81" s="389"/>
      <c r="IR81" s="389"/>
      <c r="IS81" s="389"/>
      <c r="IT81" s="389"/>
      <c r="IU81" s="389"/>
      <c r="IV81" s="389"/>
      <c r="IW81" s="389"/>
      <c r="IX81" s="389"/>
      <c r="IY81" s="389"/>
      <c r="IZ81" s="389"/>
      <c r="JA81" s="389"/>
      <c r="JB81" s="389"/>
      <c r="JC81" s="389"/>
      <c r="JD81" s="389"/>
      <c r="JE81" s="389"/>
      <c r="JF81" s="389"/>
      <c r="JG81" s="389"/>
      <c r="JH81" s="389"/>
      <c r="JI81" s="389"/>
      <c r="JJ81" s="389"/>
      <c r="JK81" s="389"/>
      <c r="JL81" s="389"/>
      <c r="JM81" s="389"/>
      <c r="JN81" s="389"/>
      <c r="JO81" s="389"/>
      <c r="JP81" s="389"/>
      <c r="JQ81" s="389"/>
      <c r="JR81" s="389"/>
      <c r="JS81" s="389"/>
      <c r="JT81" s="596"/>
      <c r="JU81" s="389"/>
      <c r="JV81" s="389"/>
      <c r="JW81" s="389"/>
      <c r="JX81" s="389"/>
      <c r="JY81" s="389"/>
      <c r="JZ81" s="389"/>
      <c r="KA81" s="389"/>
      <c r="KB81" s="389"/>
      <c r="KC81" s="389"/>
      <c r="KD81" s="389"/>
      <c r="KE81" s="389"/>
      <c r="KF81" s="389"/>
      <c r="KG81" s="389"/>
      <c r="KH81" s="389"/>
      <c r="KI81" s="389"/>
      <c r="KJ81" s="389"/>
      <c r="KK81" s="389"/>
      <c r="KL81" s="389"/>
      <c r="KM81" s="389"/>
      <c r="KN81" s="389"/>
      <c r="KO81" s="389"/>
      <c r="KP81" s="389"/>
    </row>
    <row r="82" spans="1:302" ht="10.5" hidden="1" customHeight="1" outlineLevel="1">
      <c r="A82" s="559">
        <v>1</v>
      </c>
      <c r="B82" s="990" t="s">
        <v>183</v>
      </c>
      <c r="C82" s="990"/>
      <c r="D82" s="452">
        <f>COUPPCD(D80,C79,K81,AH83)</f>
        <v>45448</v>
      </c>
      <c r="E82" s="436"/>
      <c r="F82" s="602"/>
      <c r="G82" s="985">
        <v>2029</v>
      </c>
      <c r="H82" s="431"/>
      <c r="I82" s="528"/>
      <c r="J82" s="431"/>
      <c r="K82" s="987" t="s">
        <v>174</v>
      </c>
      <c r="L82" s="833"/>
      <c r="M82" s="720"/>
      <c r="N82" s="720"/>
      <c r="O82" s="223"/>
      <c r="P82" s="558"/>
      <c r="Q82" s="526"/>
      <c r="R82" s="526"/>
      <c r="S82" s="15"/>
      <c r="T82" s="431"/>
      <c r="U82" s="15"/>
      <c r="V82" s="15"/>
      <c r="W82" s="15"/>
      <c r="X82" s="442"/>
      <c r="Y82" s="430"/>
      <c r="Z82" s="430"/>
      <c r="AA82" s="430"/>
      <c r="AB82" s="533"/>
      <c r="AC82" s="431"/>
      <c r="AD82" s="78"/>
      <c r="AE82" s="431"/>
      <c r="AF82" s="557"/>
      <c r="AG82" s="490"/>
      <c r="AH82" s="457"/>
      <c r="AI82" s="457"/>
      <c r="AJ82" s="990"/>
      <c r="AK82" s="991"/>
      <c r="AL82" s="967">
        <f>AL81-AL80</f>
        <v>0</v>
      </c>
      <c r="AM82" s="456">
        <f>C79-AL79</f>
        <v>1826</v>
      </c>
      <c r="AN82" s="530">
        <f>IF(OR(K81&lt;&gt;1,AN81&gt;365),COUPDAYBS(D80,C79,K81,AH83),AN81)</f>
        <v>6</v>
      </c>
      <c r="AO82" s="424">
        <f>IF(B84=2,AO81-AL80,AL82/AM82*AN81)</f>
        <v>0</v>
      </c>
      <c r="AP82" s="455">
        <f>IF(B84=4,FLOOR(F79/K81*AN82/(D83-D82)*100,0.000001),IF(AH83=4,YEARFRAC(D82,D80,0)*F79*100,IF(B84=3,IF(OR(AH83=4,AH83=2),(F81*(AN82))/(360)*100,(F81*(AN82))/(365)*100),FLOOR(F79/K81*AN82/(D83-D82)*100,0.000001))))</f>
        <v>7.7867999999999993E-2</v>
      </c>
      <c r="AQ82" s="454"/>
      <c r="AR82" s="422">
        <f>AL82*G79/100</f>
        <v>0</v>
      </c>
      <c r="AS82" s="422">
        <f>IF(AS81&lt;0,0,AS81*(100-F84)/100)</f>
        <v>0</v>
      </c>
      <c r="AT82" s="419"/>
      <c r="AU82" s="420"/>
      <c r="AV82" s="223"/>
      <c r="AW82" s="420"/>
      <c r="AX82" s="417"/>
      <c r="AY82" s="420"/>
      <c r="AZ82" s="223"/>
      <c r="BA82" s="419"/>
      <c r="BB82" s="223"/>
      <c r="BC82" s="223"/>
      <c r="BD82" s="223"/>
      <c r="BE82" s="223"/>
      <c r="BF82" s="416"/>
      <c r="BG82" s="418"/>
      <c r="BH82" s="416"/>
      <c r="BI82" s="416"/>
      <c r="BJ82" s="416"/>
      <c r="BK82" s="418"/>
      <c r="BL82" s="417"/>
      <c r="BM82" s="416"/>
      <c r="BN82" s="416"/>
      <c r="BO82" s="416"/>
      <c r="BP82" s="416"/>
      <c r="BQ82" s="416"/>
      <c r="BR82" s="416"/>
      <c r="BS82" s="416"/>
      <c r="BT82" s="389"/>
      <c r="BU82" s="389"/>
      <c r="BV82" s="389"/>
      <c r="BW82" s="389"/>
      <c r="BX82" s="415"/>
      <c r="BY82" s="389"/>
      <c r="BZ82" s="389"/>
      <c r="CA82" s="389"/>
      <c r="CB82" s="389"/>
      <c r="CC82" s="389"/>
      <c r="CD82" s="389"/>
      <c r="CE82" s="389"/>
      <c r="CF82" s="389"/>
      <c r="CG82" s="389"/>
      <c r="CH82" s="389"/>
      <c r="CI82" s="389"/>
      <c r="CJ82" s="389"/>
      <c r="CK82" s="389"/>
      <c r="CL82" s="389"/>
      <c r="CM82" s="389"/>
      <c r="CN82" s="389"/>
      <c r="CO82" s="389"/>
      <c r="CP82" s="389"/>
      <c r="CQ82" s="389"/>
      <c r="CR82" s="389"/>
      <c r="CS82" s="415"/>
      <c r="CT82" s="389"/>
      <c r="CU82" s="389"/>
      <c r="CV82" s="389"/>
      <c r="CW82" s="389"/>
      <c r="CX82" s="389"/>
      <c r="CY82" s="389"/>
      <c r="CZ82" s="389"/>
      <c r="DA82" s="389"/>
      <c r="DB82" s="389"/>
      <c r="DC82" s="389"/>
      <c r="DD82" s="389"/>
      <c r="DE82" s="389"/>
      <c r="DF82" s="389"/>
      <c r="DG82" s="389"/>
      <c r="DH82" s="389"/>
      <c r="DI82" s="389"/>
      <c r="DJ82" s="389"/>
      <c r="DK82" s="389"/>
      <c r="DL82" s="389"/>
      <c r="DM82" s="389"/>
      <c r="DN82" s="389"/>
      <c r="DO82" s="414"/>
      <c r="DP82" s="39"/>
      <c r="DQ82" s="39"/>
      <c r="DR82" s="39"/>
      <c r="DS82" s="39"/>
      <c r="DT82" s="39"/>
      <c r="DU82" s="39"/>
      <c r="DV82" s="39"/>
      <c r="DW82" s="39"/>
      <c r="DX82" s="39"/>
      <c r="DY82" s="39"/>
      <c r="DZ82" s="39"/>
      <c r="EA82" s="39"/>
      <c r="EB82" s="39"/>
      <c r="EC82" s="39"/>
      <c r="ED82" s="136"/>
      <c r="EE82" s="136"/>
      <c r="EF82" s="136"/>
      <c r="EG82" s="136"/>
      <c r="EH82" s="136"/>
      <c r="EI82" s="136"/>
      <c r="EJ82" s="136"/>
      <c r="EK82" s="136"/>
      <c r="EL82" s="136"/>
      <c r="EM82" s="136"/>
      <c r="EN82" s="136"/>
      <c r="EO82" s="136"/>
      <c r="EP82" s="136"/>
      <c r="EQ82" s="136"/>
      <c r="ER82" s="136"/>
      <c r="ES82" s="136"/>
      <c r="ET82" s="136"/>
      <c r="EU82" s="136"/>
      <c r="EV82" s="136"/>
      <c r="EW82" s="136"/>
      <c r="EX82" s="136"/>
      <c r="EY82" s="136"/>
      <c r="EZ82" s="136"/>
      <c r="FA82" s="136"/>
      <c r="FB82" s="136"/>
      <c r="FC82" s="136"/>
      <c r="FD82" s="136"/>
      <c r="FE82" s="136"/>
      <c r="FF82" s="136"/>
      <c r="FG82" s="136"/>
      <c r="FH82" s="136"/>
      <c r="FI82" s="136"/>
      <c r="FJ82" s="136"/>
      <c r="FK82" s="136"/>
      <c r="FL82" s="136"/>
      <c r="FM82" s="136"/>
      <c r="FN82" s="136"/>
      <c r="FO82" s="39"/>
      <c r="FP82" s="39"/>
      <c r="FQ82" s="39"/>
      <c r="FR82" s="412"/>
      <c r="FS82" s="412"/>
      <c r="FT82" s="412"/>
      <c r="FU82" s="412"/>
      <c r="FV82" s="412"/>
      <c r="FW82" s="412"/>
      <c r="FX82" s="412"/>
      <c r="FY82" s="412"/>
      <c r="FZ82" s="412"/>
      <c r="GA82" s="412"/>
      <c r="GB82" s="412"/>
      <c r="GC82" s="412"/>
      <c r="GD82" s="412"/>
      <c r="GE82" s="412"/>
      <c r="GF82" s="412"/>
      <c r="GG82" s="412"/>
      <c r="GH82" s="412"/>
      <c r="GI82" s="412"/>
      <c r="GJ82" s="412"/>
      <c r="GK82" s="412"/>
      <c r="GL82" s="412"/>
      <c r="GM82" s="412"/>
      <c r="GN82" s="412"/>
      <c r="GO82" s="278"/>
      <c r="GP82" s="277"/>
      <c r="GQ82" s="277"/>
      <c r="GR82" s="277"/>
      <c r="GS82" s="277"/>
      <c r="GT82" s="277"/>
      <c r="GU82" s="277"/>
      <c r="GV82" s="277"/>
      <c r="GW82" s="277"/>
      <c r="GX82" s="277"/>
      <c r="GY82" s="277"/>
      <c r="GZ82" s="277"/>
      <c r="HA82" s="277"/>
      <c r="HB82" s="277"/>
      <c r="HC82" s="277"/>
      <c r="HD82" s="277"/>
      <c r="HE82" s="277"/>
      <c r="HF82" s="277"/>
      <c r="HG82" s="277"/>
      <c r="HH82" s="277"/>
      <c r="HI82" s="277"/>
      <c r="HJ82" s="277"/>
      <c r="HK82" s="277"/>
      <c r="HL82" s="277"/>
      <c r="HM82" s="277"/>
      <c r="HN82" s="277"/>
      <c r="HO82" s="277"/>
      <c r="HP82" s="277"/>
      <c r="HQ82" s="277"/>
      <c r="HR82" s="277"/>
      <c r="HS82" s="277"/>
      <c r="HT82" s="277"/>
      <c r="HU82" s="277"/>
      <c r="HV82" s="277"/>
      <c r="HW82" s="277"/>
      <c r="HX82" s="277"/>
      <c r="HY82" s="277"/>
      <c r="HZ82" s="277"/>
      <c r="IA82" s="412"/>
      <c r="IB82" s="412"/>
      <c r="IC82" s="412"/>
      <c r="ID82" s="412"/>
      <c r="IE82" s="412"/>
      <c r="IF82" s="412"/>
      <c r="IG82" s="412"/>
      <c r="IH82" s="412"/>
      <c r="II82" s="412"/>
      <c r="IJ82" s="412"/>
      <c r="IK82" s="412"/>
      <c r="IL82" s="412"/>
      <c r="IM82" s="413"/>
      <c r="IN82" s="412"/>
      <c r="IO82" s="389"/>
      <c r="IP82" s="389"/>
      <c r="IQ82" s="389"/>
      <c r="IR82" s="389"/>
      <c r="IS82" s="389"/>
      <c r="IT82" s="389"/>
      <c r="IU82" s="389"/>
      <c r="IV82" s="389"/>
      <c r="IW82" s="389"/>
      <c r="IX82" s="389"/>
      <c r="IY82" s="389"/>
      <c r="IZ82" s="389"/>
      <c r="JA82" s="389"/>
      <c r="JB82" s="389"/>
      <c r="JC82" s="389"/>
      <c r="JD82" s="389"/>
      <c r="JE82" s="389"/>
      <c r="JF82" s="389"/>
      <c r="JG82" s="389"/>
      <c r="JH82" s="389"/>
      <c r="JI82" s="389"/>
      <c r="JJ82" s="389"/>
      <c r="JK82" s="389"/>
      <c r="JL82" s="389"/>
      <c r="JM82" s="389"/>
      <c r="JN82" s="389"/>
      <c r="JO82" s="389"/>
      <c r="JP82" s="389"/>
      <c r="JQ82" s="389"/>
      <c r="JR82" s="389"/>
      <c r="JS82" s="389"/>
      <c r="JT82" s="596"/>
      <c r="JU82" s="389"/>
      <c r="JV82" s="389"/>
      <c r="JW82" s="389"/>
      <c r="JX82" s="389"/>
      <c r="JY82" s="389"/>
      <c r="JZ82" s="389"/>
      <c r="KA82" s="389"/>
      <c r="KB82" s="389"/>
      <c r="KC82" s="389"/>
      <c r="KD82" s="389"/>
      <c r="KE82" s="389"/>
      <c r="KF82" s="389"/>
      <c r="KG82" s="389"/>
      <c r="KH82" s="389"/>
      <c r="KI82" s="389"/>
      <c r="KJ82" s="389"/>
      <c r="KK82" s="389"/>
      <c r="KL82" s="389"/>
      <c r="KM82" s="389"/>
      <c r="KN82" s="389"/>
      <c r="KO82" s="389"/>
      <c r="KP82" s="389"/>
    </row>
    <row r="83" spans="1:302" ht="11.1" hidden="1" customHeight="1" outlineLevel="1">
      <c r="A83" s="8"/>
      <c r="B83" s="990"/>
      <c r="C83" s="990"/>
      <c r="D83" s="452">
        <f>COUPNCD(D80,C79,K81,AH83)</f>
        <v>45631</v>
      </c>
      <c r="E83" s="932" t="s">
        <v>182</v>
      </c>
      <c r="F83" s="451" t="str">
        <f>IF(E84=1,"87,5",IF(D79&lt;40908,87.5,IF(D79&lt;41820,"80","74")))</f>
        <v>74</v>
      </c>
      <c r="G83" s="986"/>
      <c r="H83" s="431"/>
      <c r="I83" s="528"/>
      <c r="J83" s="431"/>
      <c r="K83" s="987"/>
      <c r="L83" s="833"/>
      <c r="M83" s="720"/>
      <c r="N83" s="720"/>
      <c r="O83" s="223"/>
      <c r="P83" s="558"/>
      <c r="Q83" s="526"/>
      <c r="R83" s="526"/>
      <c r="S83" s="15"/>
      <c r="T83" s="431"/>
      <c r="U83" s="15"/>
      <c r="V83" s="15"/>
      <c r="W83" s="15"/>
      <c r="X83" s="442"/>
      <c r="Y83" s="430"/>
      <c r="Z83" s="430"/>
      <c r="AA83" s="430"/>
      <c r="AB83" s="78"/>
      <c r="AC83" s="431"/>
      <c r="AD83" s="78"/>
      <c r="AE83" s="431"/>
      <c r="AF83" s="557"/>
      <c r="AG83" s="490"/>
      <c r="AH83" s="419">
        <f>VLOOKUP(AH80,'[2]IBAN CONTI'!A:B,2,FALSE)</f>
        <v>1</v>
      </c>
      <c r="AI83" s="419"/>
      <c r="AJ83" s="989">
        <f>VLOOKUP(AJ81,'[2]IBAN CONTI'!A$67:B$77,2,FALSE)</f>
        <v>6</v>
      </c>
      <c r="AK83" s="992"/>
      <c r="AL83" s="965">
        <f>AL80</f>
        <v>100</v>
      </c>
      <c r="AM83" s="577">
        <f>YEARFRAC(D80,C79,AH83)</f>
        <v>4.9817518248175183</v>
      </c>
      <c r="AN83" s="448">
        <f>IF(B84=2,0,C79-D80-(365-AN82))</f>
        <v>1461</v>
      </c>
      <c r="AO83" s="424">
        <f>E79-AO82</f>
        <v>100.69</v>
      </c>
      <c r="AP83" s="447">
        <f>E79+AO84+AP82+0.1</f>
        <v>100.86786799999999</v>
      </c>
      <c r="AQ83" s="446"/>
      <c r="AR83" s="179">
        <f>IF(B84=3,F81*G79,F79*G79)</f>
        <v>47.5</v>
      </c>
      <c r="AS83" s="421">
        <f>AR79-AS82</f>
        <v>1035.1500000000001</v>
      </c>
      <c r="AT83" s="419"/>
      <c r="AU83" s="420"/>
      <c r="AV83" s="223"/>
      <c r="AW83" s="420"/>
      <c r="AX83" s="417"/>
      <c r="AY83" s="420"/>
      <c r="AZ83" s="223"/>
      <c r="BA83" s="419"/>
      <c r="BB83" s="223"/>
      <c r="BC83" s="223"/>
      <c r="BD83" s="223"/>
      <c r="BE83" s="223"/>
      <c r="BF83" s="416"/>
      <c r="BG83" s="418"/>
      <c r="BH83" s="416"/>
      <c r="BI83" s="416"/>
      <c r="BJ83" s="416"/>
      <c r="BK83" s="418"/>
      <c r="BL83" s="417"/>
      <c r="BM83" s="416"/>
      <c r="BN83" s="416"/>
      <c r="BO83" s="416"/>
      <c r="BP83" s="416"/>
      <c r="BQ83" s="416"/>
      <c r="BR83" s="416"/>
      <c r="BS83" s="416"/>
      <c r="BT83" s="389"/>
      <c r="BU83" s="389"/>
      <c r="BV83" s="389"/>
      <c r="BW83" s="389"/>
      <c r="BX83" s="415"/>
      <c r="BY83" s="389"/>
      <c r="BZ83" s="389"/>
      <c r="CA83" s="389"/>
      <c r="CB83" s="389"/>
      <c r="CC83" s="389"/>
      <c r="CD83" s="389"/>
      <c r="CE83" s="389"/>
      <c r="CF83" s="389"/>
      <c r="CG83" s="389"/>
      <c r="CH83" s="389"/>
      <c r="CI83" s="389"/>
      <c r="CJ83" s="389"/>
      <c r="CK83" s="389"/>
      <c r="CL83" s="389"/>
      <c r="CM83" s="389"/>
      <c r="CN83" s="389"/>
      <c r="CO83" s="389"/>
      <c r="CP83" s="389"/>
      <c r="CQ83" s="389"/>
      <c r="CR83" s="389"/>
      <c r="CS83" s="415"/>
      <c r="CT83" s="389"/>
      <c r="CU83" s="389"/>
      <c r="CV83" s="389"/>
      <c r="CW83" s="389"/>
      <c r="CX83" s="389"/>
      <c r="CY83" s="389"/>
      <c r="CZ83" s="389"/>
      <c r="DA83" s="389"/>
      <c r="DB83" s="389"/>
      <c r="DC83" s="389"/>
      <c r="DD83" s="389"/>
      <c r="DE83" s="389"/>
      <c r="DF83" s="389"/>
      <c r="DG83" s="389"/>
      <c r="DH83" s="389"/>
      <c r="DI83" s="389"/>
      <c r="DJ83" s="389"/>
      <c r="DK83" s="389"/>
      <c r="DL83" s="389"/>
      <c r="DM83" s="389"/>
      <c r="DN83" s="389"/>
      <c r="DO83" s="414"/>
      <c r="DP83" s="39"/>
      <c r="DQ83" s="39"/>
      <c r="DR83" s="39"/>
      <c r="DS83" s="136"/>
      <c r="DT83" s="136"/>
      <c r="DU83" s="136"/>
      <c r="DV83" s="136"/>
      <c r="DW83" s="136"/>
      <c r="DX83" s="136"/>
      <c r="DY83" s="136"/>
      <c r="DZ83" s="136"/>
      <c r="EA83" s="136"/>
      <c r="EB83" s="136"/>
      <c r="EC83" s="136"/>
      <c r="ED83" s="136"/>
      <c r="EE83" s="136"/>
      <c r="EF83" s="136"/>
      <c r="EG83" s="136"/>
      <c r="EH83" s="136"/>
      <c r="EI83" s="136"/>
      <c r="EJ83" s="136"/>
      <c r="EK83" s="136"/>
      <c r="EL83" s="136"/>
      <c r="EM83" s="136"/>
      <c r="EN83" s="136"/>
      <c r="EO83" s="136"/>
      <c r="EP83" s="136"/>
      <c r="EQ83" s="136"/>
      <c r="ER83" s="136"/>
      <c r="ES83" s="136"/>
      <c r="ET83" s="136"/>
      <c r="EU83" s="136"/>
      <c r="EV83" s="136"/>
      <c r="EW83" s="136"/>
      <c r="EX83" s="136"/>
      <c r="EY83" s="136"/>
      <c r="EZ83" s="136"/>
      <c r="FA83" s="136"/>
      <c r="FB83" s="136"/>
      <c r="FC83" s="136"/>
      <c r="FD83" s="136"/>
      <c r="FE83" s="136"/>
      <c r="FF83" s="136"/>
      <c r="FG83" s="136"/>
      <c r="FH83" s="136"/>
      <c r="FI83" s="136"/>
      <c r="FJ83" s="136"/>
      <c r="FK83" s="136"/>
      <c r="FL83" s="136"/>
      <c r="FM83" s="136"/>
      <c r="FN83" s="136"/>
      <c r="FO83" s="136"/>
      <c r="FP83" s="136"/>
      <c r="FQ83" s="136"/>
      <c r="FR83" s="412"/>
      <c r="FS83" s="412"/>
      <c r="FT83" s="412"/>
      <c r="FU83" s="412"/>
      <c r="FV83" s="412"/>
      <c r="FW83" s="412"/>
      <c r="FX83" s="412"/>
      <c r="FY83" s="412"/>
      <c r="FZ83" s="412"/>
      <c r="GA83" s="412"/>
      <c r="GB83" s="412"/>
      <c r="GC83" s="412"/>
      <c r="GD83" s="412"/>
      <c r="GE83" s="412"/>
      <c r="GF83" s="412"/>
      <c r="GG83" s="412"/>
      <c r="GH83" s="412"/>
      <c r="GI83" s="412"/>
      <c r="GJ83" s="412"/>
      <c r="GK83" s="412"/>
      <c r="GL83" s="412"/>
      <c r="GM83" s="412"/>
      <c r="GN83" s="412"/>
      <c r="GO83" s="278"/>
      <c r="GP83" s="277"/>
      <c r="GQ83" s="277"/>
      <c r="GR83" s="277"/>
      <c r="GS83" s="277"/>
      <c r="GT83" s="277"/>
      <c r="GU83" s="277"/>
      <c r="GV83" s="277"/>
      <c r="GW83" s="277"/>
      <c r="GX83" s="277"/>
      <c r="GY83" s="277"/>
      <c r="GZ83" s="277"/>
      <c r="HA83" s="277"/>
      <c r="HB83" s="277"/>
      <c r="HC83" s="277"/>
      <c r="HD83" s="277"/>
      <c r="HE83" s="277"/>
      <c r="HF83" s="277"/>
      <c r="HG83" s="277"/>
      <c r="HH83" s="277"/>
      <c r="HI83" s="277"/>
      <c r="HJ83" s="277"/>
      <c r="HK83" s="277"/>
      <c r="HL83" s="277"/>
      <c r="HM83" s="277"/>
      <c r="HN83" s="277"/>
      <c r="HO83" s="277"/>
      <c r="HP83" s="277"/>
      <c r="HQ83" s="277"/>
      <c r="HR83" s="277"/>
      <c r="HS83" s="277"/>
      <c r="HT83" s="277"/>
      <c r="HU83" s="277"/>
      <c r="HV83" s="277"/>
      <c r="HW83" s="277"/>
      <c r="HX83" s="277"/>
      <c r="HY83" s="277"/>
      <c r="HZ83" s="277"/>
      <c r="IA83" s="412"/>
      <c r="IB83" s="412"/>
      <c r="IC83" s="412"/>
      <c r="ID83" s="412"/>
      <c r="IE83" s="412"/>
      <c r="IF83" s="412"/>
      <c r="IG83" s="412"/>
      <c r="IH83" s="412"/>
      <c r="II83" s="412"/>
      <c r="IJ83" s="412"/>
      <c r="IK83" s="412"/>
      <c r="IL83" s="412"/>
      <c r="IM83" s="413"/>
      <c r="IN83" s="412"/>
      <c r="IO83" s="389"/>
      <c r="IP83" s="389"/>
      <c r="IQ83" s="389"/>
      <c r="IR83" s="389"/>
      <c r="IS83" s="389"/>
      <c r="IT83" s="389"/>
      <c r="IU83" s="389"/>
      <c r="IV83" s="389"/>
      <c r="IW83" s="389"/>
      <c r="IX83" s="389"/>
      <c r="IY83" s="389"/>
      <c r="IZ83" s="389"/>
      <c r="JA83" s="389"/>
      <c r="JB83" s="389"/>
      <c r="JC83" s="389"/>
      <c r="JD83" s="389"/>
      <c r="JE83" s="389"/>
      <c r="JF83" s="389"/>
      <c r="JG83" s="389"/>
      <c r="JH83" s="389"/>
      <c r="JI83" s="389"/>
      <c r="JJ83" s="389"/>
      <c r="JK83" s="389"/>
      <c r="JL83" s="389"/>
      <c r="JM83" s="389"/>
      <c r="JN83" s="389"/>
      <c r="JO83" s="389"/>
      <c r="JP83" s="389"/>
      <c r="JQ83" s="389"/>
      <c r="JR83" s="389"/>
      <c r="JS83" s="389"/>
      <c r="JT83" s="596"/>
      <c r="JU83" s="389"/>
      <c r="JV83" s="389"/>
      <c r="JW83" s="389"/>
      <c r="JX83" s="389"/>
      <c r="JY83" s="389"/>
      <c r="JZ83" s="389"/>
      <c r="KA83" s="389"/>
      <c r="KB83" s="389"/>
      <c r="KC83" s="389"/>
      <c r="KD83" s="389"/>
      <c r="KE83" s="389"/>
      <c r="KF83" s="389"/>
      <c r="KG83" s="389"/>
      <c r="KH83" s="389"/>
      <c r="KI83" s="389"/>
      <c r="KJ83" s="389"/>
      <c r="KK83" s="389"/>
      <c r="KL83" s="389"/>
      <c r="KM83" s="389"/>
      <c r="KN83" s="389"/>
      <c r="KO83" s="389"/>
      <c r="KP83" s="389"/>
    </row>
    <row r="84" spans="1:302" ht="11.1" hidden="1" customHeight="1" outlineLevel="1">
      <c r="A84" s="529">
        <v>1</v>
      </c>
      <c r="B84" s="989">
        <f>VLOOKUP(B82,'[2]IBAN CONTI'!A$1:B$65562,2,FALSE)</f>
        <v>1</v>
      </c>
      <c r="C84" s="989"/>
      <c r="D84" s="436">
        <f>COUPNCD(AL79,C79,K81,AH83)</f>
        <v>45631</v>
      </c>
      <c r="E84" s="933">
        <f>VLOOKUP(E83,'[2]IBAN CONTI'!A:B,2,FALSE)</f>
        <v>2</v>
      </c>
      <c r="F84" s="444" t="str">
        <f>IF(E84=1,"87,5","74")</f>
        <v>74</v>
      </c>
      <c r="G84" s="443">
        <f>VLOOKUP(G82,'[2]IBAN CONTI'!A$244:B$273,2,FALSE)</f>
        <v>18</v>
      </c>
      <c r="H84" s="431"/>
      <c r="I84" s="528"/>
      <c r="J84" s="431"/>
      <c r="K84" s="433">
        <f>VLOOKUP(K82,'[2]IBAN CONTI'!A$80:B$101,2,FALSE)</f>
        <v>1</v>
      </c>
      <c r="L84" s="833"/>
      <c r="M84" s="720"/>
      <c r="N84" s="720"/>
      <c r="O84" s="223"/>
      <c r="P84" s="558"/>
      <c r="Q84" s="526"/>
      <c r="R84" s="526"/>
      <c r="S84" s="15"/>
      <c r="T84" s="431"/>
      <c r="U84" s="15"/>
      <c r="V84" s="15"/>
      <c r="W84" s="15"/>
      <c r="X84" s="594">
        <f ca="1">X79-$AF$2</f>
        <v>-4540.6850547453723</v>
      </c>
      <c r="Y84" s="430"/>
      <c r="Z84" s="430"/>
      <c r="AA84" s="430"/>
      <c r="AB84" s="78"/>
      <c r="AC84" s="431"/>
      <c r="AD84" s="117"/>
      <c r="AE84" s="431"/>
      <c r="AF84" s="1011">
        <v>-20173.16</v>
      </c>
      <c r="AG84" s="1011"/>
      <c r="AH84" s="552"/>
      <c r="AI84" s="551"/>
      <c r="AJ84" s="441" t="s">
        <v>172</v>
      </c>
      <c r="AK84" s="525">
        <f>VLOOKUP(AJ84,'[2]IBAN CONTI'!A$61:B$64,2,FALSE)</f>
        <v>1</v>
      </c>
      <c r="AL84" s="967">
        <f>AL81-AL82*(100-F84)/100</f>
        <v>100</v>
      </c>
      <c r="AM84" s="426" t="str">
        <f>IF(B84=2,10^((LOG(AL81/AL80))/AM81)-1,"")</f>
        <v/>
      </c>
      <c r="AN84" s="439">
        <f>IF(B84=4,A81*E79/100,IF(AF81=1,G79*E79/100,A80/E80*E79/100))</f>
        <v>1006.9</v>
      </c>
      <c r="AO84" s="425">
        <f>-AO82*(100-F83)/100</f>
        <v>0</v>
      </c>
      <c r="AP84" s="438">
        <f>IF(B84=2,(AN84-AP81+AN79+AN80)/G79*100,(AN84-AP80+AN79+AN80)/G79*100)</f>
        <v>101.14068999999999</v>
      </c>
      <c r="AQ84" s="423"/>
      <c r="AR84" s="422">
        <f>AL80</f>
        <v>100</v>
      </c>
      <c r="AS84" s="421"/>
      <c r="AT84" s="419"/>
      <c r="AU84" s="420"/>
      <c r="AV84" s="223"/>
      <c r="AW84" s="420"/>
      <c r="AX84" s="417"/>
      <c r="AY84" s="420"/>
      <c r="AZ84" s="223"/>
      <c r="BA84" s="419"/>
      <c r="BB84" s="223"/>
      <c r="BC84" s="223"/>
      <c r="BD84" s="223"/>
      <c r="BE84" s="223"/>
      <c r="BF84" s="416"/>
      <c r="BG84" s="418"/>
      <c r="BH84" s="416"/>
      <c r="BI84" s="416"/>
      <c r="BJ84" s="416"/>
      <c r="BK84" s="418"/>
      <c r="BL84" s="417"/>
      <c r="BM84" s="416"/>
      <c r="BN84" s="416"/>
      <c r="BO84" s="416"/>
      <c r="BP84" s="416"/>
      <c r="BQ84" s="416"/>
      <c r="BR84" s="416"/>
      <c r="BS84" s="416"/>
      <c r="BT84" s="389"/>
      <c r="BU84" s="389"/>
      <c r="BV84" s="389"/>
      <c r="BW84" s="389"/>
      <c r="BX84" s="415"/>
      <c r="BY84" s="389"/>
      <c r="BZ84" s="389"/>
      <c r="CA84" s="389"/>
      <c r="CB84" s="389"/>
      <c r="CC84" s="389"/>
      <c r="CD84" s="389"/>
      <c r="CE84" s="389"/>
      <c r="CF84" s="389"/>
      <c r="CG84" s="389"/>
      <c r="CH84" s="389"/>
      <c r="CI84" s="389"/>
      <c r="CJ84" s="389"/>
      <c r="CK84" s="389"/>
      <c r="CL84" s="389"/>
      <c r="CM84" s="389"/>
      <c r="CN84" s="389"/>
      <c r="CO84" s="389"/>
      <c r="CP84" s="389"/>
      <c r="CQ84" s="389"/>
      <c r="CR84" s="389"/>
      <c r="CS84" s="415"/>
      <c r="CT84" s="389"/>
      <c r="CU84" s="389"/>
      <c r="CV84" s="389"/>
      <c r="CW84" s="389"/>
      <c r="CX84" s="389"/>
      <c r="CY84" s="389"/>
      <c r="CZ84" s="389"/>
      <c r="DA84" s="389"/>
      <c r="DB84" s="389"/>
      <c r="DC84" s="389"/>
      <c r="DD84" s="389"/>
      <c r="DE84" s="389"/>
      <c r="DF84" s="389"/>
      <c r="DG84" s="389"/>
      <c r="DH84" s="389"/>
      <c r="DI84" s="389"/>
      <c r="DJ84" s="389"/>
      <c r="DK84" s="389"/>
      <c r="DL84" s="389"/>
      <c r="DM84" s="389"/>
      <c r="DN84" s="389"/>
      <c r="DO84" s="414"/>
      <c r="DP84" s="39"/>
      <c r="DQ84" s="39"/>
      <c r="DR84" s="39"/>
      <c r="DS84" s="136"/>
      <c r="DT84" s="136"/>
      <c r="DU84" s="136"/>
      <c r="DV84" s="136"/>
      <c r="DW84" s="136"/>
      <c r="DX84" s="136"/>
      <c r="DY84" s="136"/>
      <c r="DZ84" s="136"/>
      <c r="EA84" s="136"/>
      <c r="EB84" s="136"/>
      <c r="EC84" s="136"/>
      <c r="ED84" s="136"/>
      <c r="EE84" s="136"/>
      <c r="EF84" s="136"/>
      <c r="EG84" s="136"/>
      <c r="EH84" s="136"/>
      <c r="EI84" s="136"/>
      <c r="EJ84" s="136"/>
      <c r="EK84" s="136"/>
      <c r="EL84" s="136"/>
      <c r="EM84" s="136"/>
      <c r="EN84" s="136"/>
      <c r="EO84" s="136"/>
      <c r="EP84" s="136"/>
      <c r="EQ84" s="136"/>
      <c r="ER84" s="136"/>
      <c r="ES84" s="136"/>
      <c r="ET84" s="136"/>
      <c r="EU84" s="136"/>
      <c r="EV84" s="136"/>
      <c r="EW84" s="136"/>
      <c r="EX84" s="136"/>
      <c r="EY84" s="136"/>
      <c r="EZ84" s="136"/>
      <c r="FA84" s="136"/>
      <c r="FB84" s="136"/>
      <c r="FC84" s="136"/>
      <c r="FD84" s="136"/>
      <c r="FE84" s="136"/>
      <c r="FF84" s="136"/>
      <c r="FG84" s="136"/>
      <c r="FH84" s="136"/>
      <c r="FI84" s="136"/>
      <c r="FJ84" s="136"/>
      <c r="FK84" s="136"/>
      <c r="FL84" s="136"/>
      <c r="FM84" s="136"/>
      <c r="FN84" s="136"/>
      <c r="FO84" s="136"/>
      <c r="FP84" s="136"/>
      <c r="FQ84" s="136"/>
      <c r="FR84" s="412"/>
      <c r="FS84" s="412"/>
      <c r="FT84" s="412"/>
      <c r="FU84" s="412"/>
      <c r="FV84" s="412"/>
      <c r="FW84" s="412"/>
      <c r="FX84" s="412"/>
      <c r="FY84" s="412"/>
      <c r="FZ84" s="412"/>
      <c r="GA84" s="412"/>
      <c r="GB84" s="412"/>
      <c r="GC84" s="412"/>
      <c r="GD84" s="412"/>
      <c r="GE84" s="412"/>
      <c r="GF84" s="412"/>
      <c r="GG84" s="412"/>
      <c r="GH84" s="412"/>
      <c r="GI84" s="412"/>
      <c r="GJ84" s="412"/>
      <c r="GK84" s="412"/>
      <c r="GL84" s="412"/>
      <c r="GM84" s="412"/>
      <c r="GN84" s="412"/>
      <c r="GO84" s="278"/>
      <c r="GP84" s="277"/>
      <c r="GQ84" s="277"/>
      <c r="GR84" s="277"/>
      <c r="GS84" s="277"/>
      <c r="GT84" s="277"/>
      <c r="GU84" s="277"/>
      <c r="GV84" s="277"/>
      <c r="GW84" s="277"/>
      <c r="GX84" s="277"/>
      <c r="GY84" s="277"/>
      <c r="GZ84" s="277"/>
      <c r="HA84" s="277"/>
      <c r="HB84" s="277"/>
      <c r="HC84" s="277"/>
      <c r="HD84" s="277"/>
      <c r="HE84" s="277"/>
      <c r="HF84" s="277"/>
      <c r="HG84" s="277"/>
      <c r="HH84" s="277"/>
      <c r="HI84" s="277"/>
      <c r="HJ84" s="277"/>
      <c r="HK84" s="277"/>
      <c r="HL84" s="277"/>
      <c r="HM84" s="277"/>
      <c r="HN84" s="277"/>
      <c r="HO84" s="277"/>
      <c r="HP84" s="277"/>
      <c r="HQ84" s="277"/>
      <c r="HR84" s="277"/>
      <c r="HS84" s="277"/>
      <c r="HT84" s="277"/>
      <c r="HU84" s="277"/>
      <c r="HV84" s="277"/>
      <c r="HW84" s="277"/>
      <c r="HX84" s="277"/>
      <c r="HY84" s="277"/>
      <c r="HZ84" s="277"/>
      <c r="IA84" s="412"/>
      <c r="IB84" s="412"/>
      <c r="IC84" s="412"/>
      <c r="ID84" s="412"/>
      <c r="IE84" s="412"/>
      <c r="IF84" s="412"/>
      <c r="IG84" s="412"/>
      <c r="IH84" s="412"/>
      <c r="II84" s="412"/>
      <c r="IJ84" s="412"/>
      <c r="IK84" s="412"/>
      <c r="IL84" s="412"/>
      <c r="IM84" s="413"/>
      <c r="IN84" s="412"/>
      <c r="IO84" s="389"/>
      <c r="IP84" s="389"/>
      <c r="IQ84" s="389"/>
      <c r="IR84" s="389"/>
      <c r="IS84" s="389"/>
      <c r="IT84" s="389"/>
      <c r="IU84" s="389"/>
      <c r="IV84" s="389"/>
      <c r="IW84" s="389"/>
      <c r="IX84" s="389"/>
      <c r="IY84" s="389"/>
      <c r="IZ84" s="389"/>
      <c r="JA84" s="389"/>
      <c r="JB84" s="389"/>
      <c r="JC84" s="389"/>
      <c r="JD84" s="389"/>
      <c r="JE84" s="389"/>
      <c r="JF84" s="389"/>
      <c r="JG84" s="389"/>
      <c r="JH84" s="389"/>
      <c r="JI84" s="389"/>
      <c r="JJ84" s="389"/>
      <c r="JK84" s="389"/>
      <c r="JL84" s="389"/>
      <c r="JM84" s="389"/>
      <c r="JN84" s="389"/>
      <c r="JO84" s="389"/>
      <c r="JP84" s="389"/>
      <c r="JQ84" s="389"/>
      <c r="JR84" s="389"/>
      <c r="JS84" s="389"/>
      <c r="JT84" s="596"/>
      <c r="JU84" s="389"/>
      <c r="JV84" s="389"/>
      <c r="JW84" s="389"/>
      <c r="JX84" s="389"/>
      <c r="JY84" s="389"/>
      <c r="JZ84" s="389"/>
      <c r="KA84" s="389"/>
      <c r="KB84" s="389"/>
      <c r="KC84" s="389"/>
      <c r="KD84" s="389"/>
      <c r="KE84" s="389"/>
      <c r="KF84" s="389"/>
      <c r="KG84" s="389"/>
      <c r="KH84" s="389"/>
      <c r="KI84" s="389"/>
      <c r="KJ84" s="389"/>
      <c r="KK84" s="389"/>
      <c r="KL84" s="389"/>
      <c r="KM84" s="389"/>
      <c r="KN84" s="389"/>
      <c r="KO84" s="389"/>
      <c r="KP84" s="389"/>
    </row>
    <row r="85" spans="1:302" s="14" customFormat="1" ht="15" hidden="1" customHeight="1" outlineLevel="1" collapsed="1">
      <c r="A85" s="529"/>
      <c r="B85" s="41"/>
      <c r="D85" s="23"/>
      <c r="F85" s="3"/>
      <c r="K85" s="40"/>
      <c r="L85" s="836"/>
      <c r="M85" s="836"/>
      <c r="N85" s="836"/>
      <c r="O85" s="304"/>
      <c r="P85" s="3"/>
      <c r="Q85" s="7"/>
      <c r="R85" s="7"/>
      <c r="S85" s="23"/>
      <c r="AB85" s="23"/>
      <c r="AG85" s="34"/>
      <c r="AH85" s="409"/>
      <c r="AI85" s="608"/>
      <c r="AJ85" s="80"/>
      <c r="AK85" s="607"/>
      <c r="AL85" s="18"/>
      <c r="AN85" s="32"/>
      <c r="AO85" s="18"/>
      <c r="AP85" s="424"/>
      <c r="AQ85" s="23"/>
      <c r="IM85" s="3"/>
      <c r="JT85" s="553"/>
    </row>
    <row r="86" spans="1:302" s="23" customFormat="1" ht="5.0999999999999996" customHeight="1" collapsed="1" thickBot="1">
      <c r="A86" s="232"/>
      <c r="B86" s="507"/>
      <c r="C86" s="431"/>
      <c r="D86" s="431"/>
      <c r="E86" s="765"/>
      <c r="F86" s="431"/>
      <c r="G86" s="431"/>
      <c r="H86" s="431"/>
      <c r="I86" s="385"/>
      <c r="J86" s="431"/>
      <c r="K86" s="431"/>
      <c r="L86" s="601"/>
      <c r="M86" s="844"/>
      <c r="N86" s="844"/>
      <c r="O86" s="505"/>
      <c r="P86" s="584" t="s">
        <v>30</v>
      </c>
      <c r="Q86" s="280"/>
      <c r="R86" s="974"/>
      <c r="S86" s="981"/>
      <c r="T86" s="431"/>
      <c r="U86" s="981"/>
      <c r="V86" s="981"/>
      <c r="W86" s="981"/>
      <c r="X86" s="498"/>
      <c r="Y86" s="498"/>
      <c r="Z86" s="498"/>
      <c r="AA86" s="498"/>
      <c r="AB86" s="982"/>
      <c r="AC86" s="431"/>
      <c r="AD86" s="78"/>
      <c r="AE86" s="431"/>
      <c r="AF86" s="504"/>
      <c r="AG86" s="307"/>
      <c r="AH86" s="593"/>
      <c r="AI86" s="593"/>
      <c r="AJ86" s="592"/>
      <c r="AK86" s="501"/>
      <c r="AL86" s="54"/>
      <c r="AM86" s="22"/>
      <c r="AN86" s="54"/>
      <c r="AO86" s="22"/>
      <c r="AP86" s="374"/>
      <c r="AQ86" s="22"/>
      <c r="AR86" s="22"/>
      <c r="AS86" s="22"/>
      <c r="AT86" s="31"/>
      <c r="AU86" s="13"/>
      <c r="AV86" s="13"/>
      <c r="AW86" s="13"/>
      <c r="AX86" s="13"/>
      <c r="AY86" s="13"/>
      <c r="AZ86" s="13"/>
      <c r="BA86" s="31"/>
      <c r="BB86" s="13"/>
      <c r="BC86" s="13"/>
      <c r="BD86" s="13"/>
      <c r="BE86" s="13"/>
      <c r="BF86" s="13"/>
      <c r="BG86" s="31"/>
      <c r="BH86" s="13"/>
      <c r="BI86" s="13"/>
      <c r="BJ86" s="13"/>
      <c r="BK86" s="31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31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31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591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31"/>
      <c r="HV86" s="15"/>
      <c r="HW86" s="15"/>
      <c r="HX86" s="15"/>
      <c r="HY86" s="15"/>
      <c r="HZ86" s="15"/>
      <c r="IA86" s="15"/>
      <c r="IB86" s="15"/>
      <c r="IC86" s="15"/>
      <c r="ID86" s="15"/>
      <c r="IE86" s="15"/>
      <c r="IL86" s="14"/>
      <c r="IM86" s="14"/>
      <c r="IN86" s="14"/>
      <c r="IO86" s="14"/>
      <c r="IP86" s="3"/>
      <c r="IQ86" s="14"/>
      <c r="IR86" s="14"/>
      <c r="IS86" s="14"/>
      <c r="IT86" s="14"/>
      <c r="IU86" s="14"/>
      <c r="IV86" s="14"/>
      <c r="IW86" s="14"/>
      <c r="IX86" s="14"/>
      <c r="IY86" s="14"/>
      <c r="IZ86" s="14"/>
      <c r="JA86" s="14"/>
      <c r="JB86" s="14"/>
      <c r="JC86" s="14"/>
      <c r="JD86" s="14"/>
      <c r="JE86" s="14"/>
      <c r="JF86" s="14"/>
      <c r="JG86" s="14"/>
      <c r="JH86" s="14"/>
      <c r="JI86" s="14"/>
      <c r="JJ86" s="14"/>
      <c r="JK86" s="14"/>
      <c r="JL86" s="14"/>
      <c r="JM86" s="14"/>
      <c r="JN86" s="14"/>
      <c r="JO86" s="14"/>
      <c r="JP86" s="14"/>
      <c r="JQ86" s="14"/>
      <c r="JR86" s="14"/>
      <c r="JS86" s="14"/>
      <c r="JT86" s="14"/>
      <c r="JU86" s="14"/>
      <c r="JV86" s="14"/>
      <c r="JW86" s="14"/>
      <c r="JX86" s="14"/>
      <c r="JY86" s="14"/>
      <c r="JZ86" s="14"/>
      <c r="KA86" s="14"/>
      <c r="KB86" s="14"/>
      <c r="KC86" s="14"/>
      <c r="KD86" s="14"/>
      <c r="KE86" s="14"/>
      <c r="KF86" s="14"/>
      <c r="KG86" s="14"/>
      <c r="KH86" s="14"/>
      <c r="KI86" s="14"/>
      <c r="KJ86" s="14"/>
      <c r="KK86" s="14"/>
      <c r="KL86" s="14"/>
      <c r="KM86" s="14"/>
      <c r="KN86" s="14"/>
      <c r="KO86" s="14"/>
      <c r="KP86" s="14"/>
    </row>
    <row r="87" spans="1:302" s="14" customFormat="1" ht="11.1" customHeight="1">
      <c r="A87" s="497" t="s">
        <v>195</v>
      </c>
      <c r="B87" s="590" t="s">
        <v>194</v>
      </c>
      <c r="C87" s="387">
        <v>47332</v>
      </c>
      <c r="D87" s="725">
        <v>45490</v>
      </c>
      <c r="E87" s="764">
        <v>100</v>
      </c>
      <c r="F87" s="490">
        <v>5.7500000000000002E-2</v>
      </c>
      <c r="G87" s="383">
        <v>1000</v>
      </c>
      <c r="H87" s="383">
        <f>G87</f>
        <v>1000</v>
      </c>
      <c r="I87" s="385">
        <f>G87*F87/100*F92</f>
        <v>42.55</v>
      </c>
      <c r="J87" s="383">
        <f>I87</f>
        <v>42.55</v>
      </c>
      <c r="K87" s="384" t="s">
        <v>456</v>
      </c>
      <c r="L87" s="833">
        <f>MONTH(C87)</f>
        <v>8</v>
      </c>
      <c r="M87" s="842" t="str">
        <f>IFERROR(IF(N87&gt;12,N87-12,N87),"")</f>
        <v/>
      </c>
      <c r="N87" s="594" t="str">
        <f>IF(K89=1,"",MONTH(C87)+6)</f>
        <v/>
      </c>
      <c r="O87" s="832">
        <f>IF(K89=1,I87,I87/2)</f>
        <v>42.55</v>
      </c>
      <c r="P87" s="215">
        <f>VLOOKUP(B88,[2]Prezzi!$A$2:$R$125,18,FALSE)</f>
        <v>100.42499923706055</v>
      </c>
      <c r="Q87" s="280"/>
      <c r="R87" s="15"/>
      <c r="S87" s="493">
        <f ca="1">MAX(0,IF(B92=5,I87/AM89*X87,(((((F87)*AF$2)/365)*G87*F92/100)+((((F87)*X92)/365)*G87*F92/100))))</f>
        <v>12.007260273972634</v>
      </c>
      <c r="T87" s="492">
        <f ca="1">S87</f>
        <v>12.007260273972634</v>
      </c>
      <c r="U87" s="469"/>
      <c r="V87" s="4"/>
      <c r="W87" s="469"/>
      <c r="X87" s="491">
        <f ca="1">IF(B92=4,COUPDAYBS($AB$2,C87,K89,AH91),IF($AB$2-AL87&lt;365,IF(K89&gt;1,FLOOR(365/K89-(E89-AB$2),1),IF(B92=2,0,IF(AL87&gt;$AB$2,0,IF(AND(E89-AL87&lt;365,$AB$2&lt;E89),$AB$2-AL87,COUPDAYBS($AB$2,C87,K89,AH91))))),COUPDAYBS($AB$2,C87,K89,AH91)))</f>
        <v>103</v>
      </c>
      <c r="Y87" s="456">
        <f ca="1">G87*AF87</f>
        <v>4053.0913554818335</v>
      </c>
      <c r="Z87" s="456">
        <f ca="1">IF(G87=0,"0",G87*AG87)</f>
        <v>41.714097256457968</v>
      </c>
      <c r="AA87" s="22"/>
      <c r="AB87" s="979">
        <f ca="1">IF(B92=5,(((I87/AM90)*X87)+(G87)),(G87*P87*A92/100)+(S87*A92))</f>
        <v>1016.2572526445781</v>
      </c>
      <c r="AC87" s="383">
        <f ca="1">AB87</f>
        <v>1016.2572526445781</v>
      </c>
      <c r="AD87" s="156">
        <f>IF(E88="",((P87-E87)/100)*G87,((((P87-E87)/100)*A88)/F88)+((A88/F88)-(A88/E88)))</f>
        <v>4.2499923706054687</v>
      </c>
      <c r="AE87" s="383">
        <f>AD87</f>
        <v>4.2499923706054687</v>
      </c>
      <c r="AF87" s="446">
        <f ca="1">IF(B92=1,MDURATION($AB$2,C87,F87,AG87,K89,AH91),IF(B92=2,YEARFRAC(C87,$AB$2,AH91)))</f>
        <v>4.0530913554818335</v>
      </c>
      <c r="AG87" s="824">
        <f ca="1">YIELD(AB$2,C87,F87,P87,AL89,K89,AH91)*F92/100</f>
        <v>4.1714097256457972E-2</v>
      </c>
      <c r="AH87" s="589">
        <f ca="1">(((F87)*X87)/365)*F92</f>
        <v>1.2007260273972602</v>
      </c>
      <c r="AI87" s="588"/>
      <c r="AJ87" s="587"/>
      <c r="AK87" s="571"/>
      <c r="AL87" s="570">
        <v>45506</v>
      </c>
      <c r="AM87" s="460" t="s">
        <v>430</v>
      </c>
      <c r="AN87" s="213">
        <v>0</v>
      </c>
      <c r="AO87" s="484">
        <f>IF(B92=4,AP90*A89/100,IF(AF89=1,G87*AP90/100,A88/E88/100*AP90))</f>
        <v>0</v>
      </c>
      <c r="AP87" s="326">
        <f>IF(B92=2,AN92+AN87+AN88+AP88,AN92+AN87+AN88+AO87+AO88+AP88)</f>
        <v>1000</v>
      </c>
      <c r="AQ87" s="326">
        <f>AP87</f>
        <v>1000</v>
      </c>
      <c r="AR87" s="569">
        <f>AR89+AR91+AR88</f>
        <v>1042.55</v>
      </c>
      <c r="AS87" s="825">
        <f ca="1">AG87</f>
        <v>4.1714097256457972E-2</v>
      </c>
      <c r="AT87" s="419">
        <f>IF(B92=1,G87,"")</f>
        <v>1000</v>
      </c>
      <c r="AU87" s="420" t="str">
        <f>IF(B92=2,G87,"")</f>
        <v/>
      </c>
      <c r="AV87" s="223" t="str">
        <f>IF(B92=3,G87,"")</f>
        <v/>
      </c>
      <c r="AW87" s="420" t="str">
        <f>IF(B92=4,G87,"")</f>
        <v/>
      </c>
      <c r="AX87" s="417" t="str">
        <f>IF(B92=5,G87,"")</f>
        <v/>
      </c>
      <c r="AY87" s="420" t="str">
        <f>IF(B92=6,G87,"")</f>
        <v/>
      </c>
      <c r="AZ87" s="223" t="str">
        <f>IF(B92=7,G87,"")</f>
        <v/>
      </c>
      <c r="BA87" s="419" t="str">
        <f>IF(B89=1,G87,"")</f>
        <v/>
      </c>
      <c r="BB87" s="223" t="str">
        <f>IF(B89=2,G87,"")</f>
        <v/>
      </c>
      <c r="BC87" s="223" t="str">
        <f>IF(B89=3,G87,"")</f>
        <v/>
      </c>
      <c r="BD87" s="223" t="str">
        <f>IF(B89=4,G87,"")</f>
        <v/>
      </c>
      <c r="BE87" s="223" t="str">
        <f>IF(B89=5,G87,"")</f>
        <v/>
      </c>
      <c r="BF87" s="417">
        <f>IF(B89=6,G87,"")</f>
        <v>1000</v>
      </c>
      <c r="BG87" s="419">
        <f>IF(AK92=1,G87,"")</f>
        <v>1000</v>
      </c>
      <c r="BH87" s="223" t="str">
        <f>IF(AK92=2,G87,"")</f>
        <v/>
      </c>
      <c r="BI87" s="223" t="str">
        <f>IF(AK92=3,G87,"")</f>
        <v/>
      </c>
      <c r="BJ87" s="223" t="str">
        <f>IF(AK92=4,G87,"")</f>
        <v/>
      </c>
      <c r="BK87" s="419" t="str">
        <f>IF(AJ91=1,G87,"")</f>
        <v/>
      </c>
      <c r="BL87" s="482" t="str">
        <f>IF(BK87&lt;&gt;"",AB87,"")</f>
        <v/>
      </c>
      <c r="BM87" s="223" t="str">
        <f>IF(AJ91=2,G87,"")</f>
        <v/>
      </c>
      <c r="BN87" s="223" t="str">
        <f>IF(BM87&lt;&gt;"",AB87,"")</f>
        <v/>
      </c>
      <c r="BO87" s="223" t="str">
        <f>IF(AJ91=3,G87,"")</f>
        <v/>
      </c>
      <c r="BP87" s="223" t="str">
        <f>IF(AJ91=4,G87,"")</f>
        <v/>
      </c>
      <c r="BQ87" s="223" t="str">
        <f>IF(AJ91=5,G87,"")</f>
        <v/>
      </c>
      <c r="BR87" s="223" t="str">
        <f>IF(AJ91=6,G87,"")</f>
        <v/>
      </c>
      <c r="BS87" s="223" t="str">
        <f>IF(AJ91=7,G87,"")</f>
        <v/>
      </c>
      <c r="BT87" s="223" t="str">
        <f>IF(AJ91=8,G87,"")</f>
        <v/>
      </c>
      <c r="BU87" s="223">
        <f>IF(AJ91=9,G87,"")</f>
        <v>1000</v>
      </c>
      <c r="BV87" s="223" t="str">
        <f>IF(AJ91=10,G87,"")</f>
        <v/>
      </c>
      <c r="BW87" s="223" t="str">
        <f>IF(AJ91=11,G87,"")</f>
        <v/>
      </c>
      <c r="BX87" s="419">
        <f>IF(AF89=1,G87,"")</f>
        <v>1000</v>
      </c>
      <c r="BY87" s="223" t="str">
        <f>IF(AF89=2,G87,"")</f>
        <v/>
      </c>
      <c r="BZ87" s="223" t="str">
        <f>IF(AF89=3,G87,"")</f>
        <v/>
      </c>
      <c r="CA87" s="223" t="str">
        <f>IF(AF89=4,G87,"")</f>
        <v/>
      </c>
      <c r="CB87" s="223" t="str">
        <f>IF(AF89=5,G87,"")</f>
        <v/>
      </c>
      <c r="CC87" s="223" t="str">
        <f>IF(AF89=6,G87,"")</f>
        <v/>
      </c>
      <c r="CD87" s="223" t="str">
        <f>IF(AF89=7,G87,"")</f>
        <v/>
      </c>
      <c r="CE87" s="223" t="str">
        <f>IF(AF89=8,G87,"")</f>
        <v/>
      </c>
      <c r="CF87" s="223" t="str">
        <f>IF(AF89=9,G87,"")</f>
        <v/>
      </c>
      <c r="CG87" s="223" t="str">
        <f>IF(AF89=10,G87,"")</f>
        <v/>
      </c>
      <c r="CH87" s="223" t="str">
        <f>IF(AF89=11,G87,"")</f>
        <v/>
      </c>
      <c r="CI87" s="223" t="str">
        <f>IF(AF89=12,G87,"")</f>
        <v/>
      </c>
      <c r="CJ87" s="223" t="str">
        <f>IF(AF89=13,G87,"")</f>
        <v/>
      </c>
      <c r="CK87" s="223" t="str">
        <f>IF(AF89=14,G87,"")</f>
        <v/>
      </c>
      <c r="CL87" s="223" t="str">
        <f>IF(AF89=15,G87,"")</f>
        <v/>
      </c>
      <c r="CM87" s="223" t="str">
        <f>IF(AF89=16,G87,"")</f>
        <v/>
      </c>
      <c r="CN87" s="223" t="str">
        <f>IF(AF89=17,G87,"")</f>
        <v/>
      </c>
      <c r="CO87" s="223" t="str">
        <f>IF(AF89=18,G87,"")</f>
        <v/>
      </c>
      <c r="CP87" s="223" t="str">
        <f>IF(AF89=19,G87,"")</f>
        <v/>
      </c>
      <c r="CQ87" s="223" t="str">
        <f>IF(AF89=20,G87,"")</f>
        <v/>
      </c>
      <c r="CR87" s="223" t="str">
        <f>IF(AF89=21,G87,"")</f>
        <v/>
      </c>
      <c r="CS87" s="419">
        <f>IF(K92=1,G87,"")</f>
        <v>1000</v>
      </c>
      <c r="CT87" s="223" t="str">
        <f>IF(K92=2,G87,"")</f>
        <v/>
      </c>
      <c r="CU87" s="223" t="str">
        <f>IF(K92=3,G87,"")</f>
        <v/>
      </c>
      <c r="CV87" s="223" t="str">
        <f>IF(K92=4,G87,"")</f>
        <v/>
      </c>
      <c r="CW87" s="223" t="str">
        <f>IF(K92=5,G87,"")</f>
        <v/>
      </c>
      <c r="CX87" s="223" t="str">
        <f>IF(K92=6,G87,"")</f>
        <v/>
      </c>
      <c r="CY87" s="223" t="str">
        <f>IF(K92=7,G87,"")</f>
        <v/>
      </c>
      <c r="CZ87" s="223" t="str">
        <f>IF(K92=8,G87,"")</f>
        <v/>
      </c>
      <c r="DA87" s="223" t="str">
        <f>IF(K92=9,G87,"")</f>
        <v/>
      </c>
      <c r="DB87" s="223" t="str">
        <f>IF(K92=10,G87,"")</f>
        <v/>
      </c>
      <c r="DC87" s="223" t="str">
        <f>IF(K92=11,G87,"")</f>
        <v/>
      </c>
      <c r="DD87" s="223" t="str">
        <f>IF(K92=12,G87,"")</f>
        <v/>
      </c>
      <c r="DE87" s="223" t="str">
        <f>IF(K92=13,G87,"")</f>
        <v/>
      </c>
      <c r="DF87" s="223" t="str">
        <f>IF(K92=14,G87,"")</f>
        <v/>
      </c>
      <c r="DG87" s="223" t="str">
        <f>IF(K92=15,G87,"")</f>
        <v/>
      </c>
      <c r="DH87" s="223" t="str">
        <f>IF(K92=16,G87,"")</f>
        <v/>
      </c>
      <c r="DI87" s="223" t="str">
        <f>IF(K92=17,G87,"")</f>
        <v/>
      </c>
      <c r="DJ87" s="223" t="str">
        <f>IF(K92=18,G87,"")</f>
        <v/>
      </c>
      <c r="DK87" s="223" t="str">
        <f>IF(K92=19,G87,"")</f>
        <v/>
      </c>
      <c r="DL87" s="223" t="str">
        <f>IF(K92=20,G87,"")</f>
        <v/>
      </c>
      <c r="DM87" s="223"/>
      <c r="DN87" s="223"/>
      <c r="DO87" s="419" t="str">
        <f>IF(AG89=1,G87,"")</f>
        <v/>
      </c>
      <c r="DP87" s="223" t="str">
        <f>IF(AG89=2,G87,"")</f>
        <v/>
      </c>
      <c r="DQ87" s="223" t="str">
        <f>IF(AG89=3,G87,"")</f>
        <v/>
      </c>
      <c r="DR87" s="223" t="str">
        <f>IF(AG89=4,G87,"")</f>
        <v/>
      </c>
      <c r="DS87" s="223" t="str">
        <f>IF(AG89=5,G87,"")</f>
        <v/>
      </c>
      <c r="DT87" s="223" t="str">
        <f>IF(AG89=6,G87,"")</f>
        <v/>
      </c>
      <c r="DU87" s="223" t="str">
        <f>IF(AG89=7,G87,"")</f>
        <v/>
      </c>
      <c r="DV87" s="223" t="str">
        <f>IF(AG89=8,G87,"")</f>
        <v/>
      </c>
      <c r="DW87" s="136" t="str">
        <f>IF(AG89=9,G87,"")</f>
        <v/>
      </c>
      <c r="DX87" s="136" t="str">
        <f>IF(AG89=10,G87,"")</f>
        <v/>
      </c>
      <c r="DY87" s="136" t="str">
        <f>IF(AG89=11,G87,"")</f>
        <v/>
      </c>
      <c r="DZ87" s="136" t="str">
        <f>IF(AG89=12,G87,"")</f>
        <v/>
      </c>
      <c r="EA87" s="136" t="str">
        <f>IF(AG89=13,G87,"")</f>
        <v/>
      </c>
      <c r="EB87" s="136" t="str">
        <f>IF(AG89=14,G87,"")</f>
        <v/>
      </c>
      <c r="EC87" s="317" t="str">
        <f>IF(AG89=15,G87,"")</f>
        <v/>
      </c>
      <c r="ED87" s="136" t="str">
        <f>IF(AG89=16,G87,"")</f>
        <v/>
      </c>
      <c r="EE87" s="136" t="str">
        <f>IF(AG89=17,G87,"")</f>
        <v/>
      </c>
      <c r="EF87" s="136" t="str">
        <f>IF(AG89=18,G87,"")</f>
        <v/>
      </c>
      <c r="EG87" s="136" t="str">
        <f>IF(AG89=19,G87,"")</f>
        <v/>
      </c>
      <c r="EH87" s="136" t="str">
        <f>IF(AG89=20,G87,"")</f>
        <v/>
      </c>
      <c r="EI87" s="136" t="str">
        <f>IF(AG89=21,G87,"")</f>
        <v/>
      </c>
      <c r="EJ87" s="136" t="str">
        <f>IF(AG89=22,G87,"")</f>
        <v/>
      </c>
      <c r="EK87" s="136" t="str">
        <f>IF(AG89=23,G87,"")</f>
        <v/>
      </c>
      <c r="EL87" s="136" t="str">
        <f>IF(AG89=24,G87,"")</f>
        <v/>
      </c>
      <c r="EM87" s="136" t="str">
        <f>IF(AG89=25,G87,"")</f>
        <v/>
      </c>
      <c r="EN87" s="136" t="str">
        <f>IF(AG89=26,G87,"")</f>
        <v/>
      </c>
      <c r="EO87" s="136" t="str">
        <f>IF(AG89=27,G87,"")</f>
        <v/>
      </c>
      <c r="EP87" s="136" t="str">
        <f>IF(AG89=28,G87,"")</f>
        <v/>
      </c>
      <c r="EQ87" s="136" t="str">
        <f>IF(AG89=29,G87,"")</f>
        <v/>
      </c>
      <c r="ER87" s="136">
        <f>IF(AG89=30,G87,"")</f>
        <v>1000</v>
      </c>
      <c r="ES87" s="136" t="str">
        <f>IF(AG89=31,G87,"")</f>
        <v/>
      </c>
      <c r="ET87" s="136" t="str">
        <f>IF(AG89=32,G87,"")</f>
        <v/>
      </c>
      <c r="EU87" s="136" t="str">
        <f>IF(AG89=33,G87,"")</f>
        <v/>
      </c>
      <c r="EV87" s="136" t="str">
        <f>IF(AG89=34,G87,"")</f>
        <v/>
      </c>
      <c r="EW87" s="136" t="str">
        <f>IF(AG89=35,G87,"")</f>
        <v/>
      </c>
      <c r="EX87" s="136" t="str">
        <f>IF(AG89=36,G87,"")</f>
        <v/>
      </c>
      <c r="EY87" s="136" t="str">
        <f>IF(AG89=37,G87,"")</f>
        <v/>
      </c>
      <c r="EZ87" s="136" t="str">
        <f>IF(AG89=38,G87,"")</f>
        <v/>
      </c>
      <c r="FA87" s="136" t="str">
        <f>IF(AG89=39,G87,"")</f>
        <v/>
      </c>
      <c r="FB87" s="136" t="str">
        <f>IF(AG89=40,G87,"")</f>
        <v/>
      </c>
      <c r="FC87" s="136" t="str">
        <f>IF(AG89=41,G87,"")</f>
        <v/>
      </c>
      <c r="FD87" s="136" t="str">
        <f>IF(AG89=42,G87,"")</f>
        <v/>
      </c>
      <c r="FE87" s="136" t="str">
        <f>IF(AG89=43,G87,"")</f>
        <v/>
      </c>
      <c r="FF87" s="136" t="str">
        <f>IF(AG89=44,G87,"")</f>
        <v/>
      </c>
      <c r="FG87" s="136" t="str">
        <f>IF(AG89=45,G87,"")</f>
        <v/>
      </c>
      <c r="FH87" s="136" t="str">
        <f>IF(AG89=46,G87,"")</f>
        <v/>
      </c>
      <c r="FI87" s="136" t="str">
        <f>IF(AG89=47,G87,"")</f>
        <v/>
      </c>
      <c r="FJ87" s="136" t="str">
        <f>IF(AG89=48,G87,"")</f>
        <v/>
      </c>
      <c r="FK87" s="136" t="str">
        <f>IF(AG89=49,G87,"")</f>
        <v/>
      </c>
      <c r="FL87" s="136" t="str">
        <f>IF(AG89=50,G87,"")</f>
        <v/>
      </c>
      <c r="FM87" s="136" t="str">
        <f>IF(AG89=51,G87,"")</f>
        <v/>
      </c>
      <c r="FN87" s="136" t="str">
        <f>IF(AG89=52,G87,"")</f>
        <v/>
      </c>
      <c r="FO87" s="136" t="str">
        <f>IF(AG89=53,G87,"")</f>
        <v/>
      </c>
      <c r="FP87" s="136" t="str">
        <f>IF(AG89=54,G87,"")</f>
        <v/>
      </c>
      <c r="FQ87" s="136" t="str">
        <f>IF(AG89=55,G87,"")</f>
        <v/>
      </c>
      <c r="FR87" s="412" t="str">
        <f>IF(AG89=56,G87,"")</f>
        <v/>
      </c>
      <c r="FS87" s="412" t="str">
        <f>IF(AG89=57,G87,"")</f>
        <v/>
      </c>
      <c r="FT87" s="412" t="str">
        <f>IF(AG89=58,G87,"")</f>
        <v/>
      </c>
      <c r="FU87" s="412" t="str">
        <f>IF(AG89=59,G87,"")</f>
        <v/>
      </c>
      <c r="FV87" s="412" t="str">
        <f>IF(AG89=60,G87,"")</f>
        <v/>
      </c>
      <c r="FW87" s="412" t="str">
        <f>IF(AG89=61,G87,"")</f>
        <v/>
      </c>
      <c r="FX87" s="412" t="str">
        <f>IF(AG89=62,G87,"")</f>
        <v/>
      </c>
      <c r="FY87" s="412" t="str">
        <f>IF(AG89=63,G87,"")</f>
        <v/>
      </c>
      <c r="FZ87" s="412" t="str">
        <f>IF(AG89=64,G87,"")</f>
        <v/>
      </c>
      <c r="GA87" s="412" t="str">
        <f>IF(AG89=65,G87,"")</f>
        <v/>
      </c>
      <c r="GB87" s="412" t="str">
        <f>IF(AG89=66,G87,"")</f>
        <v/>
      </c>
      <c r="GC87" s="412" t="str">
        <f>IF(AG89=67,G87,"")</f>
        <v/>
      </c>
      <c r="GD87" s="412" t="str">
        <f>IF(AG89=68,G87,"")</f>
        <v/>
      </c>
      <c r="GE87" s="412" t="str">
        <f>IF(AG89=69,G87,"")</f>
        <v/>
      </c>
      <c r="GF87" s="412" t="str">
        <f>IF(AG89=70,G87,"")</f>
        <v/>
      </c>
      <c r="GG87" s="412" t="str">
        <f>IF(AG89=71,G87,"")</f>
        <v/>
      </c>
      <c r="GH87" s="412" t="str">
        <f>IF(AG89=72,G87,"")</f>
        <v/>
      </c>
      <c r="GI87" s="412" t="str">
        <f>IF(AG89=73,G87,"")</f>
        <v/>
      </c>
      <c r="GJ87" s="412" t="str">
        <f>IF(AG89=74,G87,"")</f>
        <v/>
      </c>
      <c r="GK87" s="412" t="str">
        <f>IF(AG89=75,G87,"")</f>
        <v/>
      </c>
      <c r="GL87" s="412" t="str">
        <f>IF(AG89=76,G87,"")</f>
        <v/>
      </c>
      <c r="GM87" s="412" t="str">
        <f>IF(AG89=77,G87,"")</f>
        <v/>
      </c>
      <c r="GN87" s="412" t="str">
        <f>IF(AG89=78,G87,"")</f>
        <v/>
      </c>
      <c r="GO87" s="412" t="str">
        <f>IF(AG89=79,G87,"")</f>
        <v/>
      </c>
      <c r="GP87" s="412" t="str">
        <f>IF(AG89=80,G87,"")</f>
        <v/>
      </c>
      <c r="GQ87" s="412" t="str">
        <f>IF(AG89=81,G87,"")</f>
        <v/>
      </c>
      <c r="GR87" s="412" t="str">
        <f>IF(AG89=82,G87,"")</f>
        <v/>
      </c>
      <c r="GS87" s="412" t="str">
        <f>IF(AG89=83,G87,"")</f>
        <v/>
      </c>
      <c r="GT87" s="412" t="str">
        <f>IF(AG89=84,G87,"")</f>
        <v/>
      </c>
      <c r="GU87" s="412"/>
      <c r="GV87" s="412"/>
      <c r="GW87" s="412"/>
      <c r="GX87" s="412"/>
      <c r="GY87" s="412"/>
      <c r="GZ87" s="412"/>
      <c r="HA87" s="412"/>
      <c r="HB87" s="412"/>
      <c r="HC87" s="412"/>
      <c r="HD87" s="412"/>
      <c r="HE87" s="412"/>
      <c r="HF87" s="412"/>
      <c r="HG87" s="136"/>
      <c r="HH87" s="136"/>
      <c r="HI87" s="136"/>
      <c r="HJ87" s="136"/>
      <c r="HK87" s="136"/>
      <c r="HL87" s="136"/>
      <c r="HM87" s="136"/>
      <c r="HN87" s="136"/>
      <c r="HO87" s="136"/>
      <c r="HP87" s="136"/>
      <c r="HQ87" s="136"/>
      <c r="HR87" s="136"/>
      <c r="HS87" s="136"/>
      <c r="HT87" s="136"/>
      <c r="HU87" s="278">
        <f ca="1">IF(AF89=1,AB87,"")</f>
        <v>1016.2572526445781</v>
      </c>
      <c r="HV87" s="277" t="str">
        <f>IF(AF89=2,AB87,"")</f>
        <v/>
      </c>
      <c r="HW87" s="277" t="str">
        <f>IF(AF89=3,AB87,"")</f>
        <v/>
      </c>
      <c r="HX87" s="277" t="str">
        <f>IF(AF89=4,AB87,"")</f>
        <v/>
      </c>
      <c r="HY87" s="277" t="str">
        <f>IF(AF89=5,AB87,"")</f>
        <v/>
      </c>
      <c r="HZ87" s="277" t="str">
        <f>IF(AF89=6,AB87,"")</f>
        <v/>
      </c>
      <c r="IA87" s="277" t="str">
        <f>IF(AF89=7,AB87,"")</f>
        <v/>
      </c>
      <c r="IB87" s="277" t="str">
        <f>IF(AF89=8,AB87,"")</f>
        <v/>
      </c>
      <c r="IC87" s="277" t="str">
        <f>IF(AF89=9,AB87,"")</f>
        <v/>
      </c>
      <c r="ID87" s="412" t="str">
        <f>IF(AF89=10,AB87,"")</f>
        <v/>
      </c>
      <c r="IE87" s="223" t="str">
        <f>IF(AF89=11,AB87,"")</f>
        <v/>
      </c>
      <c r="IF87" s="223" t="str">
        <f>IF(AF89=12,AB87,"")</f>
        <v/>
      </c>
      <c r="IG87" s="223" t="str">
        <f>IF(AF89=13,AB87,"")</f>
        <v/>
      </c>
      <c r="IH87" s="223" t="str">
        <f>IF(AF89=14,AB87,"")</f>
        <v/>
      </c>
      <c r="II87" s="223" t="str">
        <f>IF(AF89=15,AB87,"")</f>
        <v/>
      </c>
      <c r="IJ87" s="223" t="str">
        <f>IF(AF89=16,AB87,"")</f>
        <v/>
      </c>
      <c r="IK87" s="223" t="str">
        <f>IF(AF89=17,AB87,"")</f>
        <v/>
      </c>
      <c r="IL87" s="223" t="str">
        <f>IF(AF89=18,AB87,"")</f>
        <v/>
      </c>
      <c r="IM87" s="223" t="str">
        <f>IF(AF89=19,AB87,"")</f>
        <v/>
      </c>
      <c r="IN87" s="223" t="str">
        <f>IF(AF89=20,AB87,"")</f>
        <v/>
      </c>
      <c r="IO87" s="223" t="str">
        <f>IF(AF89=21,AB87,"")</f>
        <v/>
      </c>
      <c r="IP87" s="413"/>
      <c r="IQ87" s="478" t="str">
        <f>IF(G92=6,G87,"")</f>
        <v/>
      </c>
      <c r="IR87" s="317" t="str">
        <f>IF(G92=7,G87,"")</f>
        <v/>
      </c>
      <c r="IS87" s="478" t="str">
        <f>IF(G92=8,G87,"")</f>
        <v/>
      </c>
      <c r="IT87" s="317" t="str">
        <f>IF(G92=9,G87,"")</f>
        <v/>
      </c>
      <c r="IU87" s="478" t="str">
        <f>IF(G92=10,G87,"")</f>
        <v/>
      </c>
      <c r="IV87" s="478" t="str">
        <f>IF(G92=11,G87,"")</f>
        <v/>
      </c>
      <c r="IW87" s="478" t="str">
        <f>IF(G92=12,G87,"")</f>
        <v/>
      </c>
      <c r="IX87" s="478" t="str">
        <f>IF(G92=13,G87,"")</f>
        <v/>
      </c>
      <c r="IY87" s="478" t="str">
        <f>IF(G92=14,G87,"")</f>
        <v/>
      </c>
      <c r="IZ87" s="478" t="str">
        <f>IF(G92=15,G87,"")</f>
        <v/>
      </c>
      <c r="JA87" s="478" t="str">
        <f>IF(G92=16,G87,"")</f>
        <v/>
      </c>
      <c r="JB87" s="478" t="str">
        <f>IF(G92=17,G87,"")</f>
        <v/>
      </c>
      <c r="JC87" s="478">
        <f>IF(G92=18,G87,"")</f>
        <v>1000</v>
      </c>
      <c r="JD87" s="478" t="str">
        <f>IF(G92=19,G87,"")</f>
        <v/>
      </c>
      <c r="JE87" s="478" t="str">
        <f>IF(G92=20,G87,"")</f>
        <v/>
      </c>
      <c r="JF87" s="478" t="str">
        <f>IF(G92=21,G87,"")</f>
        <v/>
      </c>
      <c r="JG87" s="478" t="str">
        <f>IF(G92=22,G87,"")</f>
        <v/>
      </c>
      <c r="JH87" s="478" t="str">
        <f>IF(G92=23,G87,"")</f>
        <v/>
      </c>
      <c r="JI87" s="478" t="str">
        <f>IF(G92=24,G87,"")</f>
        <v/>
      </c>
      <c r="JJ87" s="478" t="str">
        <f>IF(G92=25,G87,"")</f>
        <v/>
      </c>
      <c r="JK87" s="478" t="str">
        <f>IF(G92=26,G87,"")</f>
        <v/>
      </c>
      <c r="JL87" s="478" t="str">
        <f>IF(G92=27,G87,"")</f>
        <v/>
      </c>
      <c r="JM87" s="478" t="str">
        <f>IF(G92=28,G87,"")</f>
        <v/>
      </c>
      <c r="JN87" s="478" t="str">
        <f>IF(G92=29,G87,"")</f>
        <v/>
      </c>
      <c r="JO87" s="478" t="str">
        <f>IF(G92=30,G87,"")</f>
        <v/>
      </c>
      <c r="JP87" s="478"/>
      <c r="JQ87" s="481">
        <f>IF(AND(AJ91=4,K92=1,G92&lt;=3),G87,0)</f>
        <v>0</v>
      </c>
      <c r="JR87" s="445" t="str">
        <f>IF(AF89=2,G87*E88,"")</f>
        <v/>
      </c>
      <c r="JS87" s="544" t="str">
        <f>IF(AF89&gt;1,((A88/F88)-(A88/E88)),"")</f>
        <v/>
      </c>
      <c r="JT87" s="543" t="str">
        <f>IF(AF89=2,((A88/F88)-(A88/E88)),"")</f>
        <v/>
      </c>
      <c r="JU87" s="543" t="str">
        <f>IF(AF89=3,((A88/F88)-(A88/E88)),"")</f>
        <v/>
      </c>
      <c r="JV87" s="543" t="str">
        <f>IF(AF89=4,((A88/F88)-(A88/E88)),"")</f>
        <v/>
      </c>
      <c r="JW87" s="543" t="str">
        <f>IF(AF89=5,((A88/F88)-(A88/E88)),"")</f>
        <v/>
      </c>
      <c r="JX87" s="543" t="str">
        <f>IF(AF89=6,((A88/F88)-(A88/E88)),"")</f>
        <v/>
      </c>
      <c r="JY87" s="543" t="str">
        <f>IF(AF89=7,((A88/F88)-(A88/E88)),"")</f>
        <v/>
      </c>
      <c r="JZ87" s="542" t="str">
        <f>IF(AF89=8,((A88/F88)-(A88/E88)),"")</f>
        <v/>
      </c>
      <c r="KA87" s="542" t="str">
        <f>IF(AF89=9,((A88/F88)-(A88/E88)),"")</f>
        <v/>
      </c>
      <c r="KB87" s="542" t="str">
        <f>IF(AF89=10,((A88/F88)-(A88/E88)),"")</f>
        <v/>
      </c>
      <c r="KC87" s="542" t="str">
        <f>IF(AF89=11,((A88/F88)-(A88/E88)),"")</f>
        <v/>
      </c>
      <c r="KD87" s="542" t="str">
        <f>IF(AF89=12,((A88/F88)-(A88/E88)),"")</f>
        <v/>
      </c>
      <c r="KE87" s="542" t="str">
        <f>IF(AF89=13,((A88/F88)-(A88/E88)),"")</f>
        <v/>
      </c>
      <c r="KF87" s="542" t="str">
        <f>IF(AF89=14,((A88/F88)-(A88/E88)),"")</f>
        <v/>
      </c>
      <c r="KG87" s="542" t="str">
        <f>IF(AF89=15,((A88/F88)-(A88/E88)),"")</f>
        <v/>
      </c>
      <c r="KH87" s="542" t="str">
        <f>IF(AF89=16,((A88/F88)-(A88/E88)),"")</f>
        <v/>
      </c>
      <c r="KI87" s="542" t="str">
        <f>IF(AF89=17,((A88/F88)-(A88/E88)),"")</f>
        <v/>
      </c>
      <c r="KJ87" s="542" t="str">
        <f>IF(AF89=18,((A88/F88)-(A88/E88)),"")</f>
        <v/>
      </c>
      <c r="KK87" s="542" t="str">
        <f>IF(AF89=19,((A88/F88)-(A88/E88)),"")</f>
        <v/>
      </c>
      <c r="KL87" s="542" t="str">
        <f>IF(AF89=20,((A88/F88)-(A88/E88)),"")</f>
        <v/>
      </c>
      <c r="KM87" s="542" t="str">
        <f>IF(AF89=21,((A88/F88)-(A88/E88)),"")</f>
        <v/>
      </c>
      <c r="KN87" s="445"/>
      <c r="KO87" s="445"/>
      <c r="KP87" s="445"/>
    </row>
    <row r="88" spans="1:302" s="23" customFormat="1" ht="11.1" customHeight="1" thickBot="1">
      <c r="A88" s="8"/>
      <c r="B88" s="541" t="s">
        <v>504</v>
      </c>
      <c r="C88" s="15"/>
      <c r="D88" s="476">
        <v>45506</v>
      </c>
      <c r="E88" s="475"/>
      <c r="F88" s="482"/>
      <c r="G88" s="223"/>
      <c r="H88" s="223"/>
      <c r="I88" s="586"/>
      <c r="J88" s="223"/>
      <c r="K88" s="585">
        <v>1</v>
      </c>
      <c r="L88" s="722"/>
      <c r="M88" s="720"/>
      <c r="N88" s="720"/>
      <c r="O88" s="223"/>
      <c r="P88" s="584"/>
      <c r="Q88" s="280"/>
      <c r="R88" s="526"/>
      <c r="S88" s="4"/>
      <c r="T88" s="431"/>
      <c r="U88" s="469"/>
      <c r="V88" s="4"/>
      <c r="W88" s="469"/>
      <c r="X88" s="442"/>
      <c r="Y88" s="456"/>
      <c r="Z88" s="456"/>
      <c r="AA88" s="22"/>
      <c r="AB88" s="360"/>
      <c r="AC88" s="431"/>
      <c r="AD88" s="825">
        <f>IF(E88="",((P87-E87)/E87),((P87-E87)/E87)+(((1/F88)-(1/E88))/(1/E88)))</f>
        <v>4.2499923706054684E-3</v>
      </c>
      <c r="AE88" s="431"/>
      <c r="AF88" s="279" t="s">
        <v>65</v>
      </c>
      <c r="AG88" s="824"/>
      <c r="AH88" s="1010" t="s">
        <v>177</v>
      </c>
      <c r="AI88" s="583"/>
      <c r="AJ88" s="582"/>
      <c r="AK88" s="562"/>
      <c r="AL88" s="171">
        <v>100</v>
      </c>
      <c r="AM88" s="581" t="s">
        <v>176</v>
      </c>
      <c r="AN88" s="213">
        <v>0</v>
      </c>
      <c r="AO88" s="179">
        <f>IF(B92=2,"0",AO87*-(100-F91)/100)</f>
        <v>0</v>
      </c>
      <c r="AP88" s="463">
        <f>IF(AP89&lt;0,0,AP89*-(100-F91)/100)</f>
        <v>0</v>
      </c>
      <c r="AQ88" s="179"/>
      <c r="AR88" s="463">
        <f>AR91*-(100-F92)/100</f>
        <v>-14.95</v>
      </c>
      <c r="AS88" s="471">
        <f>-AP87+AS91+(F87/365*AN91*F92/100)*G87</f>
        <v>212.86657534246572</v>
      </c>
      <c r="AT88" s="419"/>
      <c r="AU88" s="420"/>
      <c r="AV88" s="223"/>
      <c r="AW88" s="420"/>
      <c r="AX88" s="417"/>
      <c r="AY88" s="420"/>
      <c r="AZ88" s="223"/>
      <c r="BA88" s="419"/>
      <c r="BB88" s="223"/>
      <c r="BC88" s="223"/>
      <c r="BD88" s="223"/>
      <c r="BE88" s="223"/>
      <c r="BF88" s="416"/>
      <c r="BG88" s="418"/>
      <c r="BH88" s="416"/>
      <c r="BI88" s="416"/>
      <c r="BJ88" s="416"/>
      <c r="BK88" s="418"/>
      <c r="BL88" s="417"/>
      <c r="BM88" s="417"/>
      <c r="BN88" s="417"/>
      <c r="BO88" s="417"/>
      <c r="BP88" s="417"/>
      <c r="BQ88" s="417"/>
      <c r="BR88" s="417"/>
      <c r="BS88" s="417"/>
      <c r="BT88" s="412"/>
      <c r="BU88" s="412"/>
      <c r="BV88" s="412"/>
      <c r="BW88" s="412"/>
      <c r="BX88" s="415"/>
      <c r="BY88" s="389"/>
      <c r="BZ88" s="389"/>
      <c r="CA88" s="389"/>
      <c r="CB88" s="389"/>
      <c r="CC88" s="389"/>
      <c r="CD88" s="389"/>
      <c r="CE88" s="389"/>
      <c r="CF88" s="389"/>
      <c r="CG88" s="389"/>
      <c r="CH88" s="389"/>
      <c r="CI88" s="389"/>
      <c r="CJ88" s="389"/>
      <c r="CK88" s="389"/>
      <c r="CL88" s="389"/>
      <c r="CM88" s="389"/>
      <c r="CN88" s="389"/>
      <c r="CO88" s="389"/>
      <c r="CP88" s="389"/>
      <c r="CQ88" s="389"/>
      <c r="CR88" s="389"/>
      <c r="CS88" s="415"/>
      <c r="CT88" s="389"/>
      <c r="CU88" s="389"/>
      <c r="CV88" s="389"/>
      <c r="CW88" s="389"/>
      <c r="CX88" s="389"/>
      <c r="CY88" s="389"/>
      <c r="CZ88" s="389"/>
      <c r="DA88" s="389"/>
      <c r="DB88" s="389"/>
      <c r="DC88" s="389"/>
      <c r="DD88" s="389"/>
      <c r="DE88" s="389"/>
      <c r="DF88" s="389"/>
      <c r="DG88" s="389"/>
      <c r="DH88" s="389"/>
      <c r="DI88" s="389"/>
      <c r="DJ88" s="389"/>
      <c r="DK88" s="389"/>
      <c r="DL88" s="389"/>
      <c r="DM88" s="389"/>
      <c r="DN88" s="389"/>
      <c r="DO88" s="414"/>
      <c r="DP88" s="39"/>
      <c r="DQ88" s="39"/>
      <c r="DR88" s="39"/>
      <c r="DS88" s="39"/>
      <c r="DT88" s="39"/>
      <c r="DU88" s="39"/>
      <c r="DV88" s="39"/>
      <c r="DW88" s="39"/>
      <c r="DX88" s="39"/>
      <c r="DY88" s="39"/>
      <c r="DZ88" s="39"/>
      <c r="EA88" s="39"/>
      <c r="EB88" s="39"/>
      <c r="EC88" s="39"/>
      <c r="ED88" s="136"/>
      <c r="EE88" s="136"/>
      <c r="EF88" s="136"/>
      <c r="EG88" s="136"/>
      <c r="EH88" s="136"/>
      <c r="EI88" s="136"/>
      <c r="EJ88" s="136"/>
      <c r="EK88" s="136"/>
      <c r="EL88" s="136"/>
      <c r="EM88" s="136"/>
      <c r="EN88" s="136"/>
      <c r="EO88" s="136"/>
      <c r="EP88" s="136"/>
      <c r="EQ88" s="136"/>
      <c r="ER88" s="136"/>
      <c r="ES88" s="136"/>
      <c r="ET88" s="136"/>
      <c r="EU88" s="136"/>
      <c r="EV88" s="136"/>
      <c r="EW88" s="136"/>
      <c r="EX88" s="136"/>
      <c r="EY88" s="136"/>
      <c r="EZ88" s="136"/>
      <c r="FA88" s="136"/>
      <c r="FB88" s="136"/>
      <c r="FC88" s="136"/>
      <c r="FD88" s="136"/>
      <c r="FE88" s="136"/>
      <c r="FF88" s="136"/>
      <c r="FG88" s="136"/>
      <c r="FH88" s="136"/>
      <c r="FI88" s="136"/>
      <c r="FJ88" s="136"/>
      <c r="FK88" s="136"/>
      <c r="FL88" s="136"/>
      <c r="FM88" s="136"/>
      <c r="FN88" s="136"/>
      <c r="FO88" s="39"/>
      <c r="FP88" s="39"/>
      <c r="FQ88" s="39"/>
      <c r="FR88" s="412"/>
      <c r="FS88" s="412"/>
      <c r="FT88" s="412"/>
      <c r="FU88" s="412"/>
      <c r="FV88" s="412"/>
      <c r="FW88" s="412"/>
      <c r="FX88" s="412"/>
      <c r="FY88" s="412"/>
      <c r="FZ88" s="412"/>
      <c r="GA88" s="412"/>
      <c r="GB88" s="412"/>
      <c r="GC88" s="412"/>
      <c r="GD88" s="412"/>
      <c r="GE88" s="412"/>
      <c r="GF88" s="412"/>
      <c r="GG88" s="412"/>
      <c r="GH88" s="412"/>
      <c r="GI88" s="412"/>
      <c r="GJ88" s="412"/>
      <c r="GK88" s="412"/>
      <c r="GL88" s="412"/>
      <c r="GM88" s="412"/>
      <c r="GN88" s="412"/>
      <c r="GO88" s="412"/>
      <c r="GP88" s="412"/>
      <c r="GQ88" s="412"/>
      <c r="GR88" s="412"/>
      <c r="GS88" s="412"/>
      <c r="GT88" s="412"/>
      <c r="GU88" s="412"/>
      <c r="GV88" s="412"/>
      <c r="GW88" s="412"/>
      <c r="GX88" s="412"/>
      <c r="GY88" s="412"/>
      <c r="GZ88" s="412"/>
      <c r="HA88" s="412"/>
      <c r="HB88" s="412"/>
      <c r="HC88" s="412"/>
      <c r="HD88" s="412"/>
      <c r="HE88" s="412"/>
      <c r="HF88" s="412"/>
      <c r="HG88" s="136"/>
      <c r="HH88" s="136"/>
      <c r="HI88" s="136"/>
      <c r="HJ88" s="136"/>
      <c r="HK88" s="136"/>
      <c r="HL88" s="136"/>
      <c r="HM88" s="136"/>
      <c r="HN88" s="136"/>
      <c r="HO88" s="136"/>
      <c r="HP88" s="136"/>
      <c r="HQ88" s="136"/>
      <c r="HR88" s="136"/>
      <c r="HS88" s="136"/>
      <c r="HT88" s="136"/>
      <c r="HU88" s="278"/>
      <c r="HV88" s="277"/>
      <c r="HW88" s="277"/>
      <c r="HX88" s="277"/>
      <c r="HY88" s="277"/>
      <c r="HZ88" s="277"/>
      <c r="IA88" s="277"/>
      <c r="IB88" s="277"/>
      <c r="IC88" s="277"/>
      <c r="ID88" s="412"/>
      <c r="IE88" s="412"/>
      <c r="IF88" s="412"/>
      <c r="IG88" s="412"/>
      <c r="IH88" s="412"/>
      <c r="II88" s="412"/>
      <c r="IJ88" s="412"/>
      <c r="IK88" s="412"/>
      <c r="IL88" s="412"/>
      <c r="IM88" s="412"/>
      <c r="IN88" s="412"/>
      <c r="IO88" s="412"/>
      <c r="IP88" s="413"/>
      <c r="IQ88" s="389"/>
      <c r="IR88" s="389"/>
      <c r="IS88" s="389"/>
      <c r="IT88" s="389"/>
      <c r="IU88" s="389"/>
      <c r="IV88" s="389"/>
      <c r="IW88" s="389"/>
      <c r="IX88" s="389"/>
      <c r="IY88" s="389"/>
      <c r="IZ88" s="389"/>
      <c r="JA88" s="389"/>
      <c r="JB88" s="389"/>
      <c r="JC88" s="389"/>
      <c r="JD88" s="389"/>
      <c r="JE88" s="389"/>
      <c r="JF88" s="389"/>
      <c r="JG88" s="389"/>
      <c r="JH88" s="389"/>
      <c r="JI88" s="389"/>
      <c r="JJ88" s="389"/>
      <c r="JK88" s="389"/>
      <c r="JL88" s="389"/>
      <c r="JM88" s="389"/>
      <c r="JN88" s="389"/>
      <c r="JO88" s="389"/>
      <c r="JP88" s="14"/>
      <c r="JQ88" s="14"/>
      <c r="JR88" s="14"/>
      <c r="JS88" s="14"/>
      <c r="JT88" s="14"/>
      <c r="JU88" s="14"/>
      <c r="JV88" s="14"/>
      <c r="JW88" s="14"/>
      <c r="JX88" s="14"/>
      <c r="JY88" s="14"/>
      <c r="JZ88" s="14"/>
      <c r="KA88" s="14"/>
      <c r="KB88" s="14"/>
      <c r="KC88" s="14"/>
      <c r="KD88" s="14"/>
      <c r="KE88" s="14"/>
      <c r="KF88" s="14"/>
      <c r="KG88" s="14"/>
      <c r="KH88" s="14"/>
      <c r="KI88" s="14"/>
      <c r="KJ88" s="14"/>
      <c r="KK88" s="14"/>
      <c r="KL88" s="14"/>
      <c r="KM88" s="14"/>
      <c r="KN88" s="14"/>
      <c r="KO88" s="14"/>
      <c r="KP88" s="14"/>
    </row>
    <row r="89" spans="1:302" s="14" customFormat="1" ht="11.1" hidden="1" customHeight="1" outlineLevel="1">
      <c r="A89" s="8"/>
      <c r="B89" s="468">
        <f>VLOOKUP(B87,'[2]IBAN CONTI'!A$53:B$58,2,FALSE)</f>
        <v>6</v>
      </c>
      <c r="C89" s="536"/>
      <c r="D89" s="536"/>
      <c r="E89" s="766">
        <f ca="1">IF(B92=2,C87,COUPNCD($AB$2,C87,K89,AH91))</f>
        <v>45871</v>
      </c>
      <c r="F89" s="431"/>
      <c r="G89" s="431"/>
      <c r="H89" s="431"/>
      <c r="I89" s="528"/>
      <c r="J89" s="431"/>
      <c r="K89" s="223">
        <v>1</v>
      </c>
      <c r="L89" s="720"/>
      <c r="M89" s="845"/>
      <c r="N89" s="845"/>
      <c r="O89" s="136"/>
      <c r="P89" s="470"/>
      <c r="Q89" s="280"/>
      <c r="R89" s="280"/>
      <c r="S89" s="4"/>
      <c r="T89" s="431"/>
      <c r="U89" s="469"/>
      <c r="V89" s="4"/>
      <c r="W89" s="469"/>
      <c r="X89" s="442"/>
      <c r="Y89" s="456"/>
      <c r="Z89" s="456"/>
      <c r="AA89" s="22"/>
      <c r="AB89" s="16"/>
      <c r="AC89" s="431"/>
      <c r="AD89" s="117"/>
      <c r="AE89" s="431"/>
      <c r="AF89" s="468">
        <f>VLOOKUP(AF88,'[2]IBAN CONTI'!A$106:B$122,2,FALSE)</f>
        <v>1</v>
      </c>
      <c r="AG89" s="467">
        <f>VLOOKUP(A87,'[2]IBAN CONTI'!A$134:B$211,2,FALSE)</f>
        <v>30</v>
      </c>
      <c r="AH89" s="1010"/>
      <c r="AI89" s="580"/>
      <c r="AJ89" s="1035" t="s">
        <v>192</v>
      </c>
      <c r="AK89" s="1039"/>
      <c r="AL89" s="54">
        <v>100</v>
      </c>
      <c r="AM89" s="579">
        <f>YEARFRAC(C87,AL87,AH91)</f>
        <v>4.9981751824817522</v>
      </c>
      <c r="AN89" s="456">
        <f>IF(B92=2,0,D88-AL87)</f>
        <v>0</v>
      </c>
      <c r="AO89" s="464">
        <f>IF(B92=2,AL88*(1+AM92)^AM91,AO90+AL88)</f>
        <v>100</v>
      </c>
      <c r="AP89" s="463">
        <f>IF(AF89=1,G87*AO90/100,A88/E88/100*AO90)</f>
        <v>0</v>
      </c>
      <c r="AQ89" s="221"/>
      <c r="AR89" s="463">
        <f>AL92*G87/100</f>
        <v>1000</v>
      </c>
      <c r="AS89" s="462">
        <f>(AR92-AP92)*G87/100</f>
        <v>0</v>
      </c>
      <c r="AT89" s="419"/>
      <c r="AU89" s="420"/>
      <c r="AV89" s="223"/>
      <c r="AW89" s="420"/>
      <c r="AX89" s="417"/>
      <c r="AY89" s="420"/>
      <c r="AZ89" s="223"/>
      <c r="BA89" s="419"/>
      <c r="BB89" s="223"/>
      <c r="BC89" s="223"/>
      <c r="BD89" s="223"/>
      <c r="BE89" s="223"/>
      <c r="BF89" s="416"/>
      <c r="BG89" s="418"/>
      <c r="BH89" s="416"/>
      <c r="BI89" s="416"/>
      <c r="BJ89" s="416"/>
      <c r="BK89" s="418"/>
      <c r="BL89" s="417"/>
      <c r="BM89" s="416"/>
      <c r="BN89" s="416"/>
      <c r="BO89" s="416"/>
      <c r="BP89" s="416"/>
      <c r="BQ89" s="416"/>
      <c r="BR89" s="416"/>
      <c r="BS89" s="416"/>
      <c r="BT89" s="389"/>
      <c r="BU89" s="389"/>
      <c r="BV89" s="389"/>
      <c r="BW89" s="389"/>
      <c r="BX89" s="415"/>
      <c r="BY89" s="389"/>
      <c r="BZ89" s="389"/>
      <c r="CA89" s="389"/>
      <c r="CB89" s="389"/>
      <c r="CC89" s="389"/>
      <c r="CD89" s="389"/>
      <c r="CE89" s="389"/>
      <c r="CF89" s="389"/>
      <c r="CG89" s="389"/>
      <c r="CH89" s="389"/>
      <c r="CI89" s="389"/>
      <c r="CJ89" s="389"/>
      <c r="CK89" s="389"/>
      <c r="CL89" s="389"/>
      <c r="CM89" s="389"/>
      <c r="CN89" s="389"/>
      <c r="CO89" s="389"/>
      <c r="CP89" s="389"/>
      <c r="CQ89" s="389"/>
      <c r="CR89" s="389"/>
      <c r="CS89" s="415"/>
      <c r="CT89" s="389"/>
      <c r="CU89" s="389"/>
      <c r="CV89" s="389"/>
      <c r="CW89" s="389"/>
      <c r="CX89" s="389"/>
      <c r="CY89" s="389"/>
      <c r="CZ89" s="389"/>
      <c r="DA89" s="389"/>
      <c r="DB89" s="389"/>
      <c r="DC89" s="389"/>
      <c r="DD89" s="389"/>
      <c r="DE89" s="389"/>
      <c r="DF89" s="389"/>
      <c r="DG89" s="389"/>
      <c r="DH89" s="389"/>
      <c r="DI89" s="389"/>
      <c r="DJ89" s="389"/>
      <c r="DK89" s="389"/>
      <c r="DL89" s="389"/>
      <c r="DM89" s="389"/>
      <c r="DN89" s="389"/>
      <c r="DO89" s="414"/>
      <c r="DP89" s="39"/>
      <c r="DQ89" s="39"/>
      <c r="DR89" s="39"/>
      <c r="DS89" s="39"/>
      <c r="DT89" s="39"/>
      <c r="DU89" s="39"/>
      <c r="DV89" s="39"/>
      <c r="DW89" s="39"/>
      <c r="DX89" s="39"/>
      <c r="DY89" s="39"/>
      <c r="DZ89" s="39"/>
      <c r="EA89" s="39"/>
      <c r="EB89" s="39"/>
      <c r="EC89" s="39"/>
      <c r="ED89" s="136"/>
      <c r="EE89" s="136"/>
      <c r="EF89" s="136"/>
      <c r="EG89" s="136"/>
      <c r="EH89" s="136"/>
      <c r="EI89" s="136"/>
      <c r="EJ89" s="136"/>
      <c r="EK89" s="136"/>
      <c r="EL89" s="136"/>
      <c r="EM89" s="136"/>
      <c r="EN89" s="136"/>
      <c r="EO89" s="136"/>
      <c r="EP89" s="136"/>
      <c r="EQ89" s="136"/>
      <c r="ER89" s="136"/>
      <c r="ES89" s="136"/>
      <c r="ET89" s="136"/>
      <c r="EU89" s="136"/>
      <c r="EV89" s="136"/>
      <c r="EW89" s="136"/>
      <c r="EX89" s="136"/>
      <c r="EY89" s="136"/>
      <c r="EZ89" s="136"/>
      <c r="FA89" s="136"/>
      <c r="FB89" s="136"/>
      <c r="FC89" s="136"/>
      <c r="FD89" s="136"/>
      <c r="FE89" s="136"/>
      <c r="FF89" s="136"/>
      <c r="FG89" s="136"/>
      <c r="FH89" s="136"/>
      <c r="FI89" s="136"/>
      <c r="FJ89" s="136"/>
      <c r="FK89" s="136"/>
      <c r="FL89" s="136"/>
      <c r="FM89" s="136"/>
      <c r="FN89" s="136"/>
      <c r="FO89" s="39"/>
      <c r="FP89" s="39"/>
      <c r="FQ89" s="39"/>
      <c r="FR89" s="412"/>
      <c r="FS89" s="412"/>
      <c r="FT89" s="412"/>
      <c r="FU89" s="412"/>
      <c r="FV89" s="412"/>
      <c r="FW89" s="412"/>
      <c r="FX89" s="412"/>
      <c r="FY89" s="412"/>
      <c r="FZ89" s="412"/>
      <c r="GA89" s="412"/>
      <c r="GB89" s="412"/>
      <c r="GC89" s="412"/>
      <c r="GD89" s="412"/>
      <c r="GE89" s="412"/>
      <c r="GF89" s="412"/>
      <c r="GG89" s="412"/>
      <c r="GH89" s="412"/>
      <c r="GI89" s="412"/>
      <c r="GJ89" s="412"/>
      <c r="GK89" s="412"/>
      <c r="GL89" s="412"/>
      <c r="GM89" s="412"/>
      <c r="GN89" s="412"/>
      <c r="GO89" s="412"/>
      <c r="GP89" s="412"/>
      <c r="GQ89" s="412"/>
      <c r="GR89" s="412"/>
      <c r="GS89" s="412"/>
      <c r="GT89" s="412"/>
      <c r="GU89" s="412"/>
      <c r="GV89" s="412"/>
      <c r="GW89" s="412"/>
      <c r="GX89" s="412"/>
      <c r="GY89" s="412"/>
      <c r="GZ89" s="412"/>
      <c r="HA89" s="412"/>
      <c r="HB89" s="412"/>
      <c r="HC89" s="412"/>
      <c r="HD89" s="412"/>
      <c r="HE89" s="412"/>
      <c r="HF89" s="412"/>
      <c r="HG89" s="136"/>
      <c r="HH89" s="136"/>
      <c r="HI89" s="136"/>
      <c r="HJ89" s="136"/>
      <c r="HK89" s="136"/>
      <c r="HL89" s="136"/>
      <c r="HM89" s="136"/>
      <c r="HN89" s="136"/>
      <c r="HO89" s="136"/>
      <c r="HP89" s="136"/>
      <c r="HQ89" s="136"/>
      <c r="HR89" s="136"/>
      <c r="HS89" s="136"/>
      <c r="HT89" s="136"/>
      <c r="HU89" s="278"/>
      <c r="HV89" s="277"/>
      <c r="HW89" s="277"/>
      <c r="HX89" s="277"/>
      <c r="HY89" s="277"/>
      <c r="HZ89" s="277"/>
      <c r="IA89" s="277"/>
      <c r="IB89" s="277"/>
      <c r="IC89" s="277"/>
      <c r="ID89" s="412"/>
      <c r="IE89" s="412"/>
      <c r="IF89" s="412"/>
      <c r="IG89" s="412"/>
      <c r="IH89" s="412"/>
      <c r="II89" s="412"/>
      <c r="IJ89" s="412"/>
      <c r="IK89" s="412"/>
      <c r="IL89" s="412"/>
      <c r="IM89" s="412"/>
      <c r="IN89" s="412"/>
      <c r="IO89" s="412"/>
      <c r="IP89" s="413"/>
      <c r="IQ89" s="389"/>
      <c r="IR89" s="389"/>
      <c r="IS89" s="389"/>
      <c r="IT89" s="389"/>
      <c r="IU89" s="389"/>
      <c r="IV89" s="389"/>
      <c r="IW89" s="389"/>
      <c r="IX89" s="389"/>
      <c r="IY89" s="389"/>
      <c r="IZ89" s="389"/>
      <c r="JA89" s="389"/>
      <c r="JB89" s="389"/>
      <c r="JC89" s="389"/>
      <c r="JD89" s="389"/>
      <c r="JE89" s="389"/>
      <c r="JF89" s="389"/>
      <c r="JG89" s="389"/>
      <c r="JH89" s="389"/>
      <c r="JI89" s="389"/>
      <c r="JJ89" s="389"/>
      <c r="JK89" s="389"/>
      <c r="JL89" s="389"/>
      <c r="JM89" s="389"/>
      <c r="JN89" s="389"/>
      <c r="JO89" s="389"/>
    </row>
    <row r="90" spans="1:302" s="14" customFormat="1" ht="11.1" hidden="1" customHeight="1" outlineLevel="1">
      <c r="A90" s="559">
        <v>1</v>
      </c>
      <c r="B90" s="990" t="s">
        <v>183</v>
      </c>
      <c r="C90" s="990"/>
      <c r="D90" s="452">
        <f>COUPPCD(D88,C87,K89,AH91)</f>
        <v>45506</v>
      </c>
      <c r="E90" s="534"/>
      <c r="F90" s="431"/>
      <c r="G90" s="985">
        <v>2029</v>
      </c>
      <c r="H90" s="431"/>
      <c r="I90" s="528"/>
      <c r="J90" s="431"/>
      <c r="K90" s="987" t="s">
        <v>174</v>
      </c>
      <c r="L90" s="829"/>
      <c r="M90" s="846"/>
      <c r="N90" s="720"/>
      <c r="O90" s="223"/>
      <c r="P90" s="21"/>
      <c r="Q90" s="280"/>
      <c r="R90" s="526"/>
      <c r="S90" s="15"/>
      <c r="T90" s="431"/>
      <c r="U90" s="15"/>
      <c r="V90" s="15"/>
      <c r="W90" s="15"/>
      <c r="X90" s="442"/>
      <c r="Y90" s="430"/>
      <c r="Z90" s="430"/>
      <c r="AA90" s="430"/>
      <c r="AB90" s="578"/>
      <c r="AC90" s="431"/>
      <c r="AD90" s="117"/>
      <c r="AE90" s="431"/>
      <c r="AH90" s="457"/>
      <c r="AI90" s="457"/>
      <c r="AJ90" s="1037"/>
      <c r="AK90" s="990"/>
      <c r="AL90" s="427">
        <f>AL89-AL88</f>
        <v>0</v>
      </c>
      <c r="AM90" s="530">
        <f>C87-AL87</f>
        <v>1826</v>
      </c>
      <c r="AN90" s="530">
        <f>IF(OR(K89&lt;&gt;1,AN89&gt;365),COUPDAYBS(D88,C87,K89,AH91),AN89)</f>
        <v>0</v>
      </c>
      <c r="AO90" s="424">
        <f>IF(B92=2,AO89-AL88,AL90/AM90*AN89)</f>
        <v>0</v>
      </c>
      <c r="AP90" s="455">
        <f>IF(B92=4,FLOOR(F87/K89*AN90/(D91-D90)*100,0.000001),IF(AH91=4,YEARFRAC(D90,D88,0)*F87*100,IF(B92=3,IF(OR(AH91=4,AH91=2),(F89*(AN90))/(360)*100,(F89*(AN90))/(365)*100),FLOOR(F87/K89*AN90/(D91-D90)*100,0.000001))))</f>
        <v>0</v>
      </c>
      <c r="AQ90" s="454"/>
      <c r="AR90" s="555">
        <f>AL90*G87/100</f>
        <v>0</v>
      </c>
      <c r="AS90" s="422">
        <f>IF(AS89&lt;0,0,AS89*(100-F92)/100)</f>
        <v>0</v>
      </c>
      <c r="AT90" s="419"/>
      <c r="AU90" s="420"/>
      <c r="AV90" s="223"/>
      <c r="AW90" s="420"/>
      <c r="AX90" s="417"/>
      <c r="AY90" s="420"/>
      <c r="AZ90" s="223"/>
      <c r="BA90" s="419"/>
      <c r="BB90" s="223"/>
      <c r="BC90" s="223"/>
      <c r="BD90" s="223"/>
      <c r="BE90" s="223"/>
      <c r="BF90" s="416"/>
      <c r="BG90" s="418"/>
      <c r="BH90" s="416"/>
      <c r="BI90" s="416"/>
      <c r="BJ90" s="416"/>
      <c r="BK90" s="418"/>
      <c r="BL90" s="417"/>
      <c r="BM90" s="416"/>
      <c r="BN90" s="416"/>
      <c r="BO90" s="416"/>
      <c r="BP90" s="416"/>
      <c r="BQ90" s="416"/>
      <c r="BR90" s="416"/>
      <c r="BS90" s="416"/>
      <c r="BT90" s="389"/>
      <c r="BU90" s="389"/>
      <c r="BV90" s="389"/>
      <c r="BW90" s="389"/>
      <c r="BX90" s="415"/>
      <c r="BY90" s="389"/>
      <c r="BZ90" s="389"/>
      <c r="CA90" s="389"/>
      <c r="CB90" s="389"/>
      <c r="CC90" s="389"/>
      <c r="CD90" s="389"/>
      <c r="CE90" s="389"/>
      <c r="CF90" s="389"/>
      <c r="CG90" s="389"/>
      <c r="CH90" s="389"/>
      <c r="CI90" s="389"/>
      <c r="CJ90" s="389"/>
      <c r="CK90" s="389"/>
      <c r="CL90" s="389"/>
      <c r="CM90" s="389"/>
      <c r="CN90" s="389"/>
      <c r="CO90" s="389"/>
      <c r="CP90" s="389"/>
      <c r="CQ90" s="389"/>
      <c r="CR90" s="389"/>
      <c r="CS90" s="415"/>
      <c r="CT90" s="389"/>
      <c r="CU90" s="389"/>
      <c r="CV90" s="389"/>
      <c r="CW90" s="389"/>
      <c r="CX90" s="389"/>
      <c r="CY90" s="389"/>
      <c r="CZ90" s="389"/>
      <c r="DA90" s="389"/>
      <c r="DB90" s="389"/>
      <c r="DC90" s="389"/>
      <c r="DD90" s="389"/>
      <c r="DE90" s="389"/>
      <c r="DF90" s="389"/>
      <c r="DG90" s="389"/>
      <c r="DH90" s="389"/>
      <c r="DI90" s="389"/>
      <c r="DJ90" s="389"/>
      <c r="DK90" s="389"/>
      <c r="DL90" s="389"/>
      <c r="DM90" s="389"/>
      <c r="DN90" s="389"/>
      <c r="DO90" s="414"/>
      <c r="DP90" s="39"/>
      <c r="DQ90" s="39"/>
      <c r="DR90" s="39"/>
      <c r="DS90" s="39"/>
      <c r="DT90" s="39"/>
      <c r="DU90" s="39"/>
      <c r="DV90" s="39"/>
      <c r="DW90" s="39"/>
      <c r="DX90" s="39"/>
      <c r="DY90" s="39"/>
      <c r="DZ90" s="39"/>
      <c r="EA90" s="39"/>
      <c r="EB90" s="39"/>
      <c r="EC90" s="39"/>
      <c r="ED90" s="136"/>
      <c r="EE90" s="136"/>
      <c r="EF90" s="136"/>
      <c r="EG90" s="136"/>
      <c r="EH90" s="136"/>
      <c r="EI90" s="136"/>
      <c r="EJ90" s="136"/>
      <c r="EK90" s="136"/>
      <c r="EL90" s="136"/>
      <c r="EM90" s="136"/>
      <c r="EN90" s="136"/>
      <c r="EO90" s="136"/>
      <c r="EP90" s="136"/>
      <c r="EQ90" s="136"/>
      <c r="ER90" s="136"/>
      <c r="ES90" s="136"/>
      <c r="ET90" s="136"/>
      <c r="EU90" s="136"/>
      <c r="EV90" s="136"/>
      <c r="EW90" s="136"/>
      <c r="EX90" s="136"/>
      <c r="EY90" s="136"/>
      <c r="EZ90" s="136"/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39"/>
      <c r="FP90" s="39"/>
      <c r="FQ90" s="39"/>
      <c r="FR90" s="412"/>
      <c r="FS90" s="412"/>
      <c r="FT90" s="412"/>
      <c r="FU90" s="412"/>
      <c r="FV90" s="412"/>
      <c r="FW90" s="412"/>
      <c r="FX90" s="412"/>
      <c r="FY90" s="412"/>
      <c r="FZ90" s="412"/>
      <c r="GA90" s="412"/>
      <c r="GB90" s="412"/>
      <c r="GC90" s="412"/>
      <c r="GD90" s="412"/>
      <c r="GE90" s="412"/>
      <c r="GF90" s="412"/>
      <c r="GG90" s="412"/>
      <c r="GH90" s="412"/>
      <c r="GI90" s="412"/>
      <c r="GJ90" s="412"/>
      <c r="GK90" s="412"/>
      <c r="GL90" s="412"/>
      <c r="GM90" s="412"/>
      <c r="GN90" s="412"/>
      <c r="GO90" s="412"/>
      <c r="GP90" s="412"/>
      <c r="GQ90" s="412"/>
      <c r="GR90" s="412"/>
      <c r="GS90" s="412"/>
      <c r="GT90" s="412"/>
      <c r="GU90" s="412"/>
      <c r="GV90" s="412"/>
      <c r="GW90" s="412"/>
      <c r="GX90" s="412"/>
      <c r="GY90" s="412"/>
      <c r="GZ90" s="412"/>
      <c r="HA90" s="412"/>
      <c r="HB90" s="412"/>
      <c r="HC90" s="412"/>
      <c r="HD90" s="412"/>
      <c r="HE90" s="412"/>
      <c r="HF90" s="412"/>
      <c r="HG90" s="136"/>
      <c r="HH90" s="136"/>
      <c r="HI90" s="136"/>
      <c r="HJ90" s="136"/>
      <c r="HK90" s="136"/>
      <c r="HL90" s="136"/>
      <c r="HM90" s="136"/>
      <c r="HN90" s="136"/>
      <c r="HO90" s="136"/>
      <c r="HP90" s="136"/>
      <c r="HQ90" s="136"/>
      <c r="HR90" s="136"/>
      <c r="HS90" s="136"/>
      <c r="HT90" s="136"/>
      <c r="HU90" s="278"/>
      <c r="HV90" s="277"/>
      <c r="HW90" s="277"/>
      <c r="HX90" s="277"/>
      <c r="HY90" s="277"/>
      <c r="HZ90" s="277"/>
      <c r="IA90" s="277"/>
      <c r="IB90" s="277"/>
      <c r="IC90" s="277"/>
      <c r="ID90" s="412"/>
      <c r="IE90" s="412"/>
      <c r="IF90" s="412"/>
      <c r="IG90" s="412"/>
      <c r="IH90" s="412"/>
      <c r="II90" s="412"/>
      <c r="IJ90" s="412"/>
      <c r="IK90" s="412"/>
      <c r="IL90" s="412"/>
      <c r="IM90" s="412"/>
      <c r="IN90" s="412"/>
      <c r="IO90" s="412"/>
      <c r="IP90" s="413"/>
      <c r="IQ90" s="389"/>
      <c r="IR90" s="389"/>
      <c r="IS90" s="389"/>
      <c r="IT90" s="389"/>
      <c r="IU90" s="389"/>
      <c r="IV90" s="389"/>
      <c r="IW90" s="389"/>
      <c r="IX90" s="389"/>
      <c r="IY90" s="389"/>
      <c r="IZ90" s="389"/>
      <c r="JA90" s="389"/>
      <c r="JB90" s="389"/>
      <c r="JC90" s="389"/>
      <c r="JD90" s="389"/>
      <c r="JE90" s="389"/>
      <c r="JF90" s="389"/>
      <c r="JG90" s="389"/>
      <c r="JH90" s="389"/>
      <c r="JI90" s="389"/>
      <c r="JJ90" s="389"/>
      <c r="JK90" s="389"/>
      <c r="JL90" s="389"/>
      <c r="JM90" s="389"/>
      <c r="JN90" s="389"/>
      <c r="JO90" s="389"/>
    </row>
    <row r="91" spans="1:302" s="14" customFormat="1" ht="11.1" hidden="1" customHeight="1" outlineLevel="1" thickBot="1">
      <c r="A91" s="18"/>
      <c r="B91" s="990"/>
      <c r="C91" s="990"/>
      <c r="D91" s="452">
        <f>COUPNCD(D88,C87,K89,AH91)</f>
        <v>45871</v>
      </c>
      <c r="E91" s="932" t="s">
        <v>182</v>
      </c>
      <c r="F91" s="451" t="str">
        <f>IF(E92=1,"87,5",IF(D87&lt;40908,87.5,IF(D87&lt;41820,"80","74")))</f>
        <v>74</v>
      </c>
      <c r="G91" s="988"/>
      <c r="H91" s="431"/>
      <c r="I91" s="528"/>
      <c r="J91" s="431"/>
      <c r="K91" s="987"/>
      <c r="L91" s="829"/>
      <c r="M91" s="843"/>
      <c r="N91" s="843"/>
      <c r="O91" s="39"/>
      <c r="P91" s="527"/>
      <c r="Q91" s="280"/>
      <c r="R91" s="526"/>
      <c r="S91" s="15"/>
      <c r="T91" s="431"/>
      <c r="U91" s="15"/>
      <c r="V91" s="15"/>
      <c r="W91" s="15"/>
      <c r="X91" s="442"/>
      <c r="Y91" s="430"/>
      <c r="Z91" s="430"/>
      <c r="AA91" s="430"/>
      <c r="AB91" s="117"/>
      <c r="AC91" s="431"/>
      <c r="AD91" s="117"/>
      <c r="AE91" s="431"/>
      <c r="AF91" s="934"/>
      <c r="AG91" s="962"/>
      <c r="AH91" s="419">
        <f>VLOOKUP(AH88,'[2]IBAN CONTI'!A:B,2,FALSE)</f>
        <v>1</v>
      </c>
      <c r="AI91" s="419"/>
      <c r="AJ91" s="1033">
        <f>VLOOKUP(AJ89,'[2]IBAN CONTI'!A$67:B$77,2,FALSE)</f>
        <v>9</v>
      </c>
      <c r="AK91" s="1034"/>
      <c r="AL91" s="556">
        <f>AL88</f>
        <v>100</v>
      </c>
      <c r="AM91" s="577">
        <f>IF(B92=1,YEARFRAC(D88,C87,AH91),IF(B92=2,YEARFRAC(AL87,D88,AH91)))</f>
        <v>4.9981751824817522</v>
      </c>
      <c r="AN91" s="530">
        <f>IF(B92=2,0,C87-D88-(365-AN90))</f>
        <v>1461</v>
      </c>
      <c r="AO91" s="424">
        <f>E87-AO90</f>
        <v>100</v>
      </c>
      <c r="AP91" s="447">
        <f>E87+AO92+AP90+0.1</f>
        <v>100.1</v>
      </c>
      <c r="AQ91" s="446"/>
      <c r="AR91" s="463">
        <f>IF(B92=3,F89*G87,F87*G87)</f>
        <v>57.5</v>
      </c>
      <c r="AS91" s="421">
        <f>AR87-AS90</f>
        <v>1042.55</v>
      </c>
      <c r="AT91" s="419"/>
      <c r="AU91" s="420"/>
      <c r="AV91" s="223"/>
      <c r="AW91" s="420"/>
      <c r="AX91" s="417"/>
      <c r="AY91" s="420"/>
      <c r="AZ91" s="223"/>
      <c r="BA91" s="419"/>
      <c r="BB91" s="223"/>
      <c r="BC91" s="223"/>
      <c r="BD91" s="223"/>
      <c r="BE91" s="223"/>
      <c r="BF91" s="416"/>
      <c r="BG91" s="418"/>
      <c r="BH91" s="416"/>
      <c r="BI91" s="416"/>
      <c r="BJ91" s="416"/>
      <c r="BK91" s="418"/>
      <c r="BL91" s="417"/>
      <c r="BM91" s="416"/>
      <c r="BN91" s="416"/>
      <c r="BO91" s="416"/>
      <c r="BP91" s="416"/>
      <c r="BQ91" s="416"/>
      <c r="BR91" s="416"/>
      <c r="BS91" s="416"/>
      <c r="BT91" s="389"/>
      <c r="BU91" s="389"/>
      <c r="BV91" s="389"/>
      <c r="BW91" s="389"/>
      <c r="BX91" s="415"/>
      <c r="BY91" s="389"/>
      <c r="BZ91" s="389"/>
      <c r="CA91" s="389"/>
      <c r="CB91" s="389"/>
      <c r="CC91" s="389"/>
      <c r="CD91" s="389"/>
      <c r="CE91" s="389"/>
      <c r="CF91" s="389"/>
      <c r="CG91" s="389"/>
      <c r="CH91" s="389"/>
      <c r="CI91" s="389"/>
      <c r="CJ91" s="389"/>
      <c r="CK91" s="389"/>
      <c r="CL91" s="389"/>
      <c r="CM91" s="389"/>
      <c r="CN91" s="389"/>
      <c r="CO91" s="389"/>
      <c r="CP91" s="389"/>
      <c r="CQ91" s="389"/>
      <c r="CR91" s="389"/>
      <c r="CS91" s="415"/>
      <c r="CT91" s="389"/>
      <c r="CU91" s="389"/>
      <c r="CV91" s="389"/>
      <c r="CW91" s="389"/>
      <c r="CX91" s="389"/>
      <c r="CY91" s="389"/>
      <c r="CZ91" s="389"/>
      <c r="DA91" s="389"/>
      <c r="DB91" s="389"/>
      <c r="DC91" s="389"/>
      <c r="DD91" s="389"/>
      <c r="DE91" s="389"/>
      <c r="DF91" s="389"/>
      <c r="DG91" s="389"/>
      <c r="DH91" s="389"/>
      <c r="DI91" s="389"/>
      <c r="DJ91" s="389"/>
      <c r="DK91" s="389"/>
      <c r="DL91" s="389"/>
      <c r="DM91" s="389"/>
      <c r="DN91" s="389"/>
      <c r="DO91" s="414"/>
      <c r="DP91" s="39"/>
      <c r="DQ91" s="39"/>
      <c r="DR91" s="39"/>
      <c r="DS91" s="136"/>
      <c r="DT91" s="136"/>
      <c r="DU91" s="136"/>
      <c r="DV91" s="136"/>
      <c r="DW91" s="136"/>
      <c r="DX91" s="136"/>
      <c r="DY91" s="136"/>
      <c r="DZ91" s="136"/>
      <c r="EA91" s="136"/>
      <c r="EB91" s="136"/>
      <c r="EC91" s="136"/>
      <c r="ED91" s="136"/>
      <c r="EE91" s="136"/>
      <c r="EF91" s="136"/>
      <c r="EG91" s="136"/>
      <c r="EH91" s="136"/>
      <c r="EI91" s="136"/>
      <c r="EJ91" s="136"/>
      <c r="EK91" s="136"/>
      <c r="EL91" s="136"/>
      <c r="EM91" s="136"/>
      <c r="EN91" s="136"/>
      <c r="EO91" s="136"/>
      <c r="EP91" s="136"/>
      <c r="EQ91" s="136"/>
      <c r="ER91" s="136"/>
      <c r="ES91" s="136"/>
      <c r="ET91" s="136"/>
      <c r="EU91" s="136"/>
      <c r="EV91" s="136"/>
      <c r="EW91" s="136"/>
      <c r="EX91" s="136"/>
      <c r="EY91" s="136"/>
      <c r="EZ91" s="136"/>
      <c r="FA91" s="136"/>
      <c r="FB91" s="136"/>
      <c r="FC91" s="136"/>
      <c r="FD91" s="136"/>
      <c r="FE91" s="136"/>
      <c r="FF91" s="136"/>
      <c r="FG91" s="136"/>
      <c r="FH91" s="136"/>
      <c r="FI91" s="136"/>
      <c r="FJ91" s="136"/>
      <c r="FK91" s="136"/>
      <c r="FL91" s="136"/>
      <c r="FM91" s="136"/>
      <c r="FN91" s="136"/>
      <c r="FO91" s="136"/>
      <c r="FP91" s="136"/>
      <c r="FQ91" s="136"/>
      <c r="FR91" s="412"/>
      <c r="FS91" s="412"/>
      <c r="FT91" s="412"/>
      <c r="FU91" s="412"/>
      <c r="FV91" s="412"/>
      <c r="FW91" s="412"/>
      <c r="FX91" s="412"/>
      <c r="FY91" s="412"/>
      <c r="FZ91" s="412"/>
      <c r="GA91" s="412"/>
      <c r="GB91" s="412"/>
      <c r="GC91" s="412"/>
      <c r="GD91" s="412"/>
      <c r="GE91" s="412"/>
      <c r="GF91" s="412"/>
      <c r="GG91" s="412"/>
      <c r="GH91" s="412"/>
      <c r="GI91" s="412"/>
      <c r="GJ91" s="412"/>
      <c r="GK91" s="412"/>
      <c r="GL91" s="412"/>
      <c r="GM91" s="412"/>
      <c r="GN91" s="412"/>
      <c r="GO91" s="412"/>
      <c r="GP91" s="412"/>
      <c r="GQ91" s="412"/>
      <c r="GR91" s="412"/>
      <c r="GS91" s="412"/>
      <c r="GT91" s="412"/>
      <c r="GU91" s="412"/>
      <c r="GV91" s="412"/>
      <c r="GW91" s="412"/>
      <c r="GX91" s="412"/>
      <c r="GY91" s="412"/>
      <c r="GZ91" s="412"/>
      <c r="HA91" s="412"/>
      <c r="HB91" s="412"/>
      <c r="HC91" s="412"/>
      <c r="HD91" s="412"/>
      <c r="HE91" s="412"/>
      <c r="HF91" s="412"/>
      <c r="HG91" s="136"/>
      <c r="HH91" s="136"/>
      <c r="HI91" s="136"/>
      <c r="HJ91" s="136"/>
      <c r="HK91" s="136"/>
      <c r="HL91" s="136"/>
      <c r="HM91" s="136"/>
      <c r="HN91" s="136"/>
      <c r="HO91" s="136"/>
      <c r="HP91" s="136"/>
      <c r="HQ91" s="136"/>
      <c r="HR91" s="136"/>
      <c r="HS91" s="136"/>
      <c r="HT91" s="136"/>
      <c r="HU91" s="278"/>
      <c r="HV91" s="277"/>
      <c r="HW91" s="277"/>
      <c r="HX91" s="277"/>
      <c r="HY91" s="277"/>
      <c r="HZ91" s="277"/>
      <c r="IA91" s="277"/>
      <c r="IB91" s="277"/>
      <c r="IC91" s="277"/>
      <c r="ID91" s="412"/>
      <c r="IE91" s="412"/>
      <c r="IF91" s="412"/>
      <c r="IG91" s="412"/>
      <c r="IH91" s="412"/>
      <c r="II91" s="412"/>
      <c r="IJ91" s="412"/>
      <c r="IK91" s="412"/>
      <c r="IL91" s="412"/>
      <c r="IM91" s="412"/>
      <c r="IN91" s="412"/>
      <c r="IO91" s="412"/>
      <c r="IP91" s="413"/>
      <c r="IQ91" s="389"/>
      <c r="IR91" s="389"/>
      <c r="IS91" s="389"/>
      <c r="IT91" s="389"/>
      <c r="IU91" s="389"/>
      <c r="IV91" s="389"/>
      <c r="IW91" s="389"/>
      <c r="IX91" s="389"/>
      <c r="IY91" s="389"/>
      <c r="IZ91" s="389"/>
      <c r="JA91" s="389"/>
      <c r="JB91" s="389"/>
      <c r="JC91" s="389"/>
      <c r="JD91" s="389"/>
      <c r="JE91" s="389"/>
      <c r="JF91" s="389"/>
      <c r="JG91" s="389"/>
      <c r="JH91" s="389"/>
      <c r="JI91" s="389"/>
      <c r="JJ91" s="389"/>
      <c r="JK91" s="389"/>
      <c r="JL91" s="389"/>
      <c r="JM91" s="389"/>
      <c r="JN91" s="389"/>
      <c r="JO91" s="389"/>
    </row>
    <row r="92" spans="1:302" s="14" customFormat="1" ht="11.1" hidden="1" customHeight="1" outlineLevel="1">
      <c r="A92" s="559">
        <v>1</v>
      </c>
      <c r="B92" s="989">
        <f>VLOOKUP(B90,'[2]IBAN CONTI'!A$1:B$65562,2,FALSE)</f>
        <v>1</v>
      </c>
      <c r="C92" s="989"/>
      <c r="D92" s="436">
        <f>COUPNCD(AL87,C87,K89,AH91)</f>
        <v>45871</v>
      </c>
      <c r="E92" s="933">
        <f>VLOOKUP(E91,'[2]IBAN CONTI'!A:B,2,FALSE)</f>
        <v>2</v>
      </c>
      <c r="F92" s="444" t="str">
        <f>IF(E92=1,"87,5","74")</f>
        <v>74</v>
      </c>
      <c r="G92" s="433">
        <f>VLOOKUP(G90,'[2]IBAN CONTI'!A$244:B$273,2,FALSE)</f>
        <v>18</v>
      </c>
      <c r="H92" s="431"/>
      <c r="I92" s="528"/>
      <c r="J92" s="431"/>
      <c r="K92" s="443">
        <f>VLOOKUP(K90,'[2]IBAN CONTI'!A$80:B$101,2,FALSE)</f>
        <v>1</v>
      </c>
      <c r="L92" s="720"/>
      <c r="M92" s="843"/>
      <c r="N92" s="843"/>
      <c r="O92" s="39"/>
      <c r="P92" s="527"/>
      <c r="Q92" s="280"/>
      <c r="R92" s="526"/>
      <c r="S92" s="15"/>
      <c r="T92" s="431"/>
      <c r="U92" s="15"/>
      <c r="V92" s="15"/>
      <c r="W92" s="15"/>
      <c r="X92" s="594">
        <f ca="1">X87-$AF$2</f>
        <v>-4598.6850547453723</v>
      </c>
      <c r="Y92" s="430"/>
      <c r="Z92" s="430"/>
      <c r="AA92" s="430"/>
      <c r="AB92" s="576"/>
      <c r="AC92" s="431"/>
      <c r="AD92" s="117"/>
      <c r="AE92" s="431"/>
      <c r="AF92" s="1011">
        <v>36000</v>
      </c>
      <c r="AG92" s="1011"/>
      <c r="AH92" s="551"/>
      <c r="AI92" s="551"/>
      <c r="AJ92" s="441" t="s">
        <v>172</v>
      </c>
      <c r="AK92" s="440">
        <f>VLOOKUP(AJ92,'[2]IBAN CONTI'!A$61:B$64,2,FALSE)</f>
        <v>1</v>
      </c>
      <c r="AL92" s="427">
        <f>AL89-AL90*(100-F92)/100</f>
        <v>100</v>
      </c>
      <c r="AM92" s="426" t="str">
        <f>IF(B92=2,10^((LOG(AL89/AL88))/AM89)-1,"")</f>
        <v/>
      </c>
      <c r="AN92" s="422">
        <f>IF(B92=4,A89*E87/100,IF(AF89=1,G87*E87/100,A88/E88*E87/100))</f>
        <v>1000</v>
      </c>
      <c r="AO92" s="425">
        <f>-AO90*(100-F91)/100</f>
        <v>0</v>
      </c>
      <c r="AP92" s="438">
        <f>IF(B92=2,(AN92-AP89+AN87+AN88)/G87*100,(AN92-AP88+AN87+AN88)/G87*100)</f>
        <v>100</v>
      </c>
      <c r="AQ92" s="423"/>
      <c r="AR92" s="555">
        <f>AL88</f>
        <v>100</v>
      </c>
      <c r="AS92" s="421"/>
      <c r="AT92" s="419"/>
      <c r="AU92" s="420"/>
      <c r="AV92" s="223"/>
      <c r="AW92" s="420"/>
      <c r="AX92" s="417"/>
      <c r="AY92" s="420"/>
      <c r="AZ92" s="223"/>
      <c r="BA92" s="419"/>
      <c r="BB92" s="223"/>
      <c r="BC92" s="223"/>
      <c r="BD92" s="223"/>
      <c r="BE92" s="223"/>
      <c r="BF92" s="416"/>
      <c r="BG92" s="418"/>
      <c r="BH92" s="416"/>
      <c r="BI92" s="416"/>
      <c r="BJ92" s="416"/>
      <c r="BK92" s="418"/>
      <c r="BL92" s="417"/>
      <c r="BM92" s="416"/>
      <c r="BN92" s="416"/>
      <c r="BO92" s="416"/>
      <c r="BP92" s="416"/>
      <c r="BQ92" s="416"/>
      <c r="BR92" s="416"/>
      <c r="BS92" s="416"/>
      <c r="BT92" s="389"/>
      <c r="BU92" s="389"/>
      <c r="BV92" s="389"/>
      <c r="BW92" s="389"/>
      <c r="BX92" s="415"/>
      <c r="BY92" s="389"/>
      <c r="BZ92" s="389"/>
      <c r="CA92" s="389"/>
      <c r="CB92" s="389"/>
      <c r="CC92" s="389"/>
      <c r="CD92" s="389"/>
      <c r="CE92" s="389"/>
      <c r="CF92" s="389"/>
      <c r="CG92" s="389"/>
      <c r="CH92" s="389"/>
      <c r="CI92" s="389"/>
      <c r="CJ92" s="389"/>
      <c r="CK92" s="389"/>
      <c r="CL92" s="389"/>
      <c r="CM92" s="389"/>
      <c r="CN92" s="389"/>
      <c r="CO92" s="389"/>
      <c r="CP92" s="389"/>
      <c r="CQ92" s="389"/>
      <c r="CR92" s="389"/>
      <c r="CS92" s="415"/>
      <c r="CT92" s="389"/>
      <c r="CU92" s="389"/>
      <c r="CV92" s="389"/>
      <c r="CW92" s="389"/>
      <c r="CX92" s="389"/>
      <c r="CY92" s="389"/>
      <c r="CZ92" s="389"/>
      <c r="DA92" s="389"/>
      <c r="DB92" s="389"/>
      <c r="DC92" s="389"/>
      <c r="DD92" s="389"/>
      <c r="DE92" s="389"/>
      <c r="DF92" s="389"/>
      <c r="DG92" s="389"/>
      <c r="DH92" s="389"/>
      <c r="DI92" s="389"/>
      <c r="DJ92" s="389"/>
      <c r="DK92" s="389"/>
      <c r="DL92" s="389"/>
      <c r="DM92" s="389"/>
      <c r="DN92" s="389"/>
      <c r="DO92" s="414"/>
      <c r="DP92" s="39"/>
      <c r="DQ92" s="39"/>
      <c r="DR92" s="39"/>
      <c r="DS92" s="136"/>
      <c r="DT92" s="136"/>
      <c r="DU92" s="136"/>
      <c r="DV92" s="136"/>
      <c r="DW92" s="136"/>
      <c r="DX92" s="136"/>
      <c r="DY92" s="136"/>
      <c r="DZ92" s="136"/>
      <c r="EA92" s="136"/>
      <c r="EB92" s="136"/>
      <c r="EC92" s="136"/>
      <c r="ED92" s="136"/>
      <c r="EE92" s="136"/>
      <c r="EF92" s="136"/>
      <c r="EG92" s="136"/>
      <c r="EH92" s="136"/>
      <c r="EI92" s="136"/>
      <c r="EJ92" s="136"/>
      <c r="EK92" s="136"/>
      <c r="EL92" s="136"/>
      <c r="EM92" s="136"/>
      <c r="EN92" s="136"/>
      <c r="EO92" s="136"/>
      <c r="EP92" s="136"/>
      <c r="EQ92" s="136"/>
      <c r="ER92" s="136"/>
      <c r="ES92" s="136"/>
      <c r="ET92" s="136"/>
      <c r="EU92" s="136"/>
      <c r="EV92" s="136"/>
      <c r="EW92" s="136"/>
      <c r="EX92" s="136"/>
      <c r="EY92" s="136"/>
      <c r="EZ92" s="136"/>
      <c r="FA92" s="136"/>
      <c r="FB92" s="136"/>
      <c r="FC92" s="136"/>
      <c r="FD92" s="136"/>
      <c r="FE92" s="136"/>
      <c r="FF92" s="136"/>
      <c r="FG92" s="136"/>
      <c r="FH92" s="136"/>
      <c r="FI92" s="136"/>
      <c r="FJ92" s="136"/>
      <c r="FK92" s="136"/>
      <c r="FL92" s="136"/>
      <c r="FM92" s="136"/>
      <c r="FN92" s="136"/>
      <c r="FO92" s="136"/>
      <c r="FP92" s="136"/>
      <c r="FQ92" s="136"/>
      <c r="FR92" s="412"/>
      <c r="FS92" s="412"/>
      <c r="FT92" s="412"/>
      <c r="FU92" s="412"/>
      <c r="FV92" s="412"/>
      <c r="FW92" s="412"/>
      <c r="FX92" s="412"/>
      <c r="FY92" s="412"/>
      <c r="FZ92" s="412"/>
      <c r="GA92" s="412"/>
      <c r="GB92" s="412"/>
      <c r="GC92" s="412"/>
      <c r="GD92" s="412"/>
      <c r="GE92" s="412"/>
      <c r="GF92" s="412"/>
      <c r="GG92" s="412"/>
      <c r="GH92" s="412"/>
      <c r="GI92" s="412"/>
      <c r="GJ92" s="412"/>
      <c r="GK92" s="412"/>
      <c r="GL92" s="412"/>
      <c r="GM92" s="412"/>
      <c r="GN92" s="412"/>
      <c r="GO92" s="412"/>
      <c r="GP92" s="412"/>
      <c r="GQ92" s="412"/>
      <c r="GR92" s="412"/>
      <c r="GS92" s="412"/>
      <c r="GT92" s="412"/>
      <c r="GU92" s="412"/>
      <c r="GV92" s="412"/>
      <c r="GW92" s="412"/>
      <c r="GX92" s="412"/>
      <c r="GY92" s="412"/>
      <c r="GZ92" s="412"/>
      <c r="HA92" s="412"/>
      <c r="HB92" s="412"/>
      <c r="HC92" s="412"/>
      <c r="HD92" s="412"/>
      <c r="HE92" s="412"/>
      <c r="HF92" s="412"/>
      <c r="HG92" s="136"/>
      <c r="HH92" s="136"/>
      <c r="HI92" s="136"/>
      <c r="HJ92" s="136"/>
      <c r="HK92" s="136"/>
      <c r="HL92" s="136"/>
      <c r="HM92" s="136"/>
      <c r="HN92" s="136"/>
      <c r="HO92" s="136"/>
      <c r="HP92" s="136"/>
      <c r="HQ92" s="136"/>
      <c r="HR92" s="136"/>
      <c r="HS92" s="136"/>
      <c r="HT92" s="136"/>
      <c r="HU92" s="278"/>
      <c r="HV92" s="277"/>
      <c r="HW92" s="277"/>
      <c r="HX92" s="277"/>
      <c r="HY92" s="277"/>
      <c r="HZ92" s="277"/>
      <c r="IA92" s="277"/>
      <c r="IB92" s="277"/>
      <c r="IC92" s="277"/>
      <c r="ID92" s="412"/>
      <c r="IE92" s="412"/>
      <c r="IF92" s="412"/>
      <c r="IG92" s="412"/>
      <c r="IH92" s="412"/>
      <c r="II92" s="412"/>
      <c r="IJ92" s="412"/>
      <c r="IK92" s="412"/>
      <c r="IL92" s="412"/>
      <c r="IM92" s="412"/>
      <c r="IN92" s="412"/>
      <c r="IO92" s="412"/>
      <c r="IP92" s="413"/>
      <c r="IQ92" s="389"/>
      <c r="IR92" s="389"/>
      <c r="IS92" s="389"/>
      <c r="IT92" s="389"/>
      <c r="IU92" s="389"/>
      <c r="IV92" s="389"/>
      <c r="IW92" s="389"/>
      <c r="IX92" s="389"/>
      <c r="IY92" s="389"/>
      <c r="IZ92" s="389"/>
      <c r="JA92" s="389"/>
      <c r="JB92" s="389"/>
      <c r="JC92" s="389"/>
      <c r="JD92" s="389"/>
      <c r="JE92" s="389"/>
      <c r="JF92" s="389"/>
      <c r="JG92" s="389"/>
      <c r="JH92" s="389"/>
      <c r="JI92" s="389"/>
      <c r="JJ92" s="389"/>
      <c r="JK92" s="389"/>
      <c r="JL92" s="389"/>
      <c r="JM92" s="389"/>
      <c r="JN92" s="389"/>
      <c r="JO92" s="389"/>
    </row>
    <row r="93" spans="1:302" s="14" customFormat="1" ht="11.1" hidden="1" customHeight="1" outlineLevel="1">
      <c r="A93" s="320"/>
      <c r="B93" s="933"/>
      <c r="C93" s="933"/>
      <c r="D93" s="436"/>
      <c r="E93" s="933"/>
      <c r="F93" s="435"/>
      <c r="G93" s="433"/>
      <c r="H93" s="431"/>
      <c r="I93" s="528"/>
      <c r="J93" s="431"/>
      <c r="K93" s="433"/>
      <c r="L93" s="720"/>
      <c r="M93" s="843"/>
      <c r="N93" s="843"/>
      <c r="O93" s="39"/>
      <c r="P93" s="527"/>
      <c r="Q93" s="280"/>
      <c r="R93" s="526"/>
      <c r="S93" s="15"/>
      <c r="T93" s="431"/>
      <c r="U93" s="15"/>
      <c r="V93" s="15"/>
      <c r="W93" s="15"/>
      <c r="X93" s="442"/>
      <c r="Y93" s="430"/>
      <c r="Z93" s="430"/>
      <c r="AA93" s="430"/>
      <c r="AB93" s="117"/>
      <c r="AC93" s="431"/>
      <c r="AD93" s="117"/>
      <c r="AE93" s="431"/>
      <c r="AF93" s="934"/>
      <c r="AG93" s="934"/>
      <c r="AH93" s="551"/>
      <c r="AI93" s="551"/>
      <c r="AJ93" s="429"/>
      <c r="AK93" s="428"/>
      <c r="AL93" s="427"/>
      <c r="AM93" s="426"/>
      <c r="AN93" s="32"/>
      <c r="AQ93" s="23"/>
      <c r="AR93" s="555"/>
      <c r="AS93" s="421"/>
      <c r="AT93" s="223"/>
      <c r="AU93" s="420"/>
      <c r="AV93" s="223"/>
      <c r="AW93" s="420"/>
      <c r="AX93" s="417"/>
      <c r="AY93" s="420"/>
      <c r="AZ93" s="223"/>
      <c r="BA93" s="223"/>
      <c r="BB93" s="223"/>
      <c r="BC93" s="223"/>
      <c r="BD93" s="223"/>
      <c r="BE93" s="223"/>
      <c r="BF93" s="416"/>
      <c r="BG93" s="417"/>
      <c r="BH93" s="416"/>
      <c r="BI93" s="416"/>
      <c r="BJ93" s="416"/>
      <c r="BK93" s="417"/>
      <c r="BL93" s="417"/>
      <c r="BM93" s="416"/>
      <c r="BN93" s="416"/>
      <c r="BO93" s="416"/>
      <c r="BP93" s="416"/>
      <c r="BQ93" s="416"/>
      <c r="BR93" s="416"/>
      <c r="BS93" s="416"/>
      <c r="BT93" s="389"/>
      <c r="BU93" s="389"/>
      <c r="BV93" s="389"/>
      <c r="BW93" s="389"/>
      <c r="BX93" s="412"/>
      <c r="BY93" s="389"/>
      <c r="BZ93" s="389"/>
      <c r="CA93" s="389"/>
      <c r="CB93" s="389"/>
      <c r="CC93" s="389"/>
      <c r="CD93" s="389"/>
      <c r="CE93" s="389"/>
      <c r="CF93" s="389"/>
      <c r="CG93" s="389"/>
      <c r="CH93" s="389"/>
      <c r="CI93" s="389"/>
      <c r="CJ93" s="389"/>
      <c r="CK93" s="389"/>
      <c r="CL93" s="389"/>
      <c r="CM93" s="389"/>
      <c r="CN93" s="389"/>
      <c r="CO93" s="389"/>
      <c r="CP93" s="389"/>
      <c r="CQ93" s="389"/>
      <c r="CR93" s="389"/>
      <c r="CS93" s="412"/>
      <c r="CT93" s="389"/>
      <c r="CU93" s="389"/>
      <c r="CV93" s="389"/>
      <c r="CW93" s="389"/>
      <c r="CX93" s="389"/>
      <c r="CY93" s="389"/>
      <c r="CZ93" s="389"/>
      <c r="DA93" s="389"/>
      <c r="DB93" s="389"/>
      <c r="DC93" s="389"/>
      <c r="DD93" s="389"/>
      <c r="DE93" s="389"/>
      <c r="DF93" s="389"/>
      <c r="DG93" s="389"/>
      <c r="DH93" s="389"/>
      <c r="DI93" s="389"/>
      <c r="DJ93" s="389"/>
      <c r="DK93" s="389"/>
      <c r="DL93" s="389"/>
      <c r="DM93" s="389"/>
      <c r="DN93" s="389"/>
      <c r="DO93" s="136"/>
      <c r="DP93" s="39"/>
      <c r="DQ93" s="39"/>
      <c r="DR93" s="39"/>
      <c r="DS93" s="136"/>
      <c r="DT93" s="136"/>
      <c r="DU93" s="136"/>
      <c r="DV93" s="136"/>
      <c r="DW93" s="136"/>
      <c r="DX93" s="136"/>
      <c r="DY93" s="136"/>
      <c r="DZ93" s="136"/>
      <c r="EA93" s="136"/>
      <c r="EB93" s="136"/>
      <c r="EC93" s="136"/>
      <c r="ED93" s="136"/>
      <c r="EE93" s="136"/>
      <c r="EF93" s="136"/>
      <c r="EG93" s="136"/>
      <c r="EH93" s="136"/>
      <c r="EI93" s="136"/>
      <c r="EJ93" s="136"/>
      <c r="EK93" s="136"/>
      <c r="EL93" s="136"/>
      <c r="EM93" s="136"/>
      <c r="EN93" s="136"/>
      <c r="EO93" s="136"/>
      <c r="EP93" s="136"/>
      <c r="EQ93" s="136"/>
      <c r="ER93" s="136"/>
      <c r="ES93" s="136"/>
      <c r="ET93" s="136"/>
      <c r="EU93" s="136"/>
      <c r="EV93" s="136"/>
      <c r="EW93" s="136"/>
      <c r="EX93" s="136"/>
      <c r="EY93" s="136"/>
      <c r="EZ93" s="136"/>
      <c r="FA93" s="136"/>
      <c r="FB93" s="136"/>
      <c r="FC93" s="136"/>
      <c r="FD93" s="136"/>
      <c r="FE93" s="136"/>
      <c r="FF93" s="136"/>
      <c r="FG93" s="136"/>
      <c r="FH93" s="136"/>
      <c r="FI93" s="136"/>
      <c r="FJ93" s="136"/>
      <c r="FK93" s="136"/>
      <c r="FL93" s="136"/>
      <c r="FM93" s="136"/>
      <c r="FN93" s="136"/>
      <c r="FO93" s="136"/>
      <c r="FP93" s="136"/>
      <c r="FQ93" s="136"/>
      <c r="FR93" s="412"/>
      <c r="FS93" s="412"/>
      <c r="FT93" s="412"/>
      <c r="FU93" s="412"/>
      <c r="FV93" s="412"/>
      <c r="FW93" s="412"/>
      <c r="FX93" s="412"/>
      <c r="FY93" s="412"/>
      <c r="FZ93" s="412"/>
      <c r="GA93" s="412"/>
      <c r="GB93" s="412"/>
      <c r="GC93" s="412"/>
      <c r="GD93" s="412"/>
      <c r="GE93" s="412"/>
      <c r="GF93" s="412"/>
      <c r="GG93" s="412"/>
      <c r="GH93" s="412"/>
      <c r="GI93" s="412"/>
      <c r="GJ93" s="412"/>
      <c r="GK93" s="412"/>
      <c r="GL93" s="412"/>
      <c r="GM93" s="412"/>
      <c r="GN93" s="412"/>
      <c r="GO93" s="412"/>
      <c r="GP93" s="412"/>
      <c r="GQ93" s="412"/>
      <c r="GR93" s="412"/>
      <c r="GS93" s="412"/>
      <c r="GT93" s="412"/>
      <c r="GU93" s="412"/>
      <c r="GV93" s="412"/>
      <c r="GW93" s="412"/>
      <c r="GX93" s="412"/>
      <c r="GY93" s="412"/>
      <c r="GZ93" s="412"/>
      <c r="HA93" s="412"/>
      <c r="HB93" s="412"/>
      <c r="HC93" s="412"/>
      <c r="HD93" s="412"/>
      <c r="HE93" s="412"/>
      <c r="HF93" s="412"/>
      <c r="HG93" s="136"/>
      <c r="HH93" s="136"/>
      <c r="HI93" s="136"/>
      <c r="HJ93" s="136"/>
      <c r="HK93" s="136"/>
      <c r="HL93" s="136"/>
      <c r="HM93" s="136"/>
      <c r="HN93" s="136"/>
      <c r="HO93" s="136"/>
      <c r="HP93" s="136"/>
      <c r="HQ93" s="136"/>
      <c r="HR93" s="136"/>
      <c r="HS93" s="136"/>
      <c r="HT93" s="136"/>
      <c r="HU93" s="278"/>
      <c r="HV93" s="277"/>
      <c r="HW93" s="277"/>
      <c r="HX93" s="277"/>
      <c r="HY93" s="277"/>
      <c r="HZ93" s="277"/>
      <c r="IA93" s="277"/>
      <c r="IB93" s="277"/>
      <c r="IC93" s="277"/>
      <c r="ID93" s="412"/>
      <c r="IE93" s="412"/>
      <c r="IF93" s="412"/>
      <c r="IG93" s="412"/>
      <c r="IH93" s="412"/>
      <c r="II93" s="412"/>
      <c r="IJ93" s="412"/>
      <c r="IK93" s="412"/>
      <c r="IL93" s="412"/>
      <c r="IM93" s="412"/>
      <c r="IN93" s="412"/>
      <c r="IO93" s="412"/>
      <c r="IP93" s="412"/>
      <c r="IQ93" s="389"/>
      <c r="IR93" s="389"/>
      <c r="IS93" s="389"/>
      <c r="IT93" s="389"/>
      <c r="IU93" s="389"/>
      <c r="IV93" s="389"/>
      <c r="IW93" s="389"/>
      <c r="IX93" s="389"/>
      <c r="IY93" s="389"/>
      <c r="IZ93" s="389"/>
      <c r="JA93" s="389"/>
      <c r="JB93" s="389"/>
      <c r="JC93" s="389"/>
      <c r="JD93" s="389"/>
      <c r="JE93" s="389"/>
      <c r="JF93" s="389"/>
      <c r="JG93" s="389"/>
      <c r="JH93" s="389"/>
      <c r="JI93" s="389"/>
      <c r="JJ93" s="389"/>
      <c r="JK93" s="389"/>
      <c r="JL93" s="389"/>
      <c r="JM93" s="389"/>
      <c r="JN93" s="389"/>
      <c r="JO93" s="389"/>
    </row>
    <row r="94" spans="1:302" s="777" customFormat="1" ht="11.1" customHeight="1" collapsed="1">
      <c r="A94" s="788">
        <v>2030</v>
      </c>
      <c r="B94" s="789"/>
      <c r="C94" s="521"/>
      <c r="D94" s="790"/>
      <c r="E94" s="791"/>
      <c r="F94" s="792"/>
      <c r="G94" s="966"/>
      <c r="H94" s="966"/>
      <c r="I94" s="792"/>
      <c r="J94" s="966"/>
      <c r="K94" s="793"/>
      <c r="L94" s="841"/>
      <c r="M94" s="847"/>
      <c r="N94" s="847"/>
      <c r="O94" s="260"/>
      <c r="P94" s="794" t="s">
        <v>30</v>
      </c>
      <c r="Q94" s="795"/>
      <c r="R94" s="795"/>
      <c r="S94" s="796"/>
      <c r="T94" s="966"/>
      <c r="U94" s="796"/>
      <c r="V94" s="796"/>
      <c r="W94" s="796"/>
      <c r="X94" s="796"/>
      <c r="Y94" s="796"/>
      <c r="Z94" s="796"/>
      <c r="AA94" s="796"/>
      <c r="AB94" s="797"/>
      <c r="AC94" s="966"/>
      <c r="AD94" s="798"/>
      <c r="AE94" s="966"/>
      <c r="AF94" s="799"/>
      <c r="AG94" s="799"/>
      <c r="AH94" s="800"/>
      <c r="AI94" s="801"/>
      <c r="AJ94" s="782"/>
      <c r="AK94" s="802"/>
      <c r="AL94" s="803"/>
      <c r="AM94" s="804"/>
      <c r="AN94" s="789"/>
      <c r="AO94" s="790"/>
      <c r="AP94" s="805"/>
      <c r="AQ94" s="805"/>
      <c r="AR94" s="779"/>
      <c r="AS94" s="779"/>
      <c r="AT94" s="779"/>
      <c r="AU94" s="779"/>
      <c r="AV94" s="779"/>
      <c r="AW94" s="779"/>
      <c r="AX94" s="779"/>
      <c r="AY94" s="779"/>
      <c r="AZ94" s="779"/>
      <c r="BA94" s="779"/>
      <c r="BB94" s="779"/>
      <c r="BC94" s="779"/>
      <c r="BD94" s="779"/>
      <c r="BE94" s="779"/>
      <c r="BF94" s="779"/>
      <c r="BG94" s="779"/>
      <c r="BH94" s="779"/>
      <c r="BI94" s="779"/>
      <c r="BJ94" s="779"/>
      <c r="BK94" s="779"/>
      <c r="BL94" s="779"/>
      <c r="BM94" s="779"/>
      <c r="BN94" s="779"/>
      <c r="BO94" s="779"/>
      <c r="BP94" s="779"/>
      <c r="BQ94" s="779"/>
      <c r="BR94" s="779"/>
      <c r="BS94" s="779"/>
      <c r="BT94" s="779"/>
      <c r="BU94" s="779"/>
      <c r="BV94" s="779"/>
      <c r="BW94" s="779"/>
      <c r="BX94" s="779"/>
      <c r="BY94" s="779"/>
      <c r="BZ94" s="779"/>
      <c r="CA94" s="779"/>
      <c r="CB94" s="779"/>
      <c r="CC94" s="779"/>
      <c r="CD94" s="779"/>
      <c r="CE94" s="779"/>
      <c r="CF94" s="779"/>
      <c r="HU94" s="780"/>
      <c r="JT94" s="781"/>
    </row>
    <row r="95" spans="1:302" s="1" customFormat="1" ht="5.0999999999999996" customHeight="1" collapsed="1" thickBot="1">
      <c r="A95" s="575"/>
      <c r="B95" s="933"/>
      <c r="C95" s="933"/>
      <c r="D95" s="436"/>
      <c r="E95" s="933"/>
      <c r="F95" s="435"/>
      <c r="G95" s="433"/>
      <c r="H95" s="383"/>
      <c r="I95" s="434"/>
      <c r="J95" s="434"/>
      <c r="K95" s="433"/>
      <c r="L95" s="720"/>
      <c r="M95" s="720"/>
      <c r="N95" s="720"/>
      <c r="O95" s="223"/>
      <c r="P95" s="318"/>
      <c r="Q95" s="280"/>
      <c r="R95" s="432"/>
      <c r="S95" s="15"/>
      <c r="T95" s="15"/>
      <c r="U95" s="15"/>
      <c r="V95" s="15"/>
      <c r="W95" s="15"/>
      <c r="X95" s="442"/>
      <c r="Y95" s="430"/>
      <c r="Z95" s="430"/>
      <c r="AA95" s="430"/>
      <c r="AB95" s="9"/>
      <c r="AC95" s="36"/>
      <c r="AD95" s="219"/>
      <c r="AE95" s="219"/>
      <c r="AF95" s="934"/>
      <c r="AG95" s="934"/>
      <c r="AH95" s="54"/>
      <c r="AI95" s="54"/>
      <c r="AJ95" s="441"/>
      <c r="AK95" s="428"/>
      <c r="AL95" s="427"/>
      <c r="AM95" s="524"/>
      <c r="AN95" s="422"/>
      <c r="AO95" s="425"/>
      <c r="AP95" s="424"/>
      <c r="AQ95" s="424"/>
      <c r="AR95" s="555"/>
      <c r="AS95" s="421"/>
      <c r="AT95" s="419"/>
      <c r="AU95" s="420"/>
      <c r="AV95" s="223"/>
      <c r="AW95" s="420"/>
      <c r="AX95" s="417"/>
      <c r="AY95" s="420"/>
      <c r="AZ95" s="223"/>
      <c r="BA95" s="419"/>
      <c r="BB95" s="223"/>
      <c r="BC95" s="223"/>
      <c r="BD95" s="223"/>
      <c r="BE95" s="223"/>
      <c r="BF95" s="416"/>
      <c r="BG95" s="418"/>
      <c r="BH95" s="416"/>
      <c r="BI95" s="416"/>
      <c r="BJ95" s="416"/>
      <c r="BK95" s="418"/>
      <c r="BL95" s="417"/>
      <c r="BM95" s="416"/>
      <c r="BN95" s="416"/>
      <c r="BO95" s="416"/>
      <c r="BP95" s="416"/>
      <c r="BQ95" s="416"/>
      <c r="BR95" s="416"/>
      <c r="BS95" s="416"/>
      <c r="BT95" s="389"/>
      <c r="BU95" s="389"/>
      <c r="BV95" s="389"/>
      <c r="BW95" s="389"/>
      <c r="BX95" s="415"/>
      <c r="BY95" s="389"/>
      <c r="BZ95" s="389"/>
      <c r="CA95" s="389"/>
      <c r="CB95" s="389"/>
      <c r="CC95" s="389"/>
      <c r="CD95" s="389"/>
      <c r="CE95" s="389"/>
      <c r="CF95" s="389"/>
      <c r="CG95" s="389"/>
      <c r="CH95" s="389"/>
      <c r="CI95" s="389"/>
      <c r="CJ95" s="389"/>
      <c r="CK95" s="389"/>
      <c r="CL95" s="389"/>
      <c r="CM95" s="389"/>
      <c r="CN95" s="389"/>
      <c r="CO95" s="389"/>
      <c r="CP95" s="389"/>
      <c r="CQ95" s="389"/>
      <c r="CR95" s="389"/>
      <c r="CS95" s="415"/>
      <c r="CT95" s="389"/>
      <c r="CU95" s="389"/>
      <c r="CV95" s="389"/>
      <c r="CW95" s="389"/>
      <c r="CX95" s="389"/>
      <c r="CY95" s="389"/>
      <c r="CZ95" s="389"/>
      <c r="DA95" s="389"/>
      <c r="DB95" s="389"/>
      <c r="DC95" s="389"/>
      <c r="DD95" s="389"/>
      <c r="DE95" s="389"/>
      <c r="DF95" s="389"/>
      <c r="DG95" s="389"/>
      <c r="DH95" s="389"/>
      <c r="DI95" s="389"/>
      <c r="DJ95" s="389"/>
      <c r="DK95" s="389"/>
      <c r="DL95" s="389"/>
      <c r="DM95" s="389"/>
      <c r="DN95" s="389"/>
      <c r="DO95" s="414"/>
      <c r="DP95" s="39"/>
      <c r="DQ95" s="39"/>
      <c r="DR95" s="39"/>
      <c r="DS95" s="136"/>
      <c r="DT95" s="136"/>
      <c r="DU95" s="136"/>
      <c r="DV95" s="136"/>
      <c r="DW95" s="136"/>
      <c r="DX95" s="136"/>
      <c r="DY95" s="136"/>
      <c r="DZ95" s="136"/>
      <c r="EA95" s="136"/>
      <c r="EB95" s="136"/>
      <c r="EC95" s="136"/>
      <c r="ED95" s="136"/>
      <c r="EE95" s="136"/>
      <c r="EF95" s="136"/>
      <c r="EG95" s="136"/>
      <c r="EH95" s="136"/>
      <c r="EI95" s="136"/>
      <c r="EJ95" s="136"/>
      <c r="EK95" s="136"/>
      <c r="EL95" s="136"/>
      <c r="EM95" s="136"/>
      <c r="EN95" s="136"/>
      <c r="EO95" s="136"/>
      <c r="EP95" s="136"/>
      <c r="EQ95" s="136"/>
      <c r="ER95" s="136"/>
      <c r="ES95" s="136"/>
      <c r="ET95" s="136"/>
      <c r="EU95" s="136"/>
      <c r="EV95" s="136"/>
      <c r="EW95" s="136"/>
      <c r="EX95" s="136"/>
      <c r="EY95" s="136"/>
      <c r="EZ95" s="136"/>
      <c r="FA95" s="136"/>
      <c r="FB95" s="136"/>
      <c r="FC95" s="136"/>
      <c r="FD95" s="136"/>
      <c r="FE95" s="136"/>
      <c r="FF95" s="136"/>
      <c r="FG95" s="136"/>
      <c r="FH95" s="136"/>
      <c r="FI95" s="136"/>
      <c r="FJ95" s="136"/>
      <c r="FK95" s="136"/>
      <c r="FL95" s="136"/>
      <c r="FM95" s="136"/>
      <c r="FN95" s="136"/>
      <c r="FO95" s="136"/>
      <c r="FP95" s="136"/>
      <c r="FQ95" s="136"/>
      <c r="FR95" s="412"/>
      <c r="FS95" s="412"/>
      <c r="FT95" s="412"/>
      <c r="FU95" s="412"/>
      <c r="FV95" s="412"/>
      <c r="FW95" s="412"/>
      <c r="FX95" s="412"/>
      <c r="FY95" s="412"/>
      <c r="FZ95" s="412"/>
      <c r="GA95" s="412"/>
      <c r="GB95" s="412"/>
      <c r="GC95" s="412"/>
      <c r="GD95" s="412"/>
      <c r="GE95" s="412"/>
      <c r="GF95" s="412"/>
      <c r="GG95" s="412"/>
      <c r="GH95" s="412"/>
      <c r="GI95" s="412"/>
      <c r="GJ95" s="412"/>
      <c r="GK95" s="412"/>
      <c r="GL95" s="412"/>
      <c r="GM95" s="412"/>
      <c r="GN95" s="412"/>
      <c r="GO95" s="412"/>
      <c r="GP95" s="412"/>
      <c r="GQ95" s="412"/>
      <c r="GR95" s="278"/>
      <c r="GS95" s="277"/>
      <c r="GT95" s="277"/>
      <c r="GU95" s="277"/>
      <c r="GV95" s="277"/>
      <c r="GW95" s="277"/>
      <c r="GX95" s="277"/>
      <c r="GY95" s="277"/>
      <c r="GZ95" s="277"/>
      <c r="HA95" s="277"/>
      <c r="HB95" s="277"/>
      <c r="HC95" s="277"/>
      <c r="HD95" s="277"/>
      <c r="HE95" s="277"/>
      <c r="HF95" s="277"/>
      <c r="HG95" s="554"/>
      <c r="HH95" s="554"/>
      <c r="HI95" s="554"/>
      <c r="HJ95" s="554"/>
      <c r="HK95" s="554"/>
      <c r="HL95" s="554"/>
      <c r="HM95" s="554"/>
      <c r="HN95" s="554"/>
      <c r="HO95" s="554"/>
      <c r="HP95" s="554"/>
      <c r="HQ95" s="554"/>
      <c r="HR95" s="554"/>
      <c r="HS95" s="554"/>
      <c r="HT95" s="554"/>
      <c r="HU95" s="277"/>
      <c r="HV95" s="277"/>
      <c r="HW95" s="277"/>
      <c r="HX95" s="277"/>
      <c r="HY95" s="412"/>
      <c r="HZ95" s="412"/>
      <c r="IA95" s="412"/>
      <c r="IB95" s="412"/>
      <c r="IC95" s="412"/>
      <c r="ID95" s="412"/>
      <c r="IE95" s="412"/>
      <c r="IF95" s="412"/>
      <c r="IG95" s="412"/>
      <c r="IH95" s="412"/>
      <c r="II95" s="412"/>
      <c r="IJ95" s="412"/>
      <c r="IK95" s="413"/>
      <c r="IL95" s="412"/>
      <c r="IM95" s="389"/>
      <c r="IN95" s="389"/>
      <c r="IO95" s="389"/>
      <c r="IP95" s="389"/>
      <c r="IQ95" s="389"/>
      <c r="IR95" s="389"/>
      <c r="IS95" s="389"/>
      <c r="IT95" s="389"/>
      <c r="IU95" s="389"/>
      <c r="IV95" s="389"/>
      <c r="IW95" s="389"/>
      <c r="IX95" s="389"/>
      <c r="IY95" s="389"/>
      <c r="IZ95" s="389"/>
      <c r="JA95" s="389"/>
      <c r="JB95" s="389"/>
      <c r="JC95" s="389"/>
      <c r="JD95" s="389"/>
      <c r="JE95" s="389"/>
      <c r="JF95" s="389"/>
      <c r="JG95" s="389"/>
      <c r="JH95" s="389"/>
      <c r="JI95" s="389"/>
      <c r="JJ95" s="389"/>
      <c r="JK95" s="14"/>
      <c r="JL95" s="14"/>
      <c r="JM95" s="14"/>
      <c r="JN95" s="14"/>
      <c r="JO95" s="14"/>
      <c r="JP95" s="14"/>
      <c r="JQ95" s="14"/>
      <c r="JR95" s="14"/>
      <c r="JS95" s="14"/>
      <c r="JT95" s="553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</row>
    <row r="96" spans="1:302" ht="11.1" customHeight="1">
      <c r="A96" s="497" t="s">
        <v>191</v>
      </c>
      <c r="B96" s="496" t="s">
        <v>186</v>
      </c>
      <c r="C96" s="495">
        <v>47756</v>
      </c>
      <c r="D96" s="806">
        <v>45602</v>
      </c>
      <c r="E96" s="762">
        <v>100.62</v>
      </c>
      <c r="F96" s="561">
        <v>3.875E-2</v>
      </c>
      <c r="G96" s="383">
        <v>1000</v>
      </c>
      <c r="H96" s="492">
        <f>G96</f>
        <v>1000</v>
      </c>
      <c r="I96" s="385">
        <f>G96*F96/100*F101</f>
        <v>28.675000000000001</v>
      </c>
      <c r="J96" s="492">
        <f>I96</f>
        <v>28.675000000000001</v>
      </c>
      <c r="K96" s="574" t="s">
        <v>426</v>
      </c>
      <c r="L96" s="833">
        <f>MONTH(C96)</f>
        <v>9</v>
      </c>
      <c r="M96" s="842" t="str">
        <f>IFERROR(IF(N96&gt;12,N96-12,N96),"")</f>
        <v/>
      </c>
      <c r="N96" s="594" t="str">
        <f>IF(K98=1,"",MONTH(C96)+6)</f>
        <v/>
      </c>
      <c r="O96" s="832">
        <f>IF(K98=1,I96,I96/2)</f>
        <v>28.675000000000001</v>
      </c>
      <c r="P96" s="215">
        <f>VLOOKUP(B97,[2]Prezzi!$A$2:$R$125,18,FALSE)</f>
        <v>100.6099967956543</v>
      </c>
      <c r="Q96" s="280"/>
      <c r="R96" s="526"/>
      <c r="S96" s="493">
        <f ca="1">MAX(0,IF(B101=5,I96/AM98*X96,(((((F96)*AF$2)/365)*G96*F101/100)+((((F96)*X101)/365)*G96*F101/100))))</f>
        <v>3.4567123287671393</v>
      </c>
      <c r="T96" s="492">
        <f ca="1">S96</f>
        <v>3.4567123287671393</v>
      </c>
      <c r="U96" s="469"/>
      <c r="V96" s="4"/>
      <c r="W96" s="469"/>
      <c r="X96" s="491">
        <f ca="1">IF(B101=4,COUPDAYBS($AB$2,C96,K98,AH100),IF($AB$2-AL96&lt;365,IF(K98&gt;1,FLOOR(365/K98-(E98-AB$2),1),IF(B101=2,0,IF(AL96&gt;$AB$2,0,IF(AND(E98-AL96&lt;365,$AB$2&lt;E98),$AB$2-AL96,COUPDAYBS($AB$2,C96,K98,AH100))))),COUPDAYBS($AB$2,C96,K98,AH100)))</f>
        <v>44</v>
      </c>
      <c r="Y96" s="456">
        <f ca="1">G96*AF96</f>
        <v>5219.6033048854397</v>
      </c>
      <c r="Z96" s="456">
        <f ca="1">IF(G96=0,"0",G96*AG96)</f>
        <v>27.794332511393815</v>
      </c>
      <c r="AA96" s="22"/>
      <c r="AB96" s="979">
        <f ca="1">IF(B101=5,(((I96/AM99)*X96)+(G96)),(G96*P96*A101/100)+(S96*A101))</f>
        <v>1009.5566802853101</v>
      </c>
      <c r="AC96" s="383">
        <f ca="1">AB96</f>
        <v>1009.5566802853101</v>
      </c>
      <c r="AD96" s="156">
        <f>IF(E97="",((P96-E96)/100)*G96,((((P96-E96)/100)*A97)/F97)+((A97/F97)-(A97/E97)))</f>
        <v>-0.10003204345707672</v>
      </c>
      <c r="AE96" s="383">
        <f>AD96</f>
        <v>-0.10003204345707672</v>
      </c>
      <c r="AF96" s="446">
        <f ca="1">IF(B101=1,MDURATION($AB$2,C96,F96,AG96,K98,AH100),IF(B101=2,YEARFRAC(C96,$AB$2,AH100)))</f>
        <v>5.2196033048854398</v>
      </c>
      <c r="AG96" s="824">
        <f ca="1">YIELD(AB$2,C96,F96,P96,AL98,K98,AH100)*F101/100</f>
        <v>2.7794332511393814E-2</v>
      </c>
      <c r="AH96" s="489">
        <f ca="1">(((F96)*X96)/365)*F101</f>
        <v>0.34567123287671231</v>
      </c>
      <c r="AI96" s="573"/>
      <c r="AJ96" s="572"/>
      <c r="AK96" s="571"/>
      <c r="AL96" s="570">
        <v>45565</v>
      </c>
      <c r="AM96" s="545" t="s">
        <v>512</v>
      </c>
      <c r="AN96" s="179">
        <f>IF(B101=4,MIN(G96*E96*A99*AV$3/100,AV$4),IF(AF98=1,MIN(G96*E96*AV$3/100,AV$4),MIN((A97*E96/E97*AV$3/100),AV$4)+(((A97/E97*E96/100)+(A97/E97*E96*AV$3/100)+AN97+AO96)*AZ$3)))</f>
        <v>1.0062</v>
      </c>
      <c r="AO96" s="484">
        <f>IF(B101=4,AP99*A98/100,IF(AF98=1,G96*AP99/100,A97/E97/100*AP99))</f>
        <v>4.1404100000000001</v>
      </c>
      <c r="AP96" s="188">
        <f>IF(B101=2,AN101+AN96+AN97+AP97,AN101+AN96+AN97+AO96+AO97+AP97)</f>
        <v>1013.7463153580101</v>
      </c>
      <c r="AQ96" s="326">
        <f>AP96</f>
        <v>1013.7463153580101</v>
      </c>
      <c r="AR96" s="569">
        <f>AR98+AR100+AR97</f>
        <v>1027.3385999999998</v>
      </c>
      <c r="AS96" s="825">
        <f ca="1">AG96</f>
        <v>2.7794332511393814E-2</v>
      </c>
      <c r="AT96" s="419">
        <f>IF(B101=1,G96,"")</f>
        <v>1000</v>
      </c>
      <c r="AU96" s="420" t="str">
        <f>IF(B101=2,G96,"")</f>
        <v/>
      </c>
      <c r="AV96" s="223" t="str">
        <f>IF(B101=3,G96,"")</f>
        <v/>
      </c>
      <c r="AW96" s="420" t="str">
        <f>IF(B101=4,G96,"")</f>
        <v/>
      </c>
      <c r="AX96" s="417" t="str">
        <f>IF(B101=5,G96,"")</f>
        <v/>
      </c>
      <c r="AY96" s="420" t="str">
        <f>IF(B101=6,G96,"")</f>
        <v/>
      </c>
      <c r="AZ96" s="223" t="str">
        <f>IF(B101=7,G96,"")</f>
        <v/>
      </c>
      <c r="BA96" s="419" t="str">
        <f>IF(B98=1,G96,"")</f>
        <v/>
      </c>
      <c r="BB96" s="223" t="str">
        <f>IF(B98=2,G96,"")</f>
        <v/>
      </c>
      <c r="BC96" s="223" t="str">
        <f>IF(B98=3,G96,"")</f>
        <v/>
      </c>
      <c r="BD96" s="223">
        <f>IF(B98=4,G96,"")</f>
        <v>1000</v>
      </c>
      <c r="BE96" s="223" t="str">
        <f>IF(B98=5,G96,"")</f>
        <v/>
      </c>
      <c r="BF96" s="417" t="str">
        <f>IF(B98=6,G96,"")</f>
        <v/>
      </c>
      <c r="BG96" s="419">
        <f>IF(AK101=1,G96,"")</f>
        <v>1000</v>
      </c>
      <c r="BH96" s="223" t="str">
        <f>IF(AK101=2,G96,"")</f>
        <v/>
      </c>
      <c r="BI96" s="223" t="str">
        <f>IF(AK101=3,G96,"")</f>
        <v/>
      </c>
      <c r="BJ96" s="223" t="str">
        <f>IF(AK101=4,G96,"")</f>
        <v/>
      </c>
      <c r="BK96" s="419" t="str">
        <f>IF(AJ100=1,G96,"")</f>
        <v/>
      </c>
      <c r="BL96" s="482" t="str">
        <f>IF(BK96&lt;&gt;"",AB96,"")</f>
        <v/>
      </c>
      <c r="BM96" s="223" t="str">
        <f>IF(AJ100=2,G96,"")</f>
        <v/>
      </c>
      <c r="BN96" s="223" t="str">
        <f>IF(BM96&lt;&gt;"",AB96,"")</f>
        <v/>
      </c>
      <c r="BO96" s="223">
        <f>IF(AJ100=3,G96,"")</f>
        <v>1000</v>
      </c>
      <c r="BP96" s="223" t="str">
        <f>IF(AJ100=4,G96,"")</f>
        <v/>
      </c>
      <c r="BQ96" s="223" t="str">
        <f>IF(AJ100=5,G96,"")</f>
        <v/>
      </c>
      <c r="BR96" s="223" t="str">
        <f>IF(AJ100=6,G96,"")</f>
        <v/>
      </c>
      <c r="BS96" s="223" t="str">
        <f>IF(AJ100=7,G96,"")</f>
        <v/>
      </c>
      <c r="BT96" s="223" t="str">
        <f>IF(AJ100=8,G96,"")</f>
        <v/>
      </c>
      <c r="BU96" s="223" t="str">
        <f>IF(AJ100=9,G96,"")</f>
        <v/>
      </c>
      <c r="BV96" s="223" t="str">
        <f>IF(AJ100=10,G96,"")</f>
        <v/>
      </c>
      <c r="BW96" s="223" t="str">
        <f>IF(AJ100=11,G96,"")</f>
        <v/>
      </c>
      <c r="BX96" s="419">
        <f>IF(AF98=1,G96,"")</f>
        <v>1000</v>
      </c>
      <c r="BY96" s="223" t="str">
        <f>IF(AF98=2,G96,"")</f>
        <v/>
      </c>
      <c r="BZ96" s="223" t="str">
        <f>IF(AF98=3,G96,"")</f>
        <v/>
      </c>
      <c r="CA96" s="223" t="str">
        <f>IF(AF98=4,G96,"")</f>
        <v/>
      </c>
      <c r="CB96" s="223" t="str">
        <f>IF(AF98=5,G96,"")</f>
        <v/>
      </c>
      <c r="CC96" s="223" t="str">
        <f>IF(AF98=6,G96,"")</f>
        <v/>
      </c>
      <c r="CD96" s="223" t="str">
        <f>IF(AF98=7,G96,"")</f>
        <v/>
      </c>
      <c r="CE96" s="223" t="str">
        <f>IF(AF98=8,G96,"")</f>
        <v/>
      </c>
      <c r="CF96" s="223" t="str">
        <f>IF(AF98=9,G96,"")</f>
        <v/>
      </c>
      <c r="CG96" s="223" t="str">
        <f>IF(AF98=10,G96,"")</f>
        <v/>
      </c>
      <c r="CH96" s="223" t="str">
        <f>IF(AF98=11,G96,"")</f>
        <v/>
      </c>
      <c r="CI96" s="223" t="str">
        <f>IF(AF98=12,G96,"")</f>
        <v/>
      </c>
      <c r="CJ96" s="223" t="str">
        <f>IF(AF98=13,G96,"")</f>
        <v/>
      </c>
      <c r="CK96" s="223" t="str">
        <f>IF(AF98=14,G96,"")</f>
        <v/>
      </c>
      <c r="CL96" s="223" t="str">
        <f>IF(AF98=15,G96,"")</f>
        <v/>
      </c>
      <c r="CM96" s="223" t="str">
        <f>IF(AF98=16,G96,"")</f>
        <v/>
      </c>
      <c r="CN96" s="223" t="str">
        <f>IF(AF98=17,G96,"")</f>
        <v/>
      </c>
      <c r="CO96" s="223" t="str">
        <f>IF(AF98=18,G96,"")</f>
        <v/>
      </c>
      <c r="CP96" s="223" t="str">
        <f>IF(AF98=19,G96,"")</f>
        <v/>
      </c>
      <c r="CQ96" s="223" t="str">
        <f>IF(AF98=20,G96,"")</f>
        <v/>
      </c>
      <c r="CR96" s="223" t="str">
        <f>IF(AF98=21,G96,"")</f>
        <v/>
      </c>
      <c r="CS96" s="419" t="str">
        <f>IF(K101=1,G96,"")</f>
        <v/>
      </c>
      <c r="CT96" s="223" t="str">
        <f>IF(K101=2,G96,"")</f>
        <v/>
      </c>
      <c r="CU96" s="223" t="str">
        <f>IF(K101=3,G96,"")</f>
        <v/>
      </c>
      <c r="CV96" s="223" t="str">
        <f>IF(K101=4,G96,"")</f>
        <v/>
      </c>
      <c r="CW96" s="223">
        <f>IF(K101=5,G96,"")</f>
        <v>1000</v>
      </c>
      <c r="CX96" s="223" t="str">
        <f>IF(K101=6,G96,"")</f>
        <v/>
      </c>
      <c r="CY96" s="223" t="str">
        <f>IF(K101=7,G96,"")</f>
        <v/>
      </c>
      <c r="CZ96" s="223" t="str">
        <f>IF(K101=8,G96,"")</f>
        <v/>
      </c>
      <c r="DA96" s="223" t="str">
        <f>IF(K101=9,G96,"")</f>
        <v/>
      </c>
      <c r="DB96" s="223" t="str">
        <f>IF(K101=10,G96,"")</f>
        <v/>
      </c>
      <c r="DC96" s="223" t="str">
        <f>IF(K101=11,G96,"")</f>
        <v/>
      </c>
      <c r="DD96" s="223" t="str">
        <f>IF(K101=12,G96,"")</f>
        <v/>
      </c>
      <c r="DE96" s="223" t="str">
        <f>IF(K101=13,G96,"")</f>
        <v/>
      </c>
      <c r="DF96" s="223" t="str">
        <f>IF(K101=14,G96,"")</f>
        <v/>
      </c>
      <c r="DG96" s="223" t="str">
        <f>IF(K101=15,G96,"")</f>
        <v/>
      </c>
      <c r="DH96" s="223" t="str">
        <f>IF(K101=16,G96,"")</f>
        <v/>
      </c>
      <c r="DI96" s="223" t="str">
        <f>IF(K101=17,G96,"")</f>
        <v/>
      </c>
      <c r="DJ96" s="223" t="str">
        <f>IF(K101=18,G96,"")</f>
        <v/>
      </c>
      <c r="DK96" s="223" t="str">
        <f>IF(K101=19,G96,"")</f>
        <v/>
      </c>
      <c r="DL96" s="223" t="str">
        <f>IF(K101=20,G96,"")</f>
        <v/>
      </c>
      <c r="DM96" s="223"/>
      <c r="DN96" s="223"/>
      <c r="DO96" s="419" t="str">
        <f>IF(AG98=1,G96,"")</f>
        <v/>
      </c>
      <c r="DP96" s="223" t="str">
        <f>IF(AG98=2,G96,"")</f>
        <v/>
      </c>
      <c r="DQ96" s="223" t="str">
        <f>IF(AG98=3,G96,"")</f>
        <v/>
      </c>
      <c r="DR96" s="223" t="str">
        <f>IF(AG98=4,G96,"")</f>
        <v/>
      </c>
      <c r="DS96" s="223" t="str">
        <f>IF(AG98=5,G96,"")</f>
        <v/>
      </c>
      <c r="DT96" s="223" t="str">
        <f>IF(AG98=6,G96,"")</f>
        <v/>
      </c>
      <c r="DU96" s="223" t="str">
        <f>IF(AG98=7,G96,"")</f>
        <v/>
      </c>
      <c r="DV96" s="223" t="str">
        <f>IF(AG98=8,G96,"")</f>
        <v/>
      </c>
      <c r="DW96" s="136" t="str">
        <f>IF(AG98=9,G96,"")</f>
        <v/>
      </c>
      <c r="DX96" s="136" t="str">
        <f>IF(AG98=10,G96,"")</f>
        <v/>
      </c>
      <c r="DY96" s="136" t="str">
        <f>IF(AG98=11,G96,"")</f>
        <v/>
      </c>
      <c r="DZ96" s="136" t="str">
        <f>IF(AG98=12,G96,"")</f>
        <v/>
      </c>
      <c r="EA96" s="136" t="str">
        <f>IF(AG98=13,G96,"")</f>
        <v/>
      </c>
      <c r="EB96" s="136" t="str">
        <f>IF(AG98=14,G96,"")</f>
        <v/>
      </c>
      <c r="EC96" s="317" t="str">
        <f>IF(AG98=15,G96,"")</f>
        <v/>
      </c>
      <c r="ED96" s="136" t="str">
        <f>IF(AG98=16,G96,"")</f>
        <v/>
      </c>
      <c r="EE96" s="136" t="str">
        <f>IF(AG98=17,G96,"")</f>
        <v/>
      </c>
      <c r="EF96" s="136" t="str">
        <f>IF(AG98=18,G96,"")</f>
        <v/>
      </c>
      <c r="EG96" s="136" t="str">
        <f>IF(AG98=19,G96,"")</f>
        <v/>
      </c>
      <c r="EH96" s="136" t="str">
        <f>IF(AG98=20,G96,"")</f>
        <v/>
      </c>
      <c r="EI96" s="136" t="str">
        <f>IF(AG98=21,G96,"")</f>
        <v/>
      </c>
      <c r="EJ96" s="136" t="str">
        <f>IF(AG98=22,G96,"")</f>
        <v/>
      </c>
      <c r="EK96" s="136" t="str">
        <f>IF(AG98=23,G96,"")</f>
        <v/>
      </c>
      <c r="EL96" s="136" t="str">
        <f>IF(AG98=24,G96,"")</f>
        <v/>
      </c>
      <c r="EM96" s="136" t="str">
        <f>IF(AG98=25,G96,"")</f>
        <v/>
      </c>
      <c r="EN96" s="136" t="str">
        <f>IF(AG98=26,G96,"")</f>
        <v/>
      </c>
      <c r="EO96" s="136" t="str">
        <f>IF(AG98=27,G96,"")</f>
        <v/>
      </c>
      <c r="EP96" s="136" t="str">
        <f>IF(AG98=28,G96,"")</f>
        <v/>
      </c>
      <c r="EQ96" s="136" t="str">
        <f>IF(AG98=29,G96,"")</f>
        <v/>
      </c>
      <c r="ER96" s="136" t="str">
        <f>IF(AG98=30,G96,"")</f>
        <v/>
      </c>
      <c r="ES96" s="136">
        <f>IF(AG98=31,G96,"")</f>
        <v>1000</v>
      </c>
      <c r="ET96" s="136" t="str">
        <f>IF(AG98=32,G96,"")</f>
        <v/>
      </c>
      <c r="EU96" s="136" t="str">
        <f>IF(AG98=33,G96,"")</f>
        <v/>
      </c>
      <c r="EV96" s="136" t="str">
        <f>IF(AG98=34,G96,"")</f>
        <v/>
      </c>
      <c r="EW96" s="136" t="str">
        <f>IF(AG98=35,G96,"")</f>
        <v/>
      </c>
      <c r="EX96" s="136" t="str">
        <f>IF(AG98=36,G96,"")</f>
        <v/>
      </c>
      <c r="EY96" s="136" t="str">
        <f>IF(AG98=37,G96,"")</f>
        <v/>
      </c>
      <c r="EZ96" s="136" t="str">
        <f>IF(AG98=38,G96,"")</f>
        <v/>
      </c>
      <c r="FA96" s="136" t="str">
        <f>IF(AG98=39,G96,"")</f>
        <v/>
      </c>
      <c r="FB96" s="136" t="str">
        <f>IF(AG98=40,G96,"")</f>
        <v/>
      </c>
      <c r="FC96" s="136" t="str">
        <f>IF(AG98=41,G96,"")</f>
        <v/>
      </c>
      <c r="FD96" s="136" t="str">
        <f>IF(AG98=42,G96,"")</f>
        <v/>
      </c>
      <c r="FE96" s="136" t="str">
        <f>IF(AG98=43,G96,"")</f>
        <v/>
      </c>
      <c r="FF96" s="136" t="str">
        <f>IF(AG98=44,G96,"")</f>
        <v/>
      </c>
      <c r="FG96" s="136" t="str">
        <f>IF(AG98=45,G96,"")</f>
        <v/>
      </c>
      <c r="FH96" s="136" t="str">
        <f>IF(AG98=46,G96,"")</f>
        <v/>
      </c>
      <c r="FI96" s="136" t="str">
        <f>IF(AG98=47,G96,"")</f>
        <v/>
      </c>
      <c r="FJ96" s="136" t="str">
        <f>IF(AG98=48,G96,"")</f>
        <v/>
      </c>
      <c r="FK96" s="136" t="str">
        <f>IF(AG98=49,G96,"")</f>
        <v/>
      </c>
      <c r="FL96" s="136" t="str">
        <f>IF(AG98=50,G96,"")</f>
        <v/>
      </c>
      <c r="FM96" s="136" t="str">
        <f>IF(AG98=51,G96,"")</f>
        <v/>
      </c>
      <c r="FN96" s="136" t="str">
        <f>IF(AG98=52,G96,"")</f>
        <v/>
      </c>
      <c r="FO96" s="136" t="str">
        <f>IF(AG98=53,G96,"")</f>
        <v/>
      </c>
      <c r="FP96" s="136" t="str">
        <f>IF(AG98=54,G96,"")</f>
        <v/>
      </c>
      <c r="FQ96" s="136" t="str">
        <f>IF(AG98=55,G96,"")</f>
        <v/>
      </c>
      <c r="FR96" s="412" t="str">
        <f>IF(AG98=56,G96,"")</f>
        <v/>
      </c>
      <c r="FS96" s="412" t="str">
        <f>IF(AG98=57,G96,"")</f>
        <v/>
      </c>
      <c r="FT96" s="412" t="str">
        <f>IF(AG98=58,G96,"")</f>
        <v/>
      </c>
      <c r="FU96" s="412" t="str">
        <f>IF(AG98=59,G96,"")</f>
        <v/>
      </c>
      <c r="FV96" s="412" t="str">
        <f>IF(AG98=60,G96,"")</f>
        <v/>
      </c>
      <c r="FW96" s="412" t="str">
        <f>IF(AG98=61,G96,"")</f>
        <v/>
      </c>
      <c r="FX96" s="412" t="str">
        <f>IF(AG98=62,G96,"")</f>
        <v/>
      </c>
      <c r="FY96" s="412" t="str">
        <f>IF(AG98=63,G96,"")</f>
        <v/>
      </c>
      <c r="FZ96" s="412" t="str">
        <f>IF(AG98=64,G96,"")</f>
        <v/>
      </c>
      <c r="GA96" s="412" t="str">
        <f>IF(AG98=65,G96,"")</f>
        <v/>
      </c>
      <c r="GB96" s="412" t="str">
        <f>IF(AG98=66,G96,"")</f>
        <v/>
      </c>
      <c r="GC96" s="412" t="str">
        <f>IF(AG98=67,G96,"")</f>
        <v/>
      </c>
      <c r="GD96" s="412" t="str">
        <f>IF(AG98=68,G96,"")</f>
        <v/>
      </c>
      <c r="GE96" s="412" t="str">
        <f>IF(AG98=69,G96,"")</f>
        <v/>
      </c>
      <c r="GF96" s="412" t="str">
        <f>IF(AG98=70,G96,"")</f>
        <v/>
      </c>
      <c r="GG96" s="412" t="str">
        <f>IF(AG98=71,G96,"")</f>
        <v/>
      </c>
      <c r="GH96" s="412" t="str">
        <f>IF(AG98=72,G96,"")</f>
        <v/>
      </c>
      <c r="GI96" s="412" t="str">
        <f>IF(AG98=73,G96,"")</f>
        <v/>
      </c>
      <c r="GJ96" s="412" t="str">
        <f>IF(AG98=74,G96,"")</f>
        <v/>
      </c>
      <c r="GK96" s="412" t="str">
        <f>IF(AG98=75,G96,"")</f>
        <v/>
      </c>
      <c r="GL96" s="412" t="str">
        <f>IF(AG98=76,G96,"")</f>
        <v/>
      </c>
      <c r="GM96" s="412" t="str">
        <f>IF(AG98=77,G96,"")</f>
        <v/>
      </c>
      <c r="GN96" s="412" t="str">
        <f>IF(AG98=78,G96,"")</f>
        <v/>
      </c>
      <c r="GO96" s="412" t="str">
        <f>IF(AG98=79,G96,"")</f>
        <v/>
      </c>
      <c r="GP96" s="412" t="str">
        <f>IF(AG98=80,G96,"")</f>
        <v/>
      </c>
      <c r="GQ96" s="412" t="str">
        <f>IF(AG98=81,G96,"")</f>
        <v/>
      </c>
      <c r="GR96" s="412" t="str">
        <f>IF(AG98=82,G96,"")</f>
        <v/>
      </c>
      <c r="GS96" s="412" t="str">
        <f>IF(AG98=83,G96,"")</f>
        <v/>
      </c>
      <c r="GT96" s="412" t="str">
        <f>IF(AG98=84,G96,"")</f>
        <v/>
      </c>
      <c r="GU96" s="412" t="str">
        <f>IF(AG98=85,G96,"")</f>
        <v/>
      </c>
      <c r="GV96" s="412" t="str">
        <f>IF(AG98=86,G96,"")</f>
        <v/>
      </c>
      <c r="GW96" s="412"/>
      <c r="GX96" s="412"/>
      <c r="GY96" s="412"/>
      <c r="GZ96" s="412"/>
      <c r="HA96" s="412"/>
      <c r="HB96" s="412"/>
      <c r="HC96" s="412"/>
      <c r="HD96" s="412"/>
      <c r="HE96" s="412"/>
      <c r="HF96" s="412"/>
      <c r="HG96" s="136"/>
      <c r="HH96" s="136"/>
      <c r="HI96" s="136"/>
      <c r="HJ96" s="136"/>
      <c r="HK96" s="136"/>
      <c r="HL96" s="136"/>
      <c r="HM96" s="136"/>
      <c r="HN96" s="136"/>
      <c r="HO96" s="136"/>
      <c r="HP96" s="136"/>
      <c r="HQ96" s="136"/>
      <c r="HR96" s="136"/>
      <c r="HS96" s="136"/>
      <c r="HT96" s="136"/>
      <c r="HU96" s="278">
        <f ca="1">IF(AF98=1,AB96,"")</f>
        <v>1009.5566802853101</v>
      </c>
      <c r="HV96" s="277" t="str">
        <f>IF(AF98=2,AB96,"")</f>
        <v/>
      </c>
      <c r="HW96" s="277" t="str">
        <f>IF(AF98=3,AB96,"")</f>
        <v/>
      </c>
      <c r="HX96" s="277" t="str">
        <f>IF(AF98=4,AB96,"")</f>
        <v/>
      </c>
      <c r="HY96" s="277" t="str">
        <f>IF(AF98=5,AB96,"")</f>
        <v/>
      </c>
      <c r="HZ96" s="277" t="str">
        <f>IF(AF98=6,AB96,"")</f>
        <v/>
      </c>
      <c r="IA96" s="277" t="str">
        <f>IF(AF98=7,AB96,"")</f>
        <v/>
      </c>
      <c r="IB96" s="277" t="str">
        <f>IF(AF98=8,AB96,"")</f>
        <v/>
      </c>
      <c r="IC96" s="277" t="str">
        <f>IF(AF98=9,AB96,"")</f>
        <v/>
      </c>
      <c r="ID96" s="412" t="str">
        <f>IF(AF98=10,AB96,"")</f>
        <v/>
      </c>
      <c r="IE96" s="223" t="str">
        <f>IF(AF98=11,AB96,"")</f>
        <v/>
      </c>
      <c r="IF96" s="223" t="str">
        <f>IF(AF98=12,AB96,"")</f>
        <v/>
      </c>
      <c r="IG96" s="223" t="str">
        <f>IF(AF98=13,AB96,"")</f>
        <v/>
      </c>
      <c r="IH96" s="223" t="str">
        <f>IF(AF98=14,AB96,"")</f>
        <v/>
      </c>
      <c r="II96" s="223" t="str">
        <f>IF(AF98=15,AB96,"")</f>
        <v/>
      </c>
      <c r="IJ96" s="223" t="str">
        <f>IF(AF98=16,AB96,"")</f>
        <v/>
      </c>
      <c r="IK96" s="223" t="str">
        <f>IF(AF98=17,AB96,"")</f>
        <v/>
      </c>
      <c r="IL96" s="223" t="str">
        <f>IF(AF98=18,AB96,"")</f>
        <v/>
      </c>
      <c r="IM96" s="223" t="str">
        <f>IF(AF98=19,AB96,"")</f>
        <v/>
      </c>
      <c r="IN96" s="223" t="str">
        <f>IF(AF98=20,AB96,"")</f>
        <v/>
      </c>
      <c r="IO96" s="223" t="str">
        <f>IF(AF98=21,AB96,"")</f>
        <v/>
      </c>
      <c r="IP96" s="413"/>
      <c r="IQ96" s="478" t="str">
        <f>IF(G101=6,G96,"")</f>
        <v/>
      </c>
      <c r="IR96" s="317" t="str">
        <f>IF(G101=7,G96,"")</f>
        <v/>
      </c>
      <c r="IS96" s="478" t="str">
        <f>IF(G101=8,G96,"")</f>
        <v/>
      </c>
      <c r="IT96" s="317" t="str">
        <f>IF(G101=9,G96,"")</f>
        <v/>
      </c>
      <c r="IU96" s="478" t="str">
        <f>IF(G101=10,G96,"")</f>
        <v/>
      </c>
      <c r="IV96" s="478" t="str">
        <f>IF(G101=11,G96,"")</f>
        <v/>
      </c>
      <c r="IW96" s="478" t="str">
        <f>IF(G101=12,G96,"")</f>
        <v/>
      </c>
      <c r="IX96" s="478" t="str">
        <f>IF(G101=13,G96,"")</f>
        <v/>
      </c>
      <c r="IY96" s="478" t="str">
        <f>IF(G101=14,G96,"")</f>
        <v/>
      </c>
      <c r="IZ96" s="478" t="str">
        <f>IF(G101=15,G96,"")</f>
        <v/>
      </c>
      <c r="JA96" s="478" t="str">
        <f>IF(G101=16,G96,"")</f>
        <v/>
      </c>
      <c r="JB96" s="478" t="str">
        <f>IF(G101=17,G96,"")</f>
        <v/>
      </c>
      <c r="JC96" s="478" t="str">
        <f>IF(G101=18,G96,"")</f>
        <v/>
      </c>
      <c r="JD96" s="478">
        <f>IF(G101=19,G96,"")</f>
        <v>1000</v>
      </c>
      <c r="JE96" s="478" t="str">
        <f>IF(G101=20,G96,"")</f>
        <v/>
      </c>
      <c r="JF96" s="478" t="str">
        <f>IF(G101=21,G96,"")</f>
        <v/>
      </c>
      <c r="JG96" s="478" t="str">
        <f>IF(G101=22,G96,"")</f>
        <v/>
      </c>
      <c r="JH96" s="478" t="str">
        <f>IF(G101=23,G96,"")</f>
        <v/>
      </c>
      <c r="JI96" s="478" t="str">
        <f>IF(G101=24,G96,"")</f>
        <v/>
      </c>
      <c r="JJ96" s="478" t="str">
        <f>IF(G101=25,G96,"")</f>
        <v/>
      </c>
      <c r="JK96" s="478" t="str">
        <f>IF(G101=26,G96,"")</f>
        <v/>
      </c>
      <c r="JL96" s="478" t="str">
        <f>IF(G101=27,G96,"")</f>
        <v/>
      </c>
      <c r="JM96" s="478" t="str">
        <f>IF(G101=28,G96,"")</f>
        <v/>
      </c>
      <c r="JN96" s="478" t="str">
        <f>IF(G101=29,G96,"")</f>
        <v/>
      </c>
      <c r="JO96" s="478" t="str">
        <f>IF(G101=30,G96,"")</f>
        <v/>
      </c>
      <c r="JP96" s="445"/>
      <c r="JQ96" s="481">
        <f>IF(AND(AJ100=4,K101=1,G101&lt;=3),G96,0)</f>
        <v>0</v>
      </c>
      <c r="JR96" s="445"/>
      <c r="JS96" s="445"/>
      <c r="JT96" s="480" t="str">
        <f>IF(AF98&gt;1,((A97/F97)-(A97/E97)),"")</f>
        <v/>
      </c>
      <c r="JU96" s="479" t="str">
        <f>IF(AF98=2,((A97/F97)-(A97/E97)),"")</f>
        <v/>
      </c>
      <c r="JV96" s="479" t="str">
        <f>IF(AF98=3,((A97/F97)-(A97/E97)),"")</f>
        <v/>
      </c>
      <c r="JW96" s="479" t="str">
        <f>IF(AF98=4,((A97/F97)-(A97/E97)),"")</f>
        <v/>
      </c>
      <c r="JX96" s="479" t="str">
        <f>IF(AF98=5,((A97/F97)-(A97/E97)),"")</f>
        <v/>
      </c>
      <c r="JY96" s="479" t="str">
        <f>IF(AF98=6,((A97/F97)-(A97/E97)),"")</f>
        <v/>
      </c>
      <c r="JZ96" s="479" t="str">
        <f>IF(AF98=7,((A97/F97)-(A97/E97)),"")</f>
        <v/>
      </c>
      <c r="KA96" s="478" t="str">
        <f>IF(AF98=8,((A97/F97)-(A97/E97)),"")</f>
        <v/>
      </c>
      <c r="KB96" s="478" t="str">
        <f>IF(AF98=9,((A97/F97)-(A97/E97)),"")</f>
        <v/>
      </c>
      <c r="KC96" s="478" t="str">
        <f>IF(AF98=10,((A97/F97)-(A97/E97)),"")</f>
        <v/>
      </c>
      <c r="KD96" s="478" t="str">
        <f>IF(AF98=11,((A97/F97)-(A97/E97)),"")</f>
        <v/>
      </c>
      <c r="KE96" s="478" t="str">
        <f>IF(AF98=12,((A97/F97)-(A97/E97)),"")</f>
        <v/>
      </c>
      <c r="KF96" s="478" t="str">
        <f>IF(AF98=13,((A97/F97)-(A97/E97)),"")</f>
        <v/>
      </c>
      <c r="KG96" s="478" t="str">
        <f>IF(AF98=14,((A97/F97)-(A97/E97)),"")</f>
        <v/>
      </c>
      <c r="KH96" s="478" t="str">
        <f>IF(AF98=15,((A97/F97)-(A97/E97)),"")</f>
        <v/>
      </c>
      <c r="KI96" s="478" t="str">
        <f>IF(AF98=16,((A97/F97)-(A97/E97)),"")</f>
        <v/>
      </c>
      <c r="KJ96" s="478" t="str">
        <f>IF(AF98=17,((A97/F97)-(A97/E97)),"")</f>
        <v/>
      </c>
      <c r="KK96" s="478" t="str">
        <f>IF(AF98=18,((A97/F97)-(A97/E97)),"")</f>
        <v/>
      </c>
      <c r="KL96" s="478" t="str">
        <f>IF(AF98=19,((A97/F97)-(A97/E97)),"")</f>
        <v/>
      </c>
      <c r="KM96" s="478" t="str">
        <f>IF(AF98=20,((A97/F97)-(A97/E97)),"")</f>
        <v/>
      </c>
      <c r="KN96" s="445"/>
      <c r="KO96" s="445"/>
      <c r="KP96" s="445"/>
    </row>
    <row r="97" spans="1:302" ht="11.1" customHeight="1" thickBot="1">
      <c r="A97" s="568" t="s">
        <v>513</v>
      </c>
      <c r="B97" s="567" t="s">
        <v>511</v>
      </c>
      <c r="C97" s="933"/>
      <c r="D97" s="828">
        <f>IF(WEEKDAY(D96,2)=4,D96+4,IF(WEEKDAY(D96,2)=5,D96+4,D96+2))</f>
        <v>45604</v>
      </c>
      <c r="E97" s="566"/>
      <c r="F97" s="565"/>
      <c r="G97" s="431"/>
      <c r="H97" s="431"/>
      <c r="I97" s="528"/>
      <c r="J97" s="431"/>
      <c r="K97" s="431"/>
      <c r="L97" s="722"/>
      <c r="M97" s="720"/>
      <c r="N97" s="720"/>
      <c r="O97" s="223"/>
      <c r="P97" s="276"/>
      <c r="Q97" s="280"/>
      <c r="R97" s="526"/>
      <c r="S97" s="4"/>
      <c r="T97" s="431"/>
      <c r="U97" s="469"/>
      <c r="V97" s="4"/>
      <c r="W97" s="469"/>
      <c r="X97" s="442"/>
      <c r="Y97" s="22"/>
      <c r="Z97" s="22"/>
      <c r="AA97" s="22"/>
      <c r="AB97" s="360"/>
      <c r="AC97" s="431"/>
      <c r="AD97" s="825">
        <f>IF(E97="",((P96-E96)/E96),((P96-E96)/E96)+(((1/F97)-(1/E97))/(1/E97)))</f>
        <v>-9.9415666325856412E-5</v>
      </c>
      <c r="AE97" s="431"/>
      <c r="AF97" s="279" t="s">
        <v>65</v>
      </c>
      <c r="AG97" s="824"/>
      <c r="AH97" s="954" t="s">
        <v>177</v>
      </c>
      <c r="AI97" s="564"/>
      <c r="AJ97" s="563"/>
      <c r="AK97" s="562"/>
      <c r="AL97" s="54">
        <v>99.486000000000004</v>
      </c>
      <c r="AM97" s="537" t="s">
        <v>184</v>
      </c>
      <c r="AN97" s="179">
        <f>AV$6</f>
        <v>3.5</v>
      </c>
      <c r="AO97" s="179">
        <f>IF(B101=2,"0",AO96*-(100-F100)/100)</f>
        <v>-1.0765066000000001</v>
      </c>
      <c r="AP97" s="463">
        <f>IF(AP98&lt;0,0,AP98*-(100-F100)/100)</f>
        <v>-2.3788041989958722E-2</v>
      </c>
      <c r="AQ97" s="179"/>
      <c r="AR97" s="463">
        <f>AR100*-(100-F101)/100</f>
        <v>-10.074999999999999</v>
      </c>
      <c r="AS97" s="471">
        <f>-AP96+AS100+(F96/365*AN100*F101/100)*G96</f>
        <v>157.04584628582535</v>
      </c>
      <c r="AT97" s="419"/>
      <c r="AU97" s="420"/>
      <c r="AV97" s="223"/>
      <c r="AW97" s="420"/>
      <c r="AX97" s="417"/>
      <c r="AY97" s="420"/>
      <c r="AZ97" s="223"/>
      <c r="BA97" s="419"/>
      <c r="BB97" s="223"/>
      <c r="BC97" s="223"/>
      <c r="BD97" s="223"/>
      <c r="BE97" s="223"/>
      <c r="BF97" s="416"/>
      <c r="BG97" s="418"/>
      <c r="BH97" s="416"/>
      <c r="BI97" s="416"/>
      <c r="BJ97" s="416"/>
      <c r="BK97" s="418"/>
      <c r="BL97" s="417"/>
      <c r="BM97" s="417"/>
      <c r="BN97" s="417"/>
      <c r="BO97" s="417"/>
      <c r="BP97" s="417"/>
      <c r="BQ97" s="417"/>
      <c r="BR97" s="417"/>
      <c r="BS97" s="417"/>
      <c r="BT97" s="412"/>
      <c r="BU97" s="412"/>
      <c r="BV97" s="412"/>
      <c r="BW97" s="412"/>
      <c r="BX97" s="415"/>
      <c r="BY97" s="389"/>
      <c r="BZ97" s="389"/>
      <c r="CA97" s="389"/>
      <c r="CB97" s="389"/>
      <c r="CC97" s="389"/>
      <c r="CD97" s="389"/>
      <c r="CE97" s="389"/>
      <c r="CF97" s="389"/>
      <c r="CG97" s="389"/>
      <c r="CH97" s="389"/>
      <c r="CI97" s="389"/>
      <c r="CJ97" s="389"/>
      <c r="CK97" s="389"/>
      <c r="CL97" s="389"/>
      <c r="CM97" s="389"/>
      <c r="CN97" s="389"/>
      <c r="CO97" s="389"/>
      <c r="CP97" s="389"/>
      <c r="CQ97" s="389"/>
      <c r="CR97" s="389"/>
      <c r="CS97" s="415"/>
      <c r="CT97" s="389"/>
      <c r="CU97" s="389"/>
      <c r="CV97" s="389"/>
      <c r="CW97" s="389"/>
      <c r="CX97" s="389"/>
      <c r="CY97" s="389"/>
      <c r="CZ97" s="389"/>
      <c r="DA97" s="389"/>
      <c r="DB97" s="389"/>
      <c r="DC97" s="389"/>
      <c r="DD97" s="389"/>
      <c r="DE97" s="389"/>
      <c r="DF97" s="389"/>
      <c r="DG97" s="389"/>
      <c r="DH97" s="389"/>
      <c r="DI97" s="389"/>
      <c r="DJ97" s="389"/>
      <c r="DK97" s="389"/>
      <c r="DL97" s="389"/>
      <c r="DM97" s="389"/>
      <c r="DN97" s="389"/>
      <c r="DO97" s="414"/>
      <c r="DP97" s="39"/>
      <c r="DQ97" s="39"/>
      <c r="DR97" s="39"/>
      <c r="DS97" s="39"/>
      <c r="DT97" s="39"/>
      <c r="DU97" s="39"/>
      <c r="DV97" s="39"/>
      <c r="DW97" s="39"/>
      <c r="DX97" s="39"/>
      <c r="DY97" s="39"/>
      <c r="DZ97" s="39"/>
      <c r="EA97" s="39"/>
      <c r="EB97" s="39"/>
      <c r="EC97" s="39"/>
      <c r="ED97" s="136"/>
      <c r="EE97" s="136"/>
      <c r="EF97" s="136"/>
      <c r="EG97" s="136"/>
      <c r="EH97" s="136"/>
      <c r="EI97" s="136"/>
      <c r="EJ97" s="136"/>
      <c r="EK97" s="136"/>
      <c r="EL97" s="136"/>
      <c r="EM97" s="136"/>
      <c r="EN97" s="136"/>
      <c r="EO97" s="136"/>
      <c r="EP97" s="136"/>
      <c r="EQ97" s="136"/>
      <c r="ER97" s="136"/>
      <c r="ES97" s="136"/>
      <c r="ET97" s="136"/>
      <c r="EU97" s="136"/>
      <c r="EV97" s="136"/>
      <c r="EW97" s="136"/>
      <c r="EX97" s="136"/>
      <c r="EY97" s="136"/>
      <c r="EZ97" s="136"/>
      <c r="FA97" s="136"/>
      <c r="FB97" s="136"/>
      <c r="FC97" s="136"/>
      <c r="FD97" s="136"/>
      <c r="FE97" s="136"/>
      <c r="FF97" s="136"/>
      <c r="FG97" s="136"/>
      <c r="FH97" s="136"/>
      <c r="FI97" s="136"/>
      <c r="FJ97" s="136"/>
      <c r="FK97" s="136"/>
      <c r="FL97" s="136"/>
      <c r="FM97" s="136"/>
      <c r="FN97" s="136"/>
      <c r="FO97" s="39"/>
      <c r="FP97" s="39"/>
      <c r="FQ97" s="39"/>
      <c r="FR97" s="412"/>
      <c r="FS97" s="412"/>
      <c r="FT97" s="412"/>
      <c r="FU97" s="412"/>
      <c r="FV97" s="412"/>
      <c r="FW97" s="412"/>
      <c r="FX97" s="412"/>
      <c r="FY97" s="412"/>
      <c r="FZ97" s="412"/>
      <c r="GA97" s="412"/>
      <c r="GB97" s="412"/>
      <c r="GC97" s="412"/>
      <c r="GD97" s="412"/>
      <c r="GE97" s="412"/>
      <c r="GF97" s="412"/>
      <c r="GG97" s="412"/>
      <c r="GH97" s="412"/>
      <c r="GI97" s="412"/>
      <c r="GJ97" s="412"/>
      <c r="GK97" s="412"/>
      <c r="GL97" s="412"/>
      <c r="GM97" s="412"/>
      <c r="GN97" s="412"/>
      <c r="GO97" s="412"/>
      <c r="GP97" s="412"/>
      <c r="GQ97" s="412"/>
      <c r="GR97" s="412"/>
      <c r="GS97" s="412"/>
      <c r="GT97" s="412"/>
      <c r="GU97" s="412"/>
      <c r="GV97" s="412"/>
      <c r="GW97" s="412"/>
      <c r="GX97" s="412"/>
      <c r="GY97" s="412"/>
      <c r="GZ97" s="412"/>
      <c r="HA97" s="412"/>
      <c r="HB97" s="412"/>
      <c r="HC97" s="412"/>
      <c r="HD97" s="412"/>
      <c r="HE97" s="412"/>
      <c r="HF97" s="412"/>
      <c r="HG97" s="136"/>
      <c r="HH97" s="136"/>
      <c r="HI97" s="136"/>
      <c r="HJ97" s="136"/>
      <c r="HK97" s="136"/>
      <c r="HL97" s="136"/>
      <c r="HM97" s="136"/>
      <c r="HN97" s="136"/>
      <c r="HO97" s="136"/>
      <c r="HP97" s="136"/>
      <c r="HQ97" s="136"/>
      <c r="HR97" s="136"/>
      <c r="HS97" s="136"/>
      <c r="HT97" s="136"/>
      <c r="HU97" s="278"/>
      <c r="HV97" s="277"/>
      <c r="HW97" s="277"/>
      <c r="HX97" s="277"/>
      <c r="HY97" s="277"/>
      <c r="HZ97" s="277"/>
      <c r="IA97" s="277"/>
      <c r="IB97" s="277"/>
      <c r="IC97" s="277"/>
      <c r="ID97" s="412"/>
      <c r="IE97" s="412"/>
      <c r="IF97" s="412"/>
      <c r="IG97" s="412"/>
      <c r="IH97" s="412"/>
      <c r="II97" s="412"/>
      <c r="IJ97" s="412"/>
      <c r="IK97" s="412"/>
      <c r="IL97" s="412"/>
      <c r="IM97" s="412"/>
      <c r="IN97" s="412"/>
      <c r="IO97" s="412"/>
      <c r="IP97" s="413"/>
      <c r="IQ97" s="389"/>
      <c r="IR97" s="389"/>
      <c r="IS97" s="389"/>
      <c r="IT97" s="389"/>
      <c r="IU97" s="389"/>
      <c r="IV97" s="389"/>
      <c r="IW97" s="389"/>
      <c r="IX97" s="389"/>
      <c r="IY97" s="389"/>
      <c r="IZ97" s="389"/>
      <c r="JA97" s="389"/>
      <c r="JB97" s="389"/>
      <c r="JC97" s="389"/>
      <c r="JD97" s="389"/>
      <c r="JE97" s="389"/>
      <c r="JF97" s="389"/>
      <c r="JG97" s="389"/>
      <c r="JH97" s="389"/>
      <c r="JI97" s="389"/>
      <c r="JJ97" s="389"/>
      <c r="JK97" s="389"/>
      <c r="JL97" s="389"/>
      <c r="JM97" s="389"/>
      <c r="JN97" s="389"/>
      <c r="JO97" s="389"/>
      <c r="JT97" s="553"/>
    </row>
    <row r="98" spans="1:302" ht="11.1" hidden="1" customHeight="1" outlineLevel="1">
      <c r="A98" s="8"/>
      <c r="B98" s="468">
        <f>VLOOKUP(B96,'[2]IBAN CONTI'!A$53:B$58,2,FALSE)</f>
        <v>4</v>
      </c>
      <c r="C98" s="536"/>
      <c r="D98" s="536"/>
      <c r="E98" s="766">
        <f ca="1">IF(B101=2,C96,COUPNCD($AB$2,C96,K98,AH100))</f>
        <v>45930</v>
      </c>
      <c r="F98" s="561"/>
      <c r="G98" s="431"/>
      <c r="H98" s="431"/>
      <c r="I98" s="528"/>
      <c r="J98" s="431"/>
      <c r="K98" s="223">
        <v>1</v>
      </c>
      <c r="L98" s="833"/>
      <c r="M98" s="720"/>
      <c r="N98" s="720"/>
      <c r="O98" s="223"/>
      <c r="P98" s="470"/>
      <c r="Q98" s="280"/>
      <c r="R98" s="526"/>
      <c r="S98" s="4"/>
      <c r="T98" s="431"/>
      <c r="U98" s="469"/>
      <c r="V98" s="4"/>
      <c r="W98" s="469"/>
      <c r="X98" s="442"/>
      <c r="Y98" s="22"/>
      <c r="Z98" s="22"/>
      <c r="AA98" s="22"/>
      <c r="AB98" s="979"/>
      <c r="AC98" s="431"/>
      <c r="AD98" s="560"/>
      <c r="AE98" s="431"/>
      <c r="AF98" s="468">
        <f>VLOOKUP(AF97,'[2]IBAN CONTI'!A$106:B$122,2,FALSE)</f>
        <v>1</v>
      </c>
      <c r="AG98" s="467">
        <f>VLOOKUP(A96,'[2]IBAN CONTI'!A$134:B$211,2,FALSE)</f>
        <v>31</v>
      </c>
      <c r="AH98" s="954"/>
      <c r="AI98" s="954"/>
      <c r="AJ98" s="1035" t="s">
        <v>189</v>
      </c>
      <c r="AK98" s="1039"/>
      <c r="AL98" s="54">
        <v>100</v>
      </c>
      <c r="AM98" s="535">
        <f>YEARFRAC(C96,AL96,AH100)</f>
        <v>5.9980445834962852</v>
      </c>
      <c r="AN98" s="456">
        <f>IF(B101=2,0,D97-AL96)</f>
        <v>39</v>
      </c>
      <c r="AO98" s="464">
        <f>IF(B101=2,AL97*(1+AM101)^AM100,AO99+AL97)</f>
        <v>99.495149246919226</v>
      </c>
      <c r="AP98" s="463">
        <f>IF(AF98=1,G96*AO99/100,A97/E97/100*AO99)</f>
        <v>9.1492469192148942E-2</v>
      </c>
      <c r="AQ98" s="221"/>
      <c r="AR98" s="463">
        <f>AL101*G96/100</f>
        <v>998.66359999999997</v>
      </c>
      <c r="AS98" s="462">
        <f>(AR101-AP101)*G96/100</f>
        <v>-15.869988041989984</v>
      </c>
      <c r="AT98" s="419"/>
      <c r="AU98" s="420"/>
      <c r="AV98" s="223"/>
      <c r="AW98" s="420"/>
      <c r="AX98" s="417"/>
      <c r="AY98" s="420"/>
      <c r="AZ98" s="223"/>
      <c r="BA98" s="419"/>
      <c r="BB98" s="223"/>
      <c r="BC98" s="223"/>
      <c r="BD98" s="223"/>
      <c r="BE98" s="223"/>
      <c r="BF98" s="416"/>
      <c r="BG98" s="418"/>
      <c r="BH98" s="416"/>
      <c r="BI98" s="416"/>
      <c r="BJ98" s="416"/>
      <c r="BK98" s="418"/>
      <c r="BL98" s="417"/>
      <c r="BM98" s="416"/>
      <c r="BN98" s="416"/>
      <c r="BO98" s="416"/>
      <c r="BP98" s="416"/>
      <c r="BQ98" s="416"/>
      <c r="BR98" s="416"/>
      <c r="BS98" s="416"/>
      <c r="BT98" s="389"/>
      <c r="BU98" s="389"/>
      <c r="BV98" s="389"/>
      <c r="BW98" s="389"/>
      <c r="BX98" s="415"/>
      <c r="BY98" s="389"/>
      <c r="BZ98" s="389"/>
      <c r="CA98" s="389"/>
      <c r="CB98" s="389"/>
      <c r="CC98" s="389"/>
      <c r="CD98" s="389"/>
      <c r="CE98" s="389"/>
      <c r="CF98" s="389"/>
      <c r="CG98" s="389"/>
      <c r="CH98" s="389"/>
      <c r="CI98" s="389"/>
      <c r="CJ98" s="389"/>
      <c r="CK98" s="389"/>
      <c r="CL98" s="389"/>
      <c r="CM98" s="389"/>
      <c r="CN98" s="389"/>
      <c r="CO98" s="389"/>
      <c r="CP98" s="389"/>
      <c r="CQ98" s="389"/>
      <c r="CR98" s="389"/>
      <c r="CS98" s="415"/>
      <c r="CT98" s="389"/>
      <c r="CU98" s="389"/>
      <c r="CV98" s="389"/>
      <c r="CW98" s="389"/>
      <c r="CX98" s="389"/>
      <c r="CY98" s="389"/>
      <c r="CZ98" s="389"/>
      <c r="DA98" s="389"/>
      <c r="DB98" s="389"/>
      <c r="DC98" s="389"/>
      <c r="DD98" s="389"/>
      <c r="DE98" s="389"/>
      <c r="DF98" s="389"/>
      <c r="DG98" s="389"/>
      <c r="DH98" s="389"/>
      <c r="DI98" s="389"/>
      <c r="DJ98" s="389"/>
      <c r="DK98" s="389"/>
      <c r="DL98" s="389"/>
      <c r="DM98" s="389"/>
      <c r="DN98" s="389"/>
      <c r="DO98" s="414"/>
      <c r="DP98" s="39"/>
      <c r="DQ98" s="39"/>
      <c r="DR98" s="39"/>
      <c r="DS98" s="39"/>
      <c r="DT98" s="39"/>
      <c r="DU98" s="39"/>
      <c r="DV98" s="39"/>
      <c r="DW98" s="39"/>
      <c r="DX98" s="39"/>
      <c r="DY98" s="39"/>
      <c r="DZ98" s="39"/>
      <c r="EA98" s="39"/>
      <c r="EB98" s="39"/>
      <c r="EC98" s="39"/>
      <c r="ED98" s="136"/>
      <c r="EE98" s="136"/>
      <c r="EF98" s="136"/>
      <c r="EG98" s="136"/>
      <c r="EH98" s="136"/>
      <c r="EI98" s="136"/>
      <c r="EJ98" s="136"/>
      <c r="EK98" s="136"/>
      <c r="EL98" s="136"/>
      <c r="EM98" s="136"/>
      <c r="EN98" s="136"/>
      <c r="EO98" s="136"/>
      <c r="EP98" s="136"/>
      <c r="EQ98" s="136"/>
      <c r="ER98" s="136"/>
      <c r="ES98" s="136"/>
      <c r="ET98" s="136"/>
      <c r="EU98" s="136"/>
      <c r="EV98" s="136"/>
      <c r="EW98" s="136"/>
      <c r="EX98" s="136"/>
      <c r="EY98" s="136"/>
      <c r="EZ98" s="136"/>
      <c r="FA98" s="136"/>
      <c r="FB98" s="136"/>
      <c r="FC98" s="136"/>
      <c r="FD98" s="136"/>
      <c r="FE98" s="136"/>
      <c r="FF98" s="136"/>
      <c r="FG98" s="136"/>
      <c r="FH98" s="136"/>
      <c r="FI98" s="136"/>
      <c r="FJ98" s="136"/>
      <c r="FK98" s="136"/>
      <c r="FL98" s="136"/>
      <c r="FM98" s="136"/>
      <c r="FN98" s="136"/>
      <c r="FO98" s="39"/>
      <c r="FP98" s="39"/>
      <c r="FQ98" s="39"/>
      <c r="FR98" s="412"/>
      <c r="FS98" s="412"/>
      <c r="FT98" s="412"/>
      <c r="FU98" s="412"/>
      <c r="FV98" s="412"/>
      <c r="FW98" s="412"/>
      <c r="FX98" s="412"/>
      <c r="FY98" s="412"/>
      <c r="FZ98" s="412"/>
      <c r="GA98" s="412"/>
      <c r="GB98" s="412"/>
      <c r="GC98" s="412"/>
      <c r="GD98" s="412"/>
      <c r="GE98" s="412"/>
      <c r="GF98" s="412"/>
      <c r="GG98" s="412"/>
      <c r="GH98" s="412"/>
      <c r="GI98" s="412"/>
      <c r="GJ98" s="412"/>
      <c r="GK98" s="412"/>
      <c r="GL98" s="412"/>
      <c r="GM98" s="412"/>
      <c r="GN98" s="412"/>
      <c r="GO98" s="412"/>
      <c r="GP98" s="412"/>
      <c r="GQ98" s="412"/>
      <c r="GR98" s="412"/>
      <c r="GS98" s="412"/>
      <c r="GT98" s="412"/>
      <c r="GU98" s="412"/>
      <c r="GV98" s="412"/>
      <c r="GW98" s="412"/>
      <c r="GX98" s="412"/>
      <c r="GY98" s="412"/>
      <c r="GZ98" s="412"/>
      <c r="HA98" s="412"/>
      <c r="HB98" s="412"/>
      <c r="HC98" s="412"/>
      <c r="HD98" s="412"/>
      <c r="HE98" s="412"/>
      <c r="HF98" s="412"/>
      <c r="HG98" s="136"/>
      <c r="HH98" s="136"/>
      <c r="HI98" s="136"/>
      <c r="HJ98" s="136"/>
      <c r="HK98" s="136"/>
      <c r="HL98" s="136"/>
      <c r="HM98" s="136"/>
      <c r="HN98" s="136"/>
      <c r="HO98" s="136"/>
      <c r="HP98" s="136"/>
      <c r="HQ98" s="136"/>
      <c r="HR98" s="136"/>
      <c r="HS98" s="136"/>
      <c r="HT98" s="136"/>
      <c r="HU98" s="278"/>
      <c r="HV98" s="277"/>
      <c r="HW98" s="277"/>
      <c r="HX98" s="277"/>
      <c r="HY98" s="277"/>
      <c r="HZ98" s="277"/>
      <c r="IA98" s="277"/>
      <c r="IB98" s="277"/>
      <c r="IC98" s="277"/>
      <c r="ID98" s="412"/>
      <c r="IE98" s="412"/>
      <c r="IF98" s="412"/>
      <c r="IG98" s="412"/>
      <c r="IH98" s="412"/>
      <c r="II98" s="412"/>
      <c r="IJ98" s="412"/>
      <c r="IK98" s="412"/>
      <c r="IL98" s="412"/>
      <c r="IM98" s="412"/>
      <c r="IN98" s="412"/>
      <c r="IO98" s="412"/>
      <c r="IP98" s="413"/>
      <c r="IQ98" s="389"/>
      <c r="IR98" s="389"/>
      <c r="IS98" s="389"/>
      <c r="IT98" s="389"/>
      <c r="IU98" s="389"/>
      <c r="IV98" s="389"/>
      <c r="IW98" s="389"/>
      <c r="IX98" s="389"/>
      <c r="IY98" s="389"/>
      <c r="IZ98" s="389"/>
      <c r="JA98" s="389"/>
      <c r="JB98" s="389"/>
      <c r="JC98" s="389"/>
      <c r="JD98" s="389"/>
      <c r="JE98" s="389"/>
      <c r="JF98" s="389"/>
      <c r="JG98" s="389"/>
      <c r="JH98" s="389"/>
      <c r="JI98" s="389"/>
      <c r="JJ98" s="389"/>
      <c r="JK98" s="389"/>
      <c r="JL98" s="389"/>
      <c r="JM98" s="389"/>
      <c r="JN98" s="389"/>
      <c r="JO98" s="389"/>
      <c r="JT98" s="553"/>
    </row>
    <row r="99" spans="1:302" ht="10.5" hidden="1" customHeight="1" outlineLevel="1">
      <c r="A99" s="559">
        <v>1</v>
      </c>
      <c r="B99" s="990" t="s">
        <v>183</v>
      </c>
      <c r="C99" s="990"/>
      <c r="D99" s="452">
        <f>COUPPCD(D97,C96,K98,AH100)</f>
        <v>45565</v>
      </c>
      <c r="E99" s="18"/>
      <c r="F99" s="15"/>
      <c r="G99" s="985">
        <v>2030</v>
      </c>
      <c r="H99" s="431"/>
      <c r="I99" s="528"/>
      <c r="J99" s="431"/>
      <c r="K99" s="987" t="s">
        <v>188</v>
      </c>
      <c r="L99" s="833"/>
      <c r="M99" s="720"/>
      <c r="N99" s="720"/>
      <c r="O99" s="223"/>
      <c r="P99" s="558"/>
      <c r="Q99" s="280"/>
      <c r="R99" s="526"/>
      <c r="S99" s="15"/>
      <c r="T99" s="431"/>
      <c r="U99" s="15"/>
      <c r="V99" s="15"/>
      <c r="W99" s="15"/>
      <c r="X99" s="442"/>
      <c r="Y99" s="430"/>
      <c r="Z99" s="430"/>
      <c r="AA99" s="430"/>
      <c r="AB99" s="533"/>
      <c r="AC99" s="431"/>
      <c r="AD99" s="78"/>
      <c r="AE99" s="431"/>
      <c r="AF99" s="557"/>
      <c r="AG99" s="490"/>
      <c r="AH99" s="457"/>
      <c r="AI99" s="457"/>
      <c r="AJ99" s="1037"/>
      <c r="AK99" s="990"/>
      <c r="AL99" s="427">
        <f>AL98-AL97</f>
        <v>0.51399999999999579</v>
      </c>
      <c r="AM99" s="532">
        <f>C96-AL96</f>
        <v>2191</v>
      </c>
      <c r="AN99" s="530">
        <f>IF(OR(K98&lt;&gt;1,AN98&gt;365),COUPDAYBS(D97,C96,K98,AH100),AN98)</f>
        <v>39</v>
      </c>
      <c r="AO99" s="424">
        <f>IF(B101=2,AO98-AL97,AL99/AM99*AN98)</f>
        <v>9.1492469192148949E-3</v>
      </c>
      <c r="AP99" s="455">
        <f>IF(B101=4,FLOOR(F96/K98*AN99/(D100-D99)*100,0.000001),IF(AH100=4,YEARFRAC(D99,D97,0)*F96*100,IF(B101=3,IF(OR(AH100=4,AH100=2),(F98*(AN99))/(360)*100,(F98*(AN99))/(365)*100),FLOOR(F96/K98*AN99/(D100-D99)*100,0.000001))))</f>
        <v>0.41404099999999999</v>
      </c>
      <c r="AQ99" s="454"/>
      <c r="AR99" s="555">
        <f>AL99*G96/100</f>
        <v>5.1399999999999579</v>
      </c>
      <c r="AS99" s="422">
        <f>IF(AS98&lt;0,0,AS98*(100-F101)/100)</f>
        <v>0</v>
      </c>
      <c r="AT99" s="419"/>
      <c r="AU99" s="420"/>
      <c r="AV99" s="223"/>
      <c r="AW99" s="420"/>
      <c r="AX99" s="417"/>
      <c r="AY99" s="420"/>
      <c r="AZ99" s="223"/>
      <c r="BA99" s="419"/>
      <c r="BB99" s="223"/>
      <c r="BC99" s="223"/>
      <c r="BD99" s="223"/>
      <c r="BE99" s="223"/>
      <c r="BF99" s="416"/>
      <c r="BG99" s="418"/>
      <c r="BH99" s="416"/>
      <c r="BI99" s="416"/>
      <c r="BJ99" s="416"/>
      <c r="BK99" s="418"/>
      <c r="BL99" s="417"/>
      <c r="BM99" s="416"/>
      <c r="BN99" s="416"/>
      <c r="BO99" s="416"/>
      <c r="BP99" s="416"/>
      <c r="BQ99" s="416"/>
      <c r="BR99" s="416"/>
      <c r="BS99" s="416"/>
      <c r="BT99" s="389"/>
      <c r="BU99" s="389"/>
      <c r="BV99" s="389"/>
      <c r="BW99" s="389"/>
      <c r="BX99" s="415"/>
      <c r="BY99" s="389"/>
      <c r="BZ99" s="389"/>
      <c r="CA99" s="389"/>
      <c r="CB99" s="389"/>
      <c r="CC99" s="389"/>
      <c r="CD99" s="389"/>
      <c r="CE99" s="389"/>
      <c r="CF99" s="389"/>
      <c r="CG99" s="389"/>
      <c r="CH99" s="389"/>
      <c r="CI99" s="389"/>
      <c r="CJ99" s="389"/>
      <c r="CK99" s="389"/>
      <c r="CL99" s="389"/>
      <c r="CM99" s="389"/>
      <c r="CN99" s="389"/>
      <c r="CO99" s="389"/>
      <c r="CP99" s="389"/>
      <c r="CQ99" s="389"/>
      <c r="CR99" s="389"/>
      <c r="CS99" s="415"/>
      <c r="CT99" s="389"/>
      <c r="CU99" s="389"/>
      <c r="CV99" s="389"/>
      <c r="CW99" s="389"/>
      <c r="CX99" s="389"/>
      <c r="CY99" s="389"/>
      <c r="CZ99" s="389"/>
      <c r="DA99" s="389"/>
      <c r="DB99" s="389"/>
      <c r="DC99" s="389"/>
      <c r="DD99" s="389"/>
      <c r="DE99" s="389"/>
      <c r="DF99" s="389"/>
      <c r="DG99" s="389"/>
      <c r="DH99" s="389"/>
      <c r="DI99" s="389"/>
      <c r="DJ99" s="389"/>
      <c r="DK99" s="389"/>
      <c r="DL99" s="389"/>
      <c r="DM99" s="389"/>
      <c r="DN99" s="389"/>
      <c r="DO99" s="414"/>
      <c r="DP99" s="39"/>
      <c r="DQ99" s="39"/>
      <c r="DR99" s="39"/>
      <c r="DS99" s="39"/>
      <c r="DT99" s="39"/>
      <c r="DU99" s="39"/>
      <c r="DV99" s="39"/>
      <c r="DW99" s="39"/>
      <c r="DX99" s="39"/>
      <c r="DY99" s="39"/>
      <c r="DZ99" s="39"/>
      <c r="EA99" s="39"/>
      <c r="EB99" s="39"/>
      <c r="EC99" s="39"/>
      <c r="ED99" s="136"/>
      <c r="EE99" s="136"/>
      <c r="EF99" s="136"/>
      <c r="EG99" s="136"/>
      <c r="EH99" s="136"/>
      <c r="EI99" s="136"/>
      <c r="EJ99" s="136"/>
      <c r="EK99" s="136"/>
      <c r="EL99" s="136"/>
      <c r="EM99" s="136"/>
      <c r="EN99" s="136"/>
      <c r="EO99" s="136"/>
      <c r="EP99" s="136"/>
      <c r="EQ99" s="136"/>
      <c r="ER99" s="136"/>
      <c r="ES99" s="136"/>
      <c r="ET99" s="136"/>
      <c r="EU99" s="136"/>
      <c r="EV99" s="136"/>
      <c r="EW99" s="136"/>
      <c r="EX99" s="136"/>
      <c r="EY99" s="136"/>
      <c r="EZ99" s="136"/>
      <c r="FA99" s="136"/>
      <c r="FB99" s="136"/>
      <c r="FC99" s="136"/>
      <c r="FD99" s="136"/>
      <c r="FE99" s="136"/>
      <c r="FF99" s="136"/>
      <c r="FG99" s="136"/>
      <c r="FH99" s="136"/>
      <c r="FI99" s="136"/>
      <c r="FJ99" s="136"/>
      <c r="FK99" s="136"/>
      <c r="FL99" s="136"/>
      <c r="FM99" s="136"/>
      <c r="FN99" s="136"/>
      <c r="FO99" s="39"/>
      <c r="FP99" s="39"/>
      <c r="FQ99" s="39"/>
      <c r="FR99" s="412"/>
      <c r="FS99" s="412"/>
      <c r="FT99" s="412"/>
      <c r="FU99" s="412"/>
      <c r="FV99" s="412"/>
      <c r="FW99" s="412"/>
      <c r="FX99" s="412"/>
      <c r="FY99" s="412"/>
      <c r="FZ99" s="412"/>
      <c r="GA99" s="412"/>
      <c r="GB99" s="412"/>
      <c r="GC99" s="412"/>
      <c r="GD99" s="412"/>
      <c r="GE99" s="412"/>
      <c r="GF99" s="412"/>
      <c r="GG99" s="412"/>
      <c r="GH99" s="412"/>
      <c r="GI99" s="412"/>
      <c r="GJ99" s="412"/>
      <c r="GK99" s="412"/>
      <c r="GL99" s="412"/>
      <c r="GM99" s="412"/>
      <c r="GN99" s="412"/>
      <c r="GO99" s="412"/>
      <c r="GP99" s="412"/>
      <c r="GQ99" s="412"/>
      <c r="GR99" s="412"/>
      <c r="GS99" s="412"/>
      <c r="GT99" s="412"/>
      <c r="GU99" s="412"/>
      <c r="GV99" s="412"/>
      <c r="GW99" s="412"/>
      <c r="GX99" s="412"/>
      <c r="GY99" s="412"/>
      <c r="GZ99" s="412"/>
      <c r="HA99" s="412"/>
      <c r="HB99" s="412"/>
      <c r="HC99" s="412"/>
      <c r="HD99" s="412"/>
      <c r="HE99" s="412"/>
      <c r="HF99" s="412"/>
      <c r="HG99" s="136"/>
      <c r="HH99" s="136"/>
      <c r="HI99" s="136"/>
      <c r="HJ99" s="136"/>
      <c r="HK99" s="136"/>
      <c r="HL99" s="136"/>
      <c r="HM99" s="136"/>
      <c r="HN99" s="136"/>
      <c r="HO99" s="136"/>
      <c r="HP99" s="136"/>
      <c r="HQ99" s="136"/>
      <c r="HR99" s="136"/>
      <c r="HS99" s="136"/>
      <c r="HT99" s="136"/>
      <c r="HU99" s="278"/>
      <c r="HV99" s="277"/>
      <c r="HW99" s="277"/>
      <c r="HX99" s="277"/>
      <c r="HY99" s="277"/>
      <c r="HZ99" s="277"/>
      <c r="IA99" s="277"/>
      <c r="IB99" s="277"/>
      <c r="IC99" s="277"/>
      <c r="ID99" s="412"/>
      <c r="IE99" s="412"/>
      <c r="IF99" s="412"/>
      <c r="IG99" s="412"/>
      <c r="IH99" s="412"/>
      <c r="II99" s="412"/>
      <c r="IJ99" s="412"/>
      <c r="IK99" s="412"/>
      <c r="IL99" s="412"/>
      <c r="IM99" s="412"/>
      <c r="IN99" s="412"/>
      <c r="IO99" s="412"/>
      <c r="IP99" s="413"/>
      <c r="IQ99" s="389"/>
      <c r="IR99" s="389"/>
      <c r="IS99" s="389"/>
      <c r="IT99" s="389"/>
      <c r="IU99" s="389"/>
      <c r="IV99" s="389"/>
      <c r="IW99" s="389"/>
      <c r="IX99" s="389"/>
      <c r="IY99" s="389"/>
      <c r="IZ99" s="389"/>
      <c r="JA99" s="389"/>
      <c r="JB99" s="389"/>
      <c r="JC99" s="389"/>
      <c r="JD99" s="389"/>
      <c r="JE99" s="389"/>
      <c r="JF99" s="389"/>
      <c r="JG99" s="389"/>
      <c r="JH99" s="389"/>
      <c r="JI99" s="389"/>
      <c r="JJ99" s="389"/>
      <c r="JK99" s="389"/>
      <c r="JL99" s="389"/>
      <c r="JM99" s="389"/>
      <c r="JN99" s="389"/>
      <c r="JO99" s="389"/>
      <c r="JT99" s="553"/>
    </row>
    <row r="100" spans="1:302" ht="10.5" hidden="1" customHeight="1" outlineLevel="1" thickBot="1">
      <c r="A100" s="8"/>
      <c r="B100" s="990"/>
      <c r="C100" s="990"/>
      <c r="D100" s="452">
        <f>COUPNCD(D97,C96,K98,AH100)</f>
        <v>45930</v>
      </c>
      <c r="E100" s="932" t="s">
        <v>182</v>
      </c>
      <c r="F100" s="451" t="str">
        <f>IF(E101=1,"87,5",IF(D96&lt;40908,87.5,IF(D96&lt;41820,"80","74")))</f>
        <v>74</v>
      </c>
      <c r="G100" s="986"/>
      <c r="H100" s="431"/>
      <c r="I100" s="528"/>
      <c r="J100" s="431"/>
      <c r="K100" s="987"/>
      <c r="L100" s="833"/>
      <c r="M100" s="720"/>
      <c r="N100" s="720"/>
      <c r="O100" s="223"/>
      <c r="P100" s="558"/>
      <c r="Q100" s="280"/>
      <c r="R100" s="526"/>
      <c r="S100" s="15"/>
      <c r="T100" s="431"/>
      <c r="U100" s="15"/>
      <c r="V100" s="15"/>
      <c r="W100" s="15"/>
      <c r="X100" s="442"/>
      <c r="Y100" s="430"/>
      <c r="Z100" s="430"/>
      <c r="AA100" s="430"/>
      <c r="AB100" s="78"/>
      <c r="AC100" s="431"/>
      <c r="AD100" s="78"/>
      <c r="AE100" s="431"/>
      <c r="AF100" s="557"/>
      <c r="AG100" s="490"/>
      <c r="AH100" s="419">
        <f>VLOOKUP(AH97,'[2]IBAN CONTI'!A:B,2,FALSE)</f>
        <v>1</v>
      </c>
      <c r="AI100" s="419"/>
      <c r="AJ100" s="1033">
        <f>VLOOKUP(AJ98,'[2]IBAN CONTI'!A$67:B$77,2,FALSE)</f>
        <v>3</v>
      </c>
      <c r="AK100" s="1034"/>
      <c r="AL100" s="556">
        <f>AL97</f>
        <v>99.486000000000004</v>
      </c>
      <c r="AM100" s="449">
        <f>IF(B101=1,YEARFRAC(D97,C96,AH100),IF(B101=2,YEARFRAC(AL96,D97,AH100)))</f>
        <v>5.8912788423934304</v>
      </c>
      <c r="AN100" s="530">
        <f>IF(B101=2,0,C96-D97-(365-AN99))</f>
        <v>1826</v>
      </c>
      <c r="AO100" s="424">
        <f>E96-AO99</f>
        <v>100.61085075308078</v>
      </c>
      <c r="AP100" s="447">
        <f>E96+AO101+AP99+0.1</f>
        <v>101.131662195801</v>
      </c>
      <c r="AQ100" s="446"/>
      <c r="AR100" s="463">
        <f>IF(B101=3,F98*G96,F96*G96)</f>
        <v>38.75</v>
      </c>
      <c r="AS100" s="421">
        <f>AR96-AS99</f>
        <v>1027.3385999999998</v>
      </c>
      <c r="AT100" s="419"/>
      <c r="AU100" s="420"/>
      <c r="AV100" s="223"/>
      <c r="AW100" s="420"/>
      <c r="AX100" s="417"/>
      <c r="AY100" s="420"/>
      <c r="AZ100" s="223"/>
      <c r="BA100" s="419"/>
      <c r="BB100" s="223"/>
      <c r="BC100" s="223"/>
      <c r="BD100" s="223"/>
      <c r="BE100" s="223"/>
      <c r="BF100" s="416"/>
      <c r="BG100" s="418"/>
      <c r="BH100" s="416"/>
      <c r="BI100" s="416"/>
      <c r="BJ100" s="416"/>
      <c r="BK100" s="418"/>
      <c r="BL100" s="417"/>
      <c r="BM100" s="416"/>
      <c r="BN100" s="416"/>
      <c r="BO100" s="416"/>
      <c r="BP100" s="416"/>
      <c r="BQ100" s="416"/>
      <c r="BR100" s="416"/>
      <c r="BS100" s="416"/>
      <c r="BT100" s="389"/>
      <c r="BU100" s="389"/>
      <c r="BV100" s="389"/>
      <c r="BW100" s="389"/>
      <c r="BX100" s="415"/>
      <c r="BY100" s="389"/>
      <c r="BZ100" s="389"/>
      <c r="CA100" s="389"/>
      <c r="CB100" s="389"/>
      <c r="CC100" s="389"/>
      <c r="CD100" s="389"/>
      <c r="CE100" s="389"/>
      <c r="CF100" s="389"/>
      <c r="CG100" s="389"/>
      <c r="CH100" s="389"/>
      <c r="CI100" s="389"/>
      <c r="CJ100" s="389"/>
      <c r="CK100" s="389"/>
      <c r="CL100" s="389"/>
      <c r="CM100" s="389"/>
      <c r="CN100" s="389"/>
      <c r="CO100" s="389"/>
      <c r="CP100" s="389"/>
      <c r="CQ100" s="389"/>
      <c r="CR100" s="389"/>
      <c r="CS100" s="415"/>
      <c r="CT100" s="389"/>
      <c r="CU100" s="389"/>
      <c r="CV100" s="389"/>
      <c r="CW100" s="389"/>
      <c r="CX100" s="389"/>
      <c r="CY100" s="389"/>
      <c r="CZ100" s="389"/>
      <c r="DA100" s="389"/>
      <c r="DB100" s="389"/>
      <c r="DC100" s="389"/>
      <c r="DD100" s="389"/>
      <c r="DE100" s="389"/>
      <c r="DF100" s="389"/>
      <c r="DG100" s="389"/>
      <c r="DH100" s="389"/>
      <c r="DI100" s="389"/>
      <c r="DJ100" s="389"/>
      <c r="DK100" s="389"/>
      <c r="DL100" s="389"/>
      <c r="DM100" s="389"/>
      <c r="DN100" s="389"/>
      <c r="DO100" s="414"/>
      <c r="DP100" s="39"/>
      <c r="DQ100" s="39"/>
      <c r="DR100" s="39"/>
      <c r="DS100" s="136"/>
      <c r="DT100" s="136"/>
      <c r="DU100" s="136"/>
      <c r="DV100" s="136"/>
      <c r="DW100" s="136"/>
      <c r="DX100" s="136"/>
      <c r="DY100" s="136"/>
      <c r="DZ100" s="136"/>
      <c r="EA100" s="136"/>
      <c r="EB100" s="136"/>
      <c r="EC100" s="136"/>
      <c r="ED100" s="136"/>
      <c r="EE100" s="136"/>
      <c r="EF100" s="136"/>
      <c r="EG100" s="136"/>
      <c r="EH100" s="136"/>
      <c r="EI100" s="136"/>
      <c r="EJ100" s="136"/>
      <c r="EK100" s="136"/>
      <c r="EL100" s="136"/>
      <c r="EM100" s="136"/>
      <c r="EN100" s="136"/>
      <c r="EO100" s="136"/>
      <c r="EP100" s="136"/>
      <c r="EQ100" s="136"/>
      <c r="ER100" s="136"/>
      <c r="ES100" s="136"/>
      <c r="ET100" s="136"/>
      <c r="EU100" s="136"/>
      <c r="EV100" s="136"/>
      <c r="EW100" s="136"/>
      <c r="EX100" s="136"/>
      <c r="EY100" s="136"/>
      <c r="EZ100" s="136"/>
      <c r="FA100" s="136"/>
      <c r="FB100" s="136"/>
      <c r="FC100" s="136"/>
      <c r="FD100" s="136"/>
      <c r="FE100" s="136"/>
      <c r="FF100" s="136"/>
      <c r="FG100" s="136"/>
      <c r="FH100" s="136"/>
      <c r="FI100" s="136"/>
      <c r="FJ100" s="136"/>
      <c r="FK100" s="136"/>
      <c r="FL100" s="136"/>
      <c r="FM100" s="136"/>
      <c r="FN100" s="136"/>
      <c r="FO100" s="136"/>
      <c r="FP100" s="136"/>
      <c r="FQ100" s="136"/>
      <c r="FR100" s="412"/>
      <c r="FS100" s="412"/>
      <c r="FT100" s="412"/>
      <c r="FU100" s="412"/>
      <c r="FV100" s="412"/>
      <c r="FW100" s="412"/>
      <c r="FX100" s="412"/>
      <c r="FY100" s="412"/>
      <c r="FZ100" s="412"/>
      <c r="GA100" s="412"/>
      <c r="GB100" s="412"/>
      <c r="GC100" s="412"/>
      <c r="GD100" s="412"/>
      <c r="GE100" s="412"/>
      <c r="GF100" s="412"/>
      <c r="GG100" s="412"/>
      <c r="GH100" s="412"/>
      <c r="GI100" s="412"/>
      <c r="GJ100" s="412"/>
      <c r="GK100" s="412"/>
      <c r="GL100" s="412"/>
      <c r="GM100" s="412"/>
      <c r="GN100" s="412"/>
      <c r="GO100" s="412"/>
      <c r="GP100" s="412"/>
      <c r="GQ100" s="412"/>
      <c r="GR100" s="412"/>
      <c r="GS100" s="412"/>
      <c r="GT100" s="412"/>
      <c r="GU100" s="412"/>
      <c r="GV100" s="412"/>
      <c r="GW100" s="412"/>
      <c r="GX100" s="412"/>
      <c r="GY100" s="412"/>
      <c r="GZ100" s="412"/>
      <c r="HA100" s="412"/>
      <c r="HB100" s="412"/>
      <c r="HC100" s="412"/>
      <c r="HD100" s="412"/>
      <c r="HE100" s="412"/>
      <c r="HF100" s="412"/>
      <c r="HG100" s="136"/>
      <c r="HH100" s="136"/>
      <c r="HI100" s="136"/>
      <c r="HJ100" s="136"/>
      <c r="HK100" s="136"/>
      <c r="HL100" s="136"/>
      <c r="HM100" s="136"/>
      <c r="HN100" s="136"/>
      <c r="HO100" s="136"/>
      <c r="HP100" s="136"/>
      <c r="HQ100" s="136"/>
      <c r="HR100" s="136"/>
      <c r="HS100" s="136"/>
      <c r="HT100" s="136"/>
      <c r="HU100" s="278"/>
      <c r="HV100" s="277"/>
      <c r="HW100" s="277"/>
      <c r="HX100" s="277"/>
      <c r="HY100" s="277"/>
      <c r="HZ100" s="277"/>
      <c r="IA100" s="277"/>
      <c r="IB100" s="277"/>
      <c r="IC100" s="277"/>
      <c r="ID100" s="412"/>
      <c r="IE100" s="412"/>
      <c r="IF100" s="412"/>
      <c r="IG100" s="412"/>
      <c r="IH100" s="412"/>
      <c r="II100" s="412"/>
      <c r="IJ100" s="412"/>
      <c r="IK100" s="412"/>
      <c r="IL100" s="412"/>
      <c r="IM100" s="412"/>
      <c r="IN100" s="412"/>
      <c r="IO100" s="412"/>
      <c r="IP100" s="413"/>
      <c r="IQ100" s="389"/>
      <c r="IR100" s="389"/>
      <c r="IS100" s="389"/>
      <c r="IT100" s="389"/>
      <c r="IU100" s="389"/>
      <c r="IV100" s="389"/>
      <c r="IW100" s="389"/>
      <c r="IX100" s="389"/>
      <c r="IY100" s="389"/>
      <c r="IZ100" s="389"/>
      <c r="JA100" s="389"/>
      <c r="JB100" s="389"/>
      <c r="JC100" s="389"/>
      <c r="JD100" s="389"/>
      <c r="JE100" s="389"/>
      <c r="JF100" s="389"/>
      <c r="JG100" s="389"/>
      <c r="JH100" s="389"/>
      <c r="JI100" s="389"/>
      <c r="JJ100" s="389"/>
      <c r="JK100" s="389"/>
      <c r="JL100" s="389"/>
      <c r="JM100" s="389"/>
      <c r="JN100" s="389"/>
      <c r="JO100" s="389"/>
      <c r="JT100" s="553"/>
    </row>
    <row r="101" spans="1:302" ht="11.1" hidden="1" customHeight="1" outlineLevel="1" thickBot="1">
      <c r="A101" s="529">
        <v>1</v>
      </c>
      <c r="B101" s="989">
        <f>VLOOKUP(B99,'[2]IBAN CONTI'!A$1:B$65562,2,FALSE)</f>
        <v>1</v>
      </c>
      <c r="C101" s="989"/>
      <c r="D101" s="431"/>
      <c r="E101" s="933">
        <f>VLOOKUP(E100,'[2]IBAN CONTI'!A:B,2,FALSE)</f>
        <v>2</v>
      </c>
      <c r="F101" s="444" t="str">
        <f>IF(E101=1,"87,5","74")</f>
        <v>74</v>
      </c>
      <c r="G101" s="443">
        <f>VLOOKUP(G99,'[2]IBAN CONTI'!A$244:B$273,2,FALSE)</f>
        <v>19</v>
      </c>
      <c r="H101" s="431"/>
      <c r="I101" s="528"/>
      <c r="J101" s="431"/>
      <c r="K101" s="433">
        <f>VLOOKUP(K99,'[2]IBAN CONTI'!A$80:B$101,2,FALSE)</f>
        <v>5</v>
      </c>
      <c r="L101" s="833"/>
      <c r="M101" s="720"/>
      <c r="N101" s="720"/>
      <c r="O101" s="223"/>
      <c r="P101" s="284"/>
      <c r="Q101" s="280"/>
      <c r="R101" s="526"/>
      <c r="S101" s="15"/>
      <c r="T101" s="431"/>
      <c r="U101" s="15"/>
      <c r="V101" s="15"/>
      <c r="W101" s="15"/>
      <c r="X101" s="594">
        <f ca="1">X96-$AF$2</f>
        <v>-4657.6850547453723</v>
      </c>
      <c r="Y101" s="430"/>
      <c r="Z101" s="430"/>
      <c r="AA101" s="430"/>
      <c r="AB101" s="78"/>
      <c r="AC101" s="431"/>
      <c r="AD101" s="117"/>
      <c r="AE101" s="431"/>
      <c r="AF101" s="1012">
        <v>-40469.71</v>
      </c>
      <c r="AG101" s="1012"/>
      <c r="AH101" s="552"/>
      <c r="AI101" s="552"/>
      <c r="AJ101" s="441" t="s">
        <v>172</v>
      </c>
      <c r="AK101" s="440">
        <f>VLOOKUP(AJ101,'[2]IBAN CONTI'!A$61:B$64,2,FALSE)</f>
        <v>1</v>
      </c>
      <c r="AL101" s="427">
        <f>AL98-AL99*(100-F101)/100</f>
        <v>99.86636</v>
      </c>
      <c r="AM101" s="524" t="str">
        <f>IF(B101=2,10^((LOG(AL98/AL97))/AM98)-1,"")</f>
        <v/>
      </c>
      <c r="AN101" s="422">
        <f>IF(B101=4,A98*E96/100,IF(AF98=1,G96*E96/100,A97/E97*E96/100))</f>
        <v>1006.2</v>
      </c>
      <c r="AO101" s="425">
        <f>-AO99*(100-F100)/100</f>
        <v>-2.3788041989958727E-3</v>
      </c>
      <c r="AP101" s="438">
        <f>IF(B101=2,(AN101-AP98+AN96+AN97)/G96*100,(AN101-AP97+AN96+AN97)/G96*100)</f>
        <v>101.072998804199</v>
      </c>
      <c r="AQ101" s="423"/>
      <c r="AR101" s="555">
        <f>AL97</f>
        <v>99.486000000000004</v>
      </c>
      <c r="AS101" s="421"/>
      <c r="AT101" s="419"/>
      <c r="AU101" s="420"/>
      <c r="AV101" s="223"/>
      <c r="AW101" s="420"/>
      <c r="AX101" s="417"/>
      <c r="AY101" s="420"/>
      <c r="AZ101" s="223"/>
      <c r="BA101" s="419"/>
      <c r="BB101" s="223"/>
      <c r="BC101" s="223"/>
      <c r="BD101" s="223"/>
      <c r="BE101" s="223"/>
      <c r="BF101" s="416"/>
      <c r="BG101" s="418"/>
      <c r="BH101" s="416"/>
      <c r="BI101" s="416"/>
      <c r="BJ101" s="416"/>
      <c r="BK101" s="418"/>
      <c r="BL101" s="417"/>
      <c r="BM101" s="416"/>
      <c r="BN101" s="416"/>
      <c r="BO101" s="416"/>
      <c r="BP101" s="416"/>
      <c r="BQ101" s="416"/>
      <c r="BR101" s="416"/>
      <c r="BS101" s="416"/>
      <c r="BT101" s="389"/>
      <c r="BU101" s="389"/>
      <c r="BV101" s="389"/>
      <c r="BW101" s="389"/>
      <c r="BX101" s="415"/>
      <c r="BY101" s="389"/>
      <c r="BZ101" s="389"/>
      <c r="CA101" s="389"/>
      <c r="CB101" s="389"/>
      <c r="CC101" s="389"/>
      <c r="CD101" s="389"/>
      <c r="CE101" s="389"/>
      <c r="CF101" s="389"/>
      <c r="CG101" s="389"/>
      <c r="CH101" s="389"/>
      <c r="CI101" s="389"/>
      <c r="CJ101" s="389"/>
      <c r="CK101" s="389"/>
      <c r="CL101" s="389"/>
      <c r="CM101" s="389"/>
      <c r="CN101" s="389"/>
      <c r="CO101" s="389"/>
      <c r="CP101" s="389"/>
      <c r="CQ101" s="389"/>
      <c r="CR101" s="389"/>
      <c r="CS101" s="415"/>
      <c r="CT101" s="389"/>
      <c r="CU101" s="389"/>
      <c r="CV101" s="389"/>
      <c r="CW101" s="389"/>
      <c r="CX101" s="389"/>
      <c r="CY101" s="389"/>
      <c r="CZ101" s="389"/>
      <c r="DA101" s="389"/>
      <c r="DB101" s="389"/>
      <c r="DC101" s="389"/>
      <c r="DD101" s="389"/>
      <c r="DE101" s="389"/>
      <c r="DF101" s="389"/>
      <c r="DG101" s="389"/>
      <c r="DH101" s="389"/>
      <c r="DI101" s="389"/>
      <c r="DJ101" s="389"/>
      <c r="DK101" s="389"/>
      <c r="DL101" s="389"/>
      <c r="DM101" s="389"/>
      <c r="DN101" s="389"/>
      <c r="DO101" s="414"/>
      <c r="DP101" s="39"/>
      <c r="DQ101" s="39"/>
      <c r="DR101" s="39"/>
      <c r="DS101" s="136"/>
      <c r="DT101" s="136"/>
      <c r="DU101" s="136"/>
      <c r="DV101" s="136"/>
      <c r="DW101" s="136"/>
      <c r="DX101" s="136"/>
      <c r="DY101" s="136"/>
      <c r="DZ101" s="136"/>
      <c r="EA101" s="136"/>
      <c r="EB101" s="136"/>
      <c r="EC101" s="136"/>
      <c r="ED101" s="136"/>
      <c r="EE101" s="136"/>
      <c r="EF101" s="136"/>
      <c r="EG101" s="136"/>
      <c r="EH101" s="136"/>
      <c r="EI101" s="136"/>
      <c r="EJ101" s="136"/>
      <c r="EK101" s="136"/>
      <c r="EL101" s="136"/>
      <c r="EM101" s="136"/>
      <c r="EN101" s="136"/>
      <c r="EO101" s="136"/>
      <c r="EP101" s="136"/>
      <c r="EQ101" s="136"/>
      <c r="ER101" s="136"/>
      <c r="ES101" s="136"/>
      <c r="ET101" s="136"/>
      <c r="EU101" s="136"/>
      <c r="EV101" s="136"/>
      <c r="EW101" s="136"/>
      <c r="EX101" s="136"/>
      <c r="EY101" s="136"/>
      <c r="EZ101" s="136"/>
      <c r="FA101" s="136"/>
      <c r="FB101" s="136"/>
      <c r="FC101" s="136"/>
      <c r="FD101" s="136"/>
      <c r="FE101" s="136"/>
      <c r="FF101" s="136"/>
      <c r="FG101" s="136"/>
      <c r="FH101" s="136"/>
      <c r="FI101" s="136"/>
      <c r="FJ101" s="136"/>
      <c r="FK101" s="136"/>
      <c r="FL101" s="136"/>
      <c r="FM101" s="136"/>
      <c r="FN101" s="136"/>
      <c r="FO101" s="136"/>
      <c r="FP101" s="136"/>
      <c r="FQ101" s="136"/>
      <c r="FR101" s="412"/>
      <c r="FS101" s="412"/>
      <c r="FT101" s="412"/>
      <c r="FU101" s="412"/>
      <c r="FV101" s="412"/>
      <c r="FW101" s="412"/>
      <c r="FX101" s="412"/>
      <c r="FY101" s="412"/>
      <c r="FZ101" s="412"/>
      <c r="GA101" s="412"/>
      <c r="GB101" s="412"/>
      <c r="GC101" s="412"/>
      <c r="GD101" s="412"/>
      <c r="GE101" s="412"/>
      <c r="GF101" s="412"/>
      <c r="GG101" s="412"/>
      <c r="GH101" s="412"/>
      <c r="GI101" s="412"/>
      <c r="GJ101" s="412"/>
      <c r="GK101" s="412"/>
      <c r="GL101" s="412"/>
      <c r="GM101" s="412"/>
      <c r="GN101" s="412"/>
      <c r="GO101" s="412"/>
      <c r="GP101" s="412"/>
      <c r="GQ101" s="412"/>
      <c r="GR101" s="412"/>
      <c r="GS101" s="412"/>
      <c r="GT101" s="412"/>
      <c r="GU101" s="412"/>
      <c r="GV101" s="412"/>
      <c r="GW101" s="412"/>
      <c r="GX101" s="412"/>
      <c r="GY101" s="412"/>
      <c r="GZ101" s="412"/>
      <c r="HA101" s="412"/>
      <c r="HB101" s="412"/>
      <c r="HC101" s="412"/>
      <c r="HD101" s="412"/>
      <c r="HE101" s="412"/>
      <c r="HF101" s="412"/>
      <c r="HG101" s="136"/>
      <c r="HH101" s="136"/>
      <c r="HI101" s="136"/>
      <c r="HJ101" s="136"/>
      <c r="HK101" s="136"/>
      <c r="HL101" s="136"/>
      <c r="HM101" s="136"/>
      <c r="HN101" s="136"/>
      <c r="HO101" s="136"/>
      <c r="HP101" s="136"/>
      <c r="HQ101" s="136"/>
      <c r="HR101" s="136"/>
      <c r="HS101" s="136"/>
      <c r="HT101" s="136"/>
      <c r="HU101" s="278"/>
      <c r="HV101" s="277"/>
      <c r="HW101" s="277"/>
      <c r="HX101" s="277"/>
      <c r="HY101" s="277"/>
      <c r="HZ101" s="277"/>
      <c r="IA101" s="277"/>
      <c r="IB101" s="277"/>
      <c r="IC101" s="277"/>
      <c r="ID101" s="412"/>
      <c r="IE101" s="412"/>
      <c r="IF101" s="412"/>
      <c r="IG101" s="412"/>
      <c r="IH101" s="412"/>
      <c r="II101" s="412"/>
      <c r="IJ101" s="412"/>
      <c r="IK101" s="412"/>
      <c r="IL101" s="412"/>
      <c r="IM101" s="412"/>
      <c r="IN101" s="412"/>
      <c r="IO101" s="412"/>
      <c r="IP101" s="413"/>
      <c r="IQ101" s="389"/>
      <c r="IR101" s="389"/>
      <c r="IS101" s="389"/>
      <c r="IT101" s="389"/>
      <c r="IU101" s="389"/>
      <c r="IV101" s="389"/>
      <c r="IW101" s="389"/>
      <c r="IX101" s="389"/>
      <c r="IY101" s="389"/>
      <c r="IZ101" s="389"/>
      <c r="JA101" s="389"/>
      <c r="JB101" s="389"/>
      <c r="JC101" s="389"/>
      <c r="JD101" s="389"/>
      <c r="JE101" s="389"/>
      <c r="JF101" s="389"/>
      <c r="JG101" s="389"/>
      <c r="JH101" s="389"/>
      <c r="JI101" s="389"/>
      <c r="JJ101" s="389"/>
      <c r="JK101" s="389"/>
      <c r="JL101" s="389"/>
      <c r="JM101" s="389"/>
      <c r="JN101" s="389"/>
      <c r="JO101" s="389"/>
      <c r="JT101" s="553"/>
    </row>
    <row r="102" spans="1:302" s="14" customFormat="1" ht="15" hidden="1" customHeight="1" outlineLevel="1" collapsed="1" thickBot="1">
      <c r="A102" s="3"/>
      <c r="B102" s="41"/>
      <c r="D102" s="23"/>
      <c r="F102" s="3"/>
      <c r="K102" s="40"/>
      <c r="L102" s="836"/>
      <c r="M102" s="836"/>
      <c r="N102" s="836"/>
      <c r="O102" s="304"/>
      <c r="P102" s="3"/>
      <c r="Q102" s="280"/>
      <c r="R102" s="7"/>
      <c r="AB102" s="23"/>
      <c r="AD102" s="1044">
        <f>C430</f>
        <v>0</v>
      </c>
      <c r="AE102" s="1045"/>
      <c r="AF102" s="1045"/>
      <c r="AG102" s="827">
        <f>AE431</f>
        <v>0</v>
      </c>
      <c r="AH102" s="409"/>
      <c r="AI102" s="409"/>
      <c r="AJ102" s="409"/>
      <c r="AK102" s="409"/>
      <c r="AL102" s="32"/>
      <c r="AN102" s="32"/>
      <c r="AQ102" s="23"/>
      <c r="AR102" s="555"/>
      <c r="AS102" s="421"/>
      <c r="AT102" s="419"/>
      <c r="AU102" s="420"/>
      <c r="AV102" s="223"/>
      <c r="AW102" s="420"/>
      <c r="AX102" s="417"/>
      <c r="AY102" s="420"/>
      <c r="AZ102" s="223"/>
      <c r="BA102" s="419"/>
      <c r="BB102" s="223"/>
      <c r="BC102" s="223"/>
      <c r="BD102" s="223"/>
      <c r="BE102" s="223"/>
      <c r="BF102" s="416"/>
      <c r="BG102" s="418"/>
      <c r="BH102" s="416"/>
      <c r="BI102" s="416"/>
      <c r="BJ102" s="416"/>
      <c r="BK102" s="418"/>
      <c r="BL102" s="417"/>
      <c r="BM102" s="416"/>
      <c r="BN102" s="416"/>
      <c r="BO102" s="416"/>
      <c r="BP102" s="416"/>
      <c r="BQ102" s="416"/>
      <c r="BR102" s="416"/>
      <c r="BS102" s="416"/>
      <c r="BT102" s="389"/>
      <c r="BU102" s="389"/>
      <c r="BV102" s="389"/>
      <c r="BW102" s="389"/>
      <c r="BX102" s="415"/>
      <c r="BY102" s="389"/>
      <c r="BZ102" s="389"/>
      <c r="CA102" s="389"/>
      <c r="CB102" s="389"/>
      <c r="CC102" s="389"/>
      <c r="CD102" s="389"/>
      <c r="CE102" s="389"/>
      <c r="CF102" s="389"/>
      <c r="CG102" s="389"/>
      <c r="CH102" s="389"/>
      <c r="CI102" s="389"/>
      <c r="CJ102" s="389"/>
      <c r="CK102" s="389"/>
      <c r="CL102" s="389"/>
      <c r="CM102" s="389"/>
      <c r="CN102" s="389"/>
      <c r="CO102" s="389"/>
      <c r="CP102" s="389"/>
      <c r="CQ102" s="389"/>
      <c r="CR102" s="389"/>
      <c r="CS102" s="415"/>
      <c r="CT102" s="389"/>
      <c r="CU102" s="389"/>
      <c r="CV102" s="389"/>
      <c r="CW102" s="389"/>
      <c r="CX102" s="389"/>
      <c r="CY102" s="389"/>
      <c r="CZ102" s="389"/>
      <c r="DA102" s="389"/>
      <c r="DB102" s="389"/>
      <c r="DC102" s="389"/>
      <c r="DD102" s="389"/>
      <c r="DE102" s="389"/>
      <c r="DF102" s="389"/>
      <c r="DG102" s="389"/>
      <c r="DH102" s="389"/>
      <c r="DI102" s="389"/>
      <c r="DJ102" s="389"/>
      <c r="DK102" s="389"/>
      <c r="DL102" s="389"/>
      <c r="DM102" s="389"/>
      <c r="DN102" s="389"/>
      <c r="DO102" s="414"/>
      <c r="DP102" s="39"/>
      <c r="DQ102" s="39"/>
      <c r="DR102" s="39"/>
      <c r="DS102" s="136"/>
      <c r="DT102" s="136"/>
      <c r="DU102" s="136"/>
      <c r="DV102" s="136"/>
      <c r="DW102" s="136"/>
      <c r="DX102" s="136"/>
      <c r="DY102" s="136"/>
      <c r="DZ102" s="136"/>
      <c r="EA102" s="136"/>
      <c r="EB102" s="136"/>
      <c r="EC102" s="136"/>
      <c r="ED102" s="136"/>
      <c r="EE102" s="136"/>
      <c r="EF102" s="136"/>
      <c r="EG102" s="136"/>
      <c r="EH102" s="136"/>
      <c r="EI102" s="136"/>
      <c r="EJ102" s="136"/>
      <c r="EK102" s="136"/>
      <c r="EL102" s="136"/>
      <c r="EM102" s="136"/>
      <c r="EN102" s="136"/>
      <c r="EO102" s="136"/>
      <c r="EP102" s="136"/>
      <c r="EQ102" s="136"/>
      <c r="ER102" s="136"/>
      <c r="ES102" s="136"/>
      <c r="ET102" s="136"/>
      <c r="EU102" s="136"/>
      <c r="EV102" s="136"/>
      <c r="EW102" s="136"/>
      <c r="EX102" s="136"/>
      <c r="EY102" s="136"/>
      <c r="EZ102" s="136"/>
      <c r="FA102" s="136"/>
      <c r="FB102" s="136"/>
      <c r="FC102" s="136"/>
      <c r="FD102" s="136"/>
      <c r="FE102" s="136"/>
      <c r="FF102" s="136"/>
      <c r="FG102" s="136"/>
      <c r="FH102" s="136"/>
      <c r="FI102" s="136"/>
      <c r="FJ102" s="136"/>
      <c r="FK102" s="136"/>
      <c r="FL102" s="136"/>
      <c r="FM102" s="136"/>
      <c r="FN102" s="136"/>
      <c r="FO102" s="136"/>
      <c r="FP102" s="136"/>
      <c r="FQ102" s="136"/>
      <c r="FR102" s="412"/>
      <c r="FS102" s="412"/>
      <c r="FT102" s="412"/>
      <c r="FU102" s="412"/>
      <c r="FV102" s="412"/>
      <c r="FW102" s="412"/>
      <c r="FX102" s="412"/>
      <c r="FY102" s="412"/>
      <c r="FZ102" s="412"/>
      <c r="GA102" s="412"/>
      <c r="GB102" s="412"/>
      <c r="GC102" s="412"/>
      <c r="GD102" s="412"/>
      <c r="GE102" s="412"/>
      <c r="GF102" s="412"/>
      <c r="GG102" s="412"/>
      <c r="GH102" s="412"/>
      <c r="GI102" s="412"/>
      <c r="GJ102" s="412"/>
      <c r="GK102" s="412"/>
      <c r="GL102" s="412"/>
      <c r="GM102" s="412"/>
      <c r="GN102" s="412"/>
      <c r="GO102" s="412"/>
      <c r="GP102" s="412"/>
      <c r="GQ102" s="412"/>
      <c r="GR102" s="412"/>
      <c r="GS102" s="412"/>
      <c r="GT102" s="412"/>
      <c r="GU102" s="412"/>
      <c r="GV102" s="412"/>
      <c r="GW102" s="412"/>
      <c r="GX102" s="412"/>
      <c r="GY102" s="412"/>
      <c r="GZ102" s="412"/>
      <c r="HA102" s="412"/>
      <c r="HB102" s="412"/>
      <c r="HC102" s="412"/>
      <c r="HD102" s="412"/>
      <c r="HE102" s="412"/>
      <c r="HF102" s="412"/>
      <c r="HG102" s="136"/>
      <c r="HH102" s="136"/>
      <c r="HI102" s="136"/>
      <c r="HJ102" s="136"/>
      <c r="HK102" s="136"/>
      <c r="HL102" s="136"/>
      <c r="HM102" s="136"/>
      <c r="HN102" s="136"/>
      <c r="HO102" s="136"/>
      <c r="HP102" s="136"/>
      <c r="HQ102" s="136"/>
      <c r="HR102" s="136"/>
      <c r="HS102" s="136"/>
      <c r="HT102" s="136"/>
      <c r="HU102" s="278"/>
      <c r="HV102" s="277"/>
      <c r="HW102" s="277"/>
      <c r="HX102" s="277"/>
      <c r="HY102" s="277"/>
      <c r="HZ102" s="277"/>
      <c r="IA102" s="277"/>
      <c r="IB102" s="277"/>
      <c r="IC102" s="277"/>
      <c r="ID102" s="412"/>
      <c r="IE102" s="412"/>
      <c r="IF102" s="412"/>
      <c r="IG102" s="412"/>
      <c r="IH102" s="412"/>
      <c r="II102" s="412"/>
      <c r="IJ102" s="412"/>
      <c r="IK102" s="412"/>
      <c r="IL102" s="412"/>
      <c r="IM102" s="412"/>
      <c r="IN102" s="412"/>
      <c r="IO102" s="412"/>
      <c r="IP102" s="412"/>
      <c r="IQ102" s="389"/>
      <c r="IR102" s="389"/>
      <c r="IS102" s="389"/>
      <c r="IT102" s="389"/>
      <c r="IU102" s="389"/>
      <c r="IV102" s="389"/>
      <c r="IW102" s="389"/>
      <c r="IX102" s="389"/>
      <c r="IY102" s="389"/>
      <c r="IZ102" s="389"/>
      <c r="JA102" s="389"/>
      <c r="JB102" s="389"/>
      <c r="JC102" s="389"/>
      <c r="JD102" s="389"/>
      <c r="JE102" s="389"/>
      <c r="JF102" s="389"/>
      <c r="JG102" s="389"/>
      <c r="JH102" s="389"/>
      <c r="JI102" s="389"/>
      <c r="JJ102" s="389"/>
      <c r="JK102" s="389"/>
      <c r="JL102" s="389"/>
      <c r="JM102" s="389"/>
      <c r="JN102" s="389"/>
      <c r="JO102" s="389"/>
      <c r="JT102" s="553"/>
    </row>
    <row r="103" spans="1:302" ht="11.1" customHeight="1" collapsed="1">
      <c r="A103" s="627">
        <v>2031</v>
      </c>
      <c r="B103" s="626"/>
      <c r="C103" s="620"/>
      <c r="D103" s="625"/>
      <c r="E103" s="624"/>
      <c r="F103" s="620"/>
      <c r="G103" s="620"/>
      <c r="H103" s="620"/>
      <c r="I103" s="519"/>
      <c r="J103" s="620"/>
      <c r="K103" s="620"/>
      <c r="L103" s="830"/>
      <c r="M103" s="847"/>
      <c r="N103" s="847"/>
      <c r="O103" s="260"/>
      <c r="P103" s="623"/>
      <c r="Q103" s="280"/>
      <c r="R103" s="15"/>
      <c r="S103" s="646"/>
      <c r="T103" s="620"/>
      <c r="U103" s="646"/>
      <c r="V103" s="646"/>
      <c r="W103" s="646"/>
      <c r="X103" s="622"/>
      <c r="Y103" s="622"/>
      <c r="Z103" s="622"/>
      <c r="AA103" s="622"/>
      <c r="AB103" s="621"/>
      <c r="AC103" s="620"/>
      <c r="AD103" s="515"/>
      <c r="AE103" s="620"/>
      <c r="AF103" s="619"/>
      <c r="AG103" s="618"/>
      <c r="AH103" s="617"/>
      <c r="AI103" s="617"/>
      <c r="AJ103" s="616"/>
      <c r="AK103" s="615"/>
      <c r="AL103" s="614"/>
      <c r="AM103" s="249"/>
      <c r="AN103" s="613"/>
      <c r="AO103" s="249"/>
      <c r="AP103" s="612"/>
      <c r="AQ103" s="250"/>
      <c r="AR103" s="18"/>
      <c r="AS103" s="18"/>
      <c r="AT103" s="54"/>
      <c r="AU103" s="22"/>
      <c r="AV103" s="22"/>
      <c r="AW103" s="22"/>
      <c r="AX103" s="22"/>
      <c r="AY103" s="22"/>
      <c r="AZ103" s="22"/>
      <c r="BA103" s="54"/>
      <c r="BB103" s="22"/>
      <c r="BC103" s="15"/>
      <c r="BD103" s="15"/>
      <c r="BE103" s="15"/>
      <c r="BF103" s="15"/>
      <c r="BG103" s="51"/>
      <c r="BH103" s="15"/>
      <c r="BI103" s="15"/>
      <c r="BJ103" s="15"/>
      <c r="BK103" s="51"/>
      <c r="BL103" s="15"/>
      <c r="BM103" s="15"/>
      <c r="BN103" s="15"/>
      <c r="BO103" s="15"/>
      <c r="BP103" s="15"/>
      <c r="BQ103" s="18"/>
      <c r="BR103" s="18"/>
      <c r="BS103" s="18"/>
      <c r="BT103" s="18"/>
      <c r="BU103" s="18"/>
      <c r="BV103" s="18"/>
      <c r="BW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393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611"/>
      <c r="HV103" s="610"/>
      <c r="HW103" s="610"/>
      <c r="HX103" s="610"/>
      <c r="HY103" s="610"/>
      <c r="HZ103" s="610"/>
      <c r="IA103" s="610"/>
      <c r="IB103" s="610"/>
      <c r="IC103" s="610"/>
      <c r="ID103" s="610"/>
      <c r="IE103" s="610"/>
      <c r="IF103" s="610"/>
      <c r="IG103" s="610"/>
      <c r="IH103" s="610"/>
      <c r="II103" s="610"/>
      <c r="IJ103" s="610"/>
      <c r="IK103" s="610"/>
      <c r="IL103" s="610"/>
      <c r="IM103" s="610"/>
      <c r="IN103" s="610"/>
      <c r="IO103" s="610"/>
      <c r="IP103" s="610"/>
      <c r="IQ103" s="610"/>
      <c r="IR103" s="610"/>
      <c r="IS103" s="610"/>
      <c r="IT103" s="610"/>
      <c r="IU103" s="610"/>
      <c r="IV103" s="610"/>
      <c r="IW103" s="610"/>
      <c r="IX103" s="610"/>
      <c r="IY103" s="610"/>
      <c r="IZ103" s="610"/>
      <c r="JA103" s="610"/>
      <c r="JB103" s="610"/>
      <c r="JC103" s="610"/>
      <c r="JD103" s="18"/>
      <c r="JE103" s="18"/>
      <c r="JF103" s="18"/>
      <c r="JG103" s="18"/>
      <c r="JH103" s="18"/>
      <c r="JI103" s="18"/>
      <c r="JJ103" s="18"/>
      <c r="JK103" s="18"/>
      <c r="JL103" s="18"/>
      <c r="JM103" s="18"/>
      <c r="JN103" s="18"/>
      <c r="JO103" s="18"/>
      <c r="JP103" s="18"/>
      <c r="JQ103" s="1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1"/>
      <c r="KP103" s="1"/>
    </row>
    <row r="104" spans="1:302" s="15" customFormat="1" ht="5.0999999999999996" customHeight="1">
      <c r="A104" s="232"/>
      <c r="B104" s="507"/>
      <c r="C104" s="431"/>
      <c r="D104" s="506"/>
      <c r="E104" s="475"/>
      <c r="F104" s="431"/>
      <c r="G104" s="431"/>
      <c r="H104" s="431"/>
      <c r="I104" s="385"/>
      <c r="J104" s="431"/>
      <c r="K104" s="431"/>
      <c r="L104" s="601"/>
      <c r="M104" s="844"/>
      <c r="N104" s="844"/>
      <c r="O104" s="505"/>
      <c r="P104" s="967"/>
      <c r="Q104" s="280"/>
      <c r="X104" s="442"/>
      <c r="Y104" s="498"/>
      <c r="Z104" s="498"/>
      <c r="AA104" s="498"/>
      <c r="AB104" s="982"/>
      <c r="AC104" s="431"/>
      <c r="AD104" s="78"/>
      <c r="AE104" s="431"/>
      <c r="AF104" s="504"/>
      <c r="AG104" s="307"/>
      <c r="AH104" s="503"/>
      <c r="AI104" s="503"/>
      <c r="AJ104" s="502"/>
      <c r="AK104" s="501"/>
      <c r="AL104" s="54"/>
      <c r="AM104" s="22"/>
      <c r="AN104" s="54"/>
      <c r="AO104" s="22"/>
      <c r="AP104" s="22"/>
      <c r="AQ104" s="22"/>
      <c r="AT104" s="54"/>
      <c r="AU104" s="22"/>
      <c r="AV104" s="22"/>
      <c r="AW104" s="22"/>
      <c r="AX104" s="22"/>
      <c r="AY104" s="22"/>
      <c r="AZ104" s="22"/>
      <c r="BA104" s="54"/>
      <c r="BB104" s="22"/>
      <c r="BG104" s="51"/>
      <c r="BK104" s="51"/>
      <c r="BX104" s="51"/>
      <c r="CS104" s="51"/>
      <c r="DO104" s="500"/>
      <c r="HG104" s="981"/>
      <c r="HH104" s="981"/>
      <c r="HI104" s="981"/>
      <c r="HJ104" s="981"/>
      <c r="HK104" s="981"/>
      <c r="HL104" s="981"/>
      <c r="HM104" s="981"/>
      <c r="HN104" s="981"/>
      <c r="HO104" s="981"/>
      <c r="HP104" s="981"/>
      <c r="HQ104" s="981"/>
      <c r="HR104" s="981"/>
      <c r="HS104" s="981"/>
      <c r="HT104" s="981"/>
      <c r="HU104" s="499"/>
      <c r="HV104" s="498"/>
      <c r="HW104" s="498"/>
      <c r="HX104" s="498"/>
      <c r="HY104" s="498"/>
      <c r="HZ104" s="498"/>
      <c r="IA104" s="498"/>
      <c r="IB104" s="498"/>
      <c r="IC104" s="498"/>
      <c r="ID104" s="498"/>
      <c r="IE104" s="498"/>
      <c r="IF104" s="498"/>
      <c r="IG104" s="498"/>
      <c r="IH104" s="498"/>
      <c r="II104" s="498"/>
      <c r="IJ104" s="498"/>
      <c r="IK104" s="498"/>
      <c r="IL104" s="498"/>
      <c r="IM104" s="498"/>
      <c r="IN104" s="498"/>
      <c r="IO104" s="498"/>
      <c r="IP104" s="498"/>
      <c r="IQ104" s="498"/>
      <c r="IR104" s="498"/>
      <c r="IS104" s="498"/>
      <c r="IT104" s="498"/>
      <c r="IU104" s="498"/>
      <c r="IV104" s="498"/>
      <c r="IW104" s="498"/>
      <c r="IX104" s="498"/>
      <c r="IY104" s="498"/>
      <c r="IZ104" s="498"/>
      <c r="JA104" s="498"/>
      <c r="JB104" s="498"/>
      <c r="JC104" s="498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6"/>
      <c r="KP104" s="6"/>
    </row>
    <row r="105" spans="1:302" s="1" customFormat="1" ht="11.1" customHeight="1">
      <c r="A105" s="812" t="s">
        <v>181</v>
      </c>
      <c r="B105" s="496" t="s">
        <v>186</v>
      </c>
      <c r="C105" s="495">
        <v>48151</v>
      </c>
      <c r="D105" s="974">
        <v>45037</v>
      </c>
      <c r="E105" s="764">
        <v>99.44</v>
      </c>
      <c r="F105" s="735">
        <v>0.04</v>
      </c>
      <c r="G105" s="383">
        <v>1000</v>
      </c>
      <c r="H105" s="492">
        <f>G105</f>
        <v>1000</v>
      </c>
      <c r="I105" s="385">
        <f>G105*F105/100*F110</f>
        <v>35</v>
      </c>
      <c r="J105" s="492">
        <f>I105</f>
        <v>35</v>
      </c>
      <c r="K105" s="574" t="s">
        <v>201</v>
      </c>
      <c r="L105" s="833">
        <f>MONTH(C105)</f>
        <v>10</v>
      </c>
      <c r="M105" s="842">
        <f>IFERROR(IF(N105&gt;12,N105-12,N105),"")</f>
        <v>4</v>
      </c>
      <c r="N105" s="594">
        <f>IF(K107=1,"",MONTH(C105)+6)</f>
        <v>16</v>
      </c>
      <c r="O105" s="832">
        <f>IF(K107=1,I105,I105/2)</f>
        <v>17.5</v>
      </c>
      <c r="P105" s="215">
        <f>VLOOKUP(B106,[2]Prezzi!$A$2:$R$125,18,FALSE)</f>
        <v>105.20500183105469</v>
      </c>
      <c r="Q105" s="280"/>
      <c r="R105" s="432"/>
      <c r="S105" s="493">
        <f ca="1">MAX(0,IF(B110=5,I105/AM107*X105,(((((F105)*AF$2)/365)*G105*F110/100)+((((F105)*X110)/365)*G105*F110/100))))</f>
        <v>1.3424657534247899</v>
      </c>
      <c r="T105" s="492">
        <f ca="1">S105</f>
        <v>1.3424657534247899</v>
      </c>
      <c r="U105" s="469"/>
      <c r="V105" s="4"/>
      <c r="W105" s="469"/>
      <c r="X105" s="491">
        <f ca="1">IF(B110=4,COUPDAYBS($AB$2,C105,K107,AH109),IF($AB$2-AL105&lt;365,IF(K107&gt;1,FLOOR(365/K107-(E107-AB$2),1),IF(B110=2,0,IF(AL105&gt;$AB$2,0,IF(AND(E107-AL105&lt;365,$AB$2&lt;E107),$AB$2-AL105,COUPDAYBS($AB$2,C105,K107,AH109))))),COUPDAYBS($AB$2,C105,K107,AH109)))</f>
        <v>14</v>
      </c>
      <c r="Y105" s="456">
        <f ca="1">G105*AF105</f>
        <v>6088.5086548141098</v>
      </c>
      <c r="Z105" s="456">
        <f ca="1">IF(G105=0,"0",G105*AG105)</f>
        <v>27.658680504361826</v>
      </c>
      <c r="AA105" s="22"/>
      <c r="AB105" s="979">
        <f ca="1">IF(B110=5,(((I105/AM108)*X105)+(G105)),(G105*P105*A110/100)+(S105*A110))</f>
        <v>1053.3924840639716</v>
      </c>
      <c r="AC105" s="383">
        <f ca="1">AB105</f>
        <v>1053.3924840639716</v>
      </c>
      <c r="AD105" s="156">
        <f>IF(E106="",((P105-E105)/100)*G105,((((P105-E105)/100)*A106)/F106)+((A106/F106)-(A106/E106)))</f>
        <v>57.650018310546898</v>
      </c>
      <c r="AE105" s="383">
        <f>AD105</f>
        <v>57.650018310546898</v>
      </c>
      <c r="AF105" s="446">
        <f ca="1">IF(B110=1,MDURATION($AB$2,C105,F105,AG105,K107,AH109),IF(B110=2,YEARFRAC(C105,$AB$2,AH109)))</f>
        <v>6.0885086548141096</v>
      </c>
      <c r="AG105" s="824">
        <f ca="1">YIELD(AB$2,C105,F105,P105,AL107,K107,AH109)*F110/100</f>
        <v>2.7658680504361825E-2</v>
      </c>
      <c r="AH105" s="489">
        <f ca="1">(((F105)*X105)/365)*F110</f>
        <v>0.13424657534246576</v>
      </c>
      <c r="AI105" s="489"/>
      <c r="AJ105" s="488"/>
      <c r="AK105" s="487"/>
      <c r="AL105" s="486">
        <v>45029</v>
      </c>
      <c r="AM105" s="485" t="s">
        <v>178</v>
      </c>
      <c r="AN105" s="179">
        <f>IF(B110=4,MIN(G105*E105*A108*AV$3/100,AV$4),IF(AF107=1,MIN(G105*E105*AV$3/100,AV$4),MIN((A106*E105/E106*AV$3/100),AV$4)+(((A106/E106*E105/100)+(A106/E106*E105*AV$3/100)+AN106+AO105)*AZ$3)))</f>
        <v>0.99439999999999995</v>
      </c>
      <c r="AO105" s="484">
        <f>IF(B110=4,AP108*A107/100,IF(AF107=1,G105*AP108/100,A106/E106/100*AP108))</f>
        <v>19.45054</v>
      </c>
      <c r="AP105" s="188">
        <f>IF(B110=2,AN110+AN105+AN106+AP106,AN110+AN105+AN106+AO105+AO106+AP106)</f>
        <v>1015.9130843834082</v>
      </c>
      <c r="AQ105" s="326">
        <f>AP105</f>
        <v>1015.9130843834082</v>
      </c>
      <c r="AR105" s="710">
        <f>AR107+AR109+AR106</f>
        <v>1034.8600000000001</v>
      </c>
      <c r="AS105" s="825">
        <f ca="1">AG105</f>
        <v>2.7658680504361825E-2</v>
      </c>
      <c r="AT105" s="419">
        <f>IF(B110=1,G105,"")</f>
        <v>1000</v>
      </c>
      <c r="AU105" s="420" t="str">
        <f>IF(B110=2,G105,"")</f>
        <v/>
      </c>
      <c r="AV105" s="223" t="str">
        <f>IF(B110=3,G105,"")</f>
        <v/>
      </c>
      <c r="AW105" s="420" t="str">
        <f>IF(B110=4,G105,"")</f>
        <v/>
      </c>
      <c r="AX105" s="417" t="str">
        <f>IF(B110=5,G105,"")</f>
        <v/>
      </c>
      <c r="AY105" s="420" t="str">
        <f>IF(B110=6,G105,"")</f>
        <v/>
      </c>
      <c r="AZ105" s="223" t="str">
        <f>IF(B110=7,G105,"")</f>
        <v/>
      </c>
      <c r="BA105" s="419" t="str">
        <f>IF(B107=1,G105,"")</f>
        <v/>
      </c>
      <c r="BB105" s="223" t="str">
        <f>IF(B107=2,G105,"")</f>
        <v/>
      </c>
      <c r="BC105" s="223" t="str">
        <f>IF(B107=3,G105,"")</f>
        <v/>
      </c>
      <c r="BD105" s="223">
        <f>IF(B107=4,G105,"")</f>
        <v>1000</v>
      </c>
      <c r="BE105" s="223" t="str">
        <f>IF(B107=5,G105,"")</f>
        <v/>
      </c>
      <c r="BF105" s="417" t="str">
        <f>IF(B107=6,G105,"")</f>
        <v/>
      </c>
      <c r="BG105" s="419">
        <f>IF(AK110=1,G105,"")</f>
        <v>1000</v>
      </c>
      <c r="BH105" s="223" t="str">
        <f>IF(AK110=2,G105,"")</f>
        <v/>
      </c>
      <c r="BI105" s="223" t="str">
        <f>IF(AK110=3,G105,"")</f>
        <v/>
      </c>
      <c r="BJ105" s="223" t="str">
        <f>IF(AK110=4,G105,"")</f>
        <v/>
      </c>
      <c r="BK105" s="419">
        <f>IF(AJ109=1,G105,"")</f>
        <v>1000</v>
      </c>
      <c r="BL105" s="482">
        <f ca="1">IF(BK105&lt;&gt;"",AB105,"")</f>
        <v>1053.3924840639716</v>
      </c>
      <c r="BM105" s="223" t="str">
        <f>IF(AJ109=2,G105,"")</f>
        <v/>
      </c>
      <c r="BN105" s="223" t="str">
        <f>IF(BM105&lt;&gt;"",AB105,"")</f>
        <v/>
      </c>
      <c r="BO105" s="223" t="str">
        <f>IF(AJ109=3,G105,"")</f>
        <v/>
      </c>
      <c r="BP105" s="223" t="str">
        <f>IF(AJ109=4,G105,"")</f>
        <v/>
      </c>
      <c r="BQ105" s="223" t="str">
        <f>IF(AJ109=5,G105,"")</f>
        <v/>
      </c>
      <c r="BR105" s="223" t="str">
        <f>IF(AJ109=6,G105,"")</f>
        <v/>
      </c>
      <c r="BS105" s="223" t="str">
        <f>IF(AJ109=7,G105,"")</f>
        <v/>
      </c>
      <c r="BT105" s="223" t="str">
        <f>IF(AJ109=8,G105,"")</f>
        <v/>
      </c>
      <c r="BU105" s="223" t="str">
        <f>IF(AJ109=9,G105,"")</f>
        <v/>
      </c>
      <c r="BV105" s="223" t="str">
        <f>IF(AJ109=10,G105,"")</f>
        <v/>
      </c>
      <c r="BW105" s="223" t="str">
        <f>IF(AJ109=11,G105,"")</f>
        <v/>
      </c>
      <c r="BX105" s="419">
        <f>IF(AF107=1,G105,"")</f>
        <v>1000</v>
      </c>
      <c r="BY105" s="223" t="str">
        <f>IF(AF107=2,G105,"")</f>
        <v/>
      </c>
      <c r="BZ105" s="223" t="str">
        <f>IF(AF107=3,G105,"")</f>
        <v/>
      </c>
      <c r="CA105" s="223" t="str">
        <f>IF(AF107=4,G105,"")</f>
        <v/>
      </c>
      <c r="CB105" s="223" t="str">
        <f>IF(AF107=5,G105,"")</f>
        <v/>
      </c>
      <c r="CC105" s="223" t="str">
        <f>IF(AF107=6,G105,"")</f>
        <v/>
      </c>
      <c r="CD105" s="223" t="str">
        <f>IF(AF107=7,G105,"")</f>
        <v/>
      </c>
      <c r="CE105" s="223" t="str">
        <f>IF(AF107=8,G105,"")</f>
        <v/>
      </c>
      <c r="CF105" s="223" t="str">
        <f>IF(AF107=9,G105,"")</f>
        <v/>
      </c>
      <c r="CG105" s="223" t="str">
        <f>IF(AF107=10,G105,"")</f>
        <v/>
      </c>
      <c r="CH105" s="223" t="str">
        <f>IF(AF107=11,G105,"")</f>
        <v/>
      </c>
      <c r="CI105" s="223" t="str">
        <f>IF(AF107=12,G105,"")</f>
        <v/>
      </c>
      <c r="CJ105" s="223" t="str">
        <f>IF(AF107=13,G105,"")</f>
        <v/>
      </c>
      <c r="CK105" s="223" t="str">
        <f>IF(AF107=14,G105,"")</f>
        <v/>
      </c>
      <c r="CL105" s="223" t="str">
        <f>IF(AF107=15,G105,"")</f>
        <v/>
      </c>
      <c r="CM105" s="223" t="str">
        <f>IF(AF107=16,G105,"")</f>
        <v/>
      </c>
      <c r="CN105" s="223" t="str">
        <f>IF(AF107=17,G105,"")</f>
        <v/>
      </c>
      <c r="CO105" s="223" t="str">
        <f>IF(AF107=18,G105,"")</f>
        <v/>
      </c>
      <c r="CP105" s="223" t="str">
        <f>IF(AF107=19,G105,"")</f>
        <v/>
      </c>
      <c r="CQ105" s="223" t="str">
        <f>IF(AF107=20,G105,"")</f>
        <v/>
      </c>
      <c r="CR105" s="223" t="str">
        <f>IF(AF107=21,G105,"")</f>
        <v/>
      </c>
      <c r="CS105" s="419">
        <f>IF(K110=1,G105,"")</f>
        <v>1000</v>
      </c>
      <c r="CT105" s="223" t="str">
        <f>IF(K110=2,G105,"")</f>
        <v/>
      </c>
      <c r="CU105" s="223" t="str">
        <f>IF(K110=3,G105,"")</f>
        <v/>
      </c>
      <c r="CV105" s="223" t="str">
        <f>IF(K110=4,G105,"")</f>
        <v/>
      </c>
      <c r="CW105" s="223" t="str">
        <f>IF(K110=5,G105,"")</f>
        <v/>
      </c>
      <c r="CX105" s="223" t="str">
        <f>IF(K110=6,G105,"")</f>
        <v/>
      </c>
      <c r="CY105" s="223" t="str">
        <f>IF(K110=7,G105,"")</f>
        <v/>
      </c>
      <c r="CZ105" s="223" t="str">
        <f>IF(K110=8,G105,"")</f>
        <v/>
      </c>
      <c r="DA105" s="223" t="str">
        <f>IF(K110=9,G105,"")</f>
        <v/>
      </c>
      <c r="DB105" s="223" t="str">
        <f>IF(K110=10,G105,"")</f>
        <v/>
      </c>
      <c r="DC105" s="223" t="str">
        <f>IF(K110=11,G105,"")</f>
        <v/>
      </c>
      <c r="DD105" s="223" t="str">
        <f>IF(K110=12,G105,"")</f>
        <v/>
      </c>
      <c r="DE105" s="223" t="str">
        <f>IF(K110=13,G105,"")</f>
        <v/>
      </c>
      <c r="DF105" s="223" t="str">
        <f>IF(K110=14,G105,"")</f>
        <v/>
      </c>
      <c r="DG105" s="223" t="str">
        <f>IF(K110=15,G105,"")</f>
        <v/>
      </c>
      <c r="DH105" s="223" t="str">
        <f>IF(K110=16,G105,"")</f>
        <v/>
      </c>
      <c r="DI105" s="223" t="str">
        <f>IF(K110=17,G105,"")</f>
        <v/>
      </c>
      <c r="DJ105" s="223" t="str">
        <f>IF(K110=18,G105,"")</f>
        <v/>
      </c>
      <c r="DK105" s="223" t="str">
        <f>IF(K110=19,G105,"")</f>
        <v/>
      </c>
      <c r="DL105" s="223" t="str">
        <f>IF(K110=20,G105,"")</f>
        <v/>
      </c>
      <c r="DM105" s="223"/>
      <c r="DN105" s="223"/>
      <c r="DO105" s="419">
        <f>IF(AG107=1,G105,"")</f>
        <v>1000</v>
      </c>
      <c r="DP105" s="223" t="str">
        <f>IF(AG107=2,G105,"")</f>
        <v/>
      </c>
      <c r="DQ105" s="223" t="str">
        <f>IF(AG107=3,G105,"")</f>
        <v/>
      </c>
      <c r="DR105" s="223" t="str">
        <f>IF(AG107=4,G105,"")</f>
        <v/>
      </c>
      <c r="DS105" s="223" t="str">
        <f>IF(AG107=5,G105,"")</f>
        <v/>
      </c>
      <c r="DT105" s="223" t="str">
        <f>IF(AG107=6,G105,"")</f>
        <v/>
      </c>
      <c r="DU105" s="223" t="str">
        <f>IF(AG107=7,G105,"")</f>
        <v/>
      </c>
      <c r="DV105" s="223" t="str">
        <f>IF(AG107=8,G105,"")</f>
        <v/>
      </c>
      <c r="DW105" s="136" t="str">
        <f>IF(AG107=9,G105,"")</f>
        <v/>
      </c>
      <c r="DX105" s="136" t="str">
        <f>IF(AG107=10,G105,"")</f>
        <v/>
      </c>
      <c r="DY105" s="136" t="str">
        <f>IF(AG107=11,G105,"")</f>
        <v/>
      </c>
      <c r="DZ105" s="136" t="str">
        <f>IF(AG107=12,G105,"")</f>
        <v/>
      </c>
      <c r="EA105" s="136" t="str">
        <f>IF(AG107=13,G105,"")</f>
        <v/>
      </c>
      <c r="EB105" s="136" t="str">
        <f>IF(AG107=14,G105,"")</f>
        <v/>
      </c>
      <c r="EC105" s="317" t="str">
        <f>IF(AG107=15,G105,"")</f>
        <v/>
      </c>
      <c r="ED105" s="136" t="str">
        <f>IF(AG107=16,G105,"")</f>
        <v/>
      </c>
      <c r="EE105" s="136" t="str">
        <f>IF(AG107=17,G105,"")</f>
        <v/>
      </c>
      <c r="EF105" s="136" t="str">
        <f>IF(AG107=18,G105,"")</f>
        <v/>
      </c>
      <c r="EG105" s="136" t="str">
        <f>IF(AG107=19,G105,"")</f>
        <v/>
      </c>
      <c r="EH105" s="136" t="str">
        <f>IF(AG107=20,G105,"")</f>
        <v/>
      </c>
      <c r="EI105" s="136" t="str">
        <f>IF(AG107=21,G105,"")</f>
        <v/>
      </c>
      <c r="EJ105" s="136" t="str">
        <f>IF(AG107=22,G105,"")</f>
        <v/>
      </c>
      <c r="EK105" s="136" t="str">
        <f>IF(AG107=23,G105,"")</f>
        <v/>
      </c>
      <c r="EL105" s="136" t="str">
        <f>IF(AG107=24,G105,"")</f>
        <v/>
      </c>
      <c r="EM105" s="136" t="str">
        <f>IF(AG107=25,G105,"")</f>
        <v/>
      </c>
      <c r="EN105" s="136" t="str">
        <f>IF(AG107=26,G105,"")</f>
        <v/>
      </c>
      <c r="EO105" s="136" t="str">
        <f>IF(AG107=27,G105,"")</f>
        <v/>
      </c>
      <c r="EP105" s="136" t="str">
        <f>IF(AG107=28,G105,"")</f>
        <v/>
      </c>
      <c r="EQ105" s="136" t="str">
        <f>IF(AG107=29,G105,"")</f>
        <v/>
      </c>
      <c r="ER105" s="136" t="str">
        <f>IF(AG107=30,G105,"")</f>
        <v/>
      </c>
      <c r="ES105" s="136" t="str">
        <f>IF(AG107=31,G105,"")</f>
        <v/>
      </c>
      <c r="ET105" s="136" t="str">
        <f>IF(AG107=32,G105,"")</f>
        <v/>
      </c>
      <c r="EU105" s="136" t="str">
        <f>IF(AG107=33,G105,"")</f>
        <v/>
      </c>
      <c r="EV105" s="136" t="str">
        <f>IF(AG107=34,G105,"")</f>
        <v/>
      </c>
      <c r="EW105" s="136" t="str">
        <f>IF(AG107=35,G105,"")</f>
        <v/>
      </c>
      <c r="EX105" s="136" t="str">
        <f>IF(AG107=36,G105,"")</f>
        <v/>
      </c>
      <c r="EY105" s="136" t="str">
        <f>IF(AG107=37,G105,"")</f>
        <v/>
      </c>
      <c r="EZ105" s="136" t="str">
        <f>IF(AG107=38,G105,"")</f>
        <v/>
      </c>
      <c r="FA105" s="136" t="str">
        <f>IF(AG107=39,G105,"")</f>
        <v/>
      </c>
      <c r="FB105" s="136" t="str">
        <f>IF(AG107=40,G105,"")</f>
        <v/>
      </c>
      <c r="FC105" s="136" t="str">
        <f>IF(AG107=41,G105,"")</f>
        <v/>
      </c>
      <c r="FD105" s="136" t="str">
        <f>IF(AG107=42,G105,"")</f>
        <v/>
      </c>
      <c r="FE105" s="136" t="str">
        <f>IF(AG107=43,G105,"")</f>
        <v/>
      </c>
      <c r="FF105" s="136" t="str">
        <f>IF(AG107=44,G105,"")</f>
        <v/>
      </c>
      <c r="FG105" s="136" t="str">
        <f>IF(AG107=45,G105,"")</f>
        <v/>
      </c>
      <c r="FH105" s="136" t="str">
        <f>IF(AG107=46,G105,"")</f>
        <v/>
      </c>
      <c r="FI105" s="136" t="str">
        <f>IF(AG107=47,G105,"")</f>
        <v/>
      </c>
      <c r="FJ105" s="136" t="str">
        <f>IF(AG107=48,G105,"")</f>
        <v/>
      </c>
      <c r="FK105" s="136" t="str">
        <f>IF(AG107=49,G105,"")</f>
        <v/>
      </c>
      <c r="FL105" s="136" t="str">
        <f>IF(AG107=50,G105,"")</f>
        <v/>
      </c>
      <c r="FM105" s="136" t="str">
        <f>IF(AG107=51,G105,"")</f>
        <v/>
      </c>
      <c r="FN105" s="136" t="str">
        <f>IF(AG107=52,G105,"")</f>
        <v/>
      </c>
      <c r="FO105" s="136" t="str">
        <f>IF(AG107=53,G105,"")</f>
        <v/>
      </c>
      <c r="FP105" s="136" t="str">
        <f>IF(AG107=54,G105,"")</f>
        <v/>
      </c>
      <c r="FQ105" s="136" t="str">
        <f>IF(AG107=55,G105,"")</f>
        <v/>
      </c>
      <c r="FR105" s="412" t="str">
        <f>IF(AG107=56,G105,"")</f>
        <v/>
      </c>
      <c r="FS105" s="412" t="str">
        <f>IF(AG107=57,G105,"")</f>
        <v/>
      </c>
      <c r="FT105" s="412" t="str">
        <f>IF(AG107=58,G105,"")</f>
        <v/>
      </c>
      <c r="FU105" s="412" t="str">
        <f>IF(AG107=59,G105,"")</f>
        <v/>
      </c>
      <c r="FV105" s="412" t="str">
        <f>IF(AG107=60,G105,"")</f>
        <v/>
      </c>
      <c r="FW105" s="412" t="str">
        <f>IF(AG107=61,G105,"")</f>
        <v/>
      </c>
      <c r="FX105" s="412" t="str">
        <f>IF(AG107=62,G105,"")</f>
        <v/>
      </c>
      <c r="FY105" s="412" t="str">
        <f>IF(AG107=63,G105,"")</f>
        <v/>
      </c>
      <c r="FZ105" s="412" t="str">
        <f>IF(AG107=64,G105,"")</f>
        <v/>
      </c>
      <c r="GA105" s="412" t="str">
        <f>IF(AG107=65,G105,"")</f>
        <v/>
      </c>
      <c r="GB105" s="412" t="str">
        <f>IF(AG107=66,G105,"")</f>
        <v/>
      </c>
      <c r="GC105" s="412" t="str">
        <f>IF(AG107=67,G105,"")</f>
        <v/>
      </c>
      <c r="GD105" s="412" t="str">
        <f>IF(AG107=68,G105,"")</f>
        <v/>
      </c>
      <c r="GE105" s="412" t="str">
        <f>IF(AG107=69,G105,"")</f>
        <v/>
      </c>
      <c r="GF105" s="412" t="str">
        <f>IF(AG107=70,G105,"")</f>
        <v/>
      </c>
      <c r="GG105" s="412" t="str">
        <f>IF(AG107=71,G105,"")</f>
        <v/>
      </c>
      <c r="GH105" s="412" t="str">
        <f>IF(AG107=72,G105,"")</f>
        <v/>
      </c>
      <c r="GI105" s="412" t="str">
        <f>IF(AG107=73,G105,"")</f>
        <v/>
      </c>
      <c r="GJ105" s="412" t="str">
        <f>IF(AG107=74,G105,"")</f>
        <v/>
      </c>
      <c r="GK105" s="412" t="str">
        <f>IF(AG107=75,G105,"")</f>
        <v/>
      </c>
      <c r="GL105" s="412" t="str">
        <f>IF(AG107=76,G105,"")</f>
        <v/>
      </c>
      <c r="GM105" s="412" t="str">
        <f>IF(AG107=77,G105,"")</f>
        <v/>
      </c>
      <c r="GN105" s="412" t="str">
        <f>IF(AG107=78,G105,"")</f>
        <v/>
      </c>
      <c r="GO105" s="412" t="str">
        <f>IF(AG107=79,G105,"")</f>
        <v/>
      </c>
      <c r="GP105" s="412" t="str">
        <f>IF(AG107=80,G105,"")</f>
        <v/>
      </c>
      <c r="GQ105" s="412" t="str">
        <f>IF(AG107=81,G105,"")</f>
        <v/>
      </c>
      <c r="GR105" s="412" t="str">
        <f>IF(AG107=82,G105,"")</f>
        <v/>
      </c>
      <c r="GS105" s="412" t="str">
        <f>IF(AG107=83,G105,"")</f>
        <v/>
      </c>
      <c r="GT105" s="412" t="str">
        <f>IF(AG107=84,G105,"")</f>
        <v/>
      </c>
      <c r="GU105" s="412"/>
      <c r="GV105" s="412"/>
      <c r="GW105" s="412"/>
      <c r="GX105" s="412"/>
      <c r="GY105" s="412"/>
      <c r="GZ105" s="412"/>
      <c r="HA105" s="412"/>
      <c r="HB105" s="412"/>
      <c r="HC105" s="412"/>
      <c r="HD105" s="412"/>
      <c r="HE105" s="412"/>
      <c r="HF105" s="412"/>
      <c r="HG105" s="136"/>
      <c r="HH105" s="136"/>
      <c r="HI105" s="136"/>
      <c r="HJ105" s="136"/>
      <c r="HK105" s="136"/>
      <c r="HL105" s="136"/>
      <c r="HM105" s="136"/>
      <c r="HN105" s="136"/>
      <c r="HO105" s="136"/>
      <c r="HP105" s="136"/>
      <c r="HQ105" s="136"/>
      <c r="HR105" s="136"/>
      <c r="HS105" s="136"/>
      <c r="HT105" s="136"/>
      <c r="HU105" s="278">
        <f ca="1">IF(AF107=1,AB105,"")</f>
        <v>1053.3924840639716</v>
      </c>
      <c r="HV105" s="277" t="str">
        <f>IF(AF107=2,AB105,"")</f>
        <v/>
      </c>
      <c r="HW105" s="277" t="str">
        <f>IF(AF107=3,AB105,"")</f>
        <v/>
      </c>
      <c r="HX105" s="277" t="str">
        <f>IF(AF107=4,AB105,"")</f>
        <v/>
      </c>
      <c r="HY105" s="277" t="str">
        <f>IF(AF107=5,AB105,"")</f>
        <v/>
      </c>
      <c r="HZ105" s="277" t="str">
        <f>IF(AF107=6,AB105,"")</f>
        <v/>
      </c>
      <c r="IA105" s="277" t="str">
        <f>IF(AF107=7,AB105,"")</f>
        <v/>
      </c>
      <c r="IB105" s="277" t="str">
        <f>IF(AF107=8,AB105,"")</f>
        <v/>
      </c>
      <c r="IC105" s="277" t="str">
        <f>IF(AF107=9,AB105,"")</f>
        <v/>
      </c>
      <c r="ID105" s="412" t="str">
        <f>IF(AF107=10,AB105,"")</f>
        <v/>
      </c>
      <c r="IE105" s="223" t="str">
        <f>IF(AF107=11,AB105,"")</f>
        <v/>
      </c>
      <c r="IF105" s="223" t="str">
        <f>IF(AF107=12,AB105,"")</f>
        <v/>
      </c>
      <c r="IG105" s="223" t="str">
        <f>IF(AF107=13,AB105,"")</f>
        <v/>
      </c>
      <c r="IH105" s="223" t="str">
        <f>IF(AF107=14,AB105,"")</f>
        <v/>
      </c>
      <c r="II105" s="223" t="str">
        <f>IF(AF107=15,AB105,"")</f>
        <v/>
      </c>
      <c r="IJ105" s="223" t="str">
        <f>IF(AF107=16,AB105,"")</f>
        <v/>
      </c>
      <c r="IK105" s="223" t="str">
        <f>IF(AF107=17,AB105,"")</f>
        <v/>
      </c>
      <c r="IL105" s="223" t="str">
        <f>IF(AF107=18,AB105,"")</f>
        <v/>
      </c>
      <c r="IM105" s="223" t="str">
        <f>IF(AF107=19,AB105,"")</f>
        <v/>
      </c>
      <c r="IN105" s="223" t="str">
        <f>IF(AF107=20,AB105,"")</f>
        <v/>
      </c>
      <c r="IO105" s="223" t="str">
        <f>IF(AF107=21,AB105,"")</f>
        <v/>
      </c>
      <c r="IP105" s="413"/>
      <c r="IQ105" s="478" t="str">
        <f>IF(G110=6,G105,"")</f>
        <v/>
      </c>
      <c r="IR105" s="317" t="str">
        <f>IF(G110=7,G105,"")</f>
        <v/>
      </c>
      <c r="IS105" s="478" t="str">
        <f>IF(G110=8,G105,"")</f>
        <v/>
      </c>
      <c r="IT105" s="317" t="str">
        <f>IF(G110=9,G105,"")</f>
        <v/>
      </c>
      <c r="IU105" s="478" t="str">
        <f>IF(G110=10,G105,"")</f>
        <v/>
      </c>
      <c r="IV105" s="478" t="str">
        <f>IF(G110=11,G105,"")</f>
        <v/>
      </c>
      <c r="IW105" s="478" t="str">
        <f>IF(G110=12,G105,"")</f>
        <v/>
      </c>
      <c r="IX105" s="478" t="str">
        <f>IF(G110=13,G105,"")</f>
        <v/>
      </c>
      <c r="IY105" s="478" t="str">
        <f>IF(G110=14,G105,"")</f>
        <v/>
      </c>
      <c r="IZ105" s="478" t="str">
        <f>IF(G110=15,G105,"")</f>
        <v/>
      </c>
      <c r="JA105" s="478" t="str">
        <f>IF(G110=16,G105,"")</f>
        <v/>
      </c>
      <c r="JB105" s="478" t="str">
        <f>IF(G110=17,G105,"")</f>
        <v/>
      </c>
      <c r="JC105" s="478" t="str">
        <f>IF(G110=18,G105,"")</f>
        <v/>
      </c>
      <c r="JD105" s="478" t="str">
        <f>IF(G110=19,G105,"")</f>
        <v/>
      </c>
      <c r="JE105" s="478">
        <f>IF(G110=20,G105,"")</f>
        <v>1000</v>
      </c>
      <c r="JF105" s="478" t="str">
        <f>IF(G110=21,G105,"")</f>
        <v/>
      </c>
      <c r="JG105" s="478" t="str">
        <f>IF(G110=22,G105,"")</f>
        <v/>
      </c>
      <c r="JH105" s="478" t="str">
        <f>IF(G110=23,G105,"")</f>
        <v/>
      </c>
      <c r="JI105" s="478" t="str">
        <f>IF(G110=24,G105,"")</f>
        <v/>
      </c>
      <c r="JJ105" s="478" t="str">
        <f>IF(G110=25,G105,"")</f>
        <v/>
      </c>
      <c r="JK105" s="478" t="str">
        <f>IF(G110=26,G105,"")</f>
        <v/>
      </c>
      <c r="JL105" s="478" t="str">
        <f>IF(G110=27,G105,"")</f>
        <v/>
      </c>
      <c r="JM105" s="478" t="str">
        <f>IF(G110=28,G105,"")</f>
        <v/>
      </c>
      <c r="JN105" s="478" t="str">
        <f>IF(G110=29,G105,"")</f>
        <v/>
      </c>
      <c r="JO105" s="478" t="str">
        <f>IF(G110=30,G105,"")</f>
        <v/>
      </c>
      <c r="JP105" s="478"/>
      <c r="JQ105" s="481">
        <f>IF(AND(AJ109=4,K110=1,G110&lt;=3),G105,0)</f>
        <v>0</v>
      </c>
      <c r="JR105" s="445" t="str">
        <f>IF(AF107=2,G105*E106,"")</f>
        <v/>
      </c>
      <c r="JS105" s="544" t="str">
        <f>IF(AF107&gt;1,((A106/F106)-(A106/E106)),"")</f>
        <v/>
      </c>
      <c r="JT105" s="543" t="str">
        <f>IF(AF107=2,((A106/F106)-(A106/E106)),"")</f>
        <v/>
      </c>
      <c r="JU105" s="543" t="str">
        <f>IF(AF107=3,((A106/F106)-(A106/E106)),"")</f>
        <v/>
      </c>
      <c r="JV105" s="543" t="str">
        <f>IF(AF107=4,((A106/F106)-(A106/E106)),"")</f>
        <v/>
      </c>
      <c r="JW105" s="543" t="str">
        <f>IF(AF107=5,((A106/F106)-(A106/E106)),"")</f>
        <v/>
      </c>
      <c r="JX105" s="543" t="str">
        <f>IF(AF107=6,((A106/F106)-(A106/E106)),"")</f>
        <v/>
      </c>
      <c r="JY105" s="543" t="str">
        <f>IF(AF107=7,((A106/F106)-(A106/E106)),"")</f>
        <v/>
      </c>
      <c r="JZ105" s="542" t="str">
        <f>IF(AF107=8,((A106/F106)-(A106/E106)),"")</f>
        <v/>
      </c>
      <c r="KA105" s="542" t="str">
        <f>IF(AF107=9,((A106/F106)-(A106/E106)),"")</f>
        <v/>
      </c>
      <c r="KB105" s="542" t="str">
        <f>IF(AF107=10,((A106/F106)-(A106/E106)),"")</f>
        <v/>
      </c>
      <c r="KC105" s="542" t="str">
        <f>IF(AF107=11,((A106/F106)-(A106/E106)),"")</f>
        <v/>
      </c>
      <c r="KD105" s="542" t="str">
        <f>IF(AF107=12,((A106/F106)-(A106/E106)),"")</f>
        <v/>
      </c>
      <c r="KE105" s="542" t="str">
        <f>IF(AF107=13,((A106/F106)-(A106/E106)),"")</f>
        <v/>
      </c>
      <c r="KF105" s="542" t="str">
        <f>IF(AF107=14,((A106/F106)-(A106/E106)),"")</f>
        <v/>
      </c>
      <c r="KG105" s="542" t="str">
        <f>IF(AF107=15,((A106/F106)-(A106/E106)),"")</f>
        <v/>
      </c>
      <c r="KH105" s="542" t="str">
        <f>IF(AF107=16,((A106/F106)-(A106/E106)),"")</f>
        <v/>
      </c>
      <c r="KI105" s="542" t="str">
        <f>IF(AF107=17,((A106/F106)-(A106/E106)),"")</f>
        <v/>
      </c>
      <c r="KJ105" s="542" t="str">
        <f>IF(AF107=18,((A106/F106)-(A106/E106)),"")</f>
        <v/>
      </c>
      <c r="KK105" s="542" t="str">
        <f>IF(AF107=19,((A106/F106)-(A106/E106)),"")</f>
        <v/>
      </c>
      <c r="KL105" s="542" t="str">
        <f>IF(AF107=20,((A106/F106)-(A106/E106)),"")</f>
        <v/>
      </c>
      <c r="KM105" s="542" t="str">
        <f>IF(AF107=21,((A106/F106)-(A106/E106)),"")</f>
        <v/>
      </c>
      <c r="KN105" s="445"/>
      <c r="KO105" s="445"/>
      <c r="KP105" s="445"/>
    </row>
    <row r="106" spans="1:302" s="1" customFormat="1" ht="11.1" customHeight="1">
      <c r="A106" s="461" t="s">
        <v>457</v>
      </c>
      <c r="B106" s="628" t="s">
        <v>472</v>
      </c>
      <c r="C106" s="933"/>
      <c r="D106" s="828">
        <f>IF(WEEKDAY(D105,2)=4,D105+4,IF(WEEKDAY(D105,2)=5,D105+4,D105+2))</f>
        <v>45041</v>
      </c>
      <c r="E106" s="475"/>
      <c r="F106" s="460"/>
      <c r="G106" s="383"/>
      <c r="H106" s="383"/>
      <c r="I106" s="434"/>
      <c r="J106" s="434"/>
      <c r="K106" s="384"/>
      <c r="L106" s="722"/>
      <c r="M106" s="720"/>
      <c r="N106" s="720"/>
      <c r="O106" s="223"/>
      <c r="P106" s="474"/>
      <c r="Q106" s="280"/>
      <c r="R106" s="432"/>
      <c r="S106" s="4"/>
      <c r="T106" s="431"/>
      <c r="U106" s="469"/>
      <c r="V106" s="4"/>
      <c r="W106" s="469"/>
      <c r="X106" s="442"/>
      <c r="Y106" s="22"/>
      <c r="Z106" s="22"/>
      <c r="AA106" s="22"/>
      <c r="AB106" s="360"/>
      <c r="AC106" s="431"/>
      <c r="AD106" s="825">
        <f>IF(E106="",((P105-E105)/E105),((P105-E105)/E105)+(((1/F106)-(1/E106))/(1/E106)))</f>
        <v>5.7974676498940968E-2</v>
      </c>
      <c r="AE106" s="431"/>
      <c r="AF106" s="279" t="s">
        <v>65</v>
      </c>
      <c r="AG106" s="824"/>
      <c r="AH106" s="993" t="s">
        <v>177</v>
      </c>
      <c r="AI106" s="954"/>
      <c r="AJ106" s="960"/>
      <c r="AK106" s="473"/>
      <c r="AL106" s="54">
        <v>99.888000000000005</v>
      </c>
      <c r="AM106" s="472" t="s">
        <v>176</v>
      </c>
      <c r="AN106" s="179">
        <f>AV$6</f>
        <v>3.5</v>
      </c>
      <c r="AO106" s="179">
        <f>IF(B110=2,"0",AO105*-(100-F109)/100)</f>
        <v>-2.4313175</v>
      </c>
      <c r="AP106" s="463">
        <f>IF(AP107&lt;0,0,AP107*-(100-F109)/100)</f>
        <v>-5.3811659192822589E-4</v>
      </c>
      <c r="AQ106" s="179"/>
      <c r="AR106" s="709">
        <f>AR109*-(100-F110)/100</f>
        <v>-5</v>
      </c>
      <c r="AS106" s="471">
        <f>-AP105+AS109+(F105/365*AN109*F110/100)*G105</f>
        <v>299.13869643850973</v>
      </c>
      <c r="AT106" s="419"/>
      <c r="AU106" s="420"/>
      <c r="AV106" s="223"/>
      <c r="AW106" s="420"/>
      <c r="AX106" s="417"/>
      <c r="AY106" s="420"/>
      <c r="AZ106" s="223"/>
      <c r="BA106" s="419"/>
      <c r="BB106" s="223"/>
      <c r="BC106" s="223"/>
      <c r="BD106" s="223"/>
      <c r="BE106" s="223"/>
      <c r="BF106" s="416"/>
      <c r="BG106" s="418"/>
      <c r="BH106" s="416"/>
      <c r="BI106" s="416"/>
      <c r="BJ106" s="416"/>
      <c r="BK106" s="418"/>
      <c r="BL106" s="417"/>
      <c r="BM106" s="417"/>
      <c r="BN106" s="417"/>
      <c r="BO106" s="417"/>
      <c r="BP106" s="417"/>
      <c r="BQ106" s="417"/>
      <c r="BR106" s="417"/>
      <c r="BS106" s="417"/>
      <c r="BT106" s="412"/>
      <c r="BU106" s="412"/>
      <c r="BV106" s="412"/>
      <c r="BW106" s="412"/>
      <c r="BX106" s="415"/>
      <c r="BY106" s="389"/>
      <c r="BZ106" s="389"/>
      <c r="CA106" s="389"/>
      <c r="CB106" s="389"/>
      <c r="CC106" s="389"/>
      <c r="CD106" s="389"/>
      <c r="CE106" s="389"/>
      <c r="CF106" s="389"/>
      <c r="CG106" s="389"/>
      <c r="CH106" s="389"/>
      <c r="CI106" s="389"/>
      <c r="CJ106" s="389"/>
      <c r="CK106" s="389"/>
      <c r="CL106" s="389"/>
      <c r="CM106" s="389"/>
      <c r="CN106" s="389"/>
      <c r="CO106" s="389"/>
      <c r="CP106" s="389"/>
      <c r="CQ106" s="389"/>
      <c r="CR106" s="389"/>
      <c r="CS106" s="415"/>
      <c r="CT106" s="389"/>
      <c r="CU106" s="389"/>
      <c r="CV106" s="389"/>
      <c r="CW106" s="389"/>
      <c r="CX106" s="389"/>
      <c r="CY106" s="389"/>
      <c r="CZ106" s="389"/>
      <c r="DA106" s="389"/>
      <c r="DB106" s="389"/>
      <c r="DC106" s="389"/>
      <c r="DD106" s="389"/>
      <c r="DE106" s="389"/>
      <c r="DF106" s="389"/>
      <c r="DG106" s="389"/>
      <c r="DH106" s="389"/>
      <c r="DI106" s="389"/>
      <c r="DJ106" s="389"/>
      <c r="DK106" s="389"/>
      <c r="DL106" s="389"/>
      <c r="DM106" s="389"/>
      <c r="DN106" s="389"/>
      <c r="DO106" s="414"/>
      <c r="DP106" s="39"/>
      <c r="DQ106" s="39"/>
      <c r="DR106" s="39"/>
      <c r="DS106" s="39"/>
      <c r="DT106" s="39"/>
      <c r="DU106" s="39"/>
      <c r="DV106" s="39"/>
      <c r="DW106" s="39"/>
      <c r="DX106" s="39"/>
      <c r="DY106" s="39"/>
      <c r="DZ106" s="39"/>
      <c r="EA106" s="39"/>
      <c r="EB106" s="39"/>
      <c r="EC106" s="39"/>
      <c r="ED106" s="136"/>
      <c r="EE106" s="136"/>
      <c r="EF106" s="136"/>
      <c r="EG106" s="136"/>
      <c r="EH106" s="136"/>
      <c r="EI106" s="136"/>
      <c r="EJ106" s="136"/>
      <c r="EK106" s="136"/>
      <c r="EL106" s="136"/>
      <c r="EM106" s="136"/>
      <c r="EN106" s="136"/>
      <c r="EO106" s="136"/>
      <c r="EP106" s="136"/>
      <c r="EQ106" s="136"/>
      <c r="ER106" s="136"/>
      <c r="ES106" s="136"/>
      <c r="ET106" s="136"/>
      <c r="EU106" s="136"/>
      <c r="EV106" s="136"/>
      <c r="EW106" s="136"/>
      <c r="EX106" s="136"/>
      <c r="EY106" s="136"/>
      <c r="EZ106" s="136"/>
      <c r="FA106" s="136"/>
      <c r="FB106" s="136"/>
      <c r="FC106" s="136"/>
      <c r="FD106" s="136"/>
      <c r="FE106" s="136"/>
      <c r="FF106" s="136"/>
      <c r="FG106" s="136"/>
      <c r="FH106" s="136"/>
      <c r="FI106" s="136"/>
      <c r="FJ106" s="136"/>
      <c r="FK106" s="136"/>
      <c r="FL106" s="136"/>
      <c r="FM106" s="136"/>
      <c r="FN106" s="136"/>
      <c r="FO106" s="39"/>
      <c r="FP106" s="39"/>
      <c r="FQ106" s="39"/>
      <c r="FR106" s="412"/>
      <c r="FS106" s="412"/>
      <c r="FT106" s="412"/>
      <c r="FU106" s="412"/>
      <c r="FV106" s="412"/>
      <c r="FW106" s="412"/>
      <c r="FX106" s="412"/>
      <c r="FY106" s="412"/>
      <c r="FZ106" s="412"/>
      <c r="GA106" s="412"/>
      <c r="GB106" s="412"/>
      <c r="GC106" s="412"/>
      <c r="GD106" s="412"/>
      <c r="GE106" s="412"/>
      <c r="GF106" s="412"/>
      <c r="GG106" s="412"/>
      <c r="GH106" s="412"/>
      <c r="GI106" s="412"/>
      <c r="GJ106" s="412"/>
      <c r="GK106" s="412"/>
      <c r="GL106" s="412"/>
      <c r="GM106" s="412"/>
      <c r="GN106" s="412"/>
      <c r="GO106" s="412"/>
      <c r="GP106" s="412"/>
      <c r="GQ106" s="412"/>
      <c r="GR106" s="278"/>
      <c r="GS106" s="277"/>
      <c r="GT106" s="277"/>
      <c r="GU106" s="277"/>
      <c r="GV106" s="277"/>
      <c r="GW106" s="277"/>
      <c r="GX106" s="277"/>
      <c r="GY106" s="277"/>
      <c r="GZ106" s="277"/>
      <c r="HA106" s="277"/>
      <c r="HB106" s="277"/>
      <c r="HC106" s="277"/>
      <c r="HD106" s="277"/>
      <c r="HE106" s="277"/>
      <c r="HF106" s="277"/>
      <c r="HG106" s="554"/>
      <c r="HH106" s="554"/>
      <c r="HI106" s="554"/>
      <c r="HJ106" s="554"/>
      <c r="HK106" s="554"/>
      <c r="HL106" s="554"/>
      <c r="HM106" s="554"/>
      <c r="HN106" s="554"/>
      <c r="HO106" s="554"/>
      <c r="HP106" s="554"/>
      <c r="HQ106" s="554"/>
      <c r="HR106" s="554"/>
      <c r="HS106" s="554"/>
      <c r="HT106" s="554"/>
      <c r="HU106" s="277"/>
      <c r="HV106" s="277"/>
      <c r="HW106" s="277"/>
      <c r="HX106" s="277"/>
      <c r="HY106" s="277"/>
      <c r="HZ106" s="277"/>
      <c r="IA106" s="277"/>
      <c r="IB106" s="277"/>
      <c r="IC106" s="412"/>
      <c r="ID106" s="412"/>
      <c r="IE106" s="412"/>
      <c r="IF106" s="412"/>
      <c r="IG106" s="412"/>
      <c r="IH106" s="412"/>
      <c r="II106" s="412"/>
      <c r="IJ106" s="412"/>
      <c r="IK106" s="412"/>
      <c r="IL106" s="412"/>
      <c r="IM106" s="412"/>
      <c r="IN106" s="412"/>
      <c r="IO106" s="413"/>
      <c r="IP106" s="412"/>
      <c r="IQ106" s="389"/>
      <c r="IR106" s="389"/>
      <c r="IS106" s="389"/>
      <c r="IT106" s="389"/>
      <c r="IU106" s="389"/>
      <c r="IV106" s="389"/>
      <c r="IW106" s="389"/>
      <c r="IX106" s="389"/>
      <c r="IY106" s="389"/>
      <c r="IZ106" s="389"/>
      <c r="JA106" s="389"/>
      <c r="JB106" s="389"/>
      <c r="JC106" s="389"/>
      <c r="JD106" s="389"/>
      <c r="JE106" s="389"/>
      <c r="JF106" s="389"/>
      <c r="JG106" s="389"/>
      <c r="JH106" s="389"/>
      <c r="JI106" s="389"/>
      <c r="JJ106" s="389"/>
      <c r="JK106" s="389"/>
      <c r="JL106" s="389"/>
      <c r="JM106" s="389"/>
      <c r="JN106" s="389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</row>
    <row r="107" spans="1:302" s="1" customFormat="1" ht="11.1" hidden="1" customHeight="1" outlineLevel="1">
      <c r="A107" s="453">
        <f>(A108*G105)</f>
        <v>1000</v>
      </c>
      <c r="B107" s="468">
        <f>VLOOKUP(B105,'[2]IBAN CONTI'!A$53:B$58,2,FALSE)</f>
        <v>4</v>
      </c>
      <c r="C107" s="56"/>
      <c r="D107" s="973"/>
      <c r="E107" s="766">
        <f ca="1">IF(B110=2,C105,COUPNCD($AB$2,C105,K107,AH109))</f>
        <v>45777</v>
      </c>
      <c r="F107" s="460"/>
      <c r="G107" s="383"/>
      <c r="H107" s="383"/>
      <c r="I107" s="434"/>
      <c r="J107" s="434"/>
      <c r="K107" s="67">
        <v>2</v>
      </c>
      <c r="L107" s="838"/>
      <c r="M107" s="720"/>
      <c r="N107" s="720"/>
      <c r="O107" s="223"/>
      <c r="P107" s="470"/>
      <c r="Q107" s="280"/>
      <c r="R107" s="432"/>
      <c r="S107" s="4"/>
      <c r="T107" s="431"/>
      <c r="U107" s="469"/>
      <c r="V107" s="4"/>
      <c r="W107" s="469"/>
      <c r="X107" s="442"/>
      <c r="Y107" s="22"/>
      <c r="Z107" s="22"/>
      <c r="AA107" s="22"/>
      <c r="AB107" s="979"/>
      <c r="AC107" s="979"/>
      <c r="AD107" s="219"/>
      <c r="AE107" s="219"/>
      <c r="AF107" s="468">
        <f>VLOOKUP(AF106,'[2]IBAN CONTI'!A$106:B$122,2,FALSE)</f>
        <v>1</v>
      </c>
      <c r="AG107" s="467">
        <f>VLOOKUP(A105,'[2]IBAN CONTI'!A$134:B$211,2,FALSE)</f>
        <v>1</v>
      </c>
      <c r="AH107" s="993"/>
      <c r="AI107" s="954"/>
      <c r="AJ107" s="1035" t="s">
        <v>175</v>
      </c>
      <c r="AK107" s="1039"/>
      <c r="AL107" s="54">
        <v>100</v>
      </c>
      <c r="AM107" s="466">
        <f>YEARFRAC(C105,AL105)</f>
        <v>8.5472222222222225</v>
      </c>
      <c r="AN107" s="465">
        <f>IF(B110=2,0,D106-AL105)</f>
        <v>12</v>
      </c>
      <c r="AO107" s="464">
        <f>IF(B110=2,AL106*(1+AM110)^AM109,AO108+AL106)</f>
        <v>99.888430493273546</v>
      </c>
      <c r="AP107" s="463">
        <f>IF(AF107=1,G105*AO108/100,A106/E106/100*AO108)</f>
        <v>4.3049327354258071E-3</v>
      </c>
      <c r="AQ107" s="179"/>
      <c r="AR107" s="709">
        <f>AL110*G105/100</f>
        <v>999.86</v>
      </c>
      <c r="AS107" s="462">
        <f>(AR110-AP110)*G105/100</f>
        <v>-1.493811659187827E-2</v>
      </c>
      <c r="AT107" s="419"/>
      <c r="AU107" s="420"/>
      <c r="AV107" s="223"/>
      <c r="AW107" s="420"/>
      <c r="AX107" s="417"/>
      <c r="AY107" s="420"/>
      <c r="AZ107" s="223"/>
      <c r="BA107" s="419"/>
      <c r="BB107" s="223"/>
      <c r="BC107" s="223"/>
      <c r="BD107" s="223"/>
      <c r="BE107" s="223"/>
      <c r="BF107" s="416"/>
      <c r="BG107" s="418"/>
      <c r="BH107" s="416"/>
      <c r="BI107" s="416"/>
      <c r="BJ107" s="416"/>
      <c r="BK107" s="418"/>
      <c r="BL107" s="417"/>
      <c r="BM107" s="416"/>
      <c r="BN107" s="416"/>
      <c r="BO107" s="416"/>
      <c r="BP107" s="416"/>
      <c r="BQ107" s="416"/>
      <c r="BR107" s="416"/>
      <c r="BS107" s="416"/>
      <c r="BT107" s="389"/>
      <c r="BU107" s="389"/>
      <c r="BV107" s="389"/>
      <c r="BW107" s="389"/>
      <c r="BX107" s="415"/>
      <c r="BY107" s="389"/>
      <c r="BZ107" s="389"/>
      <c r="CA107" s="389"/>
      <c r="CB107" s="389"/>
      <c r="CC107" s="389"/>
      <c r="CD107" s="389"/>
      <c r="CE107" s="389"/>
      <c r="CF107" s="389"/>
      <c r="CG107" s="389"/>
      <c r="CH107" s="389"/>
      <c r="CI107" s="389"/>
      <c r="CJ107" s="389"/>
      <c r="CK107" s="389"/>
      <c r="CL107" s="389"/>
      <c r="CM107" s="389"/>
      <c r="CN107" s="389"/>
      <c r="CO107" s="389"/>
      <c r="CP107" s="389"/>
      <c r="CQ107" s="389"/>
      <c r="CR107" s="389"/>
      <c r="CS107" s="415"/>
      <c r="CT107" s="389"/>
      <c r="CU107" s="389"/>
      <c r="CV107" s="389"/>
      <c r="CW107" s="389"/>
      <c r="CX107" s="389"/>
      <c r="CY107" s="389"/>
      <c r="CZ107" s="389"/>
      <c r="DA107" s="389"/>
      <c r="DB107" s="389"/>
      <c r="DC107" s="389"/>
      <c r="DD107" s="389"/>
      <c r="DE107" s="389"/>
      <c r="DF107" s="389"/>
      <c r="DG107" s="389"/>
      <c r="DH107" s="389"/>
      <c r="DI107" s="389"/>
      <c r="DJ107" s="389"/>
      <c r="DK107" s="389"/>
      <c r="DL107" s="389"/>
      <c r="DM107" s="389"/>
      <c r="DN107" s="389"/>
      <c r="DO107" s="414"/>
      <c r="DP107" s="39"/>
      <c r="DQ107" s="39"/>
      <c r="DR107" s="39"/>
      <c r="DS107" s="39"/>
      <c r="DT107" s="39"/>
      <c r="DU107" s="39"/>
      <c r="DV107" s="39"/>
      <c r="DW107" s="39"/>
      <c r="DX107" s="39"/>
      <c r="DY107" s="39"/>
      <c r="DZ107" s="39"/>
      <c r="EA107" s="39"/>
      <c r="EB107" s="39"/>
      <c r="EC107" s="39"/>
      <c r="ED107" s="136"/>
      <c r="EE107" s="136"/>
      <c r="EF107" s="136"/>
      <c r="EG107" s="136"/>
      <c r="EH107" s="136"/>
      <c r="EI107" s="136"/>
      <c r="EJ107" s="136"/>
      <c r="EK107" s="136"/>
      <c r="EL107" s="136"/>
      <c r="EM107" s="136"/>
      <c r="EN107" s="136"/>
      <c r="EO107" s="136"/>
      <c r="EP107" s="136"/>
      <c r="EQ107" s="136"/>
      <c r="ER107" s="136"/>
      <c r="ES107" s="136"/>
      <c r="ET107" s="136"/>
      <c r="EU107" s="136"/>
      <c r="EV107" s="136"/>
      <c r="EW107" s="136"/>
      <c r="EX107" s="136"/>
      <c r="EY107" s="136"/>
      <c r="EZ107" s="136"/>
      <c r="FA107" s="136"/>
      <c r="FB107" s="136"/>
      <c r="FC107" s="136"/>
      <c r="FD107" s="136"/>
      <c r="FE107" s="136"/>
      <c r="FF107" s="136"/>
      <c r="FG107" s="136"/>
      <c r="FH107" s="136"/>
      <c r="FI107" s="136"/>
      <c r="FJ107" s="136"/>
      <c r="FK107" s="136"/>
      <c r="FL107" s="136"/>
      <c r="FM107" s="136"/>
      <c r="FN107" s="136"/>
      <c r="FO107" s="39"/>
      <c r="FP107" s="39"/>
      <c r="FQ107" s="39"/>
      <c r="FR107" s="412"/>
      <c r="FS107" s="412"/>
      <c r="FT107" s="412"/>
      <c r="FU107" s="412"/>
      <c r="FV107" s="412"/>
      <c r="FW107" s="412"/>
      <c r="FX107" s="412"/>
      <c r="FY107" s="412"/>
      <c r="FZ107" s="412"/>
      <c r="GA107" s="412"/>
      <c r="GB107" s="412"/>
      <c r="GC107" s="412"/>
      <c r="GD107" s="412"/>
      <c r="GE107" s="412"/>
      <c r="GF107" s="412"/>
      <c r="GG107" s="412"/>
      <c r="GH107" s="412"/>
      <c r="GI107" s="412"/>
      <c r="GJ107" s="412"/>
      <c r="GK107" s="412"/>
      <c r="GL107" s="412"/>
      <c r="GM107" s="412"/>
      <c r="GN107" s="412"/>
      <c r="GO107" s="412"/>
      <c r="GP107" s="412"/>
      <c r="GQ107" s="412"/>
      <c r="GR107" s="278"/>
      <c r="GS107" s="277"/>
      <c r="GT107" s="277"/>
      <c r="GU107" s="277"/>
      <c r="GV107" s="277"/>
      <c r="GW107" s="277"/>
      <c r="GX107" s="277"/>
      <c r="GY107" s="277"/>
      <c r="GZ107" s="277"/>
      <c r="HA107" s="277"/>
      <c r="HB107" s="277"/>
      <c r="HC107" s="277"/>
      <c r="HD107" s="277"/>
      <c r="HE107" s="277"/>
      <c r="HF107" s="277"/>
      <c r="HG107" s="554"/>
      <c r="HH107" s="554"/>
      <c r="HI107" s="554"/>
      <c r="HJ107" s="554"/>
      <c r="HK107" s="554"/>
      <c r="HL107" s="554"/>
      <c r="HM107" s="554"/>
      <c r="HN107" s="554"/>
      <c r="HO107" s="554"/>
      <c r="HP107" s="554"/>
      <c r="HQ107" s="554"/>
      <c r="HR107" s="554"/>
      <c r="HS107" s="554"/>
      <c r="HT107" s="554"/>
      <c r="HU107" s="277"/>
      <c r="HV107" s="277"/>
      <c r="HW107" s="277"/>
      <c r="HX107" s="277"/>
      <c r="HY107" s="277"/>
      <c r="HZ107" s="277"/>
      <c r="IA107" s="277"/>
      <c r="IB107" s="277"/>
      <c r="IC107" s="412"/>
      <c r="ID107" s="412"/>
      <c r="IE107" s="412"/>
      <c r="IF107" s="412"/>
      <c r="IG107" s="412"/>
      <c r="IH107" s="412"/>
      <c r="II107" s="412"/>
      <c r="IJ107" s="412"/>
      <c r="IK107" s="412"/>
      <c r="IL107" s="412"/>
      <c r="IM107" s="412"/>
      <c r="IN107" s="412"/>
      <c r="IO107" s="413"/>
      <c r="IP107" s="412"/>
      <c r="IQ107" s="389"/>
      <c r="IR107" s="389"/>
      <c r="IS107" s="389"/>
      <c r="IT107" s="389"/>
      <c r="IU107" s="389"/>
      <c r="IV107" s="389"/>
      <c r="IW107" s="389"/>
      <c r="IX107" s="389"/>
      <c r="IY107" s="389"/>
      <c r="IZ107" s="389"/>
      <c r="JA107" s="389"/>
      <c r="JB107" s="389"/>
      <c r="JC107" s="389"/>
      <c r="JD107" s="389"/>
      <c r="JE107" s="389"/>
      <c r="JF107" s="389"/>
      <c r="JG107" s="389"/>
      <c r="JH107" s="389"/>
      <c r="JI107" s="389"/>
      <c r="JJ107" s="389"/>
      <c r="JK107" s="389"/>
      <c r="JL107" s="389"/>
      <c r="JM107" s="389"/>
      <c r="JN107" s="389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</row>
    <row r="108" spans="1:302" s="1" customFormat="1" ht="11.1" hidden="1" customHeight="1" outlineLevel="1">
      <c r="A108" s="461">
        <v>1</v>
      </c>
      <c r="B108" s="990" t="s">
        <v>183</v>
      </c>
      <c r="C108" s="990"/>
      <c r="D108" s="452">
        <f>COUPPCD(D106,C105,K107,AH109)</f>
        <v>44864</v>
      </c>
      <c r="E108" s="386"/>
      <c r="F108" s="460"/>
      <c r="G108" s="985">
        <v>2031</v>
      </c>
      <c r="H108" s="383"/>
      <c r="I108" s="434"/>
      <c r="J108" s="434"/>
      <c r="K108" s="987" t="s">
        <v>174</v>
      </c>
      <c r="L108" s="829"/>
      <c r="M108" s="720"/>
      <c r="N108" s="720"/>
      <c r="O108" s="223"/>
      <c r="Q108" s="280"/>
      <c r="R108" s="432"/>
      <c r="S108" s="15"/>
      <c r="T108" s="431"/>
      <c r="U108" s="15"/>
      <c r="V108" s="15"/>
      <c r="W108" s="15"/>
      <c r="X108" s="442"/>
      <c r="Y108" s="430"/>
      <c r="Z108" s="430"/>
      <c r="AA108" s="430"/>
      <c r="AB108" s="9"/>
      <c r="AC108" s="36"/>
      <c r="AD108" s="219"/>
      <c r="AE108" s="219"/>
      <c r="AF108" s="459"/>
      <c r="AG108" s="458"/>
      <c r="AH108" s="457"/>
      <c r="AI108" s="457"/>
      <c r="AJ108" s="1037"/>
      <c r="AK108" s="990"/>
      <c r="AL108" s="54">
        <f>IF(AL106&gt;100,0,AL107-AL106)</f>
        <v>0.11199999999999477</v>
      </c>
      <c r="AM108" s="456">
        <f>C105-AL105</f>
        <v>3122</v>
      </c>
      <c r="AN108" s="448">
        <f>IF(OR(K107&lt;&gt;1,AN107&gt;365),COUPDAYBS(D106,C105,K107,AH109),AN107)</f>
        <v>177</v>
      </c>
      <c r="AO108" s="424">
        <f>IF(B110=2,AO107-AL106,AL108/AM108*AN107)</f>
        <v>4.3049327354258073E-4</v>
      </c>
      <c r="AP108" s="455">
        <f>IF(B110=4,FLOOR(F105/K107*AN108/(D109-D108)*100,0.000001),IF(AH109=4,YEARFRAC(D108,D106,0)*F105*100,IF(B110=3,IF(OR(AH109=4,AH109=2),(F107*(AN108))/(360)*100,(F107*(AN108))/(365)*100),FLOOR(F105/K107*AN108/(D109-D108)*100,0.000001))))</f>
        <v>1.9450539999999998</v>
      </c>
      <c r="AQ108" s="454"/>
      <c r="AR108" s="708">
        <f>AL108*G105/100</f>
        <v>1.1199999999999477</v>
      </c>
      <c r="AS108" s="422">
        <f>IF(AS107&lt;0,0,AS107*(100-F110)/100)</f>
        <v>0</v>
      </c>
      <c r="AT108" s="419"/>
      <c r="AU108" s="420"/>
      <c r="AV108" s="223"/>
      <c r="AW108" s="420"/>
      <c r="AX108" s="417"/>
      <c r="AY108" s="420"/>
      <c r="AZ108" s="223"/>
      <c r="BA108" s="419"/>
      <c r="BB108" s="223"/>
      <c r="BC108" s="223"/>
      <c r="BD108" s="223"/>
      <c r="BE108" s="223"/>
      <c r="BF108" s="416"/>
      <c r="BG108" s="418"/>
      <c r="BH108" s="416"/>
      <c r="BI108" s="416"/>
      <c r="BJ108" s="416"/>
      <c r="BK108" s="418"/>
      <c r="BL108" s="417"/>
      <c r="BM108" s="416"/>
      <c r="BN108" s="416"/>
      <c r="BO108" s="416"/>
      <c r="BP108" s="416"/>
      <c r="BQ108" s="416"/>
      <c r="BR108" s="416"/>
      <c r="BS108" s="416"/>
      <c r="BT108" s="389"/>
      <c r="BU108" s="389"/>
      <c r="BV108" s="389"/>
      <c r="BW108" s="389"/>
      <c r="BX108" s="415"/>
      <c r="BY108" s="389"/>
      <c r="BZ108" s="389"/>
      <c r="CA108" s="389"/>
      <c r="CB108" s="389"/>
      <c r="CC108" s="389"/>
      <c r="CD108" s="389"/>
      <c r="CE108" s="389"/>
      <c r="CF108" s="389"/>
      <c r="CG108" s="389"/>
      <c r="CH108" s="389"/>
      <c r="CI108" s="389"/>
      <c r="CJ108" s="389"/>
      <c r="CK108" s="389"/>
      <c r="CL108" s="389"/>
      <c r="CM108" s="389"/>
      <c r="CN108" s="389"/>
      <c r="CO108" s="389"/>
      <c r="CP108" s="389"/>
      <c r="CQ108" s="389"/>
      <c r="CR108" s="389"/>
      <c r="CS108" s="415"/>
      <c r="CT108" s="389"/>
      <c r="CU108" s="389"/>
      <c r="CV108" s="389"/>
      <c r="CW108" s="389"/>
      <c r="CX108" s="389"/>
      <c r="CY108" s="389"/>
      <c r="CZ108" s="389"/>
      <c r="DA108" s="389"/>
      <c r="DB108" s="389"/>
      <c r="DC108" s="389"/>
      <c r="DD108" s="389"/>
      <c r="DE108" s="389"/>
      <c r="DF108" s="389"/>
      <c r="DG108" s="389"/>
      <c r="DH108" s="389"/>
      <c r="DI108" s="389"/>
      <c r="DJ108" s="389"/>
      <c r="DK108" s="389"/>
      <c r="DL108" s="389"/>
      <c r="DM108" s="389"/>
      <c r="DN108" s="389"/>
      <c r="DO108" s="414"/>
      <c r="DP108" s="39"/>
      <c r="DQ108" s="39"/>
      <c r="DR108" s="39"/>
      <c r="DS108" s="39"/>
      <c r="DT108" s="39"/>
      <c r="DU108" s="39"/>
      <c r="DV108" s="39"/>
      <c r="DW108" s="39"/>
      <c r="DX108" s="39"/>
      <c r="DY108" s="39"/>
      <c r="DZ108" s="39"/>
      <c r="EA108" s="39"/>
      <c r="EB108" s="39"/>
      <c r="EC108" s="39"/>
      <c r="ED108" s="136"/>
      <c r="EE108" s="136"/>
      <c r="EF108" s="136"/>
      <c r="EG108" s="136"/>
      <c r="EH108" s="136"/>
      <c r="EI108" s="136"/>
      <c r="EJ108" s="136"/>
      <c r="EK108" s="136"/>
      <c r="EL108" s="136"/>
      <c r="EM108" s="136"/>
      <c r="EN108" s="136"/>
      <c r="EO108" s="136"/>
      <c r="EP108" s="136"/>
      <c r="EQ108" s="136"/>
      <c r="ER108" s="136"/>
      <c r="ES108" s="136"/>
      <c r="ET108" s="136"/>
      <c r="EU108" s="136"/>
      <c r="EV108" s="136"/>
      <c r="EW108" s="136"/>
      <c r="EX108" s="136"/>
      <c r="EY108" s="136"/>
      <c r="EZ108" s="136"/>
      <c r="FA108" s="136"/>
      <c r="FB108" s="136"/>
      <c r="FC108" s="136"/>
      <c r="FD108" s="136"/>
      <c r="FE108" s="136"/>
      <c r="FF108" s="136"/>
      <c r="FG108" s="136"/>
      <c r="FH108" s="136"/>
      <c r="FI108" s="136"/>
      <c r="FJ108" s="136"/>
      <c r="FK108" s="136"/>
      <c r="FL108" s="136"/>
      <c r="FM108" s="136"/>
      <c r="FN108" s="136"/>
      <c r="FO108" s="39"/>
      <c r="FP108" s="39"/>
      <c r="FQ108" s="39"/>
      <c r="FR108" s="412"/>
      <c r="FS108" s="412"/>
      <c r="FT108" s="412"/>
      <c r="FU108" s="412"/>
      <c r="FV108" s="412"/>
      <c r="FW108" s="412"/>
      <c r="FX108" s="412"/>
      <c r="FY108" s="412"/>
      <c r="FZ108" s="412"/>
      <c r="GA108" s="412"/>
      <c r="GB108" s="412"/>
      <c r="GC108" s="412"/>
      <c r="GD108" s="412"/>
      <c r="GE108" s="412"/>
      <c r="GF108" s="412"/>
      <c r="GG108" s="412"/>
      <c r="GH108" s="412"/>
      <c r="GI108" s="412"/>
      <c r="GJ108" s="412"/>
      <c r="GK108" s="412"/>
      <c r="GL108" s="412"/>
      <c r="GM108" s="412"/>
      <c r="GN108" s="412"/>
      <c r="GO108" s="412"/>
      <c r="GP108" s="412"/>
      <c r="GQ108" s="412"/>
      <c r="GR108" s="278"/>
      <c r="GS108" s="277"/>
      <c r="GT108" s="277"/>
      <c r="GU108" s="277"/>
      <c r="GV108" s="277"/>
      <c r="GW108" s="277"/>
      <c r="GX108" s="277"/>
      <c r="GY108" s="277"/>
      <c r="GZ108" s="277"/>
      <c r="HA108" s="277"/>
      <c r="HB108" s="277"/>
      <c r="HC108" s="277"/>
      <c r="HD108" s="277"/>
      <c r="HE108" s="277"/>
      <c r="HF108" s="277"/>
      <c r="HG108" s="554"/>
      <c r="HH108" s="554"/>
      <c r="HI108" s="554"/>
      <c r="HJ108" s="554"/>
      <c r="HK108" s="554"/>
      <c r="HL108" s="554"/>
      <c r="HM108" s="554"/>
      <c r="HN108" s="554"/>
      <c r="HO108" s="554"/>
      <c r="HP108" s="554"/>
      <c r="HQ108" s="554"/>
      <c r="HR108" s="554"/>
      <c r="HS108" s="554"/>
      <c r="HT108" s="554"/>
      <c r="HU108" s="277"/>
      <c r="HV108" s="277"/>
      <c r="HW108" s="277"/>
      <c r="HX108" s="277"/>
      <c r="HY108" s="277"/>
      <c r="HZ108" s="277"/>
      <c r="IA108" s="277"/>
      <c r="IB108" s="277"/>
      <c r="IC108" s="412"/>
      <c r="ID108" s="412"/>
      <c r="IE108" s="412"/>
      <c r="IF108" s="412"/>
      <c r="IG108" s="412"/>
      <c r="IH108" s="412"/>
      <c r="II108" s="412"/>
      <c r="IJ108" s="412"/>
      <c r="IK108" s="412"/>
      <c r="IL108" s="412"/>
      <c r="IM108" s="412"/>
      <c r="IN108" s="412"/>
      <c r="IO108" s="413"/>
      <c r="IP108" s="412"/>
      <c r="IQ108" s="389"/>
      <c r="IR108" s="389"/>
      <c r="IS108" s="389"/>
      <c r="IT108" s="389"/>
      <c r="IU108" s="389"/>
      <c r="IV108" s="389"/>
      <c r="IW108" s="389"/>
      <c r="IX108" s="389"/>
      <c r="IY108" s="389"/>
      <c r="IZ108" s="389"/>
      <c r="JA108" s="389"/>
      <c r="JB108" s="389"/>
      <c r="JC108" s="389"/>
      <c r="JD108" s="389"/>
      <c r="JE108" s="389"/>
      <c r="JF108" s="389"/>
      <c r="JG108" s="389"/>
      <c r="JH108" s="389"/>
      <c r="JI108" s="389"/>
      <c r="JJ108" s="389"/>
      <c r="JK108" s="389"/>
      <c r="JL108" s="389"/>
      <c r="JM108" s="389"/>
      <c r="JN108" s="389"/>
      <c r="JO108" s="14"/>
      <c r="JP108" s="14"/>
      <c r="JQ108" s="14"/>
      <c r="JR108" s="14"/>
      <c r="JS108" s="14"/>
      <c r="JT108" s="14"/>
      <c r="JU108" s="14"/>
      <c r="JV108" s="14"/>
      <c r="JW108" s="14"/>
      <c r="JX108" s="14"/>
      <c r="JY108" s="14"/>
      <c r="JZ108" s="14"/>
      <c r="KA108" s="14"/>
      <c r="KB108" s="14"/>
      <c r="KC108" s="14"/>
      <c r="KD108" s="14"/>
      <c r="KE108" s="14"/>
      <c r="KF108" s="14"/>
      <c r="KG108" s="14"/>
      <c r="KH108" s="14"/>
      <c r="KI108" s="14"/>
      <c r="KJ108" s="14"/>
      <c r="KK108" s="14"/>
      <c r="KL108" s="14"/>
      <c r="KM108" s="14"/>
      <c r="KN108" s="14"/>
      <c r="KO108" s="14"/>
      <c r="KP108" s="14"/>
    </row>
    <row r="109" spans="1:302" s="1" customFormat="1" ht="11.1" hidden="1" customHeight="1" outlineLevel="1" thickBot="1">
      <c r="A109" s="453">
        <f>(A110*G105)</f>
        <v>1000</v>
      </c>
      <c r="B109" s="990"/>
      <c r="C109" s="990"/>
      <c r="D109" s="452">
        <f>COUPNCD(D106,C105,K107,AH109)</f>
        <v>45046</v>
      </c>
      <c r="E109" s="932" t="s">
        <v>173</v>
      </c>
      <c r="F109" s="451" t="str">
        <f>IF(E110=1,"87,5",IF(D105&lt;40908,87.5,IF(D105&lt;41820,"80","74")))</f>
        <v>87,5</v>
      </c>
      <c r="G109" s="986"/>
      <c r="H109" s="383"/>
      <c r="I109" s="434"/>
      <c r="J109" s="434"/>
      <c r="K109" s="987"/>
      <c r="L109" s="829"/>
      <c r="M109" s="720"/>
      <c r="N109" s="720"/>
      <c r="O109" s="223"/>
      <c r="Q109" s="280"/>
      <c r="R109" s="432"/>
      <c r="S109" s="15"/>
      <c r="T109" s="431"/>
      <c r="U109" s="15"/>
      <c r="V109" s="15"/>
      <c r="W109" s="15"/>
      <c r="X109" s="442"/>
      <c r="Y109" s="430"/>
      <c r="Z109" s="430"/>
      <c r="AA109" s="430"/>
      <c r="AB109" s="9"/>
      <c r="AC109" s="36"/>
      <c r="AD109" s="219"/>
      <c r="AE109" s="219"/>
      <c r="AF109" s="15"/>
      <c r="AG109" s="75"/>
      <c r="AH109" s="419">
        <f>VLOOKUP(AH106,'[2]IBAN CONTI'!A:B,2,FALSE)</f>
        <v>1</v>
      </c>
      <c r="AI109" s="419"/>
      <c r="AJ109" s="1033">
        <f>VLOOKUP(AJ107,'[2]IBAN CONTI'!A$67:B$77,2,FALSE)</f>
        <v>1</v>
      </c>
      <c r="AK109" s="1034"/>
      <c r="AL109" s="450">
        <f>AL106</f>
        <v>99.888000000000005</v>
      </c>
      <c r="AM109" s="577">
        <f>IF(B110=2,YEARFRAC(AL105,D106,AH109),YEARFRAC(D106,C105,AH109))</f>
        <v>8.5153635533921506</v>
      </c>
      <c r="AN109" s="448">
        <f>IF(B110=2,0,C105-D106-(365-AN108))</f>
        <v>2922</v>
      </c>
      <c r="AO109" s="424">
        <f>E105-AO108</f>
        <v>99.439569506726457</v>
      </c>
      <c r="AP109" s="447">
        <f>E105+AO110+AP108+0.1</f>
        <v>101.48500018834079</v>
      </c>
      <c r="AQ109" s="446"/>
      <c r="AR109" s="709">
        <f>IF(B110=3,F107*G105,F105*G105)</f>
        <v>40</v>
      </c>
      <c r="AS109" s="421">
        <f>AR105-AS108</f>
        <v>1034.8600000000001</v>
      </c>
      <c r="AT109" s="419"/>
      <c r="AU109" s="420"/>
      <c r="AV109" s="223"/>
      <c r="AW109" s="420"/>
      <c r="AX109" s="417"/>
      <c r="AY109" s="420"/>
      <c r="AZ109" s="223"/>
      <c r="BA109" s="419"/>
      <c r="BB109" s="223"/>
      <c r="BC109" s="223"/>
      <c r="BD109" s="223"/>
      <c r="BE109" s="223"/>
      <c r="BF109" s="416"/>
      <c r="BG109" s="418"/>
      <c r="BH109" s="416"/>
      <c r="BI109" s="416"/>
      <c r="BJ109" s="416"/>
      <c r="BK109" s="418"/>
      <c r="BL109" s="417"/>
      <c r="BM109" s="416"/>
      <c r="BN109" s="416"/>
      <c r="BO109" s="416"/>
      <c r="BP109" s="416"/>
      <c r="BQ109" s="416"/>
      <c r="BR109" s="416"/>
      <c r="BS109" s="416"/>
      <c r="BT109" s="389"/>
      <c r="BU109" s="389"/>
      <c r="BV109" s="389"/>
      <c r="BW109" s="389"/>
      <c r="BX109" s="415"/>
      <c r="BY109" s="389"/>
      <c r="BZ109" s="389"/>
      <c r="CA109" s="389"/>
      <c r="CB109" s="389"/>
      <c r="CC109" s="389"/>
      <c r="CD109" s="389"/>
      <c r="CE109" s="389"/>
      <c r="CF109" s="389"/>
      <c r="CG109" s="389"/>
      <c r="CH109" s="389"/>
      <c r="CI109" s="389"/>
      <c r="CJ109" s="389"/>
      <c r="CK109" s="389"/>
      <c r="CL109" s="389"/>
      <c r="CM109" s="389"/>
      <c r="CN109" s="389"/>
      <c r="CO109" s="389"/>
      <c r="CP109" s="389"/>
      <c r="CQ109" s="389"/>
      <c r="CR109" s="389"/>
      <c r="CS109" s="415"/>
      <c r="CT109" s="389"/>
      <c r="CU109" s="389"/>
      <c r="CV109" s="389"/>
      <c r="CW109" s="389"/>
      <c r="CX109" s="389"/>
      <c r="CY109" s="389"/>
      <c r="CZ109" s="389"/>
      <c r="DA109" s="389"/>
      <c r="DB109" s="389"/>
      <c r="DC109" s="389"/>
      <c r="DD109" s="389"/>
      <c r="DE109" s="389"/>
      <c r="DF109" s="389"/>
      <c r="DG109" s="389"/>
      <c r="DH109" s="389"/>
      <c r="DI109" s="389"/>
      <c r="DJ109" s="389"/>
      <c r="DK109" s="389"/>
      <c r="DL109" s="389"/>
      <c r="DM109" s="389"/>
      <c r="DN109" s="389"/>
      <c r="DO109" s="414"/>
      <c r="DP109" s="39"/>
      <c r="DQ109" s="39"/>
      <c r="DR109" s="39"/>
      <c r="DS109" s="136"/>
      <c r="DT109" s="136"/>
      <c r="DU109" s="136"/>
      <c r="DV109" s="136"/>
      <c r="DW109" s="136"/>
      <c r="DX109" s="136"/>
      <c r="DY109" s="136"/>
      <c r="DZ109" s="136"/>
      <c r="EA109" s="136"/>
      <c r="EB109" s="136"/>
      <c r="EC109" s="136"/>
      <c r="ED109" s="136"/>
      <c r="EE109" s="136"/>
      <c r="EF109" s="136"/>
      <c r="EG109" s="136"/>
      <c r="EH109" s="136"/>
      <c r="EI109" s="136"/>
      <c r="EJ109" s="136"/>
      <c r="EK109" s="136"/>
      <c r="EL109" s="136"/>
      <c r="EM109" s="136"/>
      <c r="EN109" s="136"/>
      <c r="EO109" s="136"/>
      <c r="EP109" s="136"/>
      <c r="EQ109" s="136"/>
      <c r="ER109" s="136"/>
      <c r="ES109" s="136"/>
      <c r="ET109" s="136"/>
      <c r="EU109" s="136"/>
      <c r="EV109" s="136"/>
      <c r="EW109" s="136"/>
      <c r="EX109" s="136"/>
      <c r="EY109" s="136"/>
      <c r="EZ109" s="136"/>
      <c r="FA109" s="136"/>
      <c r="FB109" s="136"/>
      <c r="FC109" s="136"/>
      <c r="FD109" s="136"/>
      <c r="FE109" s="136"/>
      <c r="FF109" s="136"/>
      <c r="FG109" s="136"/>
      <c r="FH109" s="136"/>
      <c r="FI109" s="136"/>
      <c r="FJ109" s="136"/>
      <c r="FK109" s="136"/>
      <c r="FL109" s="136"/>
      <c r="FM109" s="136"/>
      <c r="FN109" s="136"/>
      <c r="FO109" s="136"/>
      <c r="FP109" s="136"/>
      <c r="FQ109" s="136"/>
      <c r="FR109" s="412"/>
      <c r="FS109" s="412"/>
      <c r="FT109" s="412"/>
      <c r="FU109" s="412"/>
      <c r="FV109" s="412"/>
      <c r="FW109" s="412"/>
      <c r="FX109" s="412"/>
      <c r="FY109" s="412"/>
      <c r="FZ109" s="412"/>
      <c r="GA109" s="412"/>
      <c r="GB109" s="412"/>
      <c r="GC109" s="412"/>
      <c r="GD109" s="412"/>
      <c r="GE109" s="412"/>
      <c r="GF109" s="412"/>
      <c r="GG109" s="412"/>
      <c r="GH109" s="412"/>
      <c r="GI109" s="412"/>
      <c r="GJ109" s="412"/>
      <c r="GK109" s="412"/>
      <c r="GL109" s="412"/>
      <c r="GM109" s="412"/>
      <c r="GN109" s="412"/>
      <c r="GO109" s="412"/>
      <c r="GP109" s="412"/>
      <c r="GQ109" s="412"/>
      <c r="GR109" s="278"/>
      <c r="GS109" s="277"/>
      <c r="GT109" s="277"/>
      <c r="GU109" s="277"/>
      <c r="GV109" s="277"/>
      <c r="GW109" s="277"/>
      <c r="GX109" s="277"/>
      <c r="GY109" s="277"/>
      <c r="GZ109" s="277"/>
      <c r="HA109" s="277"/>
      <c r="HB109" s="277"/>
      <c r="HC109" s="277"/>
      <c r="HD109" s="277"/>
      <c r="HE109" s="277"/>
      <c r="HF109" s="277"/>
      <c r="HG109" s="554"/>
      <c r="HH109" s="554"/>
      <c r="HI109" s="554"/>
      <c r="HJ109" s="554"/>
      <c r="HK109" s="554"/>
      <c r="HL109" s="554"/>
      <c r="HM109" s="554"/>
      <c r="HN109" s="554"/>
      <c r="HO109" s="554"/>
      <c r="HP109" s="554"/>
      <c r="HQ109" s="554"/>
      <c r="HR109" s="554"/>
      <c r="HS109" s="554"/>
      <c r="HT109" s="554"/>
      <c r="HU109" s="277"/>
      <c r="HV109" s="277"/>
      <c r="HW109" s="277"/>
      <c r="HX109" s="277"/>
      <c r="HY109" s="277"/>
      <c r="HZ109" s="277"/>
      <c r="IA109" s="277"/>
      <c r="IB109" s="277"/>
      <c r="IC109" s="412"/>
      <c r="ID109" s="412"/>
      <c r="IE109" s="412"/>
      <c r="IF109" s="412"/>
      <c r="IG109" s="412"/>
      <c r="IH109" s="412"/>
      <c r="II109" s="412"/>
      <c r="IJ109" s="412"/>
      <c r="IK109" s="412"/>
      <c r="IL109" s="412"/>
      <c r="IM109" s="412"/>
      <c r="IN109" s="412"/>
      <c r="IO109" s="413"/>
      <c r="IP109" s="412"/>
      <c r="IQ109" s="389"/>
      <c r="IR109" s="389"/>
      <c r="IS109" s="389"/>
      <c r="IT109" s="389"/>
      <c r="IU109" s="389"/>
      <c r="IV109" s="389"/>
      <c r="IW109" s="389"/>
      <c r="IX109" s="389"/>
      <c r="IY109" s="389"/>
      <c r="IZ109" s="389"/>
      <c r="JA109" s="389"/>
      <c r="JB109" s="389"/>
      <c r="JC109" s="389"/>
      <c r="JD109" s="389"/>
      <c r="JE109" s="389"/>
      <c r="JF109" s="389"/>
      <c r="JG109" s="389"/>
      <c r="JH109" s="389"/>
      <c r="JI109" s="389"/>
      <c r="JJ109" s="389"/>
      <c r="JK109" s="389"/>
      <c r="JL109" s="389"/>
      <c r="JM109" s="389"/>
      <c r="JN109" s="389"/>
      <c r="JO109" s="14"/>
      <c r="JP109" s="14"/>
      <c r="JQ109" s="14"/>
      <c r="JR109" s="14"/>
      <c r="JS109" s="14"/>
      <c r="JT109" s="14"/>
      <c r="JU109" s="14"/>
      <c r="JV109" s="14"/>
      <c r="JW109" s="14"/>
      <c r="JX109" s="14"/>
      <c r="JY109" s="14"/>
      <c r="JZ109" s="14"/>
      <c r="KA109" s="14"/>
      <c r="KB109" s="14"/>
      <c r="KC109" s="14"/>
      <c r="KD109" s="14"/>
      <c r="KE109" s="14"/>
      <c r="KF109" s="14"/>
      <c r="KG109" s="14"/>
      <c r="KH109" s="14"/>
      <c r="KI109" s="14"/>
      <c r="KJ109" s="14"/>
      <c r="KK109" s="14"/>
      <c r="KL109" s="14"/>
      <c r="KM109" s="14"/>
      <c r="KN109" s="14"/>
      <c r="KO109" s="14"/>
      <c r="KP109" s="14"/>
    </row>
    <row r="110" spans="1:302" s="1" customFormat="1" ht="11.1" hidden="1" customHeight="1" outlineLevel="1">
      <c r="A110" s="437">
        <v>1</v>
      </c>
      <c r="B110" s="989">
        <f>VLOOKUP(B108,'[2]IBAN CONTI'!A$1:B$65562,2,FALSE)</f>
        <v>1</v>
      </c>
      <c r="C110" s="989"/>
      <c r="D110" s="436">
        <f>COUPNCD(AL105,C105,K107,AH109)</f>
        <v>45046</v>
      </c>
      <c r="E110" s="933">
        <f>VLOOKUP(E109,'[2]IBAN CONTI'!A:B,2,FALSE)</f>
        <v>1</v>
      </c>
      <c r="F110" s="444" t="str">
        <f>IF(E110=1,"87,5","74")</f>
        <v>87,5</v>
      </c>
      <c r="G110" s="443">
        <f>VLOOKUP(G108,'[2]IBAN CONTI'!A$244:B$273,2,FALSE)</f>
        <v>20</v>
      </c>
      <c r="H110" s="383"/>
      <c r="I110" s="434"/>
      <c r="J110" s="434"/>
      <c r="K110" s="433">
        <f>VLOOKUP(K108,'[2]IBAN CONTI'!A$80:B$101,2,FALSE)</f>
        <v>1</v>
      </c>
      <c r="L110" s="720"/>
      <c r="M110" s="720"/>
      <c r="N110" s="720"/>
      <c r="O110" s="223"/>
      <c r="Q110" s="280"/>
      <c r="R110" s="432"/>
      <c r="S110" s="15"/>
      <c r="T110" s="431"/>
      <c r="U110" s="15"/>
      <c r="V110" s="15"/>
      <c r="W110" s="15"/>
      <c r="X110" s="594">
        <f ca="1">X105-$AF$2</f>
        <v>-4687.6850547453723</v>
      </c>
      <c r="Y110" s="430"/>
      <c r="Z110" s="430"/>
      <c r="AA110" s="430"/>
      <c r="AB110" s="9"/>
      <c r="AC110" s="36"/>
      <c r="AD110" s="219"/>
      <c r="AE110" s="219"/>
      <c r="AF110" s="1011">
        <v>-90599.21</v>
      </c>
      <c r="AG110" s="1011"/>
      <c r="AH110" s="54"/>
      <c r="AI110" s="54"/>
      <c r="AJ110" s="441" t="s">
        <v>172</v>
      </c>
      <c r="AK110" s="440">
        <f>VLOOKUP(AJ110,'[2]IBAN CONTI'!A$61:B$64,2,FALSE)</f>
        <v>1</v>
      </c>
      <c r="AL110" s="427">
        <f>AL107-AL108*(100-F110)/100</f>
        <v>99.986000000000004</v>
      </c>
      <c r="AM110" s="426" t="str">
        <f>IF(B110=2,10^((LOG(AL107/AL106))/AM107)-1,"")</f>
        <v/>
      </c>
      <c r="AN110" s="439">
        <f>IF(B110=4,A107*E105/100,IF(AF107=1,G105*E105/100,A106/E106*E105/100))</f>
        <v>994.4</v>
      </c>
      <c r="AO110" s="425">
        <f>-AO108*(100-F109)/100</f>
        <v>-5.3811659192822591E-5</v>
      </c>
      <c r="AP110" s="438">
        <f>IF(B110=2,(AN110-AP107+AN105+AN106)/G105*100,(AN110-AP106+AN105+AN106)/G105*100)</f>
        <v>99.889493811659193</v>
      </c>
      <c r="AQ110" s="423"/>
      <c r="AR110" s="708">
        <f>AL106</f>
        <v>99.888000000000005</v>
      </c>
      <c r="AS110" s="421"/>
      <c r="AT110" s="419"/>
      <c r="AU110" s="420"/>
      <c r="AV110" s="223"/>
      <c r="AW110" s="420"/>
      <c r="AX110" s="417"/>
      <c r="AY110" s="420"/>
      <c r="AZ110" s="223"/>
      <c r="BA110" s="419"/>
      <c r="BB110" s="223"/>
      <c r="BC110" s="223"/>
      <c r="BD110" s="223"/>
      <c r="BE110" s="223"/>
      <c r="BF110" s="416"/>
      <c r="BG110" s="418"/>
      <c r="BH110" s="416"/>
      <c r="BI110" s="416"/>
      <c r="BJ110" s="416"/>
      <c r="BK110" s="418"/>
      <c r="BL110" s="417"/>
      <c r="BM110" s="416"/>
      <c r="BN110" s="416"/>
      <c r="BO110" s="416"/>
      <c r="BP110" s="416"/>
      <c r="BQ110" s="416"/>
      <c r="BR110" s="416"/>
      <c r="BS110" s="416"/>
      <c r="BT110" s="389"/>
      <c r="BU110" s="389"/>
      <c r="BV110" s="389"/>
      <c r="BW110" s="389"/>
      <c r="BX110" s="415"/>
      <c r="BY110" s="389"/>
      <c r="BZ110" s="389"/>
      <c r="CA110" s="389"/>
      <c r="CB110" s="389"/>
      <c r="CC110" s="389"/>
      <c r="CD110" s="389"/>
      <c r="CE110" s="389"/>
      <c r="CF110" s="389"/>
      <c r="CG110" s="389"/>
      <c r="CH110" s="389"/>
      <c r="CI110" s="389"/>
      <c r="CJ110" s="389"/>
      <c r="CK110" s="389"/>
      <c r="CL110" s="389"/>
      <c r="CM110" s="389"/>
      <c r="CN110" s="389"/>
      <c r="CO110" s="389"/>
      <c r="CP110" s="389"/>
      <c r="CQ110" s="389"/>
      <c r="CR110" s="389"/>
      <c r="CS110" s="415"/>
      <c r="CT110" s="389"/>
      <c r="CU110" s="389"/>
      <c r="CV110" s="389"/>
      <c r="CW110" s="389"/>
      <c r="CX110" s="389"/>
      <c r="CY110" s="389"/>
      <c r="CZ110" s="389"/>
      <c r="DA110" s="389"/>
      <c r="DB110" s="389"/>
      <c r="DC110" s="389"/>
      <c r="DD110" s="389"/>
      <c r="DE110" s="389"/>
      <c r="DF110" s="389"/>
      <c r="DG110" s="389"/>
      <c r="DH110" s="389"/>
      <c r="DI110" s="389"/>
      <c r="DJ110" s="389"/>
      <c r="DK110" s="389"/>
      <c r="DL110" s="389"/>
      <c r="DM110" s="389"/>
      <c r="DN110" s="389"/>
      <c r="DO110" s="414"/>
      <c r="DP110" s="39"/>
      <c r="DQ110" s="39"/>
      <c r="DR110" s="39"/>
      <c r="DS110" s="136"/>
      <c r="DT110" s="136"/>
      <c r="DU110" s="136"/>
      <c r="DV110" s="136"/>
      <c r="DW110" s="136"/>
      <c r="DX110" s="136"/>
      <c r="DY110" s="136"/>
      <c r="DZ110" s="136"/>
      <c r="EA110" s="136"/>
      <c r="EB110" s="136"/>
      <c r="EC110" s="136"/>
      <c r="ED110" s="136"/>
      <c r="EE110" s="136"/>
      <c r="EF110" s="136"/>
      <c r="EG110" s="136"/>
      <c r="EH110" s="136"/>
      <c r="EI110" s="136"/>
      <c r="EJ110" s="136"/>
      <c r="EK110" s="136"/>
      <c r="EL110" s="136"/>
      <c r="EM110" s="136"/>
      <c r="EN110" s="136"/>
      <c r="EO110" s="136"/>
      <c r="EP110" s="136"/>
      <c r="EQ110" s="136"/>
      <c r="ER110" s="136"/>
      <c r="ES110" s="136"/>
      <c r="ET110" s="136"/>
      <c r="EU110" s="136"/>
      <c r="EV110" s="136"/>
      <c r="EW110" s="136"/>
      <c r="EX110" s="136"/>
      <c r="EY110" s="136"/>
      <c r="EZ110" s="136"/>
      <c r="FA110" s="136"/>
      <c r="FB110" s="136"/>
      <c r="FC110" s="136"/>
      <c r="FD110" s="136"/>
      <c r="FE110" s="136"/>
      <c r="FF110" s="136"/>
      <c r="FG110" s="136"/>
      <c r="FH110" s="136"/>
      <c r="FI110" s="136"/>
      <c r="FJ110" s="136"/>
      <c r="FK110" s="136"/>
      <c r="FL110" s="136"/>
      <c r="FM110" s="136"/>
      <c r="FN110" s="136"/>
      <c r="FO110" s="136"/>
      <c r="FP110" s="136"/>
      <c r="FQ110" s="136"/>
      <c r="FR110" s="412"/>
      <c r="FS110" s="412"/>
      <c r="FT110" s="412"/>
      <c r="FU110" s="412"/>
      <c r="FV110" s="412"/>
      <c r="FW110" s="412"/>
      <c r="FX110" s="412"/>
      <c r="FY110" s="412"/>
      <c r="FZ110" s="412"/>
      <c r="GA110" s="412"/>
      <c r="GB110" s="412"/>
      <c r="GC110" s="412"/>
      <c r="GD110" s="412"/>
      <c r="GE110" s="412"/>
      <c r="GF110" s="412"/>
      <c r="GG110" s="412"/>
      <c r="GH110" s="412"/>
      <c r="GI110" s="412"/>
      <c r="GJ110" s="412"/>
      <c r="GK110" s="412"/>
      <c r="GL110" s="412"/>
      <c r="GM110" s="412"/>
      <c r="GN110" s="412"/>
      <c r="GO110" s="412"/>
      <c r="GP110" s="412"/>
      <c r="GQ110" s="412"/>
      <c r="GR110" s="278"/>
      <c r="GS110" s="277"/>
      <c r="GT110" s="277"/>
      <c r="GU110" s="277"/>
      <c r="GV110" s="277"/>
      <c r="GW110" s="277"/>
      <c r="GX110" s="277"/>
      <c r="GY110" s="277"/>
      <c r="GZ110" s="277"/>
      <c r="HA110" s="277"/>
      <c r="HB110" s="277"/>
      <c r="HC110" s="277"/>
      <c r="HD110" s="277"/>
      <c r="HE110" s="277"/>
      <c r="HF110" s="277"/>
      <c r="HG110" s="554"/>
      <c r="HH110" s="554"/>
      <c r="HI110" s="554"/>
      <c r="HJ110" s="554"/>
      <c r="HK110" s="554"/>
      <c r="HL110" s="554"/>
      <c r="HM110" s="554"/>
      <c r="HN110" s="554"/>
      <c r="HO110" s="554"/>
      <c r="HP110" s="554"/>
      <c r="HQ110" s="554"/>
      <c r="HR110" s="554"/>
      <c r="HS110" s="554"/>
      <c r="HT110" s="554"/>
      <c r="HU110" s="277"/>
      <c r="HV110" s="277"/>
      <c r="HW110" s="277"/>
      <c r="HX110" s="277"/>
      <c r="HY110" s="277"/>
      <c r="HZ110" s="277"/>
      <c r="IA110" s="277"/>
      <c r="IB110" s="277"/>
      <c r="IC110" s="412"/>
      <c r="ID110" s="412"/>
      <c r="IE110" s="412"/>
      <c r="IF110" s="412"/>
      <c r="IG110" s="412"/>
      <c r="IH110" s="412"/>
      <c r="II110" s="412"/>
      <c r="IJ110" s="412"/>
      <c r="IK110" s="412"/>
      <c r="IL110" s="412"/>
      <c r="IM110" s="412"/>
      <c r="IN110" s="412"/>
      <c r="IO110" s="413"/>
      <c r="IP110" s="412"/>
      <c r="IQ110" s="389"/>
      <c r="IR110" s="389"/>
      <c r="IS110" s="389"/>
      <c r="IT110" s="389"/>
      <c r="IU110" s="389"/>
      <c r="IV110" s="389"/>
      <c r="IW110" s="389"/>
      <c r="IX110" s="389"/>
      <c r="IY110" s="389"/>
      <c r="IZ110" s="389"/>
      <c r="JA110" s="389"/>
      <c r="JB110" s="389"/>
      <c r="JC110" s="389"/>
      <c r="JD110" s="389"/>
      <c r="JE110" s="389"/>
      <c r="JF110" s="389"/>
      <c r="JG110" s="389"/>
      <c r="JH110" s="389"/>
      <c r="JI110" s="389"/>
      <c r="JJ110" s="389"/>
      <c r="JK110" s="389"/>
      <c r="JL110" s="389"/>
      <c r="JM110" s="389"/>
      <c r="JN110" s="389"/>
      <c r="JO110" s="14"/>
      <c r="JP110" s="14"/>
      <c r="JQ110" s="14"/>
      <c r="JR110" s="14"/>
      <c r="JS110" s="14"/>
      <c r="JT110" s="14"/>
      <c r="JU110" s="14"/>
      <c r="JV110" s="14"/>
      <c r="JW110" s="14"/>
      <c r="JX110" s="14"/>
      <c r="JY110" s="14"/>
      <c r="JZ110" s="14"/>
      <c r="KA110" s="14"/>
      <c r="KB110" s="14"/>
      <c r="KC110" s="14"/>
      <c r="KD110" s="14"/>
      <c r="KE110" s="14"/>
      <c r="KF110" s="14"/>
      <c r="KG110" s="14"/>
      <c r="KH110" s="14"/>
      <c r="KI110" s="14"/>
      <c r="KJ110" s="14"/>
      <c r="KK110" s="14"/>
      <c r="KL110" s="14"/>
      <c r="KM110" s="14"/>
      <c r="KN110" s="14"/>
      <c r="KO110" s="14"/>
      <c r="KP110" s="14"/>
    </row>
    <row r="111" spans="1:302" s="1" customFormat="1" ht="11.1" hidden="1" customHeight="1" outlineLevel="1">
      <c r="A111" s="437" t="s">
        <v>209</v>
      </c>
      <c r="B111" s="933"/>
      <c r="C111" s="933"/>
      <c r="D111" s="436"/>
      <c r="E111" s="933"/>
      <c r="F111" s="435"/>
      <c r="G111" s="433"/>
      <c r="H111" s="383"/>
      <c r="I111" s="434"/>
      <c r="J111" s="434"/>
      <c r="K111" s="433"/>
      <c r="L111" s="720"/>
      <c r="M111" s="720"/>
      <c r="N111" s="720"/>
      <c r="O111" s="223"/>
      <c r="Q111" s="280"/>
      <c r="R111" s="432"/>
      <c r="S111" s="15"/>
      <c r="T111" s="15"/>
      <c r="U111" s="15"/>
      <c r="V111" s="15"/>
      <c r="W111" s="15"/>
      <c r="X111" s="442"/>
      <c r="Y111" s="430"/>
      <c r="Z111" s="430"/>
      <c r="AA111" s="430"/>
      <c r="AB111" s="9"/>
      <c r="AC111" s="36"/>
      <c r="AD111" s="219"/>
      <c r="AE111" s="219"/>
      <c r="AF111" s="934"/>
      <c r="AG111" s="934"/>
      <c r="AH111" s="54"/>
      <c r="AI111" s="54"/>
      <c r="AJ111" s="429"/>
      <c r="AK111" s="428"/>
      <c r="AL111" s="427"/>
      <c r="AM111" s="426"/>
      <c r="AN111" s="439"/>
      <c r="AO111" s="425"/>
      <c r="AP111" s="424"/>
      <c r="AQ111" s="424"/>
      <c r="AR111" s="708"/>
      <c r="AS111" s="421"/>
      <c r="AT111" s="419"/>
      <c r="AU111" s="420"/>
      <c r="AV111" s="223"/>
      <c r="AW111" s="420"/>
      <c r="AX111" s="417"/>
      <c r="AY111" s="420"/>
      <c r="AZ111" s="223"/>
      <c r="BA111" s="419"/>
      <c r="BB111" s="223"/>
      <c r="BC111" s="223"/>
      <c r="BD111" s="223"/>
      <c r="BE111" s="223"/>
      <c r="BF111" s="416"/>
      <c r="BG111" s="418"/>
      <c r="BH111" s="416"/>
      <c r="BI111" s="416"/>
      <c r="BJ111" s="416"/>
      <c r="BK111" s="418"/>
      <c r="BL111" s="417"/>
      <c r="BM111" s="416"/>
      <c r="BN111" s="416"/>
      <c r="BO111" s="416"/>
      <c r="BP111" s="416"/>
      <c r="BQ111" s="416"/>
      <c r="BR111" s="416"/>
      <c r="BS111" s="416"/>
      <c r="BT111" s="389"/>
      <c r="BU111" s="389"/>
      <c r="BV111" s="389"/>
      <c r="BW111" s="389"/>
      <c r="BX111" s="415"/>
      <c r="BY111" s="389"/>
      <c r="BZ111" s="389"/>
      <c r="CA111" s="389"/>
      <c r="CB111" s="389"/>
      <c r="CC111" s="389"/>
      <c r="CD111" s="389"/>
      <c r="CE111" s="389"/>
      <c r="CF111" s="389"/>
      <c r="CG111" s="389"/>
      <c r="CH111" s="389"/>
      <c r="CI111" s="389"/>
      <c r="CJ111" s="389"/>
      <c r="CK111" s="389"/>
      <c r="CL111" s="389"/>
      <c r="CM111" s="389"/>
      <c r="CN111" s="389"/>
      <c r="CO111" s="389"/>
      <c r="CP111" s="389"/>
      <c r="CQ111" s="389"/>
      <c r="CR111" s="389"/>
      <c r="CS111" s="415"/>
      <c r="CT111" s="389"/>
      <c r="CU111" s="389"/>
      <c r="CV111" s="389"/>
      <c r="CW111" s="389"/>
      <c r="CX111" s="389"/>
      <c r="CY111" s="389"/>
      <c r="CZ111" s="389"/>
      <c r="DA111" s="389"/>
      <c r="DB111" s="389"/>
      <c r="DC111" s="389"/>
      <c r="DD111" s="389"/>
      <c r="DE111" s="389"/>
      <c r="DF111" s="389"/>
      <c r="DG111" s="389"/>
      <c r="DH111" s="389"/>
      <c r="DI111" s="389"/>
      <c r="DJ111" s="389"/>
      <c r="DK111" s="389"/>
      <c r="DL111" s="389"/>
      <c r="DM111" s="389"/>
      <c r="DN111" s="389"/>
      <c r="DO111" s="414"/>
      <c r="DP111" s="39"/>
      <c r="DQ111" s="39"/>
      <c r="DR111" s="39"/>
      <c r="DS111" s="136"/>
      <c r="DT111" s="136"/>
      <c r="DU111" s="136"/>
      <c r="DV111" s="136"/>
      <c r="DW111" s="136"/>
      <c r="DX111" s="136"/>
      <c r="DY111" s="136"/>
      <c r="DZ111" s="136"/>
      <c r="EA111" s="136"/>
      <c r="EB111" s="136"/>
      <c r="EC111" s="136"/>
      <c r="ED111" s="136"/>
      <c r="EE111" s="136"/>
      <c r="EF111" s="136"/>
      <c r="EG111" s="136"/>
      <c r="EH111" s="136"/>
      <c r="EI111" s="136"/>
      <c r="EJ111" s="136"/>
      <c r="EK111" s="136"/>
      <c r="EL111" s="136"/>
      <c r="EM111" s="136"/>
      <c r="EN111" s="136"/>
      <c r="EO111" s="136"/>
      <c r="EP111" s="136"/>
      <c r="EQ111" s="136"/>
      <c r="ER111" s="136"/>
      <c r="ES111" s="136"/>
      <c r="ET111" s="136"/>
      <c r="EU111" s="136"/>
      <c r="EV111" s="136"/>
      <c r="EW111" s="136"/>
      <c r="EX111" s="136"/>
      <c r="EY111" s="136"/>
      <c r="EZ111" s="136"/>
      <c r="FA111" s="136"/>
      <c r="FB111" s="136"/>
      <c r="FC111" s="136"/>
      <c r="FD111" s="136"/>
      <c r="FE111" s="136"/>
      <c r="FF111" s="136"/>
      <c r="FG111" s="136"/>
      <c r="FH111" s="136"/>
      <c r="FI111" s="136"/>
      <c r="FJ111" s="136"/>
      <c r="FK111" s="136"/>
      <c r="FL111" s="136"/>
      <c r="FM111" s="136"/>
      <c r="FN111" s="136"/>
      <c r="FO111" s="136"/>
      <c r="FP111" s="136"/>
      <c r="FQ111" s="136"/>
      <c r="FR111" s="412"/>
      <c r="FS111" s="412"/>
      <c r="FT111" s="412"/>
      <c r="FU111" s="412"/>
      <c r="FV111" s="412"/>
      <c r="FW111" s="412"/>
      <c r="FX111" s="412"/>
      <c r="FY111" s="412"/>
      <c r="FZ111" s="412"/>
      <c r="GA111" s="412"/>
      <c r="GB111" s="412"/>
      <c r="GC111" s="412"/>
      <c r="GD111" s="412"/>
      <c r="GE111" s="412"/>
      <c r="GF111" s="412"/>
      <c r="GG111" s="412"/>
      <c r="GH111" s="412"/>
      <c r="GI111" s="412"/>
      <c r="GJ111" s="412"/>
      <c r="GK111" s="412"/>
      <c r="GL111" s="412"/>
      <c r="GM111" s="412"/>
      <c r="GN111" s="412"/>
      <c r="GO111" s="412"/>
      <c r="GP111" s="412"/>
      <c r="GQ111" s="412"/>
      <c r="GR111" s="278"/>
      <c r="GS111" s="277"/>
      <c r="GT111" s="277"/>
      <c r="GU111" s="277"/>
      <c r="GV111" s="277"/>
      <c r="GW111" s="277"/>
      <c r="GX111" s="277"/>
      <c r="GY111" s="277"/>
      <c r="GZ111" s="277"/>
      <c r="HA111" s="277"/>
      <c r="HB111" s="277"/>
      <c r="HC111" s="277"/>
      <c r="HD111" s="277"/>
      <c r="HE111" s="277"/>
      <c r="HF111" s="277"/>
      <c r="HG111" s="554"/>
      <c r="HH111" s="554"/>
      <c r="HI111" s="554"/>
      <c r="HJ111" s="554"/>
      <c r="HK111" s="554"/>
      <c r="HL111" s="554"/>
      <c r="HM111" s="554"/>
      <c r="HN111" s="554"/>
      <c r="HO111" s="554"/>
      <c r="HP111" s="554"/>
      <c r="HQ111" s="554"/>
      <c r="HR111" s="554"/>
      <c r="HS111" s="554"/>
      <c r="HT111" s="554"/>
      <c r="HU111" s="277"/>
      <c r="HV111" s="277"/>
      <c r="HW111" s="277"/>
      <c r="HX111" s="277"/>
      <c r="HY111" s="277"/>
      <c r="HZ111" s="277"/>
      <c r="IA111" s="277"/>
      <c r="IB111" s="277"/>
      <c r="IC111" s="412"/>
      <c r="ID111" s="412"/>
      <c r="IE111" s="412"/>
      <c r="IF111" s="412"/>
      <c r="IG111" s="412"/>
      <c r="IH111" s="412"/>
      <c r="II111" s="412"/>
      <c r="IJ111" s="412"/>
      <c r="IK111" s="412"/>
      <c r="IL111" s="412"/>
      <c r="IM111" s="412"/>
      <c r="IN111" s="412"/>
      <c r="IO111" s="413"/>
      <c r="IP111" s="412"/>
      <c r="IQ111" s="389"/>
      <c r="IR111" s="389"/>
      <c r="IS111" s="389"/>
      <c r="IT111" s="389"/>
      <c r="IU111" s="389"/>
      <c r="IV111" s="389"/>
      <c r="IW111" s="389"/>
      <c r="IX111" s="389"/>
      <c r="IY111" s="389"/>
      <c r="IZ111" s="389"/>
      <c r="JA111" s="389"/>
      <c r="JB111" s="389"/>
      <c r="JC111" s="389"/>
      <c r="JD111" s="389"/>
      <c r="JE111" s="389"/>
      <c r="JF111" s="389"/>
      <c r="JG111" s="389"/>
      <c r="JH111" s="389"/>
      <c r="JI111" s="389"/>
      <c r="JJ111" s="389"/>
      <c r="JK111" s="389"/>
      <c r="JL111" s="389"/>
      <c r="JM111" s="389"/>
      <c r="JN111" s="389"/>
      <c r="JO111" s="14"/>
      <c r="JP111" s="14"/>
      <c r="JQ111" s="14"/>
      <c r="JR111" s="14"/>
      <c r="JS111" s="14"/>
      <c r="JT111" s="14"/>
      <c r="JU111" s="14"/>
      <c r="JV111" s="14"/>
      <c r="JW111" s="14"/>
      <c r="JX111" s="14"/>
      <c r="JY111" s="14"/>
      <c r="JZ111" s="14"/>
      <c r="KA111" s="14"/>
      <c r="KB111" s="14"/>
      <c r="KC111" s="14"/>
      <c r="KD111" s="14"/>
      <c r="KE111" s="14"/>
      <c r="KF111" s="14"/>
      <c r="KG111" s="14"/>
      <c r="KH111" s="14"/>
      <c r="KI111" s="14"/>
      <c r="KJ111" s="14"/>
      <c r="KK111" s="14"/>
      <c r="KL111" s="14"/>
      <c r="KM111" s="14"/>
      <c r="KN111" s="14"/>
      <c r="KO111" s="14"/>
      <c r="KP111" s="14"/>
    </row>
    <row r="112" spans="1:302" s="777" customFormat="1" ht="11.1" customHeight="1" collapsed="1">
      <c r="A112" s="788">
        <v>2032</v>
      </c>
      <c r="B112" s="789"/>
      <c r="C112" s="521"/>
      <c r="D112" s="790"/>
      <c r="E112" s="791"/>
      <c r="F112" s="792"/>
      <c r="G112" s="966"/>
      <c r="H112" s="966"/>
      <c r="I112" s="792"/>
      <c r="J112" s="966"/>
      <c r="K112" s="793"/>
      <c r="L112" s="841"/>
      <c r="M112" s="847"/>
      <c r="N112" s="847"/>
      <c r="O112" s="260"/>
      <c r="P112" s="794" t="s">
        <v>30</v>
      </c>
      <c r="Q112" s="795"/>
      <c r="R112" s="795"/>
      <c r="S112" s="796"/>
      <c r="T112" s="966"/>
      <c r="U112" s="796"/>
      <c r="V112" s="796"/>
      <c r="W112" s="796"/>
      <c r="X112" s="796"/>
      <c r="Y112" s="796"/>
      <c r="Z112" s="796"/>
      <c r="AA112" s="796"/>
      <c r="AB112" s="797"/>
      <c r="AC112" s="966"/>
      <c r="AD112" s="798"/>
      <c r="AE112" s="966"/>
      <c r="AF112" s="799"/>
      <c r="AG112" s="799"/>
      <c r="AH112" s="800"/>
      <c r="AI112" s="801"/>
      <c r="AJ112" s="782"/>
      <c r="AK112" s="802"/>
      <c r="AL112" s="803"/>
      <c r="AM112" s="804"/>
      <c r="AN112" s="789"/>
      <c r="AO112" s="790"/>
      <c r="AP112" s="805"/>
      <c r="AQ112" s="805"/>
      <c r="AR112" s="779"/>
      <c r="AS112" s="779"/>
      <c r="AT112" s="779"/>
      <c r="AU112" s="779"/>
      <c r="AV112" s="779"/>
      <c r="AW112" s="779"/>
      <c r="AX112" s="779"/>
      <c r="AY112" s="779"/>
      <c r="AZ112" s="779"/>
      <c r="BA112" s="779"/>
      <c r="BB112" s="779"/>
      <c r="BC112" s="779"/>
      <c r="BD112" s="779"/>
      <c r="BE112" s="779"/>
      <c r="BF112" s="779"/>
      <c r="BG112" s="779"/>
      <c r="BH112" s="779"/>
      <c r="BI112" s="779"/>
      <c r="BJ112" s="779"/>
      <c r="BK112" s="779"/>
      <c r="BL112" s="779"/>
      <c r="BM112" s="779"/>
      <c r="BN112" s="779"/>
      <c r="BO112" s="779"/>
      <c r="BP112" s="779"/>
      <c r="BQ112" s="779"/>
      <c r="BR112" s="779"/>
      <c r="BS112" s="779"/>
      <c r="BT112" s="779"/>
      <c r="BU112" s="779"/>
      <c r="BV112" s="779"/>
      <c r="BW112" s="779"/>
      <c r="BX112" s="779"/>
      <c r="BY112" s="779"/>
      <c r="BZ112" s="779"/>
      <c r="CA112" s="779"/>
      <c r="CB112" s="779"/>
      <c r="CC112" s="779"/>
      <c r="CD112" s="779"/>
      <c r="CE112" s="779"/>
      <c r="CF112" s="779"/>
      <c r="HU112" s="780"/>
      <c r="JT112" s="781"/>
    </row>
    <row r="113" spans="1:302" s="14" customFormat="1" ht="5.0999999999999996" customHeight="1" collapsed="1">
      <c r="A113" s="3"/>
      <c r="B113" s="41"/>
      <c r="D113" s="23"/>
      <c r="E113" s="83"/>
      <c r="F113" s="7"/>
      <c r="K113" s="40"/>
      <c r="L113" s="836"/>
      <c r="M113" s="848"/>
      <c r="N113" s="848"/>
      <c r="O113" s="609"/>
      <c r="P113" s="3"/>
      <c r="Q113" s="7"/>
      <c r="R113" s="7"/>
      <c r="S113" s="23"/>
      <c r="AB113" s="23"/>
      <c r="AG113" s="34"/>
      <c r="AH113" s="409"/>
      <c r="AI113" s="608"/>
      <c r="AJ113" s="80"/>
      <c r="AK113" s="607"/>
      <c r="AL113" s="18"/>
      <c r="AM113" s="606"/>
      <c r="AN113" s="18"/>
      <c r="AQ113" s="23"/>
      <c r="IP113" s="3"/>
      <c r="JT113" s="553"/>
    </row>
    <row r="114" spans="1:302" s="14" customFormat="1" ht="11.1" customHeight="1">
      <c r="A114" s="497" t="s">
        <v>462</v>
      </c>
      <c r="B114" s="496" t="s">
        <v>186</v>
      </c>
      <c r="C114" s="387">
        <v>48365</v>
      </c>
      <c r="D114" s="946">
        <v>45139</v>
      </c>
      <c r="E114" s="814">
        <v>95.32</v>
      </c>
      <c r="F114" s="490">
        <v>3.7499999999999999E-2</v>
      </c>
      <c r="G114" s="383">
        <v>1000</v>
      </c>
      <c r="H114" s="383">
        <f>G114</f>
        <v>1000</v>
      </c>
      <c r="I114" s="385">
        <f>G114*F114/100*F119</f>
        <v>27.75</v>
      </c>
      <c r="J114" s="383">
        <f>I114</f>
        <v>27.75</v>
      </c>
      <c r="K114" s="384" t="s">
        <v>198</v>
      </c>
      <c r="L114" s="833">
        <f>MONTH(C114)</f>
        <v>5</v>
      </c>
      <c r="M114" s="842" t="str">
        <f>IFERROR(IF(N114&gt;12,N114-12,N114),"")</f>
        <v/>
      </c>
      <c r="N114" s="594" t="str">
        <f>IF(K116=1,"",MONTH(C114)+6)</f>
        <v/>
      </c>
      <c r="O114" s="832">
        <f>IF(K116=1,I114,I114/2)</f>
        <v>27.75</v>
      </c>
      <c r="P114" s="215">
        <f>VLOOKUP(B115,[2]Prezzi!$A$2:$R$125,18,FALSE)</f>
        <v>102.15000152587891</v>
      </c>
      <c r="Q114" s="15"/>
      <c r="R114" s="22"/>
      <c r="S114" s="493">
        <f ca="1">MAX(0,IF(B119=5,I114/AM116*X114,(((((F114)*AF$2)/365)*G114*F119/100)+((((F114)*X119)/365)*G114*F119/100))))</f>
        <v>12.620547945205487</v>
      </c>
      <c r="T114" s="492">
        <f ca="1">S114</f>
        <v>12.620547945205487</v>
      </c>
      <c r="U114" s="469"/>
      <c r="V114" s="4"/>
      <c r="W114" s="469"/>
      <c r="X114" s="491">
        <f ca="1">IF(B119=4,COUPDAYBS($AB$2,C114,K116,AH118),IF($AB$2-AL114&lt;365,IF(K116&gt;1,FLOOR(365/K116-(E116-AB$2),1),IF(B119=2,0,IF(AL114&gt;$AB$2,0,IF(AND(E116-AL114&lt;365,$AB$2&lt;E116),$AB$2-AL114,COUPDAYBS($AB$2,C114,K116,AH118))))),COUPDAYBS($AB$2,C114,K116,AH118)))</f>
        <v>166</v>
      </c>
      <c r="Y114" s="456">
        <f ca="1">G114*AF114</f>
        <v>6484.3702906046965</v>
      </c>
      <c r="Z114" s="456">
        <f ca="1">IF(G114=0,"0",G114*AG114)</f>
        <v>25.304368780107431</v>
      </c>
      <c r="AA114" s="22"/>
      <c r="AB114" s="979">
        <f ca="1">IF(B119=5,(((I114/AM117)*X114)+(G114)),(G114*P114*A119/100)+(S114*A119))</f>
        <v>1034.1205632039946</v>
      </c>
      <c r="AC114" s="383">
        <f ca="1">AB114</f>
        <v>1034.1205632039946</v>
      </c>
      <c r="AD114" s="156">
        <f>IF(E115="",((P114-E114)/100)*G114,((((P114-E114)/100)*A115)/F115)+((A115/F115)-(A115/E115)))</f>
        <v>68.300015258789131</v>
      </c>
      <c r="AE114" s="383">
        <f>AD114</f>
        <v>68.300015258789131</v>
      </c>
      <c r="AF114" s="446">
        <f ca="1">IF(B119=1,MDURATION($AB$2,C114,F114,AG114,K116,AH118),IF(B119=2,YEARFRAC(C114,$AB$2,AH118)))</f>
        <v>6.4843702906046969</v>
      </c>
      <c r="AG114" s="824">
        <f ca="1">YIELD(AB$2,C114,F114,P114,AL116,K116,AH118)*F119/100</f>
        <v>2.5304368780107431E-2</v>
      </c>
      <c r="AH114" s="489">
        <f ca="1">(((F114)*X114)/365)*F119</f>
        <v>1.2620547945205478</v>
      </c>
      <c r="AI114" s="573"/>
      <c r="AJ114" s="180"/>
      <c r="AK114" s="546"/>
      <c r="AL114" s="245">
        <v>44946</v>
      </c>
      <c r="AM114" s="545" t="s">
        <v>190</v>
      </c>
      <c r="AN114" s="179">
        <f>IF(B119=4,MIN(G114*E114*A117*AV$3/100,AV$4),IF(AF116=1,MIN(G114*E114*AV$3/100,AV$4),MIN((A115*E114/E115*AV$3/100),AV$4)+(((A115/E115*E114/100)+(A115/E115*E114*AV$3/100)+AN115+AO114)*AZ$3)))</f>
        <v>0.95320000000000005</v>
      </c>
      <c r="AO114" s="815">
        <v>655.74</v>
      </c>
      <c r="AP114" s="188">
        <f>IF(B119=2,AN119+AN114+AN115+AP115,AN119+AN114+AN115+AO114+AO115+AP115)</f>
        <v>1442.7145490494295</v>
      </c>
      <c r="AQ114" s="326">
        <f>AP114</f>
        <v>1442.7145490494295</v>
      </c>
      <c r="AR114" s="569">
        <f>AR116+AR118+AR115</f>
        <v>1024.4844000000001</v>
      </c>
      <c r="AS114" s="825">
        <f ca="1">AG114</f>
        <v>2.5304368780107431E-2</v>
      </c>
      <c r="AT114" s="419">
        <f>IF(B119=1,G114,"")</f>
        <v>1000</v>
      </c>
      <c r="AU114" s="420" t="str">
        <f>IF(B119=2,G114,"")</f>
        <v/>
      </c>
      <c r="AV114" s="223" t="str">
        <f>IF(B119=3,G114,"")</f>
        <v/>
      </c>
      <c r="AW114" s="420" t="str">
        <f>IF(B119=4,G114,"")</f>
        <v/>
      </c>
      <c r="AX114" s="417" t="str">
        <f>IF(B119=5,G114,"")</f>
        <v/>
      </c>
      <c r="AY114" s="420" t="str">
        <f>IF(B119=6,G114,"")</f>
        <v/>
      </c>
      <c r="AZ114" s="223" t="str">
        <f>IF(B119=7,G114,"")</f>
        <v/>
      </c>
      <c r="BA114" s="419" t="str">
        <f>IF(B116=1,G114,"")</f>
        <v/>
      </c>
      <c r="BB114" s="223" t="str">
        <f>IF(B116=2,G114,"")</f>
        <v/>
      </c>
      <c r="BC114" s="223" t="str">
        <f>IF(B116=3,G114,"")</f>
        <v/>
      </c>
      <c r="BD114" s="223">
        <f>IF(B116=4,G114,"")</f>
        <v>1000</v>
      </c>
      <c r="BE114" s="223" t="str">
        <f>IF(B116=5,G114,"")</f>
        <v/>
      </c>
      <c r="BF114" s="417" t="str">
        <f>IF(B116=6,G114,"")</f>
        <v/>
      </c>
      <c r="BG114" s="419">
        <f>IF(AK119=1,G114,"")</f>
        <v>1000</v>
      </c>
      <c r="BH114" s="223" t="str">
        <f>IF(AK119=2,G114,"")</f>
        <v/>
      </c>
      <c r="BI114" s="223" t="str">
        <f>IF(AK119=3,G114,"")</f>
        <v/>
      </c>
      <c r="BJ114" s="223" t="str">
        <f>IF(AK119=4,G114,"")</f>
        <v/>
      </c>
      <c r="BK114" s="419" t="str">
        <f>IF(AJ118=1,G114,"")</f>
        <v/>
      </c>
      <c r="BL114" s="482" t="str">
        <f>IF(BK114&lt;&gt;"",AB114,"")</f>
        <v/>
      </c>
      <c r="BM114" s="223" t="str">
        <f>IF(AJ118=2,G114,"")</f>
        <v/>
      </c>
      <c r="BN114" s="223" t="str">
        <f>IF(BM114&lt;&gt;"",AB114,"")</f>
        <v/>
      </c>
      <c r="BO114" s="223" t="str">
        <f>IF(AJ118=3,G114,"")</f>
        <v/>
      </c>
      <c r="BP114" s="223" t="str">
        <f>IF(AJ118=4,G114,"")</f>
        <v/>
      </c>
      <c r="BQ114" s="223" t="str">
        <f>IF(AJ118=5,G114,"")</f>
        <v/>
      </c>
      <c r="BR114" s="223" t="str">
        <f>IF(AJ118=6,G114,"")</f>
        <v/>
      </c>
      <c r="BS114" s="223" t="str">
        <f>IF(AJ118=7,G114,"")</f>
        <v/>
      </c>
      <c r="BT114" s="223" t="str">
        <f>IF(AJ118=8,G114,"")</f>
        <v/>
      </c>
      <c r="BU114" s="223">
        <f>IF(AJ118=9,G114,"")</f>
        <v>1000</v>
      </c>
      <c r="BV114" s="223" t="str">
        <f>IF(AJ118=10,G114,"")</f>
        <v/>
      </c>
      <c r="BW114" s="223" t="str">
        <f>IF(AJ118=11,G114,"")</f>
        <v/>
      </c>
      <c r="BX114" s="419">
        <f>IF(AF116=1,G114,"")</f>
        <v>1000</v>
      </c>
      <c r="BY114" s="223" t="str">
        <f>IF(AF116=2,G114,"")</f>
        <v/>
      </c>
      <c r="BZ114" s="223" t="str">
        <f>IF(AF116=3,G114,"")</f>
        <v/>
      </c>
      <c r="CA114" s="223" t="str">
        <f>IF(AF116=4,G114,"")</f>
        <v/>
      </c>
      <c r="CB114" s="223" t="str">
        <f>IF(AF116=5,G114,"")</f>
        <v/>
      </c>
      <c r="CC114" s="223" t="str">
        <f>IF(AF116=6,G114,"")</f>
        <v/>
      </c>
      <c r="CD114" s="223" t="str">
        <f>IF(AF116=7,G114,"")</f>
        <v/>
      </c>
      <c r="CE114" s="223" t="str">
        <f>IF(AF116=8,G114,"")</f>
        <v/>
      </c>
      <c r="CF114" s="223" t="str">
        <f>IF(AF116=9,G114,"")</f>
        <v/>
      </c>
      <c r="CG114" s="223" t="str">
        <f>IF(AF116=10,G114,"")</f>
        <v/>
      </c>
      <c r="CH114" s="223" t="str">
        <f>IF(AF116=11,G114,"")</f>
        <v/>
      </c>
      <c r="CI114" s="223" t="str">
        <f>IF(AF116=12,G114,"")</f>
        <v/>
      </c>
      <c r="CJ114" s="223" t="str">
        <f>IF(AF116=13,G114,"")</f>
        <v/>
      </c>
      <c r="CK114" s="223" t="str">
        <f>IF(AF116=14,G114,"")</f>
        <v/>
      </c>
      <c r="CL114" s="223" t="str">
        <f>IF(AF116=15,G114,"")</f>
        <v/>
      </c>
      <c r="CM114" s="223" t="str">
        <f>IF(AF116=16,G114,"")</f>
        <v/>
      </c>
      <c r="CN114" s="223" t="str">
        <f>IF(AF116=17,G114,"")</f>
        <v/>
      </c>
      <c r="CO114" s="223" t="str">
        <f>IF(AF116=18,G114,"")</f>
        <v/>
      </c>
      <c r="CP114" s="223" t="str">
        <f>IF(AF116=19,G114,"")</f>
        <v/>
      </c>
      <c r="CQ114" s="223" t="str">
        <f>IF(AF116=20,G114,"")</f>
        <v/>
      </c>
      <c r="CR114" s="223" t="str">
        <f>IF(AF116=21,G114,"")</f>
        <v/>
      </c>
      <c r="CS114" s="419" t="str">
        <f>IF(K119=1,G114,"")</f>
        <v/>
      </c>
      <c r="CT114" s="223" t="str">
        <f>IF(K119=2,G114,"")</f>
        <v/>
      </c>
      <c r="CU114" s="223" t="str">
        <f>IF(K119=3,G114,"")</f>
        <v/>
      </c>
      <c r="CV114" s="223">
        <f>IF(K119=4,G114,"")</f>
        <v>1000</v>
      </c>
      <c r="CW114" s="223" t="str">
        <f>IF(K119=5,G114,"")</f>
        <v/>
      </c>
      <c r="CX114" s="223" t="str">
        <f>IF(K119=6,G114,"")</f>
        <v/>
      </c>
      <c r="CY114" s="223" t="str">
        <f>IF(K119=7,G114,"")</f>
        <v/>
      </c>
      <c r="CZ114" s="223" t="str">
        <f>IF(K119=8,G114,"")</f>
        <v/>
      </c>
      <c r="DA114" s="223" t="str">
        <f>IF(K119=9,G114,"")</f>
        <v/>
      </c>
      <c r="DB114" s="223" t="str">
        <f>IF(K119=10,G114,"")</f>
        <v/>
      </c>
      <c r="DC114" s="223" t="str">
        <f>IF(K119=11,G114,"")</f>
        <v/>
      </c>
      <c r="DD114" s="223" t="str">
        <f>IF(K119=12,G114,"")</f>
        <v/>
      </c>
      <c r="DE114" s="223" t="str">
        <f>IF(K119=13,G114,"")</f>
        <v/>
      </c>
      <c r="DF114" s="223" t="str">
        <f>IF(K119=14,G114,"")</f>
        <v/>
      </c>
      <c r="DG114" s="223" t="str">
        <f>IF(K119=15,G114,"")</f>
        <v/>
      </c>
      <c r="DH114" s="223" t="str">
        <f>IF(K119=16,G114,"")</f>
        <v/>
      </c>
      <c r="DI114" s="223" t="str">
        <f>IF(K119=17,G114,"")</f>
        <v/>
      </c>
      <c r="DJ114" s="223" t="str">
        <f>IF(K119=18,G114,"")</f>
        <v/>
      </c>
      <c r="DK114" s="223" t="str">
        <f>IF(K119=19,G114,"")</f>
        <v/>
      </c>
      <c r="DL114" s="223" t="str">
        <f>IF(K119=20,G114,"")</f>
        <v/>
      </c>
      <c r="DM114" s="223"/>
      <c r="DN114" s="223"/>
      <c r="DO114" s="419" t="str">
        <f>IF(AG116=1,G114,"")</f>
        <v/>
      </c>
      <c r="DP114" s="223" t="str">
        <f>IF(AG116=2,G114,"")</f>
        <v/>
      </c>
      <c r="DQ114" s="223" t="str">
        <f>IF(AG116=3,G114,"")</f>
        <v/>
      </c>
      <c r="DR114" s="223" t="str">
        <f>IF(AG116=4,G114,"")</f>
        <v/>
      </c>
      <c r="DS114" s="223" t="str">
        <f>IF(AG116=5,G114,"")</f>
        <v/>
      </c>
      <c r="DT114" s="223" t="str">
        <f>IF(AG116=6,G114,"")</f>
        <v/>
      </c>
      <c r="DU114" s="223" t="str">
        <f>IF(AG116=7,G114,"")</f>
        <v/>
      </c>
      <c r="DV114" s="223" t="str">
        <f>IF(AG116=8,G114,"")</f>
        <v/>
      </c>
      <c r="DW114" s="136" t="str">
        <f>IF(AG116=9,G114,"")</f>
        <v/>
      </c>
      <c r="DX114" s="136" t="str">
        <f>IF(AG116=10,G114,"")</f>
        <v/>
      </c>
      <c r="DY114" s="136" t="str">
        <f>IF(AG116=11,G114,"")</f>
        <v/>
      </c>
      <c r="DZ114" s="136" t="str">
        <f>IF(AG116=12,G114,"")</f>
        <v/>
      </c>
      <c r="EA114" s="136" t="str">
        <f>IF(AG116=13,G114,"")</f>
        <v/>
      </c>
      <c r="EB114" s="136" t="str">
        <f>IF(AG116=14,G114,"")</f>
        <v/>
      </c>
      <c r="EC114" s="317" t="str">
        <f>IF(AG116=15,G114,"")</f>
        <v/>
      </c>
      <c r="ED114" s="136" t="str">
        <f>IF(AG116=16,G114,"")</f>
        <v/>
      </c>
      <c r="EE114" s="136" t="str">
        <f>IF(AG116=17,G114,"")</f>
        <v/>
      </c>
      <c r="EF114" s="136" t="str">
        <f>IF(AG116=18,G114,"")</f>
        <v/>
      </c>
      <c r="EG114" s="136" t="str">
        <f>IF(AG116=19,G114,"")</f>
        <v/>
      </c>
      <c r="EH114" s="136" t="str">
        <f>IF(AG116=20,G114,"")</f>
        <v/>
      </c>
      <c r="EI114" s="136" t="str">
        <f>IF(AG116=21,G114,"")</f>
        <v/>
      </c>
      <c r="EJ114" s="136" t="str">
        <f>IF(AG116=22,G114,"")</f>
        <v/>
      </c>
      <c r="EK114" s="136" t="str">
        <f>IF(AG116=23,G114,"")</f>
        <v/>
      </c>
      <c r="EL114" s="136" t="str">
        <f>IF(AG116=24,G114,"")</f>
        <v/>
      </c>
      <c r="EM114" s="136" t="str">
        <f>IF(AG116=25,G114,"")</f>
        <v/>
      </c>
      <c r="EN114" s="136" t="str">
        <f>IF(AG116=26,G114,"")</f>
        <v/>
      </c>
      <c r="EO114" s="136" t="str">
        <f>IF(AG116=27,G114,"")</f>
        <v/>
      </c>
      <c r="EP114" s="136" t="str">
        <f>IF(AG116=28,G114,"")</f>
        <v/>
      </c>
      <c r="EQ114" s="136" t="str">
        <f>IF(AG116=29,G114,"")</f>
        <v/>
      </c>
      <c r="ER114" s="136" t="str">
        <f>IF(AG116=30,G114,"")</f>
        <v/>
      </c>
      <c r="ES114" s="136" t="str">
        <f>IF(AG116=31,G114,"")</f>
        <v/>
      </c>
      <c r="ET114" s="136" t="str">
        <f>IF(AG116=32,G114,"")</f>
        <v/>
      </c>
      <c r="EU114" s="136" t="str">
        <f>IF(AG116=33,G114,"")</f>
        <v/>
      </c>
      <c r="EV114" s="136" t="str">
        <f>IF(AG116=34,G114,"")</f>
        <v/>
      </c>
      <c r="EW114" s="136" t="str">
        <f>IF(AG116=35,G114,"")</f>
        <v/>
      </c>
      <c r="EX114" s="136">
        <f>IF(AG116=36,G114,"")</f>
        <v>1000</v>
      </c>
      <c r="EY114" s="136" t="str">
        <f>IF(AG116=37,G114,"")</f>
        <v/>
      </c>
      <c r="EZ114" s="136" t="str">
        <f>IF(AG116=38,G114,"")</f>
        <v/>
      </c>
      <c r="FA114" s="136" t="str">
        <f>IF(AG116=39,G114,"")</f>
        <v/>
      </c>
      <c r="FB114" s="136" t="str">
        <f>IF(AG116=40,G114,"")</f>
        <v/>
      </c>
      <c r="FC114" s="136" t="str">
        <f>IF(AG116=41,G114,"")</f>
        <v/>
      </c>
      <c r="FD114" s="136" t="str">
        <f>IF(AG116=42,G114,"")</f>
        <v/>
      </c>
      <c r="FE114" s="136" t="str">
        <f>IF(AG116=43,G114,"")</f>
        <v/>
      </c>
      <c r="FF114" s="136" t="str">
        <f>IF(AG116=44,G114,"")</f>
        <v/>
      </c>
      <c r="FG114" s="136" t="str">
        <f>IF(AG116=45,G114,"")</f>
        <v/>
      </c>
      <c r="FH114" s="136" t="str">
        <f>IF(AG116=46,G114,"")</f>
        <v/>
      </c>
      <c r="FI114" s="136" t="str">
        <f>IF(AG116=47,G114,"")</f>
        <v/>
      </c>
      <c r="FJ114" s="136" t="str">
        <f>IF(AG116=48,G114,"")</f>
        <v/>
      </c>
      <c r="FK114" s="136" t="str">
        <f>IF(AG116=49,G114,"")</f>
        <v/>
      </c>
      <c r="FL114" s="136" t="str">
        <f>IF(AG116=50,G114,"")</f>
        <v/>
      </c>
      <c r="FM114" s="136" t="str">
        <f>IF(AG116=51,G114,"")</f>
        <v/>
      </c>
      <c r="FN114" s="136" t="str">
        <f>IF(AG116=52,G114,"")</f>
        <v/>
      </c>
      <c r="FO114" s="136" t="str">
        <f>IF(AG116=53,G114,"")</f>
        <v/>
      </c>
      <c r="FP114" s="136" t="str">
        <f>IF(AG116=54,G114,"")</f>
        <v/>
      </c>
      <c r="FQ114" s="136" t="str">
        <f>IF(AG116=55,G114,"")</f>
        <v/>
      </c>
      <c r="FR114" s="412" t="str">
        <f>IF(AG116=56,G114,"")</f>
        <v/>
      </c>
      <c r="FS114" s="412" t="str">
        <f>IF(AG116=57,G114,"")</f>
        <v/>
      </c>
      <c r="FT114" s="412" t="str">
        <f>IF(AG116=58,G114,"")</f>
        <v/>
      </c>
      <c r="FU114" s="412" t="str">
        <f>IF(AG116=59,G114,"")</f>
        <v/>
      </c>
      <c r="FV114" s="412" t="str">
        <f>IF(AG116=60,G114,"")</f>
        <v/>
      </c>
      <c r="FW114" s="412" t="str">
        <f>IF(AG116=61,G114,"")</f>
        <v/>
      </c>
      <c r="FX114" s="412" t="str">
        <f>IF(AG116=62,G114,"")</f>
        <v/>
      </c>
      <c r="FY114" s="412" t="str">
        <f>IF(AG116=63,G114,"")</f>
        <v/>
      </c>
      <c r="FZ114" s="412" t="str">
        <f>IF(AG116=64,G114,"")</f>
        <v/>
      </c>
      <c r="GA114" s="412" t="str">
        <f>IF(AG116=65,G114,"")</f>
        <v/>
      </c>
      <c r="GB114" s="412" t="str">
        <f>IF(AG116=66,G114,"")</f>
        <v/>
      </c>
      <c r="GC114" s="412" t="str">
        <f>IF(AG116=67,G114,"")</f>
        <v/>
      </c>
      <c r="GD114" s="412" t="str">
        <f>IF(AG116=68,G114,"")</f>
        <v/>
      </c>
      <c r="GE114" s="412" t="str">
        <f>IF(AG116=69,G114,"")</f>
        <v/>
      </c>
      <c r="GF114" s="412" t="str">
        <f>IF(AG116=70,G114,"")</f>
        <v/>
      </c>
      <c r="GG114" s="412" t="str">
        <f>IF(AG116=71,G114,"")</f>
        <v/>
      </c>
      <c r="GH114" s="412" t="str">
        <f>IF(AG116=72,G114,"")</f>
        <v/>
      </c>
      <c r="GI114" s="412" t="str">
        <f>IF(AG116=73,G114,"")</f>
        <v/>
      </c>
      <c r="GJ114" s="412" t="str">
        <f>IF(AG116=74,G114,"")</f>
        <v/>
      </c>
      <c r="GK114" s="412" t="str">
        <f>IF(AG116=75,G114,"")</f>
        <v/>
      </c>
      <c r="GL114" s="412" t="str">
        <f>IF(AG116=76,G114,"")</f>
        <v/>
      </c>
      <c r="GM114" s="412" t="str">
        <f>IF(AG116=77,G114,"")</f>
        <v/>
      </c>
      <c r="GN114" s="412" t="str">
        <f>IF(AG116=78,G114,"")</f>
        <v/>
      </c>
      <c r="GO114" s="412" t="str">
        <f>IF(AG116=79,G114,"")</f>
        <v/>
      </c>
      <c r="GP114" s="412" t="str">
        <f>IF(AG116=80,G114,"")</f>
        <v/>
      </c>
      <c r="GQ114" s="412" t="str">
        <f>IF(AG116=81,G114,"")</f>
        <v/>
      </c>
      <c r="GR114" s="412" t="str">
        <f>IF(AG116=82,G114,"")</f>
        <v/>
      </c>
      <c r="GS114" s="412" t="str">
        <f>IF(AG116=83,G114,"")</f>
        <v/>
      </c>
      <c r="GT114" s="412" t="str">
        <f>IF(AG116=84,G114,"")</f>
        <v/>
      </c>
      <c r="GU114" s="412"/>
      <c r="GV114" s="412"/>
      <c r="GW114" s="412"/>
      <c r="GX114" s="412"/>
      <c r="GY114" s="412"/>
      <c r="GZ114" s="412"/>
      <c r="HA114" s="412"/>
      <c r="HB114" s="412"/>
      <c r="HC114" s="412"/>
      <c r="HD114" s="412"/>
      <c r="HE114" s="412"/>
      <c r="HF114" s="412"/>
      <c r="HG114" s="412"/>
      <c r="HH114" s="412"/>
      <c r="HI114" s="412"/>
      <c r="HJ114" s="412"/>
      <c r="HK114" s="412"/>
      <c r="HL114" s="412"/>
      <c r="HM114" s="412"/>
      <c r="HN114" s="412"/>
      <c r="HO114" s="412"/>
      <c r="HP114" s="412"/>
      <c r="HQ114" s="412"/>
      <c r="HR114" s="412"/>
      <c r="HS114" s="412"/>
      <c r="HT114" s="412"/>
      <c r="HU114" s="278">
        <f ca="1">IF(AF116=1,AB114,"")</f>
        <v>1034.1205632039946</v>
      </c>
      <c r="HV114" s="277" t="str">
        <f>IF(AF116=2,AB114,"")</f>
        <v/>
      </c>
      <c r="HW114" s="277" t="str">
        <f>IF(AF116=3,AB114,"")</f>
        <v/>
      </c>
      <c r="HX114" s="277" t="str">
        <f>IF(AF116=4,AB114,"")</f>
        <v/>
      </c>
      <c r="HY114" s="277" t="str">
        <f>IF(AF116=5,AB114,"")</f>
        <v/>
      </c>
      <c r="HZ114" s="277" t="str">
        <f>IF(AF116=6,AB114,"")</f>
        <v/>
      </c>
      <c r="IA114" s="277" t="str">
        <f>IF(AF116=7,AB114,"")</f>
        <v/>
      </c>
      <c r="IB114" s="277" t="str">
        <f>IF(AF116=8,AB114,"")</f>
        <v/>
      </c>
      <c r="IC114" s="277" t="str">
        <f>IF(AF116=9,AB114,"")</f>
        <v/>
      </c>
      <c r="ID114" s="412" t="str">
        <f>IF(AF116=10,AB114,"")</f>
        <v/>
      </c>
      <c r="IE114" s="223" t="str">
        <f>IF(AF116=11,AB114,"")</f>
        <v/>
      </c>
      <c r="IF114" s="223" t="str">
        <f>IF(AF116=12,AB114,"")</f>
        <v/>
      </c>
      <c r="IG114" s="223" t="str">
        <f>IF(AF116=13,AB114,"")</f>
        <v/>
      </c>
      <c r="IH114" s="223" t="str">
        <f>IF(AF116=14,AB114,"")</f>
        <v/>
      </c>
      <c r="II114" s="223" t="str">
        <f>IF(AF116=15,AB114,"")</f>
        <v/>
      </c>
      <c r="IJ114" s="223" t="str">
        <f>IF(AF116=16,AB114,"")</f>
        <v/>
      </c>
      <c r="IK114" s="223" t="str">
        <f>IF(AF116=17,AB114,"")</f>
        <v/>
      </c>
      <c r="IL114" s="223" t="str">
        <f>IF(AF116=18,AB114,"")</f>
        <v/>
      </c>
      <c r="IM114" s="223" t="str">
        <f>IF(AF116=19,AB114,"")</f>
        <v/>
      </c>
      <c r="IN114" s="223" t="str">
        <f>IF(AF116=20,AB114,"")</f>
        <v/>
      </c>
      <c r="IO114" s="223" t="str">
        <f>IF(AF116=21,AB114,"")</f>
        <v/>
      </c>
      <c r="IP114" s="413"/>
      <c r="IQ114" s="478" t="str">
        <f>IF(G119=6,G114,"")</f>
        <v/>
      </c>
      <c r="IR114" s="317" t="str">
        <f>IF(G119=7,G114,"")</f>
        <v/>
      </c>
      <c r="IS114" s="478" t="str">
        <f>IF(G119=8,G114,"")</f>
        <v/>
      </c>
      <c r="IT114" s="317" t="str">
        <f>IF(G119=9,G114,"")</f>
        <v/>
      </c>
      <c r="IU114" s="478" t="str">
        <f>IF(G119=10,G114,"")</f>
        <v/>
      </c>
      <c r="IV114" s="478" t="str">
        <f>IF(G119=11,G114,"")</f>
        <v/>
      </c>
      <c r="IW114" s="478" t="str">
        <f>IF(G119=12,G114,"")</f>
        <v/>
      </c>
      <c r="IX114" s="478" t="str">
        <f>IF(G119=13,G114,"")</f>
        <v/>
      </c>
      <c r="IY114" s="478" t="str">
        <f>IF(G119=14,G114,"")</f>
        <v/>
      </c>
      <c r="IZ114" s="478" t="str">
        <f>IF(G119=15,G114,"")</f>
        <v/>
      </c>
      <c r="JA114" s="478" t="str">
        <f>IF(G119=16,G114,"")</f>
        <v/>
      </c>
      <c r="JB114" s="478" t="str">
        <f>IF(G119=17,G114,"")</f>
        <v/>
      </c>
      <c r="JC114" s="478" t="str">
        <f>IF(G119=18,G114,"")</f>
        <v/>
      </c>
      <c r="JD114" s="478" t="str">
        <f>IF(G119=19,G114,"")</f>
        <v/>
      </c>
      <c r="JE114" s="478" t="str">
        <f>IF(G119=20,G114,"")</f>
        <v/>
      </c>
      <c r="JF114" s="478">
        <f>IF(G119=21,G114,"")</f>
        <v>1000</v>
      </c>
      <c r="JG114" s="478" t="str">
        <f>IF(G119=22,G114,"")</f>
        <v/>
      </c>
      <c r="JH114" s="478" t="str">
        <f>IF(G119=23,G114,"")</f>
        <v/>
      </c>
      <c r="JI114" s="478" t="str">
        <f>IF(G119=24,G114,"")</f>
        <v/>
      </c>
      <c r="JJ114" s="478" t="str">
        <f>IF(G119=25,G114,"")</f>
        <v/>
      </c>
      <c r="JK114" s="478" t="str">
        <f>IF(G119=26,G114,"")</f>
        <v/>
      </c>
      <c r="JL114" s="478" t="str">
        <f>IF(G119=27,G114,"")</f>
        <v/>
      </c>
      <c r="JM114" s="478" t="str">
        <f>IF(G119=28,G114,"")</f>
        <v/>
      </c>
      <c r="JN114" s="478" t="str">
        <f>IF(G119=29,G114,"")</f>
        <v/>
      </c>
      <c r="JO114" s="478" t="str">
        <f>IF(G119=30,G114,"")</f>
        <v/>
      </c>
      <c r="JP114" s="445"/>
      <c r="JQ114" s="481">
        <f>IF(AND(AJ118=4,K119=1,G119&lt;=3),G114,0)</f>
        <v>0</v>
      </c>
      <c r="JR114" s="445"/>
      <c r="JS114" s="445"/>
      <c r="JT114" s="480" t="str">
        <f>IF(AF116&gt;1,((A115/F115)-(A115/E115)),"")</f>
        <v/>
      </c>
      <c r="JU114" s="479" t="str">
        <f>IF(AF116=2,((A115/F115)-(A115/E115)),"")</f>
        <v/>
      </c>
      <c r="JV114" s="479" t="str">
        <f>IF(AF116=3,((A115/F115)-(A115/E115)),"")</f>
        <v/>
      </c>
      <c r="JW114" s="479" t="str">
        <f>IF(AF116=4,((A115/F115)-(A115/E115)),"")</f>
        <v/>
      </c>
      <c r="JX114" s="479" t="str">
        <f>IF(AF116=5,((A115/F115)-(A115/E115)),"")</f>
        <v/>
      </c>
      <c r="JY114" s="479" t="str">
        <f>IF(AF116=6,((A115/F115)-(A115/E115)),"")</f>
        <v/>
      </c>
      <c r="JZ114" s="479" t="str">
        <f>IF(AF116=7,((A115/F115)-(A115/E115)),"")</f>
        <v/>
      </c>
      <c r="KA114" s="478" t="str">
        <f>IF(AF116=8,((A115/F115)-(A115/E115)),"")</f>
        <v/>
      </c>
      <c r="KB114" s="478" t="str">
        <f>IF(AF116=9,((A115/F115)-(A115/E115)),"")</f>
        <v/>
      </c>
      <c r="KC114" s="478" t="str">
        <f>IF(AF116=10,((A115/F115)-(A115/E115)),"")</f>
        <v/>
      </c>
      <c r="KD114" s="478" t="str">
        <f>IF(AF116=11,((A115/F115)-(A115/E115)),"")</f>
        <v/>
      </c>
      <c r="KE114" s="478" t="str">
        <f>IF(AF116=12,((A115/F115)-(A115/E115)),"")</f>
        <v/>
      </c>
      <c r="KF114" s="478" t="str">
        <f>IF(AF116=13,((A115/F115)-(A115/E115)),"")</f>
        <v/>
      </c>
      <c r="KG114" s="478" t="str">
        <f>IF(AF116=14,((A115/F115)-(A115/E115)),"")</f>
        <v/>
      </c>
      <c r="KH114" s="478" t="str">
        <f>IF(AF116=15,((A115/F115)-(A115/E115)),"")</f>
        <v/>
      </c>
      <c r="KI114" s="478" t="str">
        <f>IF(AF116=16,((A115/F115)-(A115/E115)),"")</f>
        <v/>
      </c>
      <c r="KJ114" s="478" t="str">
        <f>IF(AF116=17,((A115/F115)-(A115/E115)),"")</f>
        <v/>
      </c>
      <c r="KK114" s="478" t="str">
        <f>IF(AF116=18,((A115/F115)-(A115/E115)),"")</f>
        <v/>
      </c>
      <c r="KL114" s="478" t="str">
        <f>IF(AF116=19,((A115/F115)-(A115/E115)),"")</f>
        <v/>
      </c>
      <c r="KM114" s="478" t="str">
        <f>IF(AF116=20,((A115/F115)-(A115/E115)),"")</f>
        <v/>
      </c>
      <c r="KN114" s="445"/>
      <c r="KO114" s="445"/>
      <c r="KP114" s="445"/>
    </row>
    <row r="115" spans="1:302" s="23" customFormat="1" ht="11.1" customHeight="1">
      <c r="A115" s="8"/>
      <c r="B115" s="541" t="s">
        <v>480</v>
      </c>
      <c r="C115" s="15"/>
      <c r="D115" s="828">
        <f>IF(WEEKDAY(D114,2)=4,D114+4,IF(WEEKDAY(D114,2)=5,D114+4,D114+2))</f>
        <v>45141</v>
      </c>
      <c r="E115" s="765"/>
      <c r="F115" s="482"/>
      <c r="G115" s="223"/>
      <c r="H115" s="223"/>
      <c r="I115" s="586"/>
      <c r="J115" s="223"/>
      <c r="K115" s="585">
        <v>1</v>
      </c>
      <c r="L115" s="722"/>
      <c r="M115" s="720"/>
      <c r="N115" s="720"/>
      <c r="O115" s="223"/>
      <c r="P115" s="216"/>
      <c r="Q115" s="974"/>
      <c r="R115" s="22"/>
      <c r="S115" s="4"/>
      <c r="T115" s="431"/>
      <c r="U115" s="469"/>
      <c r="V115" s="4"/>
      <c r="W115" s="469"/>
      <c r="X115" s="442"/>
      <c r="Y115" s="456"/>
      <c r="Z115" s="456"/>
      <c r="AA115" s="22"/>
      <c r="AB115" s="360"/>
      <c r="AC115" s="431"/>
      <c r="AD115" s="825">
        <f>IF(E115="",((P114-E114)/E114),((P114-E114)/E114)+(((1/F115)-(1/E115))/(1/E115)))</f>
        <v>7.165339410280018E-2</v>
      </c>
      <c r="AE115" s="431"/>
      <c r="AF115" s="279" t="s">
        <v>65</v>
      </c>
      <c r="AG115" s="824"/>
      <c r="AH115" s="993" t="s">
        <v>177</v>
      </c>
      <c r="AI115" s="564"/>
      <c r="AJ115" s="824"/>
      <c r="AK115" s="538"/>
      <c r="AL115" s="22">
        <v>98.744</v>
      </c>
      <c r="AM115" s="537" t="s">
        <v>206</v>
      </c>
      <c r="AN115" s="179">
        <f>AV$6</f>
        <v>3.5</v>
      </c>
      <c r="AO115" s="179">
        <f>IF(B119=2,"0",AO114*-(100-F118)/100)</f>
        <v>-170.4924</v>
      </c>
      <c r="AP115" s="463">
        <f>IF(AP116&lt;0,0,AP116*-(100-F118)/100)</f>
        <v>-0.1862509505703423</v>
      </c>
      <c r="AQ115" s="179"/>
      <c r="AR115" s="463">
        <f>AR118*-(100-F119)/100</f>
        <v>-9.75</v>
      </c>
      <c r="AS115" s="471">
        <f>-AP114+AS118+(F114/365*AN118*F119/100)*G114</f>
        <v>-193.73862056940447</v>
      </c>
      <c r="AT115" s="419"/>
      <c r="AU115" s="420"/>
      <c r="AV115" s="223"/>
      <c r="AW115" s="420"/>
      <c r="AX115" s="417"/>
      <c r="AY115" s="420"/>
      <c r="AZ115" s="223"/>
      <c r="BA115" s="419"/>
      <c r="BB115" s="223"/>
      <c r="BC115" s="223"/>
      <c r="BD115" s="223"/>
      <c r="BE115" s="223"/>
      <c r="BF115" s="416"/>
      <c r="BG115" s="418"/>
      <c r="BH115" s="416"/>
      <c r="BI115" s="416"/>
      <c r="BJ115" s="416"/>
      <c r="BK115" s="418"/>
      <c r="BL115" s="417"/>
      <c r="BM115" s="417"/>
      <c r="BN115" s="417"/>
      <c r="BO115" s="417"/>
      <c r="BP115" s="417"/>
      <c r="BQ115" s="417"/>
      <c r="BR115" s="417"/>
      <c r="BS115" s="417"/>
      <c r="BT115" s="412"/>
      <c r="BU115" s="412"/>
      <c r="BV115" s="412"/>
      <c r="BW115" s="412"/>
      <c r="BX115" s="415"/>
      <c r="BY115" s="389"/>
      <c r="BZ115" s="389"/>
      <c r="CA115" s="389"/>
      <c r="CB115" s="389"/>
      <c r="CC115" s="389"/>
      <c r="CD115" s="389"/>
      <c r="CE115" s="389"/>
      <c r="CF115" s="389"/>
      <c r="CG115" s="389"/>
      <c r="CH115" s="389"/>
      <c r="CI115" s="389"/>
      <c r="CJ115" s="389"/>
      <c r="CK115" s="389"/>
      <c r="CL115" s="389"/>
      <c r="CM115" s="389"/>
      <c r="CN115" s="389"/>
      <c r="CO115" s="389"/>
      <c r="CP115" s="389"/>
      <c r="CQ115" s="389"/>
      <c r="CR115" s="389"/>
      <c r="CS115" s="415"/>
      <c r="CT115" s="389"/>
      <c r="CU115" s="389"/>
      <c r="CV115" s="389"/>
      <c r="CW115" s="389"/>
      <c r="CX115" s="389"/>
      <c r="CY115" s="389"/>
      <c r="CZ115" s="389"/>
      <c r="DA115" s="389"/>
      <c r="DB115" s="389"/>
      <c r="DC115" s="389"/>
      <c r="DD115" s="389"/>
      <c r="DE115" s="389"/>
      <c r="DF115" s="389"/>
      <c r="DG115" s="389"/>
      <c r="DH115" s="389"/>
      <c r="DI115" s="389"/>
      <c r="DJ115" s="389"/>
      <c r="DK115" s="389"/>
      <c r="DL115" s="389"/>
      <c r="DM115" s="389"/>
      <c r="DN115" s="389"/>
      <c r="DO115" s="414"/>
      <c r="DP115" s="39"/>
      <c r="DQ115" s="39"/>
      <c r="DR115" s="39"/>
      <c r="DS115" s="39"/>
      <c r="DT115" s="39"/>
      <c r="DU115" s="39"/>
      <c r="DV115" s="39"/>
      <c r="DW115" s="39"/>
      <c r="DX115" s="39"/>
      <c r="DY115" s="39"/>
      <c r="DZ115" s="39"/>
      <c r="EA115" s="39"/>
      <c r="EB115" s="39"/>
      <c r="EC115" s="39"/>
      <c r="ED115" s="136"/>
      <c r="EE115" s="136"/>
      <c r="EF115" s="136"/>
      <c r="EG115" s="136"/>
      <c r="EH115" s="136"/>
      <c r="EI115" s="136"/>
      <c r="EJ115" s="136"/>
      <c r="EK115" s="136"/>
      <c r="EL115" s="136"/>
      <c r="EM115" s="136"/>
      <c r="EN115" s="136"/>
      <c r="EO115" s="136"/>
      <c r="EP115" s="136"/>
      <c r="EQ115" s="136"/>
      <c r="ER115" s="136"/>
      <c r="ES115" s="136"/>
      <c r="ET115" s="136"/>
      <c r="EU115" s="136"/>
      <c r="EV115" s="136"/>
      <c r="EW115" s="136"/>
      <c r="EX115" s="136"/>
      <c r="EY115" s="136"/>
      <c r="EZ115" s="136"/>
      <c r="FA115" s="136"/>
      <c r="FB115" s="136"/>
      <c r="FC115" s="136"/>
      <c r="FD115" s="136"/>
      <c r="FE115" s="136"/>
      <c r="FF115" s="136"/>
      <c r="FG115" s="136"/>
      <c r="FH115" s="136"/>
      <c r="FI115" s="136"/>
      <c r="FJ115" s="136"/>
      <c r="FK115" s="136"/>
      <c r="FL115" s="136"/>
      <c r="FM115" s="136"/>
      <c r="FN115" s="136"/>
      <c r="FO115" s="39"/>
      <c r="FP115" s="39"/>
      <c r="FQ115" s="39"/>
      <c r="FR115" s="412"/>
      <c r="FS115" s="412"/>
      <c r="FT115" s="412"/>
      <c r="FU115" s="412"/>
      <c r="FV115" s="412"/>
      <c r="FW115" s="412"/>
      <c r="FX115" s="412"/>
      <c r="FY115" s="412"/>
      <c r="FZ115" s="412"/>
      <c r="GA115" s="412"/>
      <c r="GB115" s="412"/>
      <c r="GC115" s="412"/>
      <c r="GD115" s="412"/>
      <c r="GE115" s="412"/>
      <c r="GF115" s="412"/>
      <c r="GG115" s="412"/>
      <c r="GH115" s="412"/>
      <c r="GI115" s="412"/>
      <c r="GJ115" s="412"/>
      <c r="GK115" s="412"/>
      <c r="GL115" s="412"/>
      <c r="GM115" s="412"/>
      <c r="GN115" s="412"/>
      <c r="GO115" s="412"/>
      <c r="GP115" s="412"/>
      <c r="GQ115" s="412"/>
      <c r="GR115" s="412"/>
      <c r="GS115" s="412"/>
      <c r="GT115" s="412"/>
      <c r="GU115" s="412"/>
      <c r="GV115" s="412"/>
      <c r="GW115" s="412"/>
      <c r="GX115" s="412"/>
      <c r="GY115" s="412"/>
      <c r="GZ115" s="412"/>
      <c r="HA115" s="412"/>
      <c r="HB115" s="412"/>
      <c r="HC115" s="412"/>
      <c r="HD115" s="412"/>
      <c r="HE115" s="412"/>
      <c r="HF115" s="412"/>
      <c r="HG115" s="412"/>
      <c r="HH115" s="412"/>
      <c r="HI115" s="412"/>
      <c r="HJ115" s="412"/>
      <c r="HK115" s="412"/>
      <c r="HL115" s="412"/>
      <c r="HM115" s="412"/>
      <c r="HN115" s="412"/>
      <c r="HO115" s="412"/>
      <c r="HP115" s="412"/>
      <c r="HQ115" s="412"/>
      <c r="HR115" s="412"/>
      <c r="HS115" s="412"/>
      <c r="HT115" s="412"/>
      <c r="HU115" s="278"/>
      <c r="HV115" s="277"/>
      <c r="HW115" s="277"/>
      <c r="HX115" s="277"/>
      <c r="HY115" s="277"/>
      <c r="HZ115" s="277"/>
      <c r="IA115" s="277"/>
      <c r="IB115" s="277"/>
      <c r="IC115" s="277"/>
      <c r="ID115" s="412"/>
      <c r="IE115" s="412"/>
      <c r="IF115" s="412"/>
      <c r="IG115" s="412"/>
      <c r="IH115" s="412"/>
      <c r="II115" s="412"/>
      <c r="IJ115" s="412"/>
      <c r="IK115" s="412"/>
      <c r="IL115" s="412"/>
      <c r="IM115" s="412"/>
      <c r="IN115" s="412"/>
      <c r="IO115" s="412"/>
      <c r="IP115" s="413"/>
      <c r="IQ115" s="389"/>
      <c r="IR115" s="389"/>
      <c r="IS115" s="389"/>
      <c r="IT115" s="389"/>
      <c r="IU115" s="389"/>
      <c r="IV115" s="389"/>
      <c r="IW115" s="389"/>
      <c r="IX115" s="389"/>
      <c r="IY115" s="389"/>
      <c r="IZ115" s="389"/>
      <c r="JA115" s="389"/>
      <c r="JB115" s="389"/>
      <c r="JC115" s="389"/>
      <c r="JD115" s="389"/>
      <c r="JE115" s="389"/>
      <c r="JF115" s="389"/>
      <c r="JG115" s="389"/>
      <c r="JH115" s="389"/>
      <c r="JI115" s="389"/>
      <c r="JJ115" s="389"/>
      <c r="JK115" s="389"/>
      <c r="JL115" s="389"/>
      <c r="JM115" s="389"/>
      <c r="JN115" s="389"/>
      <c r="JO115" s="389"/>
      <c r="JP115" s="14"/>
      <c r="JQ115" s="14"/>
      <c r="JR115" s="14"/>
      <c r="JS115" s="14"/>
      <c r="JT115" s="553"/>
      <c r="JU115" s="14"/>
      <c r="JV115" s="14"/>
      <c r="JW115" s="14"/>
      <c r="JX115" s="14"/>
      <c r="JY115" s="14"/>
      <c r="JZ115" s="14"/>
      <c r="KA115" s="14"/>
      <c r="KB115" s="14"/>
      <c r="KC115" s="14"/>
      <c r="KD115" s="14"/>
      <c r="KE115" s="14"/>
      <c r="KF115" s="14"/>
      <c r="KG115" s="14"/>
      <c r="KH115" s="14"/>
      <c r="KI115" s="14"/>
      <c r="KJ115" s="14"/>
      <c r="KK115" s="14"/>
      <c r="KL115" s="14"/>
      <c r="KM115" s="14"/>
      <c r="KN115" s="14"/>
      <c r="KO115" s="14"/>
      <c r="KP115" s="14"/>
    </row>
    <row r="116" spans="1:302" s="14" customFormat="1" ht="11.1" hidden="1" customHeight="1" outlineLevel="1">
      <c r="A116" s="8"/>
      <c r="B116" s="468">
        <f>VLOOKUP(B114,'[2]IBAN CONTI'!A$53:B$58,2,FALSE)</f>
        <v>4</v>
      </c>
      <c r="C116" s="536"/>
      <c r="D116" s="536"/>
      <c r="E116" s="766">
        <f ca="1">IF(B119=2,C114,COUPNCD($AB$2,C114,K116,AH118))</f>
        <v>45808</v>
      </c>
      <c r="F116" s="431"/>
      <c r="G116" s="431"/>
      <c r="H116" s="431"/>
      <c r="I116" s="528"/>
      <c r="J116" s="431"/>
      <c r="K116" s="223">
        <v>1</v>
      </c>
      <c r="L116" s="720"/>
      <c r="M116" s="720"/>
      <c r="N116" s="720"/>
      <c r="O116" s="223"/>
      <c r="P116" s="470"/>
      <c r="Q116" s="15"/>
      <c r="R116" s="22"/>
      <c r="S116" s="4"/>
      <c r="T116" s="431"/>
      <c r="U116" s="469"/>
      <c r="V116" s="4"/>
      <c r="W116" s="469"/>
      <c r="X116" s="442"/>
      <c r="Y116" s="456"/>
      <c r="Z116" s="456"/>
      <c r="AA116" s="22"/>
      <c r="AB116" s="979"/>
      <c r="AC116" s="979"/>
      <c r="AD116" s="219"/>
      <c r="AE116" s="219"/>
      <c r="AF116" s="468">
        <f>VLOOKUP(AF115,'[2]IBAN CONTI'!A$106:B$122,2,FALSE)</f>
        <v>1</v>
      </c>
      <c r="AG116" s="467">
        <f>VLOOKUP(A114,'[2]IBAN CONTI'!A$134:B$232,2,FALSE)</f>
        <v>36</v>
      </c>
      <c r="AH116" s="993"/>
      <c r="AI116" s="580"/>
      <c r="AJ116" s="990" t="s">
        <v>192</v>
      </c>
      <c r="AK116" s="991"/>
      <c r="AL116" s="22">
        <v>100</v>
      </c>
      <c r="AM116" s="535">
        <f>YEARFRAC(C114,AL114,AH118)</f>
        <v>9.3594306049822062</v>
      </c>
      <c r="AN116" s="456">
        <f>IF(B119=2,0,D115-AL114)</f>
        <v>195</v>
      </c>
      <c r="AO116" s="464">
        <f>IF(B119=2,AL115*(1+AM119)^AM118,AO117+AL115)</f>
        <v>98.815634980988591</v>
      </c>
      <c r="AP116" s="463">
        <f>IF(AF116=1,G114*AO117/100,A115/E115/100*AO117)</f>
        <v>0.71634980988593189</v>
      </c>
      <c r="AQ116" s="179"/>
      <c r="AR116" s="463">
        <f>AL119*G114/100</f>
        <v>996.73440000000005</v>
      </c>
      <c r="AS116" s="462">
        <f>(AR119-AP119)*G114/100</f>
        <v>29.600549049429645</v>
      </c>
      <c r="AT116" s="419"/>
      <c r="AU116" s="420"/>
      <c r="AV116" s="223"/>
      <c r="AW116" s="420"/>
      <c r="AX116" s="417"/>
      <c r="AY116" s="420"/>
      <c r="AZ116" s="223"/>
      <c r="BA116" s="419"/>
      <c r="BB116" s="223"/>
      <c r="BC116" s="223"/>
      <c r="BD116" s="223"/>
      <c r="BE116" s="223"/>
      <c r="BF116" s="416"/>
      <c r="BG116" s="418"/>
      <c r="BH116" s="416"/>
      <c r="BI116" s="416"/>
      <c r="BJ116" s="416"/>
      <c r="BK116" s="418"/>
      <c r="BL116" s="417"/>
      <c r="BM116" s="416"/>
      <c r="BN116" s="416"/>
      <c r="BO116" s="416"/>
      <c r="BP116" s="416"/>
      <c r="BQ116" s="416"/>
      <c r="BR116" s="416"/>
      <c r="BS116" s="416"/>
      <c r="BT116" s="389"/>
      <c r="BU116" s="389"/>
      <c r="BV116" s="389"/>
      <c r="BW116" s="389"/>
      <c r="BX116" s="415"/>
      <c r="BY116" s="389"/>
      <c r="BZ116" s="389"/>
      <c r="CA116" s="389"/>
      <c r="CB116" s="389"/>
      <c r="CC116" s="389"/>
      <c r="CD116" s="389"/>
      <c r="CE116" s="389"/>
      <c r="CF116" s="389"/>
      <c r="CG116" s="389"/>
      <c r="CH116" s="389"/>
      <c r="CI116" s="389"/>
      <c r="CJ116" s="389"/>
      <c r="CK116" s="389"/>
      <c r="CL116" s="389"/>
      <c r="CM116" s="389"/>
      <c r="CN116" s="389"/>
      <c r="CO116" s="389"/>
      <c r="CP116" s="389"/>
      <c r="CQ116" s="389"/>
      <c r="CR116" s="389"/>
      <c r="CS116" s="415"/>
      <c r="CT116" s="389"/>
      <c r="CU116" s="389"/>
      <c r="CV116" s="389"/>
      <c r="CW116" s="389"/>
      <c r="CX116" s="389"/>
      <c r="CY116" s="389"/>
      <c r="CZ116" s="389"/>
      <c r="DA116" s="389"/>
      <c r="DB116" s="389"/>
      <c r="DC116" s="389"/>
      <c r="DD116" s="389"/>
      <c r="DE116" s="389"/>
      <c r="DF116" s="389"/>
      <c r="DG116" s="389"/>
      <c r="DH116" s="389"/>
      <c r="DI116" s="389"/>
      <c r="DJ116" s="389"/>
      <c r="DK116" s="389"/>
      <c r="DL116" s="389"/>
      <c r="DM116" s="389"/>
      <c r="DN116" s="389"/>
      <c r="DO116" s="414"/>
      <c r="DP116" s="39"/>
      <c r="DQ116" s="39"/>
      <c r="DR116" s="39"/>
      <c r="DS116" s="39"/>
      <c r="DT116" s="39"/>
      <c r="DU116" s="39"/>
      <c r="DV116" s="39"/>
      <c r="DW116" s="39"/>
      <c r="DX116" s="39"/>
      <c r="DY116" s="39"/>
      <c r="DZ116" s="39"/>
      <c r="EA116" s="39"/>
      <c r="EB116" s="39"/>
      <c r="EC116" s="39"/>
      <c r="ED116" s="136"/>
      <c r="EE116" s="136"/>
      <c r="EF116" s="136"/>
      <c r="EG116" s="136"/>
      <c r="EH116" s="136"/>
      <c r="EI116" s="136"/>
      <c r="EJ116" s="136"/>
      <c r="EK116" s="136"/>
      <c r="EL116" s="136"/>
      <c r="EM116" s="136"/>
      <c r="EN116" s="136"/>
      <c r="EO116" s="136"/>
      <c r="EP116" s="136"/>
      <c r="EQ116" s="136"/>
      <c r="ER116" s="136"/>
      <c r="ES116" s="136"/>
      <c r="ET116" s="136"/>
      <c r="EU116" s="136"/>
      <c r="EV116" s="136"/>
      <c r="EW116" s="136"/>
      <c r="EX116" s="136"/>
      <c r="EY116" s="136"/>
      <c r="EZ116" s="136"/>
      <c r="FA116" s="136"/>
      <c r="FB116" s="136"/>
      <c r="FC116" s="136"/>
      <c r="FD116" s="136"/>
      <c r="FE116" s="136"/>
      <c r="FF116" s="136"/>
      <c r="FG116" s="136"/>
      <c r="FH116" s="136"/>
      <c r="FI116" s="136"/>
      <c r="FJ116" s="136"/>
      <c r="FK116" s="136"/>
      <c r="FL116" s="136"/>
      <c r="FM116" s="136"/>
      <c r="FN116" s="136"/>
      <c r="FO116" s="39"/>
      <c r="FP116" s="39"/>
      <c r="FQ116" s="39"/>
      <c r="FR116" s="412"/>
      <c r="FS116" s="412"/>
      <c r="FT116" s="412"/>
      <c r="FU116" s="412"/>
      <c r="FV116" s="412"/>
      <c r="FW116" s="412"/>
      <c r="FX116" s="412"/>
      <c r="FY116" s="412"/>
      <c r="FZ116" s="412"/>
      <c r="GA116" s="412"/>
      <c r="GB116" s="412"/>
      <c r="GC116" s="412"/>
      <c r="GD116" s="412"/>
      <c r="GE116" s="412"/>
      <c r="GF116" s="412"/>
      <c r="GG116" s="412"/>
      <c r="GH116" s="412"/>
      <c r="GI116" s="412"/>
      <c r="GJ116" s="412"/>
      <c r="GK116" s="412"/>
      <c r="GL116" s="412"/>
      <c r="GM116" s="412"/>
      <c r="GN116" s="412"/>
      <c r="GO116" s="412"/>
      <c r="GP116" s="412"/>
      <c r="GQ116" s="412"/>
      <c r="GR116" s="412"/>
      <c r="GS116" s="412"/>
      <c r="GT116" s="412"/>
      <c r="GU116" s="412"/>
      <c r="GV116" s="412"/>
      <c r="GW116" s="412"/>
      <c r="GX116" s="412"/>
      <c r="GY116" s="412"/>
      <c r="GZ116" s="412"/>
      <c r="HA116" s="412"/>
      <c r="HB116" s="412"/>
      <c r="HC116" s="412"/>
      <c r="HD116" s="412"/>
      <c r="HE116" s="412"/>
      <c r="HF116" s="412"/>
      <c r="HG116" s="412"/>
      <c r="HH116" s="412"/>
      <c r="HI116" s="412"/>
      <c r="HJ116" s="412"/>
      <c r="HK116" s="412"/>
      <c r="HL116" s="412"/>
      <c r="HM116" s="412"/>
      <c r="HN116" s="412"/>
      <c r="HO116" s="412"/>
      <c r="HP116" s="412"/>
      <c r="HQ116" s="412"/>
      <c r="HR116" s="412"/>
      <c r="HS116" s="412"/>
      <c r="HT116" s="412"/>
      <c r="HU116" s="278"/>
      <c r="HV116" s="277"/>
      <c r="HW116" s="277"/>
      <c r="HX116" s="277"/>
      <c r="HY116" s="277"/>
      <c r="HZ116" s="277"/>
      <c r="IA116" s="277"/>
      <c r="IB116" s="277"/>
      <c r="IC116" s="277"/>
      <c r="ID116" s="412"/>
      <c r="IE116" s="412"/>
      <c r="IF116" s="412"/>
      <c r="IG116" s="412"/>
      <c r="IH116" s="412"/>
      <c r="II116" s="412"/>
      <c r="IJ116" s="412"/>
      <c r="IK116" s="412"/>
      <c r="IL116" s="412"/>
      <c r="IM116" s="412"/>
      <c r="IN116" s="412"/>
      <c r="IO116" s="412"/>
      <c r="IP116" s="413"/>
      <c r="IQ116" s="389"/>
      <c r="IR116" s="389"/>
      <c r="IS116" s="389"/>
      <c r="IT116" s="389"/>
      <c r="IU116" s="389"/>
      <c r="IV116" s="389"/>
      <c r="IW116" s="389"/>
      <c r="IX116" s="389"/>
      <c r="IY116" s="389"/>
      <c r="IZ116" s="389"/>
      <c r="JA116" s="389"/>
      <c r="JB116" s="389"/>
      <c r="JC116" s="389"/>
      <c r="JD116" s="389"/>
      <c r="JE116" s="389"/>
      <c r="JF116" s="389"/>
      <c r="JG116" s="389"/>
      <c r="JH116" s="389"/>
      <c r="JI116" s="389"/>
      <c r="JJ116" s="389"/>
      <c r="JK116" s="389"/>
      <c r="JL116" s="389"/>
      <c r="JM116" s="389"/>
      <c r="JN116" s="389"/>
      <c r="JO116" s="389"/>
      <c r="JT116" s="553"/>
    </row>
    <row r="117" spans="1:302" s="14" customFormat="1" ht="11.1" hidden="1" customHeight="1" outlineLevel="1">
      <c r="A117" s="559">
        <v>1</v>
      </c>
      <c r="B117" s="990" t="s">
        <v>183</v>
      </c>
      <c r="C117" s="990"/>
      <c r="D117" s="452">
        <f>COUPPCD(D115,C114,K116,AH118)</f>
        <v>45077</v>
      </c>
      <c r="E117" s="767"/>
      <c r="F117" s="431"/>
      <c r="G117" s="985">
        <v>2032</v>
      </c>
      <c r="H117" s="431"/>
      <c r="I117" s="528"/>
      <c r="J117" s="431"/>
      <c r="K117" s="987" t="s">
        <v>205</v>
      </c>
      <c r="L117" s="829"/>
      <c r="M117" s="720"/>
      <c r="N117" s="720"/>
      <c r="O117" s="223"/>
      <c r="P117" s="527"/>
      <c r="Q117" s="526"/>
      <c r="R117" s="22"/>
      <c r="S117" s="15"/>
      <c r="T117" s="431"/>
      <c r="U117" s="15"/>
      <c r="V117" s="15"/>
      <c r="W117" s="15"/>
      <c r="X117" s="442"/>
      <c r="Y117" s="430"/>
      <c r="Z117" s="430"/>
      <c r="AA117" s="430"/>
      <c r="AB117" s="533"/>
      <c r="AC117" s="431"/>
      <c r="AD117" s="117"/>
      <c r="AE117" s="431"/>
      <c r="AH117" s="457"/>
      <c r="AI117" s="457"/>
      <c r="AJ117" s="990"/>
      <c r="AK117" s="991"/>
      <c r="AL117" s="967">
        <f>AL116-AL115</f>
        <v>1.2560000000000002</v>
      </c>
      <c r="AM117" s="532">
        <f>C114-AL114</f>
        <v>3419</v>
      </c>
      <c r="AN117" s="530">
        <f>IF(OR(K116&lt;&gt;1,AN116&gt;365),COUPDAYBS(D115,C114,K116,AH118),AN116)</f>
        <v>195</v>
      </c>
      <c r="AO117" s="424">
        <f>IF(B119=2,AO116-AL115,AL117/AM117*AN116)</f>
        <v>7.163498098859318E-2</v>
      </c>
      <c r="AP117" s="455">
        <f>IF(B119=4,FLOOR(F114/K116*AN117/(D118-D117)*100,0.000001),IF(AH118=4,YEARFRAC(D117,D115,0)*F114*100,IF(B119=3,IF(OR(AH118=4,AH118=2),(F116*(AN117))/(360)*100,(F116*(AN117))/(365)*100),FLOOR(F114/K116*AN117/(D118-D117)*100,0.000001))))</f>
        <v>1.9979499999999999</v>
      </c>
      <c r="AQ117" s="454"/>
      <c r="AR117" s="555">
        <f>AL117*G114/100</f>
        <v>12.560000000000002</v>
      </c>
      <c r="AS117" s="422">
        <f>IF(AS116&lt;0,0,AS116*(100-F119)/100)</f>
        <v>7.6961427528517081</v>
      </c>
      <c r="AT117" s="419"/>
      <c r="AU117" s="420"/>
      <c r="AV117" s="223"/>
      <c r="AW117" s="420"/>
      <c r="AX117" s="417"/>
      <c r="AY117" s="420"/>
      <c r="AZ117" s="223"/>
      <c r="BA117" s="419"/>
      <c r="BB117" s="223"/>
      <c r="BC117" s="223"/>
      <c r="BD117" s="223"/>
      <c r="BE117" s="223"/>
      <c r="BF117" s="416"/>
      <c r="BG117" s="418"/>
      <c r="BH117" s="416"/>
      <c r="BI117" s="416"/>
      <c r="BJ117" s="416"/>
      <c r="BK117" s="418"/>
      <c r="BL117" s="417"/>
      <c r="BM117" s="416"/>
      <c r="BN117" s="416"/>
      <c r="BO117" s="416"/>
      <c r="BP117" s="416"/>
      <c r="BQ117" s="416"/>
      <c r="BR117" s="416"/>
      <c r="BS117" s="416"/>
      <c r="BT117" s="389"/>
      <c r="BU117" s="389"/>
      <c r="BV117" s="389"/>
      <c r="BW117" s="389"/>
      <c r="BX117" s="415"/>
      <c r="BY117" s="389"/>
      <c r="BZ117" s="389"/>
      <c r="CA117" s="389"/>
      <c r="CB117" s="389"/>
      <c r="CC117" s="389"/>
      <c r="CD117" s="389"/>
      <c r="CE117" s="389"/>
      <c r="CF117" s="389"/>
      <c r="CG117" s="389"/>
      <c r="CH117" s="389"/>
      <c r="CI117" s="389"/>
      <c r="CJ117" s="389"/>
      <c r="CK117" s="389"/>
      <c r="CL117" s="389"/>
      <c r="CM117" s="389"/>
      <c r="CN117" s="389"/>
      <c r="CO117" s="389"/>
      <c r="CP117" s="389"/>
      <c r="CQ117" s="389"/>
      <c r="CR117" s="389"/>
      <c r="CS117" s="415"/>
      <c r="CT117" s="389"/>
      <c r="CU117" s="389"/>
      <c r="CV117" s="389"/>
      <c r="CW117" s="389"/>
      <c r="CX117" s="389"/>
      <c r="CY117" s="389"/>
      <c r="CZ117" s="389"/>
      <c r="DA117" s="389"/>
      <c r="DB117" s="389"/>
      <c r="DC117" s="389"/>
      <c r="DD117" s="389"/>
      <c r="DE117" s="389"/>
      <c r="DF117" s="389"/>
      <c r="DG117" s="389"/>
      <c r="DH117" s="389"/>
      <c r="DI117" s="389"/>
      <c r="DJ117" s="389"/>
      <c r="DK117" s="389"/>
      <c r="DL117" s="389"/>
      <c r="DM117" s="389"/>
      <c r="DN117" s="389"/>
      <c r="DO117" s="414"/>
      <c r="DP117" s="39"/>
      <c r="DQ117" s="39"/>
      <c r="DR117" s="39"/>
      <c r="DS117" s="39"/>
      <c r="DT117" s="39"/>
      <c r="DU117" s="39"/>
      <c r="DV117" s="39"/>
      <c r="DW117" s="39"/>
      <c r="DX117" s="39"/>
      <c r="DY117" s="39"/>
      <c r="DZ117" s="39"/>
      <c r="EA117" s="39"/>
      <c r="EB117" s="39"/>
      <c r="EC117" s="39"/>
      <c r="ED117" s="136"/>
      <c r="EE117" s="136"/>
      <c r="EF117" s="136"/>
      <c r="EG117" s="136"/>
      <c r="EH117" s="136"/>
      <c r="EI117" s="136"/>
      <c r="EJ117" s="136"/>
      <c r="EK117" s="136"/>
      <c r="EL117" s="136"/>
      <c r="EM117" s="136"/>
      <c r="EN117" s="136"/>
      <c r="EO117" s="136"/>
      <c r="EP117" s="136"/>
      <c r="EQ117" s="136"/>
      <c r="ER117" s="136"/>
      <c r="ES117" s="136"/>
      <c r="ET117" s="136"/>
      <c r="EU117" s="136"/>
      <c r="EV117" s="136"/>
      <c r="EW117" s="136"/>
      <c r="EX117" s="136"/>
      <c r="EY117" s="136"/>
      <c r="EZ117" s="136"/>
      <c r="FA117" s="136"/>
      <c r="FB117" s="136"/>
      <c r="FC117" s="136"/>
      <c r="FD117" s="136"/>
      <c r="FE117" s="136"/>
      <c r="FF117" s="136"/>
      <c r="FG117" s="136"/>
      <c r="FH117" s="136"/>
      <c r="FI117" s="136"/>
      <c r="FJ117" s="136"/>
      <c r="FK117" s="136"/>
      <c r="FL117" s="136"/>
      <c r="FM117" s="136"/>
      <c r="FN117" s="136"/>
      <c r="FO117" s="39"/>
      <c r="FP117" s="39"/>
      <c r="FQ117" s="39"/>
      <c r="FR117" s="412"/>
      <c r="FS117" s="412"/>
      <c r="FT117" s="412"/>
      <c r="FU117" s="412"/>
      <c r="FV117" s="412"/>
      <c r="FW117" s="412"/>
      <c r="FX117" s="412"/>
      <c r="FY117" s="412"/>
      <c r="FZ117" s="412"/>
      <c r="GA117" s="412"/>
      <c r="GB117" s="412"/>
      <c r="GC117" s="412"/>
      <c r="GD117" s="412"/>
      <c r="GE117" s="412"/>
      <c r="GF117" s="412"/>
      <c r="GG117" s="412"/>
      <c r="GH117" s="412"/>
      <c r="GI117" s="412"/>
      <c r="GJ117" s="412"/>
      <c r="GK117" s="412"/>
      <c r="GL117" s="412"/>
      <c r="GM117" s="412"/>
      <c r="GN117" s="412"/>
      <c r="GO117" s="412"/>
      <c r="GP117" s="412"/>
      <c r="GQ117" s="412"/>
      <c r="GR117" s="412"/>
      <c r="GS117" s="412"/>
      <c r="GT117" s="412"/>
      <c r="GU117" s="412"/>
      <c r="GV117" s="412"/>
      <c r="GW117" s="412"/>
      <c r="GX117" s="412"/>
      <c r="GY117" s="412"/>
      <c r="GZ117" s="412"/>
      <c r="HA117" s="412"/>
      <c r="HB117" s="412"/>
      <c r="HC117" s="412"/>
      <c r="HD117" s="412"/>
      <c r="HE117" s="412"/>
      <c r="HF117" s="412"/>
      <c r="HG117" s="412"/>
      <c r="HH117" s="412"/>
      <c r="HI117" s="412"/>
      <c r="HJ117" s="412"/>
      <c r="HK117" s="412"/>
      <c r="HL117" s="412"/>
      <c r="HM117" s="412"/>
      <c r="HN117" s="412"/>
      <c r="HO117" s="412"/>
      <c r="HP117" s="412"/>
      <c r="HQ117" s="412"/>
      <c r="HR117" s="412"/>
      <c r="HS117" s="412"/>
      <c r="HT117" s="412"/>
      <c r="HU117" s="278"/>
      <c r="HV117" s="277"/>
      <c r="HW117" s="277"/>
      <c r="HX117" s="277"/>
      <c r="HY117" s="277"/>
      <c r="HZ117" s="277"/>
      <c r="IA117" s="277"/>
      <c r="IB117" s="277"/>
      <c r="IC117" s="277"/>
      <c r="ID117" s="412"/>
      <c r="IE117" s="412"/>
      <c r="IF117" s="412"/>
      <c r="IG117" s="412"/>
      <c r="IH117" s="412"/>
      <c r="II117" s="412"/>
      <c r="IJ117" s="412"/>
      <c r="IK117" s="412"/>
      <c r="IL117" s="412"/>
      <c r="IM117" s="412"/>
      <c r="IN117" s="412"/>
      <c r="IO117" s="412"/>
      <c r="IP117" s="413"/>
      <c r="IQ117" s="389"/>
      <c r="IR117" s="389"/>
      <c r="IS117" s="389"/>
      <c r="IT117" s="389"/>
      <c r="IU117" s="389"/>
      <c r="IV117" s="389"/>
      <c r="IW117" s="389"/>
      <c r="IX117" s="389"/>
      <c r="IY117" s="389"/>
      <c r="IZ117" s="389"/>
      <c r="JA117" s="389"/>
      <c r="JB117" s="389"/>
      <c r="JC117" s="389"/>
      <c r="JD117" s="389"/>
      <c r="JE117" s="389"/>
      <c r="JF117" s="389"/>
      <c r="JG117" s="389"/>
      <c r="JH117" s="389"/>
      <c r="JI117" s="389"/>
      <c r="JJ117" s="389"/>
      <c r="JK117" s="389"/>
      <c r="JL117" s="389"/>
      <c r="JM117" s="389"/>
      <c r="JN117" s="389"/>
      <c r="JO117" s="389"/>
      <c r="JT117" s="553"/>
    </row>
    <row r="118" spans="1:302" s="14" customFormat="1" ht="11.1" hidden="1" customHeight="1" outlineLevel="1">
      <c r="A118" s="18"/>
      <c r="B118" s="990"/>
      <c r="C118" s="990"/>
      <c r="D118" s="452">
        <f>COUPNCD(D115,C114,K116,AH118)</f>
        <v>45443</v>
      </c>
      <c r="E118" s="932" t="s">
        <v>182</v>
      </c>
      <c r="F118" s="451" t="str">
        <f>IF(E119=1,"87,5",IF(D114&lt;40908,87.5,IF(D114&lt;41820,"80","74")))</f>
        <v>74</v>
      </c>
      <c r="G118" s="986"/>
      <c r="H118" s="431"/>
      <c r="I118" s="528"/>
      <c r="J118" s="431"/>
      <c r="K118" s="987"/>
      <c r="L118" s="829"/>
      <c r="M118" s="720"/>
      <c r="N118" s="720"/>
      <c r="O118" s="223"/>
      <c r="P118" s="527"/>
      <c r="Q118" s="526"/>
      <c r="R118" s="22"/>
      <c r="S118" s="15"/>
      <c r="T118" s="431"/>
      <c r="U118" s="15"/>
      <c r="V118" s="15"/>
      <c r="W118" s="15"/>
      <c r="X118" s="442"/>
      <c r="Y118" s="430"/>
      <c r="Z118" s="430"/>
      <c r="AA118" s="430"/>
      <c r="AB118" s="78"/>
      <c r="AC118" s="431"/>
      <c r="AD118" s="117"/>
      <c r="AE118" s="431"/>
      <c r="AF118" s="605"/>
      <c r="AG118" s="604"/>
      <c r="AH118" s="419">
        <f>VLOOKUP(AH115,'[2]IBAN CONTI'!A:B,2,FALSE)</f>
        <v>1</v>
      </c>
      <c r="AI118" s="419"/>
      <c r="AJ118" s="989">
        <f>VLOOKUP(AJ116,'[2]IBAN CONTI'!A$67:B$77,2,FALSE)</f>
        <v>9</v>
      </c>
      <c r="AK118" s="992"/>
      <c r="AL118" s="965">
        <f>AL115</f>
        <v>98.744</v>
      </c>
      <c r="AM118" s="449">
        <f>IF(B119=1,YEARFRAC(D115,C114,AH118),IF(B119=2,YEARFRAC(AL114,D115,AH118)))</f>
        <v>8.8256227758007118</v>
      </c>
      <c r="AN118" s="530">
        <f>IF(B119=2,0,C114-D115-(365-AN117))</f>
        <v>3054</v>
      </c>
      <c r="AO118" s="424">
        <f>E114-AO117</f>
        <v>95.248365019011402</v>
      </c>
      <c r="AP118" s="447">
        <f>E114+AO119+AP117+0.1</f>
        <v>97.399324904942958</v>
      </c>
      <c r="AQ118" s="446"/>
      <c r="AR118" s="463">
        <f>IF(B119=3,F116*G114,F114*G114)</f>
        <v>37.5</v>
      </c>
      <c r="AS118" s="421">
        <f>AR114-AS117</f>
        <v>1016.7882572471483</v>
      </c>
      <c r="AT118" s="419"/>
      <c r="AU118" s="420"/>
      <c r="AV118" s="223"/>
      <c r="AW118" s="420"/>
      <c r="AX118" s="417"/>
      <c r="AY118" s="420"/>
      <c r="AZ118" s="223"/>
      <c r="BA118" s="419"/>
      <c r="BB118" s="223"/>
      <c r="BC118" s="223"/>
      <c r="BD118" s="223"/>
      <c r="BE118" s="223"/>
      <c r="BF118" s="416"/>
      <c r="BG118" s="418"/>
      <c r="BH118" s="416"/>
      <c r="BI118" s="416"/>
      <c r="BJ118" s="416"/>
      <c r="BK118" s="418"/>
      <c r="BL118" s="417"/>
      <c r="BM118" s="416"/>
      <c r="BN118" s="416"/>
      <c r="BO118" s="416"/>
      <c r="BP118" s="416"/>
      <c r="BQ118" s="416"/>
      <c r="BR118" s="416"/>
      <c r="BS118" s="416"/>
      <c r="BT118" s="389"/>
      <c r="BU118" s="389"/>
      <c r="BV118" s="389"/>
      <c r="BW118" s="389"/>
      <c r="BX118" s="415"/>
      <c r="BY118" s="389"/>
      <c r="BZ118" s="389"/>
      <c r="CA118" s="389"/>
      <c r="CB118" s="389"/>
      <c r="CC118" s="389"/>
      <c r="CD118" s="389"/>
      <c r="CE118" s="389"/>
      <c r="CF118" s="389"/>
      <c r="CG118" s="389"/>
      <c r="CH118" s="389"/>
      <c r="CI118" s="389"/>
      <c r="CJ118" s="389"/>
      <c r="CK118" s="389"/>
      <c r="CL118" s="389"/>
      <c r="CM118" s="389"/>
      <c r="CN118" s="389"/>
      <c r="CO118" s="389"/>
      <c r="CP118" s="389"/>
      <c r="CQ118" s="389"/>
      <c r="CR118" s="389"/>
      <c r="CS118" s="415"/>
      <c r="CT118" s="389"/>
      <c r="CU118" s="389"/>
      <c r="CV118" s="389"/>
      <c r="CW118" s="389"/>
      <c r="CX118" s="389"/>
      <c r="CY118" s="389"/>
      <c r="CZ118" s="389"/>
      <c r="DA118" s="389"/>
      <c r="DB118" s="389"/>
      <c r="DC118" s="389"/>
      <c r="DD118" s="389"/>
      <c r="DE118" s="389"/>
      <c r="DF118" s="389"/>
      <c r="DG118" s="389"/>
      <c r="DH118" s="389"/>
      <c r="DI118" s="389"/>
      <c r="DJ118" s="389"/>
      <c r="DK118" s="389"/>
      <c r="DL118" s="389"/>
      <c r="DM118" s="389"/>
      <c r="DN118" s="389"/>
      <c r="DO118" s="414"/>
      <c r="DP118" s="39"/>
      <c r="DQ118" s="39"/>
      <c r="DR118" s="39"/>
      <c r="DS118" s="136"/>
      <c r="DT118" s="136"/>
      <c r="DU118" s="136"/>
      <c r="DV118" s="136"/>
      <c r="DW118" s="136"/>
      <c r="DX118" s="136"/>
      <c r="DY118" s="136"/>
      <c r="DZ118" s="136"/>
      <c r="EA118" s="136"/>
      <c r="EB118" s="136"/>
      <c r="EC118" s="136"/>
      <c r="ED118" s="136"/>
      <c r="EE118" s="136"/>
      <c r="EF118" s="136"/>
      <c r="EG118" s="136"/>
      <c r="EH118" s="136"/>
      <c r="EI118" s="136"/>
      <c r="EJ118" s="136"/>
      <c r="EK118" s="136"/>
      <c r="EL118" s="136"/>
      <c r="EM118" s="136"/>
      <c r="EN118" s="136"/>
      <c r="EO118" s="136"/>
      <c r="EP118" s="136"/>
      <c r="EQ118" s="136"/>
      <c r="ER118" s="136"/>
      <c r="ES118" s="136"/>
      <c r="ET118" s="136"/>
      <c r="EU118" s="136"/>
      <c r="EV118" s="136"/>
      <c r="EW118" s="136"/>
      <c r="EX118" s="136"/>
      <c r="EY118" s="136"/>
      <c r="EZ118" s="136"/>
      <c r="FA118" s="136"/>
      <c r="FB118" s="136"/>
      <c r="FC118" s="136"/>
      <c r="FD118" s="136"/>
      <c r="FE118" s="136"/>
      <c r="FF118" s="136"/>
      <c r="FG118" s="136"/>
      <c r="FH118" s="136"/>
      <c r="FI118" s="136"/>
      <c r="FJ118" s="136"/>
      <c r="FK118" s="136"/>
      <c r="FL118" s="136"/>
      <c r="FM118" s="136"/>
      <c r="FN118" s="136"/>
      <c r="FO118" s="136"/>
      <c r="FP118" s="136"/>
      <c r="FQ118" s="136"/>
      <c r="FR118" s="412"/>
      <c r="FS118" s="412"/>
      <c r="FT118" s="412"/>
      <c r="FU118" s="412"/>
      <c r="FV118" s="412"/>
      <c r="FW118" s="412"/>
      <c r="FX118" s="412"/>
      <c r="FY118" s="412"/>
      <c r="FZ118" s="412"/>
      <c r="GA118" s="412"/>
      <c r="GB118" s="412"/>
      <c r="GC118" s="412"/>
      <c r="GD118" s="412"/>
      <c r="GE118" s="412"/>
      <c r="GF118" s="412"/>
      <c r="GG118" s="412"/>
      <c r="GH118" s="412"/>
      <c r="GI118" s="412"/>
      <c r="GJ118" s="412"/>
      <c r="GK118" s="412"/>
      <c r="GL118" s="412"/>
      <c r="GM118" s="412"/>
      <c r="GN118" s="412"/>
      <c r="GO118" s="412"/>
      <c r="GP118" s="412"/>
      <c r="GQ118" s="412"/>
      <c r="GR118" s="412"/>
      <c r="GS118" s="412"/>
      <c r="GT118" s="412"/>
      <c r="GU118" s="412"/>
      <c r="GV118" s="412"/>
      <c r="GW118" s="412"/>
      <c r="GX118" s="412"/>
      <c r="GY118" s="412"/>
      <c r="GZ118" s="412"/>
      <c r="HA118" s="412"/>
      <c r="HB118" s="412"/>
      <c r="HC118" s="412"/>
      <c r="HD118" s="412"/>
      <c r="HE118" s="412"/>
      <c r="HF118" s="412"/>
      <c r="HG118" s="412"/>
      <c r="HH118" s="412"/>
      <c r="HI118" s="412"/>
      <c r="HJ118" s="412"/>
      <c r="HK118" s="412"/>
      <c r="HL118" s="412"/>
      <c r="HM118" s="412"/>
      <c r="HN118" s="412"/>
      <c r="HO118" s="412"/>
      <c r="HP118" s="412"/>
      <c r="HQ118" s="412"/>
      <c r="HR118" s="412"/>
      <c r="HS118" s="412"/>
      <c r="HT118" s="412"/>
      <c r="HU118" s="278"/>
      <c r="HV118" s="277"/>
      <c r="HW118" s="277"/>
      <c r="HX118" s="277"/>
      <c r="HY118" s="277"/>
      <c r="HZ118" s="277"/>
      <c r="IA118" s="277"/>
      <c r="IB118" s="277"/>
      <c r="IC118" s="277"/>
      <c r="ID118" s="412"/>
      <c r="IE118" s="412"/>
      <c r="IF118" s="412"/>
      <c r="IG118" s="412"/>
      <c r="IH118" s="412"/>
      <c r="II118" s="412"/>
      <c r="IJ118" s="412"/>
      <c r="IK118" s="412"/>
      <c r="IL118" s="412"/>
      <c r="IM118" s="412"/>
      <c r="IN118" s="412"/>
      <c r="IO118" s="412"/>
      <c r="IP118" s="413"/>
      <c r="IQ118" s="389"/>
      <c r="IR118" s="389"/>
      <c r="IS118" s="389"/>
      <c r="IT118" s="389"/>
      <c r="IU118" s="389"/>
      <c r="IV118" s="389"/>
      <c r="IW118" s="389"/>
      <c r="IX118" s="389"/>
      <c r="IY118" s="389"/>
      <c r="IZ118" s="389"/>
      <c r="JA118" s="389"/>
      <c r="JB118" s="389"/>
      <c r="JC118" s="389"/>
      <c r="JD118" s="389"/>
      <c r="JE118" s="389"/>
      <c r="JF118" s="389"/>
      <c r="JG118" s="389"/>
      <c r="JH118" s="389"/>
      <c r="JI118" s="389"/>
      <c r="JJ118" s="389"/>
      <c r="JK118" s="389"/>
      <c r="JL118" s="389"/>
      <c r="JM118" s="389"/>
      <c r="JN118" s="389"/>
      <c r="JO118" s="389"/>
      <c r="JT118" s="553"/>
    </row>
    <row r="119" spans="1:302" s="14" customFormat="1" ht="11.1" hidden="1" customHeight="1" outlineLevel="1">
      <c r="A119" s="461">
        <v>1</v>
      </c>
      <c r="B119" s="989">
        <f>VLOOKUP(B117,'[2]IBAN CONTI'!A$1:B$65562,2,FALSE)</f>
        <v>1</v>
      </c>
      <c r="C119" s="989"/>
      <c r="D119" s="436">
        <v>42023</v>
      </c>
      <c r="E119" s="932">
        <f>VLOOKUP(E118,'[2]IBAN CONTI'!A:B,2,FALSE)</f>
        <v>2</v>
      </c>
      <c r="F119" s="444" t="str">
        <f>IF(E119=1,"87,5","74")</f>
        <v>74</v>
      </c>
      <c r="G119" s="443">
        <f>VLOOKUP(G117,'[2]IBAN CONTI'!A$244:B$273,2,FALSE)</f>
        <v>21</v>
      </c>
      <c r="H119" s="431"/>
      <c r="I119" s="528"/>
      <c r="J119" s="431"/>
      <c r="K119" s="443">
        <f>VLOOKUP(K117,'[2]IBAN CONTI'!A$80:B$101,2,FALSE)</f>
        <v>4</v>
      </c>
      <c r="L119" s="720"/>
      <c r="M119" s="720"/>
      <c r="N119" s="720"/>
      <c r="O119" s="223"/>
      <c r="P119" s="527"/>
      <c r="Q119" s="526"/>
      <c r="R119" s="22"/>
      <c r="S119" s="15"/>
      <c r="T119" s="431"/>
      <c r="U119" s="15"/>
      <c r="V119" s="15"/>
      <c r="W119" s="15"/>
      <c r="X119" s="594">
        <f ca="1">X114-$AF$2</f>
        <v>-4535.6850547453723</v>
      </c>
      <c r="Y119" s="430"/>
      <c r="Z119" s="430"/>
      <c r="AA119" s="430"/>
      <c r="AB119" s="78"/>
      <c r="AC119" s="431"/>
      <c r="AD119" s="117"/>
      <c r="AE119" s="431"/>
      <c r="AF119" s="1011">
        <v>-95866.38</v>
      </c>
      <c r="AG119" s="1011"/>
      <c r="AH119" s="552"/>
      <c r="AI119" s="551"/>
      <c r="AJ119" s="441" t="s">
        <v>172</v>
      </c>
      <c r="AK119" s="525">
        <f>VLOOKUP(AJ119,'[2]IBAN CONTI'!A$61:B$64,2,FALSE)</f>
        <v>1</v>
      </c>
      <c r="AL119" s="967">
        <f>AL116-AL117*(100-F119)/100</f>
        <v>99.673439999999999</v>
      </c>
      <c r="AM119" s="524" t="str">
        <f>IF(B119=2,10^((LOG(AL116/AL115))/AM116)-1,"")</f>
        <v/>
      </c>
      <c r="AN119" s="422">
        <f>IF(B119=4,A116*E114/100,IF(AF116=1,G114*E114/100,A115/E115*E114/100))</f>
        <v>953.2</v>
      </c>
      <c r="AO119" s="425">
        <f>-AO117*(100-F118)/100</f>
        <v>-1.8625095057034226E-2</v>
      </c>
      <c r="AP119" s="438">
        <f>IF(B119=2,(AN119-AP116+AN114+AN115)/G114*100,(AN119-AP115+AN114+AN115)/G114*100)</f>
        <v>95.783945095057035</v>
      </c>
      <c r="AQ119" s="423"/>
      <c r="AR119" s="555">
        <f>AL115</f>
        <v>98.744</v>
      </c>
      <c r="AS119" s="421"/>
      <c r="AT119" s="419"/>
      <c r="AU119" s="420"/>
      <c r="AV119" s="223"/>
      <c r="AW119" s="420"/>
      <c r="AX119" s="417"/>
      <c r="AY119" s="420"/>
      <c r="AZ119" s="223"/>
      <c r="BA119" s="419"/>
      <c r="BB119" s="223"/>
      <c r="BC119" s="223"/>
      <c r="BD119" s="223"/>
      <c r="BE119" s="223"/>
      <c r="BF119" s="416"/>
      <c r="BG119" s="418"/>
      <c r="BH119" s="416"/>
      <c r="BI119" s="416"/>
      <c r="BJ119" s="416"/>
      <c r="BK119" s="418"/>
      <c r="BL119" s="417"/>
      <c r="BM119" s="416"/>
      <c r="BN119" s="416"/>
      <c r="BO119" s="416"/>
      <c r="BP119" s="416"/>
      <c r="BQ119" s="416"/>
      <c r="BR119" s="416"/>
      <c r="BS119" s="416"/>
      <c r="BT119" s="389"/>
      <c r="BU119" s="389"/>
      <c r="BV119" s="389"/>
      <c r="BW119" s="389"/>
      <c r="BX119" s="415"/>
      <c r="BY119" s="389"/>
      <c r="BZ119" s="389"/>
      <c r="CA119" s="389"/>
      <c r="CB119" s="389"/>
      <c r="CC119" s="389"/>
      <c r="CD119" s="389"/>
      <c r="CE119" s="389"/>
      <c r="CF119" s="389"/>
      <c r="CG119" s="389"/>
      <c r="CH119" s="389"/>
      <c r="CI119" s="389"/>
      <c r="CJ119" s="389"/>
      <c r="CK119" s="389"/>
      <c r="CL119" s="389"/>
      <c r="CM119" s="389"/>
      <c r="CN119" s="389"/>
      <c r="CO119" s="389"/>
      <c r="CP119" s="389"/>
      <c r="CQ119" s="389"/>
      <c r="CR119" s="389"/>
      <c r="CS119" s="415"/>
      <c r="CT119" s="389"/>
      <c r="CU119" s="389"/>
      <c r="CV119" s="389"/>
      <c r="CW119" s="389"/>
      <c r="CX119" s="389"/>
      <c r="CY119" s="389"/>
      <c r="CZ119" s="389"/>
      <c r="DA119" s="389"/>
      <c r="DB119" s="389"/>
      <c r="DC119" s="389"/>
      <c r="DD119" s="389"/>
      <c r="DE119" s="389"/>
      <c r="DF119" s="389"/>
      <c r="DG119" s="389"/>
      <c r="DH119" s="389"/>
      <c r="DI119" s="389"/>
      <c r="DJ119" s="389"/>
      <c r="DK119" s="389"/>
      <c r="DL119" s="389"/>
      <c r="DM119" s="389"/>
      <c r="DN119" s="389"/>
      <c r="DO119" s="414"/>
      <c r="DP119" s="39"/>
      <c r="DQ119" s="39"/>
      <c r="DR119" s="39"/>
      <c r="DS119" s="136"/>
      <c r="DT119" s="136"/>
      <c r="DU119" s="136"/>
      <c r="DV119" s="136"/>
      <c r="DW119" s="136"/>
      <c r="DX119" s="136"/>
      <c r="DY119" s="136"/>
      <c r="DZ119" s="136"/>
      <c r="EA119" s="136"/>
      <c r="EB119" s="136"/>
      <c r="EC119" s="136"/>
      <c r="ED119" s="136"/>
      <c r="EE119" s="136"/>
      <c r="EF119" s="136"/>
      <c r="EG119" s="136"/>
      <c r="EH119" s="136"/>
      <c r="EI119" s="136"/>
      <c r="EJ119" s="136"/>
      <c r="EK119" s="136"/>
      <c r="EL119" s="136"/>
      <c r="EM119" s="136"/>
      <c r="EN119" s="136"/>
      <c r="EO119" s="136"/>
      <c r="EP119" s="136"/>
      <c r="EQ119" s="136"/>
      <c r="ER119" s="136"/>
      <c r="ES119" s="136"/>
      <c r="ET119" s="136"/>
      <c r="EU119" s="136"/>
      <c r="EV119" s="136"/>
      <c r="EW119" s="136"/>
      <c r="EX119" s="136"/>
      <c r="EY119" s="136"/>
      <c r="EZ119" s="136"/>
      <c r="FA119" s="136"/>
      <c r="FB119" s="136"/>
      <c r="FC119" s="136"/>
      <c r="FD119" s="136"/>
      <c r="FE119" s="136"/>
      <c r="FF119" s="136"/>
      <c r="FG119" s="136"/>
      <c r="FH119" s="136"/>
      <c r="FI119" s="136"/>
      <c r="FJ119" s="136"/>
      <c r="FK119" s="136"/>
      <c r="FL119" s="136"/>
      <c r="FM119" s="136"/>
      <c r="FN119" s="136"/>
      <c r="FO119" s="136"/>
      <c r="FP119" s="136"/>
      <c r="FQ119" s="136"/>
      <c r="FR119" s="412"/>
      <c r="FS119" s="412"/>
      <c r="FT119" s="412"/>
      <c r="FU119" s="412"/>
      <c r="FV119" s="412"/>
      <c r="FW119" s="412"/>
      <c r="FX119" s="412"/>
      <c r="FY119" s="412"/>
      <c r="FZ119" s="412"/>
      <c r="GA119" s="412"/>
      <c r="GB119" s="412"/>
      <c r="GC119" s="412"/>
      <c r="GD119" s="412"/>
      <c r="GE119" s="412"/>
      <c r="GF119" s="412"/>
      <c r="GG119" s="412"/>
      <c r="GH119" s="412"/>
      <c r="GI119" s="412"/>
      <c r="GJ119" s="412"/>
      <c r="GK119" s="412"/>
      <c r="GL119" s="412"/>
      <c r="GM119" s="412"/>
      <c r="GN119" s="412"/>
      <c r="GO119" s="412"/>
      <c r="GP119" s="412"/>
      <c r="GQ119" s="412"/>
      <c r="GR119" s="412"/>
      <c r="GS119" s="412"/>
      <c r="GT119" s="412"/>
      <c r="GU119" s="412"/>
      <c r="GV119" s="412"/>
      <c r="GW119" s="412"/>
      <c r="GX119" s="412"/>
      <c r="GY119" s="412"/>
      <c r="GZ119" s="412"/>
      <c r="HA119" s="412"/>
      <c r="HB119" s="412"/>
      <c r="HC119" s="412"/>
      <c r="HD119" s="412"/>
      <c r="HE119" s="412"/>
      <c r="HF119" s="412"/>
      <c r="HG119" s="412"/>
      <c r="HH119" s="412"/>
      <c r="HI119" s="412"/>
      <c r="HJ119" s="412"/>
      <c r="HK119" s="412"/>
      <c r="HL119" s="412"/>
      <c r="HM119" s="412"/>
      <c r="HN119" s="412"/>
      <c r="HO119" s="412"/>
      <c r="HP119" s="412"/>
      <c r="HQ119" s="412"/>
      <c r="HR119" s="412"/>
      <c r="HS119" s="412"/>
      <c r="HT119" s="412"/>
      <c r="HU119" s="278"/>
      <c r="HV119" s="277"/>
      <c r="HW119" s="277"/>
      <c r="HX119" s="277"/>
      <c r="HY119" s="277"/>
      <c r="HZ119" s="277"/>
      <c r="IA119" s="277"/>
      <c r="IB119" s="277"/>
      <c r="IC119" s="277"/>
      <c r="ID119" s="412"/>
      <c r="IE119" s="412"/>
      <c r="IF119" s="412"/>
      <c r="IG119" s="412"/>
      <c r="IH119" s="412"/>
      <c r="II119" s="412"/>
      <c r="IJ119" s="412"/>
      <c r="IK119" s="412"/>
      <c r="IL119" s="412"/>
      <c r="IM119" s="412"/>
      <c r="IN119" s="412"/>
      <c r="IO119" s="412"/>
      <c r="IP119" s="413"/>
      <c r="IQ119" s="389"/>
      <c r="IR119" s="389"/>
      <c r="IS119" s="389"/>
      <c r="IT119" s="389"/>
      <c r="IU119" s="389"/>
      <c r="IV119" s="389"/>
      <c r="IW119" s="389"/>
      <c r="IX119" s="389"/>
      <c r="IY119" s="389"/>
      <c r="IZ119" s="389"/>
      <c r="JA119" s="389"/>
      <c r="JB119" s="389"/>
      <c r="JC119" s="389"/>
      <c r="JD119" s="389"/>
      <c r="JE119" s="389"/>
      <c r="JF119" s="389"/>
      <c r="JG119" s="389"/>
      <c r="JH119" s="389"/>
      <c r="JI119" s="389"/>
      <c r="JJ119" s="389"/>
      <c r="JK119" s="389"/>
      <c r="JL119" s="389"/>
      <c r="JM119" s="389"/>
      <c r="JN119" s="389"/>
      <c r="JO119" s="389"/>
      <c r="JT119" s="553"/>
    </row>
    <row r="120" spans="1:302" s="14" customFormat="1" ht="11.1" hidden="1" customHeight="1" outlineLevel="1">
      <c r="A120" s="18"/>
      <c r="B120" s="933"/>
      <c r="C120" s="933"/>
      <c r="D120" s="436"/>
      <c r="E120" s="932"/>
      <c r="F120" s="435"/>
      <c r="G120" s="443"/>
      <c r="H120" s="431"/>
      <c r="I120" s="528"/>
      <c r="J120" s="431"/>
      <c r="K120" s="443"/>
      <c r="L120" s="720"/>
      <c r="M120" s="720"/>
      <c r="N120" s="720"/>
      <c r="O120" s="223"/>
      <c r="P120" s="527"/>
      <c r="Q120" s="526"/>
      <c r="R120" s="22"/>
      <c r="S120" s="15"/>
      <c r="T120" s="431"/>
      <c r="U120" s="15"/>
      <c r="V120" s="15"/>
      <c r="W120" s="15"/>
      <c r="X120" s="778"/>
      <c r="Y120" s="430"/>
      <c r="Z120" s="430"/>
      <c r="AA120" s="430"/>
      <c r="AB120" s="78"/>
      <c r="AC120" s="431"/>
      <c r="AD120" s="117"/>
      <c r="AE120" s="431"/>
      <c r="AF120" s="934"/>
      <c r="AG120" s="934"/>
      <c r="AH120" s="552"/>
      <c r="AI120" s="551"/>
      <c r="AJ120" s="441"/>
      <c r="AK120" s="595"/>
      <c r="AL120" s="967"/>
      <c r="AM120" s="524"/>
      <c r="AN120" s="422"/>
      <c r="AO120" s="425"/>
      <c r="AP120" s="438"/>
      <c r="AQ120" s="423"/>
      <c r="AR120" s="422"/>
      <c r="AS120" s="421"/>
      <c r="AT120" s="419"/>
      <c r="AU120" s="420"/>
      <c r="AV120" s="223"/>
      <c r="AW120" s="420"/>
      <c r="AX120" s="417"/>
      <c r="AY120" s="420"/>
      <c r="AZ120" s="223"/>
      <c r="BA120" s="419"/>
      <c r="BB120" s="223"/>
      <c r="BC120" s="223"/>
      <c r="BD120" s="223"/>
      <c r="BE120" s="223"/>
      <c r="BF120" s="416"/>
      <c r="BG120" s="418"/>
      <c r="BH120" s="416"/>
      <c r="BI120" s="416"/>
      <c r="BJ120" s="416"/>
      <c r="BK120" s="418"/>
      <c r="BL120" s="417"/>
      <c r="BM120" s="416"/>
      <c r="BN120" s="416"/>
      <c r="BO120" s="416"/>
      <c r="BP120" s="416"/>
      <c r="BQ120" s="416"/>
      <c r="BR120" s="416"/>
      <c r="BS120" s="416"/>
      <c r="BT120" s="389"/>
      <c r="BU120" s="389"/>
      <c r="BV120" s="389"/>
      <c r="BW120" s="389"/>
      <c r="BX120" s="415"/>
      <c r="BY120" s="389"/>
      <c r="BZ120" s="389"/>
      <c r="CA120" s="389"/>
      <c r="CB120" s="389"/>
      <c r="CC120" s="389"/>
      <c r="CD120" s="389"/>
      <c r="CE120" s="389"/>
      <c r="CF120" s="389"/>
      <c r="CG120" s="389"/>
      <c r="CH120" s="389"/>
      <c r="CI120" s="389"/>
      <c r="CJ120" s="389"/>
      <c r="CK120" s="389"/>
      <c r="CL120" s="389"/>
      <c r="CM120" s="389"/>
      <c r="CN120" s="389"/>
      <c r="CO120" s="389"/>
      <c r="CP120" s="389"/>
      <c r="CQ120" s="389"/>
      <c r="CR120" s="389"/>
      <c r="CS120" s="415"/>
      <c r="CT120" s="389"/>
      <c r="CU120" s="389"/>
      <c r="CV120" s="389"/>
      <c r="CW120" s="389"/>
      <c r="CX120" s="389"/>
      <c r="CY120" s="389"/>
      <c r="CZ120" s="389"/>
      <c r="DA120" s="389"/>
      <c r="DB120" s="389"/>
      <c r="DC120" s="389"/>
      <c r="DD120" s="389"/>
      <c r="DE120" s="389"/>
      <c r="DF120" s="389"/>
      <c r="DG120" s="389"/>
      <c r="DH120" s="389"/>
      <c r="DI120" s="389"/>
      <c r="DJ120" s="389"/>
      <c r="DK120" s="389"/>
      <c r="DL120" s="389"/>
      <c r="DM120" s="389"/>
      <c r="DN120" s="389"/>
      <c r="DO120" s="414"/>
      <c r="DP120" s="39"/>
      <c r="DQ120" s="39"/>
      <c r="DR120" s="39"/>
      <c r="DS120" s="136"/>
      <c r="DT120" s="136"/>
      <c r="DU120" s="136"/>
      <c r="DV120" s="136"/>
      <c r="DW120" s="136"/>
      <c r="DX120" s="136"/>
      <c r="DY120" s="136"/>
      <c r="DZ120" s="136"/>
      <c r="EA120" s="136"/>
      <c r="EB120" s="136"/>
      <c r="EC120" s="136"/>
      <c r="ED120" s="136"/>
      <c r="EE120" s="136"/>
      <c r="EF120" s="136"/>
      <c r="EG120" s="136"/>
      <c r="EH120" s="136"/>
      <c r="EI120" s="136"/>
      <c r="EJ120" s="136"/>
      <c r="EK120" s="136"/>
      <c r="EL120" s="136"/>
      <c r="EM120" s="136"/>
      <c r="EN120" s="136"/>
      <c r="EO120" s="136"/>
      <c r="EP120" s="136"/>
      <c r="EQ120" s="136"/>
      <c r="ER120" s="136"/>
      <c r="ES120" s="136"/>
      <c r="ET120" s="136"/>
      <c r="EU120" s="136"/>
      <c r="EV120" s="136"/>
      <c r="EW120" s="136"/>
      <c r="EX120" s="136"/>
      <c r="EY120" s="136"/>
      <c r="EZ120" s="136"/>
      <c r="FA120" s="136"/>
      <c r="FB120" s="136"/>
      <c r="FC120" s="136"/>
      <c r="FD120" s="136"/>
      <c r="FE120" s="136"/>
      <c r="FF120" s="136"/>
      <c r="FG120" s="136"/>
      <c r="FH120" s="136"/>
      <c r="FI120" s="136"/>
      <c r="FJ120" s="136"/>
      <c r="FK120" s="136"/>
      <c r="FL120" s="136"/>
      <c r="FM120" s="136"/>
      <c r="FN120" s="136"/>
      <c r="FO120" s="136"/>
      <c r="FP120" s="136"/>
      <c r="FQ120" s="136"/>
      <c r="FR120" s="412"/>
      <c r="FS120" s="412"/>
      <c r="FT120" s="412"/>
      <c r="FU120" s="412"/>
      <c r="FV120" s="412"/>
      <c r="FW120" s="412"/>
      <c r="FX120" s="412"/>
      <c r="FY120" s="412"/>
      <c r="FZ120" s="412"/>
      <c r="GA120" s="412"/>
      <c r="GB120" s="412"/>
      <c r="GC120" s="412"/>
      <c r="GD120" s="412"/>
      <c r="GE120" s="412"/>
      <c r="GF120" s="412"/>
      <c r="GG120" s="412"/>
      <c r="GH120" s="412"/>
      <c r="GI120" s="412"/>
      <c r="GJ120" s="412"/>
      <c r="GK120" s="412"/>
      <c r="GL120" s="412"/>
      <c r="GM120" s="412"/>
      <c r="GN120" s="412"/>
      <c r="GO120" s="412"/>
      <c r="GP120" s="412"/>
      <c r="GQ120" s="412"/>
      <c r="GR120" s="412"/>
      <c r="GS120" s="412"/>
      <c r="GT120" s="412"/>
      <c r="GU120" s="412"/>
      <c r="GV120" s="412"/>
      <c r="GW120" s="412"/>
      <c r="GX120" s="412"/>
      <c r="GY120" s="412"/>
      <c r="GZ120" s="412"/>
      <c r="HA120" s="412"/>
      <c r="HB120" s="412"/>
      <c r="HC120" s="412"/>
      <c r="HD120" s="412"/>
      <c r="HE120" s="412"/>
      <c r="HF120" s="412"/>
      <c r="HG120" s="412"/>
      <c r="HH120" s="412"/>
      <c r="HI120" s="412"/>
      <c r="HJ120" s="412"/>
      <c r="HK120" s="412"/>
      <c r="HL120" s="412"/>
      <c r="HM120" s="412"/>
      <c r="HN120" s="412"/>
      <c r="HO120" s="412"/>
      <c r="HP120" s="412"/>
      <c r="HQ120" s="412"/>
      <c r="HR120" s="412"/>
      <c r="HS120" s="412"/>
      <c r="HT120" s="412"/>
      <c r="HU120" s="278"/>
      <c r="HV120" s="277"/>
      <c r="HW120" s="277"/>
      <c r="HX120" s="277"/>
      <c r="HY120" s="277"/>
      <c r="HZ120" s="277"/>
      <c r="IA120" s="277"/>
      <c r="IB120" s="277"/>
      <c r="IC120" s="277"/>
      <c r="ID120" s="412"/>
      <c r="IE120" s="412"/>
      <c r="IF120" s="412"/>
      <c r="IG120" s="412"/>
      <c r="IH120" s="412"/>
      <c r="II120" s="412"/>
      <c r="IJ120" s="412"/>
      <c r="IK120" s="412"/>
      <c r="IL120" s="412"/>
      <c r="IM120" s="412"/>
      <c r="IN120" s="412"/>
      <c r="IO120" s="412"/>
      <c r="IP120" s="412"/>
      <c r="IQ120" s="389"/>
      <c r="IR120" s="389"/>
      <c r="IS120" s="389"/>
      <c r="IT120" s="389"/>
      <c r="IU120" s="389"/>
      <c r="IV120" s="389"/>
      <c r="IW120" s="389"/>
      <c r="IX120" s="389"/>
      <c r="IY120" s="389"/>
      <c r="IZ120" s="389"/>
      <c r="JA120" s="389"/>
      <c r="JB120" s="389"/>
      <c r="JC120" s="389"/>
      <c r="JD120" s="389"/>
      <c r="JE120" s="389"/>
      <c r="JF120" s="389"/>
      <c r="JG120" s="389"/>
      <c r="JH120" s="389"/>
      <c r="JI120" s="389"/>
      <c r="JJ120" s="389"/>
      <c r="JK120" s="389"/>
      <c r="JL120" s="389"/>
      <c r="JM120" s="389"/>
      <c r="JN120" s="389"/>
      <c r="JO120" s="389"/>
      <c r="JT120" s="553"/>
    </row>
    <row r="121" spans="1:302" s="14" customFormat="1" ht="5.0999999999999996" customHeight="1" collapsed="1">
      <c r="A121" s="3"/>
      <c r="B121" s="41"/>
      <c r="D121" s="23"/>
      <c r="E121" s="83"/>
      <c r="F121" s="7"/>
      <c r="K121" s="40"/>
      <c r="L121" s="836"/>
      <c r="M121" s="848"/>
      <c r="N121" s="848"/>
      <c r="O121" s="609"/>
      <c r="P121" s="3"/>
      <c r="Q121" s="7"/>
      <c r="R121" s="7"/>
      <c r="S121" s="23"/>
      <c r="AB121" s="23"/>
      <c r="AG121" s="34"/>
      <c r="AH121" s="409"/>
      <c r="AI121" s="608"/>
      <c r="AJ121" s="80"/>
      <c r="AK121" s="607"/>
      <c r="AL121" s="18"/>
      <c r="AM121" s="606"/>
      <c r="AN121" s="18"/>
      <c r="AQ121" s="23"/>
      <c r="IP121" s="3"/>
      <c r="JT121" s="553"/>
    </row>
    <row r="122" spans="1:302" s="14" customFormat="1" ht="11.1" customHeight="1">
      <c r="A122" s="497" t="s">
        <v>234</v>
      </c>
      <c r="B122" s="496" t="s">
        <v>186</v>
      </c>
      <c r="C122" s="387">
        <v>48460</v>
      </c>
      <c r="D122" s="725">
        <v>45559</v>
      </c>
      <c r="E122" s="764">
        <v>101.11</v>
      </c>
      <c r="F122" s="561">
        <v>4.1250000000000002E-2</v>
      </c>
      <c r="G122" s="383">
        <v>1000</v>
      </c>
      <c r="H122" s="383">
        <f>G122</f>
        <v>1000</v>
      </c>
      <c r="I122" s="385">
        <f>G122*F122/100*F127</f>
        <v>30.524999999999999</v>
      </c>
      <c r="J122" s="383">
        <f>I122</f>
        <v>30.524999999999999</v>
      </c>
      <c r="K122" s="384" t="s">
        <v>426</v>
      </c>
      <c r="L122" s="833">
        <f>MONTH(C122)</f>
        <v>9</v>
      </c>
      <c r="M122" s="842" t="str">
        <f>IFERROR(IF(N122&gt;12,N122-12,N122),"")</f>
        <v/>
      </c>
      <c r="N122" s="594" t="str">
        <f>IF(K124=1,"",MONTH(C122)+6)</f>
        <v/>
      </c>
      <c r="O122" s="832">
        <f>IF(K124=1,I122,I122/2)</f>
        <v>30.524999999999999</v>
      </c>
      <c r="P122" s="215">
        <f>VLOOKUP(B123,[2]Prezzi!$A$2:$R$125,18,FALSE)</f>
        <v>101.69999694824219</v>
      </c>
      <c r="Q122" s="15"/>
      <c r="R122" s="22"/>
      <c r="S122" s="493">
        <f ca="1">MAX(0,IF(B127=5,I122/AM124*X122,(((((F122)*AF$2)/365)*G122*F127/100)+((((F122)*X127)/365)*G122*F127/100))))</f>
        <v>5.9377397260274734</v>
      </c>
      <c r="T122" s="492">
        <f ca="1">S122</f>
        <v>5.9377397260274734</v>
      </c>
      <c r="U122" s="469"/>
      <c r="V122" s="4"/>
      <c r="W122" s="469"/>
      <c r="X122" s="491">
        <f ca="1">IF(B127=4,COUPDAYBS($AB$2,C122,K124,AH126),IF($AB$2-AL122&lt;365,IF(K124&gt;1,FLOOR(365/K124-(E124-AB$2),1),IF(B127=2,0,IF(AL122&gt;$AB$2,0,IF(AND(E124-AL122&lt;365,$AB$2&lt;E124),$AB$2-AL122,COUPDAYBS($AB$2,C122,K124,AH126))))),COUPDAYBS($AB$2,C122,K124,AH126)))</f>
        <v>71</v>
      </c>
      <c r="Y122" s="456">
        <f ca="1">G122*AF122</f>
        <v>6639.9995339155903</v>
      </c>
      <c r="Z122" s="456">
        <f ca="1">IF(G122=0,"0",G122*AG122)</f>
        <v>28.613517850900404</v>
      </c>
      <c r="AA122" s="22"/>
      <c r="AB122" s="979">
        <f ca="1">IF(B127=5,(((I122/AM125)*X122)+(G122)),(G122*P122*A127/100)+(S122*A127))</f>
        <v>1022.9377092084494</v>
      </c>
      <c r="AC122" s="383">
        <f ca="1">AB122</f>
        <v>1022.9377092084494</v>
      </c>
      <c r="AD122" s="156">
        <f>IF(E123="",((P122-E122)/100)*G122,((((P122-E122)/100)*A123)/F123)+((A123/F123)-(A123/E123)))</f>
        <v>5.8999694824218807</v>
      </c>
      <c r="AE122" s="383">
        <f>AD122</f>
        <v>5.8999694824218807</v>
      </c>
      <c r="AF122" s="446">
        <f ca="1">IF(B127=1,MDURATION($AB$2,C122,F122,AG122,K124,AH126),IF(B127=2,YEARFRAC(C122,$AB$2,AH126)))</f>
        <v>6.6399995339155904</v>
      </c>
      <c r="AG122" s="824">
        <f ca="1">YIELD(AB$2,C122,F122,P122,AL124,K124,AH126)*F127/100</f>
        <v>2.8613517850900404E-2</v>
      </c>
      <c r="AH122" s="489">
        <f ca="1">(((F122)*X122)/365)*F127</f>
        <v>0.59377397260273967</v>
      </c>
      <c r="AI122" s="573"/>
      <c r="AJ122" s="180"/>
      <c r="AK122" s="546"/>
      <c r="AL122" s="245">
        <v>45538</v>
      </c>
      <c r="AM122" s="545" t="s">
        <v>425</v>
      </c>
      <c r="AN122" s="179">
        <f>IF(B127=4,MIN(G122*E122*A125*AV$3/100,AV$4),IF(AF124=1,MIN(G122*E122*AV$3/100,AV$4),MIN((A123*E122/E123*AV$3/100),AV$4)+(((A123/E123*E122/100)+(A123/E123*E122*AV$3/100)+AN123+AO122)*AZ$3)))</f>
        <v>1.0110999999999999</v>
      </c>
      <c r="AO122" s="484">
        <f>IF(B127=4,AP125*A124/100,IF(AF124=1,G122*AP125/100,A128/E123/100*AP125))</f>
        <v>2.59931</v>
      </c>
      <c r="AP122" s="188">
        <f>IF(B127=2,AN127+AN122+AN123+AP123,AN127+AN122+AN123+AO122+AO123+AP123)</f>
        <v>1017.5345894000001</v>
      </c>
      <c r="AQ122" s="326">
        <f>AP122</f>
        <v>1017.5345894000001</v>
      </c>
      <c r="AR122" s="569">
        <f>AR124+AR126+AR123</f>
        <v>1030.5250000000001</v>
      </c>
      <c r="AS122" s="825">
        <f ca="1">AG122</f>
        <v>2.8613517850900404E-2</v>
      </c>
      <c r="AT122" s="419">
        <f>IF(B127=1,G122,"")</f>
        <v>1000</v>
      </c>
      <c r="AU122" s="420" t="str">
        <f>IF(B127=2,G122,"")</f>
        <v/>
      </c>
      <c r="AV122" s="223" t="str">
        <f>IF(B127=3,G122,"")</f>
        <v/>
      </c>
      <c r="AW122" s="420" t="str">
        <f>IF(B127=4,G122,"")</f>
        <v/>
      </c>
      <c r="AX122" s="417" t="str">
        <f>IF(B127=5,G122,"")</f>
        <v/>
      </c>
      <c r="AY122" s="420" t="str">
        <f>IF(B127=6,G122,"")</f>
        <v/>
      </c>
      <c r="AZ122" s="223" t="str">
        <f>IF(B127=7,G122,"")</f>
        <v/>
      </c>
      <c r="BA122" s="419" t="str">
        <f>IF(B124=1,G122,"")</f>
        <v/>
      </c>
      <c r="BB122" s="223" t="str">
        <f>IF(B124=2,G122,"")</f>
        <v/>
      </c>
      <c r="BC122" s="223" t="str">
        <f>IF(B124=3,G122,"")</f>
        <v/>
      </c>
      <c r="BD122" s="223">
        <f>IF(B124=4,G122,"")</f>
        <v>1000</v>
      </c>
      <c r="BE122" s="223" t="str">
        <f>IF(B124=5,G122,"")</f>
        <v/>
      </c>
      <c r="BF122" s="417" t="str">
        <f>IF(B124=6,G122,"")</f>
        <v/>
      </c>
      <c r="BG122" s="419">
        <f>IF(AK127=1,G122,"")</f>
        <v>1000</v>
      </c>
      <c r="BH122" s="223" t="str">
        <f>IF(AK127=2,G122,"")</f>
        <v/>
      </c>
      <c r="BI122" s="223" t="str">
        <f>IF(AK127=3,G122,"")</f>
        <v/>
      </c>
      <c r="BJ122" s="223" t="str">
        <f>IF(AK127=4,G122,"")</f>
        <v/>
      </c>
      <c r="BK122" s="419" t="str">
        <f>IF(AJ126=1,G122,"")</f>
        <v/>
      </c>
      <c r="BL122" s="482" t="str">
        <f>IF(BK122&lt;&gt;"",AB122,"")</f>
        <v/>
      </c>
      <c r="BM122" s="223" t="str">
        <f>IF(AJ126=2,G122,"")</f>
        <v/>
      </c>
      <c r="BN122" s="223" t="str">
        <f>IF(BM122&lt;&gt;"",AB122,"")</f>
        <v/>
      </c>
      <c r="BO122" s="223" t="str">
        <f>IF(AJ126=3,G122,"")</f>
        <v/>
      </c>
      <c r="BP122" s="223" t="str">
        <f>IF(AJ126=4,G122,"")</f>
        <v/>
      </c>
      <c r="BQ122" s="223" t="str">
        <f>IF(AJ126=5,G122,"")</f>
        <v/>
      </c>
      <c r="BR122" s="223" t="str">
        <f>IF(AJ126=6,G122,"")</f>
        <v/>
      </c>
      <c r="BS122" s="223" t="str">
        <f>IF(AJ126=7,G122,"")</f>
        <v/>
      </c>
      <c r="BT122" s="223" t="str">
        <f>IF(AJ126=8,G122,"")</f>
        <v/>
      </c>
      <c r="BU122" s="223" t="str">
        <f>IF(AJ126=9,G122,"")</f>
        <v/>
      </c>
      <c r="BV122" s="223" t="str">
        <f>IF(AJ126=10,G122,"")</f>
        <v/>
      </c>
      <c r="BW122" s="223">
        <f>IF(AJ126=11,G122,"")</f>
        <v>1000</v>
      </c>
      <c r="BX122" s="419">
        <f>IF(AF124=1,G122,"")</f>
        <v>1000</v>
      </c>
      <c r="BY122" s="223" t="str">
        <f>IF(AF124=2,G122,"")</f>
        <v/>
      </c>
      <c r="BZ122" s="223" t="str">
        <f>IF(AF124=3,G122,"")</f>
        <v/>
      </c>
      <c r="CA122" s="223" t="str">
        <f>IF(AF124=4,G122,"")</f>
        <v/>
      </c>
      <c r="CB122" s="223" t="str">
        <f>IF(AF124=5,G122,"")</f>
        <v/>
      </c>
      <c r="CC122" s="223" t="str">
        <f>IF(AF124=6,G122,"")</f>
        <v/>
      </c>
      <c r="CD122" s="223" t="str">
        <f>IF(AF124=7,G122,"")</f>
        <v/>
      </c>
      <c r="CE122" s="223" t="str">
        <f>IF(AF124=8,G122,"")</f>
        <v/>
      </c>
      <c r="CF122" s="223" t="str">
        <f>IF(AF124=9,G122,"")</f>
        <v/>
      </c>
      <c r="CG122" s="223" t="str">
        <f>IF(AF124=10,G122,"")</f>
        <v/>
      </c>
      <c r="CH122" s="223" t="str">
        <f>IF(AF124=11,G122,"")</f>
        <v/>
      </c>
      <c r="CI122" s="223" t="str">
        <f>IF(AF124=12,G122,"")</f>
        <v/>
      </c>
      <c r="CJ122" s="223" t="str">
        <f>IF(AF124=13,G122,"")</f>
        <v/>
      </c>
      <c r="CK122" s="223" t="str">
        <f>IF(AF124=14,G122,"")</f>
        <v/>
      </c>
      <c r="CL122" s="223" t="str">
        <f>IF(AF124=15,G122,"")</f>
        <v/>
      </c>
      <c r="CM122" s="223" t="str">
        <f>IF(AF124=16,G122,"")</f>
        <v/>
      </c>
      <c r="CN122" s="223" t="str">
        <f>IF(AF124=17,G122,"")</f>
        <v/>
      </c>
      <c r="CO122" s="223" t="str">
        <f>IF(AF124=18,G122,"")</f>
        <v/>
      </c>
      <c r="CP122" s="223" t="str">
        <f>IF(AF124=19,G122,"")</f>
        <v/>
      </c>
      <c r="CQ122" s="223" t="str">
        <f>IF(AF124=20,G122,"")</f>
        <v/>
      </c>
      <c r="CR122" s="223" t="str">
        <f>IF(AF124=21,G122,"")</f>
        <v/>
      </c>
      <c r="CS122" s="419" t="str">
        <f>IF(K127=1,G122,"")</f>
        <v/>
      </c>
      <c r="CT122" s="223" t="str">
        <f>IF(K127=2,G122,"")</f>
        <v/>
      </c>
      <c r="CU122" s="223" t="str">
        <f>IF(K127=3,G122,"")</f>
        <v/>
      </c>
      <c r="CV122" s="223">
        <f>IF(K127=4,G122,"")</f>
        <v>1000</v>
      </c>
      <c r="CW122" s="223" t="str">
        <f>IF(K127=5,G122,"")</f>
        <v/>
      </c>
      <c r="CX122" s="223" t="str">
        <f>IF(K127=6,G122,"")</f>
        <v/>
      </c>
      <c r="CY122" s="223" t="str">
        <f>IF(K127=7,G122,"")</f>
        <v/>
      </c>
      <c r="CZ122" s="223" t="str">
        <f>IF(K127=8,G122,"")</f>
        <v/>
      </c>
      <c r="DA122" s="223" t="str">
        <f>IF(K127=9,G122,"")</f>
        <v/>
      </c>
      <c r="DB122" s="223" t="str">
        <f>IF(K127=10,G122,"")</f>
        <v/>
      </c>
      <c r="DC122" s="223" t="str">
        <f>IF(K127=11,G122,"")</f>
        <v/>
      </c>
      <c r="DD122" s="223" t="str">
        <f>IF(K127=12,G122,"")</f>
        <v/>
      </c>
      <c r="DE122" s="223" t="str">
        <f>IF(K127=13,G122,"")</f>
        <v/>
      </c>
      <c r="DF122" s="223" t="str">
        <f>IF(K127=14,G122,"")</f>
        <v/>
      </c>
      <c r="DG122" s="223" t="str">
        <f>IF(K127=15,G122,"")</f>
        <v/>
      </c>
      <c r="DH122" s="223" t="str">
        <f>IF(K127=16,G122,"")</f>
        <v/>
      </c>
      <c r="DI122" s="223" t="str">
        <f>IF(K127=17,G122,"")</f>
        <v/>
      </c>
      <c r="DJ122" s="223" t="str">
        <f>IF(K127=18,G122,"")</f>
        <v/>
      </c>
      <c r="DK122" s="223" t="str">
        <f>IF(K127=19,G122,"")</f>
        <v/>
      </c>
      <c r="DL122" s="223" t="str">
        <f>IF(K127=20,G122,"")</f>
        <v/>
      </c>
      <c r="DM122" s="223"/>
      <c r="DN122" s="223"/>
      <c r="DO122" s="419" t="str">
        <f>IF(AG124=1,G122,"")</f>
        <v/>
      </c>
      <c r="DP122" s="223" t="str">
        <f>IF(AG124=2,G122,"")</f>
        <v/>
      </c>
      <c r="DQ122" s="223" t="str">
        <f>IF(AG124=3,G122,"")</f>
        <v/>
      </c>
      <c r="DR122" s="223" t="str">
        <f>IF(AG124=4,G122,"")</f>
        <v/>
      </c>
      <c r="DS122" s="223" t="str">
        <f>IF(AG124=5,G122,"")</f>
        <v/>
      </c>
      <c r="DT122" s="223" t="str">
        <f>IF(AG124=6,G122,"")</f>
        <v/>
      </c>
      <c r="DU122" s="223" t="str">
        <f>IF(AG124=7,G122,"")</f>
        <v/>
      </c>
      <c r="DV122" s="223" t="str">
        <f>IF(AG124=8,G122,"")</f>
        <v/>
      </c>
      <c r="DW122" s="136" t="str">
        <f>IF(AG124=9,G122,"")</f>
        <v/>
      </c>
      <c r="DX122" s="136" t="str">
        <f>IF(AG124=10,G122,"")</f>
        <v/>
      </c>
      <c r="DY122" s="136" t="str">
        <f>IF(AG124=11,G122,"")</f>
        <v/>
      </c>
      <c r="DZ122" s="136" t="str">
        <f>IF(AG124=12,G122,"")</f>
        <v/>
      </c>
      <c r="EA122" s="136" t="str">
        <f>IF(AG124=13,G122,"")</f>
        <v/>
      </c>
      <c r="EB122" s="136" t="str">
        <f>IF(AG124=14,G122,"")</f>
        <v/>
      </c>
      <c r="EC122" s="317" t="str">
        <f>IF(AG124=15,G122,"")</f>
        <v/>
      </c>
      <c r="ED122" s="136" t="str">
        <f>IF(AG124=16,G122,"")</f>
        <v/>
      </c>
      <c r="EE122" s="136" t="str">
        <f>IF(AG124=17,G122,"")</f>
        <v/>
      </c>
      <c r="EF122" s="136" t="str">
        <f>IF(AG124=18,G122,"")</f>
        <v/>
      </c>
      <c r="EG122" s="136" t="str">
        <f>IF(AG124=19,G122,"")</f>
        <v/>
      </c>
      <c r="EH122" s="136" t="str">
        <f>IF(AG124=20,G122,"")</f>
        <v/>
      </c>
      <c r="EI122" s="136" t="str">
        <f>IF(AG124=21,G122,"")</f>
        <v/>
      </c>
      <c r="EJ122" s="136" t="str">
        <f>IF(AG124=22,G122,"")</f>
        <v/>
      </c>
      <c r="EK122" s="136" t="str">
        <f>IF(AG124=23,G122,"")</f>
        <v/>
      </c>
      <c r="EL122" s="136" t="str">
        <f>IF(AG124=24,G122,"")</f>
        <v/>
      </c>
      <c r="EM122" s="136" t="str">
        <f>IF(AG124=25,G122,"")</f>
        <v/>
      </c>
      <c r="EN122" s="136" t="str">
        <f>IF(AG124=26,G122,"")</f>
        <v/>
      </c>
      <c r="EO122" s="136" t="str">
        <f>IF(AG124=27,G122,"")</f>
        <v/>
      </c>
      <c r="EP122" s="136" t="str">
        <f>IF(AG124=28,G122,"")</f>
        <v/>
      </c>
      <c r="EQ122" s="136" t="str">
        <f>IF(AG124=29,G122,"")</f>
        <v/>
      </c>
      <c r="ER122" s="136" t="str">
        <f>IF(AG124=30,G122,"")</f>
        <v/>
      </c>
      <c r="ES122" s="136" t="str">
        <f>IF(AG124=31,G122,"")</f>
        <v/>
      </c>
      <c r="ET122" s="136" t="str">
        <f>IF(AG124=32,G122,"")</f>
        <v/>
      </c>
      <c r="EU122" s="136" t="str">
        <f>IF(AG124=33,G122,"")</f>
        <v/>
      </c>
      <c r="EV122" s="136" t="str">
        <f>IF(AG124=34,G122,"")</f>
        <v/>
      </c>
      <c r="EW122" s="136" t="str">
        <f>IF(AG124=35,G122,"")</f>
        <v/>
      </c>
      <c r="EX122" s="136" t="str">
        <f>IF(AG124=36,G122,"")</f>
        <v/>
      </c>
      <c r="EY122" s="136" t="str">
        <f>IF(AG124=37,G122,"")</f>
        <v/>
      </c>
      <c r="EZ122" s="136" t="str">
        <f>IF(AG124=38,G122,"")</f>
        <v/>
      </c>
      <c r="FA122" s="136" t="str">
        <f>IF(AG124=39,G122,"")</f>
        <v/>
      </c>
      <c r="FB122" s="136" t="str">
        <f>IF(AG124=40,G122,"")</f>
        <v/>
      </c>
      <c r="FC122" s="136" t="str">
        <f>IF(AG124=41,G122,"")</f>
        <v/>
      </c>
      <c r="FD122" s="136" t="str">
        <f>IF(AG124=42,G122,"")</f>
        <v/>
      </c>
      <c r="FE122" s="136" t="str">
        <f>IF(AG124=43,G122,"")</f>
        <v/>
      </c>
      <c r="FF122" s="136" t="str">
        <f>IF(AG124=44,G122,"")</f>
        <v/>
      </c>
      <c r="FG122" s="136" t="str">
        <f>IF(AG124=45,G122,"")</f>
        <v/>
      </c>
      <c r="FH122" s="136" t="str">
        <f>IF(AG124=46,G122,"")</f>
        <v/>
      </c>
      <c r="FI122" s="136" t="str">
        <f>IF(AG124=47,G122,"")</f>
        <v/>
      </c>
      <c r="FJ122" s="136" t="str">
        <f>IF(AG124=48,G122,"")</f>
        <v/>
      </c>
      <c r="FK122" s="136" t="str">
        <f>IF(AG124=49,G122,"")</f>
        <v/>
      </c>
      <c r="FL122" s="136" t="str">
        <f>IF(AG124=50,G122,"")</f>
        <v/>
      </c>
      <c r="FM122" s="136" t="str">
        <f>IF(AG124=51,G122,"")</f>
        <v/>
      </c>
      <c r="FN122" s="136" t="str">
        <f>IF(AG124=52,G122,"")</f>
        <v/>
      </c>
      <c r="FO122" s="136" t="str">
        <f>IF(AG124=53,G122,"")</f>
        <v/>
      </c>
      <c r="FP122" s="136" t="str">
        <f>IF(AG124=54,G122,"")</f>
        <v/>
      </c>
      <c r="FQ122" s="136" t="str">
        <f>IF(AG124=55,G122,"")</f>
        <v/>
      </c>
      <c r="FR122" s="412" t="str">
        <f>IF(AG124=56,G122,"")</f>
        <v/>
      </c>
      <c r="FS122" s="412" t="str">
        <f>IF(AG124=57,G122,"")</f>
        <v/>
      </c>
      <c r="FT122" s="412" t="str">
        <f>IF(AG124=58,G122,"")</f>
        <v/>
      </c>
      <c r="FU122" s="412" t="str">
        <f>IF(AG124=59,G122,"")</f>
        <v/>
      </c>
      <c r="FV122" s="412" t="str">
        <f>IF(AG124=60,G122,"")</f>
        <v/>
      </c>
      <c r="FW122" s="412" t="str">
        <f>IF(AG124=61,G122,"")</f>
        <v/>
      </c>
      <c r="FX122" s="412" t="str">
        <f>IF(AG124=62,G122,"")</f>
        <v/>
      </c>
      <c r="FY122" s="412" t="str">
        <f>IF(AG124=63,G122,"")</f>
        <v/>
      </c>
      <c r="FZ122" s="412" t="str">
        <f>IF(AG124=64,G122,"")</f>
        <v/>
      </c>
      <c r="GA122" s="412" t="str">
        <f>IF(AG124=65,G122,"")</f>
        <v/>
      </c>
      <c r="GB122" s="412" t="str">
        <f>IF(AG124=66,G122,"")</f>
        <v/>
      </c>
      <c r="GC122" s="412" t="str">
        <f>IF(AG124=67,G122,"")</f>
        <v/>
      </c>
      <c r="GD122" s="412" t="str">
        <f>IF(AG124=68,G122,"")</f>
        <v/>
      </c>
      <c r="GE122" s="412" t="str">
        <f>IF(AG124=69,G122,"")</f>
        <v/>
      </c>
      <c r="GF122" s="412" t="str">
        <f>IF(AG124=70,G122,"")</f>
        <v/>
      </c>
      <c r="GG122" s="412" t="str">
        <f>IF(AG124=71,G122,"")</f>
        <v/>
      </c>
      <c r="GH122" s="412" t="str">
        <f>IF(AG124=72,G122,"")</f>
        <v/>
      </c>
      <c r="GI122" s="412" t="str">
        <f>IF(AG124=73,G122,"")</f>
        <v/>
      </c>
      <c r="GJ122" s="412" t="str">
        <f>IF(AG124=74,G122,"")</f>
        <v/>
      </c>
      <c r="GK122" s="412" t="str">
        <f>IF(AG124=75,G122,"")</f>
        <v/>
      </c>
      <c r="GL122" s="412" t="str">
        <f>IF(AG124=76,G122,"")</f>
        <v/>
      </c>
      <c r="GM122" s="412" t="str">
        <f>IF(AG124=77,G122,"")</f>
        <v/>
      </c>
      <c r="GN122" s="412" t="str">
        <f>IF(AG124=78,G122,"")</f>
        <v/>
      </c>
      <c r="GO122" s="412" t="str">
        <f>IF(AG124=79,G122,"")</f>
        <v/>
      </c>
      <c r="GP122" s="412" t="str">
        <f>IF(AG124=80,G122,"")</f>
        <v/>
      </c>
      <c r="GQ122" s="412" t="str">
        <f>IF(AG124=81,G122,"")</f>
        <v/>
      </c>
      <c r="GR122" s="412" t="str">
        <f>IF(AG124=82,G122,"")</f>
        <v/>
      </c>
      <c r="GS122" s="412" t="str">
        <f>IF(AG124=83,G122,"")</f>
        <v/>
      </c>
      <c r="GT122" s="412" t="str">
        <f>IF(AG124=84,G122,"")</f>
        <v/>
      </c>
      <c r="GU122" s="412"/>
      <c r="GV122" s="412"/>
      <c r="GW122" s="412"/>
      <c r="GX122" s="412" t="str">
        <f>IF(AG124=88,G122,"")</f>
        <v/>
      </c>
      <c r="GY122" s="412" t="str">
        <f>IF(AG124=89,G122,"")</f>
        <v/>
      </c>
      <c r="GZ122" s="412" t="str">
        <f>IF(AG124=90,G122,"")</f>
        <v/>
      </c>
      <c r="HA122" s="412" t="str">
        <f>IF(AG124=91,G122,"")</f>
        <v/>
      </c>
      <c r="HB122" s="412" t="str">
        <f>IF(AG124=92,G122,"")</f>
        <v/>
      </c>
      <c r="HC122" s="412" t="str">
        <f>IF(AG124=93,G122,"")</f>
        <v/>
      </c>
      <c r="HD122" s="412" t="str">
        <f>IF(AG124=94,G122,"")</f>
        <v/>
      </c>
      <c r="HE122" s="412">
        <f>IF(AG124=95,G122,"")</f>
        <v>1000</v>
      </c>
      <c r="HF122" s="412" t="str">
        <f>IF(AG124=96,G122,"")</f>
        <v/>
      </c>
      <c r="HG122" s="412" t="str">
        <f>IF(AG124=97,G122,"")</f>
        <v/>
      </c>
      <c r="HH122" s="412" t="str">
        <f>IF(AG124=98,G122,"")</f>
        <v/>
      </c>
      <c r="HI122" s="412" t="str">
        <f>IF(AG124=99,G122,"")</f>
        <v/>
      </c>
      <c r="HJ122" s="412"/>
      <c r="HK122" s="412"/>
      <c r="HL122" s="412"/>
      <c r="HM122" s="412"/>
      <c r="HN122" s="412"/>
      <c r="HO122" s="412"/>
      <c r="HP122" s="412"/>
      <c r="HQ122" s="412"/>
      <c r="HR122" s="412"/>
      <c r="HS122" s="412"/>
      <c r="HT122" s="412"/>
      <c r="HU122" s="278">
        <f ca="1">IF(AF124=1,AB122,"")</f>
        <v>1022.9377092084494</v>
      </c>
      <c r="HV122" s="277" t="str">
        <f>IF(AF124=2,AB122,"")</f>
        <v/>
      </c>
      <c r="HW122" s="277" t="str">
        <f>IF(AF124=3,AB122,"")</f>
        <v/>
      </c>
      <c r="HX122" s="277" t="str">
        <f>IF(AF124=4,AB122,"")</f>
        <v/>
      </c>
      <c r="HY122" s="277" t="str">
        <f>IF(AF124=5,AB122,"")</f>
        <v/>
      </c>
      <c r="HZ122" s="277" t="str">
        <f>IF(AF124=6,AB122,"")</f>
        <v/>
      </c>
      <c r="IA122" s="277" t="str">
        <f>IF(AF124=7,AB122,"")</f>
        <v/>
      </c>
      <c r="IB122" s="277" t="str">
        <f>IF(AF124=8,AB122,"")</f>
        <v/>
      </c>
      <c r="IC122" s="277" t="str">
        <f>IF(AF124=9,AB122,"")</f>
        <v/>
      </c>
      <c r="ID122" s="412" t="str">
        <f>IF(AF124=10,AB122,"")</f>
        <v/>
      </c>
      <c r="IE122" s="223" t="str">
        <f>IF(AF124=11,AB122,"")</f>
        <v/>
      </c>
      <c r="IF122" s="223" t="str">
        <f>IF(AF124=12,AB122,"")</f>
        <v/>
      </c>
      <c r="IG122" s="223" t="str">
        <f>IF(AF124=13,AB122,"")</f>
        <v/>
      </c>
      <c r="IH122" s="223" t="str">
        <f>IF(AF124=14,AB122,"")</f>
        <v/>
      </c>
      <c r="II122" s="223" t="str">
        <f>IF(AF124=15,AB122,"")</f>
        <v/>
      </c>
      <c r="IJ122" s="223" t="str">
        <f>IF(AF124=16,AB122,"")</f>
        <v/>
      </c>
      <c r="IK122" s="223" t="str">
        <f>IF(AF124=17,AB122,"")</f>
        <v/>
      </c>
      <c r="IL122" s="223" t="str">
        <f>IF(AF124=18,AB122,"")</f>
        <v/>
      </c>
      <c r="IM122" s="223" t="str">
        <f>IF(AF124=19,AB122,"")</f>
        <v/>
      </c>
      <c r="IN122" s="223" t="str">
        <f>IF(AF124=20,AB122,"")</f>
        <v/>
      </c>
      <c r="IO122" s="223" t="str">
        <f>IF(AF124=21,AB122,"")</f>
        <v/>
      </c>
      <c r="IP122" s="413"/>
      <c r="IQ122" s="478" t="str">
        <f>IF(G127=6,G122,"")</f>
        <v/>
      </c>
      <c r="IR122" s="317" t="str">
        <f>IF(G127=7,G122,"")</f>
        <v/>
      </c>
      <c r="IS122" s="478" t="str">
        <f>IF(G127=8,G122,"")</f>
        <v/>
      </c>
      <c r="IT122" s="317" t="str">
        <f>IF(G127=9,G122,"")</f>
        <v/>
      </c>
      <c r="IU122" s="478" t="str">
        <f>IF(G127=10,G122,"")</f>
        <v/>
      </c>
      <c r="IV122" s="478" t="str">
        <f>IF(G127=11,G122,"")</f>
        <v/>
      </c>
      <c r="IW122" s="478" t="str">
        <f>IF(G127=12,G122,"")</f>
        <v/>
      </c>
      <c r="IX122" s="478" t="str">
        <f>IF(G127=13,G122,"")</f>
        <v/>
      </c>
      <c r="IY122" s="478" t="str">
        <f>IF(G127=14,G122,"")</f>
        <v/>
      </c>
      <c r="IZ122" s="478" t="str">
        <f>IF(G127=15,G122,"")</f>
        <v/>
      </c>
      <c r="JA122" s="478" t="str">
        <f>IF(G127=16,G122,"")</f>
        <v/>
      </c>
      <c r="JB122" s="478" t="str">
        <f>IF(G127=17,G122,"")</f>
        <v/>
      </c>
      <c r="JC122" s="478" t="str">
        <f>IF(G127=18,G122,"")</f>
        <v/>
      </c>
      <c r="JD122" s="478" t="str">
        <f>IF(G127=19,G122,"")</f>
        <v/>
      </c>
      <c r="JE122" s="478" t="str">
        <f>IF(G127=20,G122,"")</f>
        <v/>
      </c>
      <c r="JF122" s="478">
        <f>IF(G127=21,G122,"")</f>
        <v>1000</v>
      </c>
      <c r="JG122" s="478" t="str">
        <f>IF(G127=22,G122,"")</f>
        <v/>
      </c>
      <c r="JH122" s="478" t="str">
        <f>IF(G127=23,G122,"")</f>
        <v/>
      </c>
      <c r="JI122" s="478" t="str">
        <f>IF(G127=24,G122,"")</f>
        <v/>
      </c>
      <c r="JJ122" s="478" t="str">
        <f>IF(G127=25,G122,"")</f>
        <v/>
      </c>
      <c r="JK122" s="478" t="str">
        <f>IF(G127=26,G122,"")</f>
        <v/>
      </c>
      <c r="JL122" s="478" t="str">
        <f>IF(G127=27,G122,"")</f>
        <v/>
      </c>
      <c r="JM122" s="478" t="str">
        <f>IF(G127=28,G122,"")</f>
        <v/>
      </c>
      <c r="JN122" s="478" t="str">
        <f>IF(G127=29,G122,"")</f>
        <v/>
      </c>
      <c r="JO122" s="478" t="str">
        <f>IF(G127=30,G122,"")</f>
        <v/>
      </c>
      <c r="JP122" s="445"/>
      <c r="JQ122" s="481">
        <f>IF(AND(AJ126=4,K127=1,G127&lt;=3),G122,0)</f>
        <v>0</v>
      </c>
      <c r="JR122" s="445"/>
      <c r="JS122" s="445"/>
      <c r="JT122" s="480" t="str">
        <f>IF(AF124&gt;1,((A123/F123)-(A123/E123)),"")</f>
        <v/>
      </c>
      <c r="JU122" s="479" t="str">
        <f>IF(AF124=2,((A123/F123)-(A123/E123)),"")</f>
        <v/>
      </c>
      <c r="JV122" s="479" t="str">
        <f>IF(AF124=3,((A123/F123)-(A123/E123)),"")</f>
        <v/>
      </c>
      <c r="JW122" s="479" t="str">
        <f>IF(AF124=4,((A123/F123)-(A123/E123)),"")</f>
        <v/>
      </c>
      <c r="JX122" s="479" t="str">
        <f>IF(AF124=5,((A123/F123)-(A123/E123)),"")</f>
        <v/>
      </c>
      <c r="JY122" s="479" t="str">
        <f>IF(AF124=6,((A123/F123)-(A123/E123)),"")</f>
        <v/>
      </c>
      <c r="JZ122" s="479" t="str">
        <f>IF(AF124=7,((A123/F123)-(A123/E123)),"")</f>
        <v/>
      </c>
      <c r="KA122" s="478" t="str">
        <f>IF(AF124=8,((A123/F123)-(A123/E123)),"")</f>
        <v/>
      </c>
      <c r="KB122" s="478" t="str">
        <f>IF(AF124=9,((A123/F123)-(A123/E123)),"")</f>
        <v/>
      </c>
      <c r="KC122" s="478" t="str">
        <f>IF(AF124=10,((A123/F123)-(A123/E123)),"")</f>
        <v/>
      </c>
      <c r="KD122" s="478" t="str">
        <f>IF(AF124=11,((A123/F123)-(A123/E123)),"")</f>
        <v/>
      </c>
      <c r="KE122" s="478" t="str">
        <f>IF(AF124=12,((A123/F123)-(A123/E123)),"")</f>
        <v/>
      </c>
      <c r="KF122" s="478" t="str">
        <f>IF(AF124=13,((A123/F123)-(A123/E123)),"")</f>
        <v/>
      </c>
      <c r="KG122" s="478" t="str">
        <f>IF(AF124=14,((A123/F123)-(A123/E123)),"")</f>
        <v/>
      </c>
      <c r="KH122" s="478" t="str">
        <f>IF(AF124=15,((A123/F123)-(A123/E123)),"")</f>
        <v/>
      </c>
      <c r="KI122" s="478" t="str">
        <f>IF(AF124=16,((A123/F123)-(A123/E123)),"")</f>
        <v/>
      </c>
      <c r="KJ122" s="478" t="str">
        <f>IF(AF124=17,((A123/F123)-(A123/E123)),"")</f>
        <v/>
      </c>
      <c r="KK122" s="478" t="str">
        <f>IF(AF124=18,((A123/F123)-(A123/E123)),"")</f>
        <v/>
      </c>
      <c r="KL122" s="478" t="str">
        <f>IF(AF124=19,((A123/F123)-(A123/E123)),"")</f>
        <v/>
      </c>
      <c r="KM122" s="478" t="str">
        <f>IF(AF124=20,((A123/F123)-(A123/E123)),"")</f>
        <v/>
      </c>
      <c r="KN122" s="445"/>
      <c r="KO122" s="445"/>
      <c r="KP122" s="445"/>
    </row>
    <row r="123" spans="1:302" s="23" customFormat="1" ht="11.1" customHeight="1">
      <c r="A123" s="8"/>
      <c r="B123" s="541" t="s">
        <v>505</v>
      </c>
      <c r="C123" s="15"/>
      <c r="D123" s="828">
        <f>IF(WEEKDAY(D122,2)=4,D122+4,IF(WEEKDAY(D122,2)=5,D122+4,D122+2))</f>
        <v>45561</v>
      </c>
      <c r="E123" s="765"/>
      <c r="F123" s="482"/>
      <c r="G123" s="223"/>
      <c r="H123" s="223"/>
      <c r="I123" s="586"/>
      <c r="J123" s="223"/>
      <c r="K123" s="585">
        <v>1</v>
      </c>
      <c r="L123" s="722"/>
      <c r="M123" s="720"/>
      <c r="N123" s="720"/>
      <c r="O123" s="223"/>
      <c r="P123" s="216"/>
      <c r="Q123" s="974"/>
      <c r="R123" s="22"/>
      <c r="S123" s="4"/>
      <c r="T123" s="431"/>
      <c r="U123" s="469"/>
      <c r="V123" s="4"/>
      <c r="W123" s="469"/>
      <c r="X123" s="442"/>
      <c r="Y123" s="456"/>
      <c r="Z123" s="456"/>
      <c r="AA123" s="22"/>
      <c r="AB123" s="360"/>
      <c r="AC123" s="431"/>
      <c r="AD123" s="825">
        <f>IF(E123="",((P122-E122)/E122),((P122-E122)/E122)+(((1/F123)-(1/E123))/(1/E123)))</f>
        <v>5.8351987760081898E-3</v>
      </c>
      <c r="AE123" s="431"/>
      <c r="AF123" s="279" t="s">
        <v>65</v>
      </c>
      <c r="AG123" s="824"/>
      <c r="AH123" s="993" t="s">
        <v>177</v>
      </c>
      <c r="AI123" s="564"/>
      <c r="AJ123" s="824"/>
      <c r="AK123" s="538"/>
      <c r="AL123" s="22">
        <v>100</v>
      </c>
      <c r="AM123" s="537" t="s">
        <v>206</v>
      </c>
      <c r="AN123" s="179">
        <f>AV$6</f>
        <v>3.5</v>
      </c>
      <c r="AO123" s="179">
        <f>IF(B127=2,"0",AO122*-(100-F126)/100)</f>
        <v>-0.67582059999999999</v>
      </c>
      <c r="AP123" s="463">
        <f>IF(AP124&lt;0,0,AP124*-(100-F126)/100)</f>
        <v>0</v>
      </c>
      <c r="AQ123" s="179"/>
      <c r="AR123" s="463">
        <f>AR126*-(100-F127)/100</f>
        <v>-10.725</v>
      </c>
      <c r="AS123" s="471">
        <f>-AP122+AS126+(F122/365*AN126*F127/100)*G122</f>
        <v>226.83267087397263</v>
      </c>
      <c r="AT123" s="419"/>
      <c r="AU123" s="420"/>
      <c r="AV123" s="223"/>
      <c r="AW123" s="420"/>
      <c r="AX123" s="417"/>
      <c r="AY123" s="420"/>
      <c r="AZ123" s="223"/>
      <c r="BA123" s="419"/>
      <c r="BB123" s="223"/>
      <c r="BC123" s="223"/>
      <c r="BD123" s="223"/>
      <c r="BE123" s="223"/>
      <c r="BF123" s="416"/>
      <c r="BG123" s="418"/>
      <c r="BH123" s="416"/>
      <c r="BI123" s="416"/>
      <c r="BJ123" s="416"/>
      <c r="BK123" s="418"/>
      <c r="BL123" s="417"/>
      <c r="BM123" s="417"/>
      <c r="BN123" s="417"/>
      <c r="BO123" s="417"/>
      <c r="BP123" s="417"/>
      <c r="BQ123" s="417"/>
      <c r="BR123" s="417"/>
      <c r="BS123" s="417"/>
      <c r="BT123" s="412"/>
      <c r="BU123" s="412"/>
      <c r="BV123" s="412"/>
      <c r="BW123" s="412"/>
      <c r="BX123" s="415"/>
      <c r="BY123" s="389"/>
      <c r="BZ123" s="389"/>
      <c r="CA123" s="389"/>
      <c r="CB123" s="389"/>
      <c r="CC123" s="389"/>
      <c r="CD123" s="389"/>
      <c r="CE123" s="389"/>
      <c r="CF123" s="389"/>
      <c r="CG123" s="389"/>
      <c r="CH123" s="389"/>
      <c r="CI123" s="389"/>
      <c r="CJ123" s="389"/>
      <c r="CK123" s="389"/>
      <c r="CL123" s="389"/>
      <c r="CM123" s="389"/>
      <c r="CN123" s="389"/>
      <c r="CO123" s="389"/>
      <c r="CP123" s="389"/>
      <c r="CQ123" s="389"/>
      <c r="CR123" s="389"/>
      <c r="CS123" s="415"/>
      <c r="CT123" s="389"/>
      <c r="CU123" s="389"/>
      <c r="CV123" s="389"/>
      <c r="CW123" s="389"/>
      <c r="CX123" s="389"/>
      <c r="CY123" s="389"/>
      <c r="CZ123" s="389"/>
      <c r="DA123" s="389"/>
      <c r="DB123" s="389"/>
      <c r="DC123" s="389"/>
      <c r="DD123" s="389"/>
      <c r="DE123" s="389"/>
      <c r="DF123" s="389"/>
      <c r="DG123" s="389"/>
      <c r="DH123" s="389"/>
      <c r="DI123" s="389"/>
      <c r="DJ123" s="389"/>
      <c r="DK123" s="389"/>
      <c r="DL123" s="389"/>
      <c r="DM123" s="389"/>
      <c r="DN123" s="389"/>
      <c r="DO123" s="414"/>
      <c r="DP123" s="39"/>
      <c r="DQ123" s="39"/>
      <c r="DR123" s="39"/>
      <c r="DS123" s="39"/>
      <c r="DT123" s="39"/>
      <c r="DU123" s="39"/>
      <c r="DV123" s="39"/>
      <c r="DW123" s="39"/>
      <c r="DX123" s="39"/>
      <c r="DY123" s="39"/>
      <c r="DZ123" s="39"/>
      <c r="EA123" s="39"/>
      <c r="EB123" s="39"/>
      <c r="EC123" s="39"/>
      <c r="ED123" s="136"/>
      <c r="EE123" s="136"/>
      <c r="EF123" s="136"/>
      <c r="EG123" s="136"/>
      <c r="EH123" s="136"/>
      <c r="EI123" s="136"/>
      <c r="EJ123" s="136"/>
      <c r="EK123" s="136"/>
      <c r="EL123" s="136"/>
      <c r="EM123" s="136"/>
      <c r="EN123" s="136"/>
      <c r="EO123" s="136"/>
      <c r="EP123" s="136"/>
      <c r="EQ123" s="136"/>
      <c r="ER123" s="136"/>
      <c r="ES123" s="136"/>
      <c r="ET123" s="136"/>
      <c r="EU123" s="136"/>
      <c r="EV123" s="136"/>
      <c r="EW123" s="136"/>
      <c r="EX123" s="136"/>
      <c r="EY123" s="136"/>
      <c r="EZ123" s="136"/>
      <c r="FA123" s="136"/>
      <c r="FB123" s="136"/>
      <c r="FC123" s="136"/>
      <c r="FD123" s="136"/>
      <c r="FE123" s="136"/>
      <c r="FF123" s="136"/>
      <c r="FG123" s="136"/>
      <c r="FH123" s="136"/>
      <c r="FI123" s="136"/>
      <c r="FJ123" s="136"/>
      <c r="FK123" s="136"/>
      <c r="FL123" s="136"/>
      <c r="FM123" s="136"/>
      <c r="FN123" s="136"/>
      <c r="FO123" s="39"/>
      <c r="FP123" s="39"/>
      <c r="FQ123" s="39"/>
      <c r="FR123" s="412"/>
      <c r="FS123" s="412"/>
      <c r="FT123" s="412"/>
      <c r="FU123" s="412"/>
      <c r="FV123" s="412"/>
      <c r="FW123" s="412"/>
      <c r="FX123" s="412"/>
      <c r="FY123" s="412"/>
      <c r="FZ123" s="412"/>
      <c r="GA123" s="412"/>
      <c r="GB123" s="412"/>
      <c r="GC123" s="412"/>
      <c r="GD123" s="412"/>
      <c r="GE123" s="412"/>
      <c r="GF123" s="412"/>
      <c r="GG123" s="412"/>
      <c r="GH123" s="412"/>
      <c r="GI123" s="412"/>
      <c r="GJ123" s="412"/>
      <c r="GK123" s="412"/>
      <c r="GL123" s="412"/>
      <c r="GM123" s="412"/>
      <c r="GN123" s="412"/>
      <c r="GO123" s="412"/>
      <c r="GP123" s="412"/>
      <c r="GQ123" s="412"/>
      <c r="GR123" s="412"/>
      <c r="GS123" s="412"/>
      <c r="GT123" s="412"/>
      <c r="GU123" s="412"/>
      <c r="GV123" s="412"/>
      <c r="GW123" s="412"/>
      <c r="GX123" s="412"/>
      <c r="GY123" s="412"/>
      <c r="GZ123" s="412"/>
      <c r="HA123" s="412"/>
      <c r="HB123" s="412"/>
      <c r="HC123" s="412"/>
      <c r="HD123" s="412"/>
      <c r="HE123" s="412"/>
      <c r="HF123" s="412"/>
      <c r="HG123" s="412"/>
      <c r="HH123" s="412"/>
      <c r="HI123" s="412"/>
      <c r="HJ123" s="412"/>
      <c r="HK123" s="412"/>
      <c r="HL123" s="412"/>
      <c r="HM123" s="412"/>
      <c r="HN123" s="412"/>
      <c r="HO123" s="412"/>
      <c r="HP123" s="412"/>
      <c r="HQ123" s="412"/>
      <c r="HR123" s="412"/>
      <c r="HS123" s="412"/>
      <c r="HT123" s="412"/>
      <c r="HU123" s="278"/>
      <c r="HV123" s="277"/>
      <c r="HW123" s="277"/>
      <c r="HX123" s="277"/>
      <c r="HY123" s="277"/>
      <c r="HZ123" s="277"/>
      <c r="IA123" s="277"/>
      <c r="IB123" s="277"/>
      <c r="IC123" s="277"/>
      <c r="ID123" s="412"/>
      <c r="IE123" s="412"/>
      <c r="IF123" s="412"/>
      <c r="IG123" s="412"/>
      <c r="IH123" s="412"/>
      <c r="II123" s="412"/>
      <c r="IJ123" s="412"/>
      <c r="IK123" s="412"/>
      <c r="IL123" s="412"/>
      <c r="IM123" s="412"/>
      <c r="IN123" s="412"/>
      <c r="IO123" s="412"/>
      <c r="IP123" s="413"/>
      <c r="IQ123" s="389"/>
      <c r="IR123" s="389"/>
      <c r="IS123" s="389"/>
      <c r="IT123" s="389"/>
      <c r="IU123" s="389"/>
      <c r="IV123" s="389"/>
      <c r="IW123" s="389"/>
      <c r="IX123" s="389"/>
      <c r="IY123" s="389"/>
      <c r="IZ123" s="389"/>
      <c r="JA123" s="389"/>
      <c r="JB123" s="389"/>
      <c r="JC123" s="389"/>
      <c r="JD123" s="389"/>
      <c r="JE123" s="389"/>
      <c r="JF123" s="389"/>
      <c r="JG123" s="389"/>
      <c r="JH123" s="389"/>
      <c r="JI123" s="389"/>
      <c r="JJ123" s="389"/>
      <c r="JK123" s="389"/>
      <c r="JL123" s="389"/>
      <c r="JM123" s="389"/>
      <c r="JN123" s="389"/>
      <c r="JO123" s="389"/>
      <c r="JP123" s="14"/>
      <c r="JQ123" s="14"/>
      <c r="JR123" s="14"/>
      <c r="JS123" s="14"/>
      <c r="JT123" s="553"/>
      <c r="JU123" s="14"/>
      <c r="JV123" s="14"/>
      <c r="JW123" s="14"/>
      <c r="JX123" s="14"/>
      <c r="JY123" s="14"/>
      <c r="JZ123" s="14"/>
      <c r="KA123" s="14"/>
      <c r="KB123" s="14"/>
      <c r="KC123" s="14"/>
      <c r="KD123" s="14"/>
      <c r="KE123" s="14"/>
      <c r="KF123" s="14"/>
      <c r="KG123" s="14"/>
      <c r="KH123" s="14"/>
      <c r="KI123" s="14"/>
      <c r="KJ123" s="14"/>
      <c r="KK123" s="14"/>
      <c r="KL123" s="14"/>
      <c r="KM123" s="14"/>
      <c r="KN123" s="14"/>
      <c r="KO123" s="14"/>
      <c r="KP123" s="14"/>
    </row>
    <row r="124" spans="1:302" s="14" customFormat="1" ht="11.1" hidden="1" customHeight="1" outlineLevel="1">
      <c r="A124" s="8"/>
      <c r="B124" s="468">
        <f>VLOOKUP(B122,'[2]IBAN CONTI'!A$53:B$58,2,FALSE)</f>
        <v>4</v>
      </c>
      <c r="C124" s="536"/>
      <c r="D124" s="536"/>
      <c r="E124" s="766">
        <f ca="1">IF(B127=2,C122,COUPNCD($AB$2,C122,K124,AH126))</f>
        <v>45903</v>
      </c>
      <c r="F124" s="431"/>
      <c r="G124" s="431"/>
      <c r="H124" s="431"/>
      <c r="I124" s="528"/>
      <c r="J124" s="431"/>
      <c r="K124" s="223">
        <v>1</v>
      </c>
      <c r="L124" s="720"/>
      <c r="M124" s="720"/>
      <c r="N124" s="720"/>
      <c r="O124" s="223"/>
      <c r="P124" s="470"/>
      <c r="Q124" s="15"/>
      <c r="R124" s="22"/>
      <c r="S124" s="4"/>
      <c r="T124" s="431"/>
      <c r="U124" s="469"/>
      <c r="V124" s="4"/>
      <c r="W124" s="469"/>
      <c r="X124" s="442"/>
      <c r="Y124" s="456"/>
      <c r="Z124" s="456"/>
      <c r="AA124" s="22"/>
      <c r="AB124" s="979"/>
      <c r="AC124" s="979"/>
      <c r="AD124" s="219"/>
      <c r="AE124" s="219"/>
      <c r="AF124" s="468">
        <f>VLOOKUP(AF123,'[2]IBAN CONTI'!A$106:B$122,2,FALSE)</f>
        <v>1</v>
      </c>
      <c r="AG124" s="467">
        <f>VLOOKUP(A122,'[2]IBAN CONTI'!A$134:B$232,2,FALSE)</f>
        <v>95</v>
      </c>
      <c r="AH124" s="993"/>
      <c r="AI124" s="580"/>
      <c r="AJ124" s="990" t="s">
        <v>207</v>
      </c>
      <c r="AK124" s="991"/>
      <c r="AL124" s="22">
        <v>100</v>
      </c>
      <c r="AM124" s="535">
        <f>YEARFRAC(C122,AL122,AH126)</f>
        <v>7.9981751824817522</v>
      </c>
      <c r="AN124" s="456">
        <f>IF(B127=2,0,D123-AL122)</f>
        <v>23</v>
      </c>
      <c r="AO124" s="464">
        <f>IF(B127=2,AL123*(1+AM127)^AM126,AO125+AL123)</f>
        <v>100</v>
      </c>
      <c r="AP124" s="463">
        <f>IF(AF124=1,G122*AO125/100,A123/E123/100*AO125)</f>
        <v>0</v>
      </c>
      <c r="AQ124" s="179"/>
      <c r="AR124" s="463">
        <f>AL127*G122/100</f>
        <v>1000</v>
      </c>
      <c r="AS124" s="462">
        <f>(AR127-AP127)*G122/100</f>
        <v>-15.611100000000135</v>
      </c>
      <c r="AT124" s="419"/>
      <c r="AU124" s="420"/>
      <c r="AV124" s="223"/>
      <c r="AW124" s="420"/>
      <c r="AX124" s="417"/>
      <c r="AY124" s="420"/>
      <c r="AZ124" s="223"/>
      <c r="BA124" s="419"/>
      <c r="BB124" s="223"/>
      <c r="BC124" s="223"/>
      <c r="BD124" s="223"/>
      <c r="BE124" s="223"/>
      <c r="BF124" s="416"/>
      <c r="BG124" s="418"/>
      <c r="BH124" s="416"/>
      <c r="BI124" s="416"/>
      <c r="BJ124" s="416"/>
      <c r="BK124" s="418"/>
      <c r="BL124" s="417"/>
      <c r="BM124" s="416"/>
      <c r="BN124" s="416"/>
      <c r="BO124" s="416"/>
      <c r="BP124" s="416"/>
      <c r="BQ124" s="416"/>
      <c r="BR124" s="416"/>
      <c r="BS124" s="416"/>
      <c r="BT124" s="389"/>
      <c r="BU124" s="389"/>
      <c r="BV124" s="389"/>
      <c r="BW124" s="389"/>
      <c r="BX124" s="415"/>
      <c r="BY124" s="389"/>
      <c r="BZ124" s="389"/>
      <c r="CA124" s="389"/>
      <c r="CB124" s="389"/>
      <c r="CC124" s="389"/>
      <c r="CD124" s="389"/>
      <c r="CE124" s="389"/>
      <c r="CF124" s="389"/>
      <c r="CG124" s="389"/>
      <c r="CH124" s="389"/>
      <c r="CI124" s="389"/>
      <c r="CJ124" s="389"/>
      <c r="CK124" s="389"/>
      <c r="CL124" s="389"/>
      <c r="CM124" s="389"/>
      <c r="CN124" s="389"/>
      <c r="CO124" s="389"/>
      <c r="CP124" s="389"/>
      <c r="CQ124" s="389"/>
      <c r="CR124" s="389"/>
      <c r="CS124" s="415"/>
      <c r="CT124" s="389"/>
      <c r="CU124" s="389"/>
      <c r="CV124" s="389"/>
      <c r="CW124" s="389"/>
      <c r="CX124" s="389"/>
      <c r="CY124" s="389"/>
      <c r="CZ124" s="389"/>
      <c r="DA124" s="389"/>
      <c r="DB124" s="389"/>
      <c r="DC124" s="389"/>
      <c r="DD124" s="389"/>
      <c r="DE124" s="389"/>
      <c r="DF124" s="389"/>
      <c r="DG124" s="389"/>
      <c r="DH124" s="389"/>
      <c r="DI124" s="389"/>
      <c r="DJ124" s="389"/>
      <c r="DK124" s="389"/>
      <c r="DL124" s="389"/>
      <c r="DM124" s="389"/>
      <c r="DN124" s="389"/>
      <c r="DO124" s="414"/>
      <c r="DP124" s="39"/>
      <c r="DQ124" s="39"/>
      <c r="DR124" s="39"/>
      <c r="DS124" s="39"/>
      <c r="DT124" s="39"/>
      <c r="DU124" s="39"/>
      <c r="DV124" s="39"/>
      <c r="DW124" s="39"/>
      <c r="DX124" s="39"/>
      <c r="DY124" s="39"/>
      <c r="DZ124" s="39"/>
      <c r="EA124" s="39"/>
      <c r="EB124" s="39"/>
      <c r="EC124" s="39"/>
      <c r="ED124" s="136"/>
      <c r="EE124" s="136"/>
      <c r="EF124" s="136"/>
      <c r="EG124" s="136"/>
      <c r="EH124" s="136"/>
      <c r="EI124" s="136"/>
      <c r="EJ124" s="136"/>
      <c r="EK124" s="136"/>
      <c r="EL124" s="136"/>
      <c r="EM124" s="136"/>
      <c r="EN124" s="136"/>
      <c r="EO124" s="136"/>
      <c r="EP124" s="136"/>
      <c r="EQ124" s="136"/>
      <c r="ER124" s="136"/>
      <c r="ES124" s="136"/>
      <c r="ET124" s="136"/>
      <c r="EU124" s="136"/>
      <c r="EV124" s="136"/>
      <c r="EW124" s="136"/>
      <c r="EX124" s="136"/>
      <c r="EY124" s="136"/>
      <c r="EZ124" s="136"/>
      <c r="FA124" s="136"/>
      <c r="FB124" s="136"/>
      <c r="FC124" s="136"/>
      <c r="FD124" s="136"/>
      <c r="FE124" s="136"/>
      <c r="FF124" s="136"/>
      <c r="FG124" s="136"/>
      <c r="FH124" s="136"/>
      <c r="FI124" s="136"/>
      <c r="FJ124" s="136"/>
      <c r="FK124" s="136"/>
      <c r="FL124" s="136"/>
      <c r="FM124" s="136"/>
      <c r="FN124" s="136"/>
      <c r="FO124" s="39"/>
      <c r="FP124" s="39"/>
      <c r="FQ124" s="39"/>
      <c r="FR124" s="412"/>
      <c r="FS124" s="412"/>
      <c r="FT124" s="412"/>
      <c r="FU124" s="412"/>
      <c r="FV124" s="412"/>
      <c r="FW124" s="412"/>
      <c r="FX124" s="412"/>
      <c r="FY124" s="412"/>
      <c r="FZ124" s="412"/>
      <c r="GA124" s="412"/>
      <c r="GB124" s="412"/>
      <c r="GC124" s="412"/>
      <c r="GD124" s="412"/>
      <c r="GE124" s="412"/>
      <c r="GF124" s="412"/>
      <c r="GG124" s="412"/>
      <c r="GH124" s="412"/>
      <c r="GI124" s="412"/>
      <c r="GJ124" s="412"/>
      <c r="GK124" s="412"/>
      <c r="GL124" s="412"/>
      <c r="GM124" s="412"/>
      <c r="GN124" s="412"/>
      <c r="GO124" s="412"/>
      <c r="GP124" s="412"/>
      <c r="GQ124" s="412"/>
      <c r="GR124" s="412"/>
      <c r="GS124" s="412"/>
      <c r="GT124" s="412"/>
      <c r="GU124" s="412"/>
      <c r="GV124" s="412"/>
      <c r="GW124" s="412"/>
      <c r="GX124" s="412"/>
      <c r="GY124" s="412"/>
      <c r="GZ124" s="412"/>
      <c r="HA124" s="412"/>
      <c r="HB124" s="412"/>
      <c r="HC124" s="412"/>
      <c r="HD124" s="412"/>
      <c r="HE124" s="412"/>
      <c r="HF124" s="412"/>
      <c r="HG124" s="412"/>
      <c r="HH124" s="412"/>
      <c r="HI124" s="412"/>
      <c r="HJ124" s="412"/>
      <c r="HK124" s="412"/>
      <c r="HL124" s="412"/>
      <c r="HM124" s="412"/>
      <c r="HN124" s="412"/>
      <c r="HO124" s="412"/>
      <c r="HP124" s="412"/>
      <c r="HQ124" s="412"/>
      <c r="HR124" s="412"/>
      <c r="HS124" s="412"/>
      <c r="HT124" s="412"/>
      <c r="HU124" s="278"/>
      <c r="HV124" s="277"/>
      <c r="HW124" s="277"/>
      <c r="HX124" s="277"/>
      <c r="HY124" s="277"/>
      <c r="HZ124" s="277"/>
      <c r="IA124" s="277"/>
      <c r="IB124" s="277"/>
      <c r="IC124" s="277"/>
      <c r="ID124" s="412"/>
      <c r="IE124" s="412"/>
      <c r="IF124" s="412"/>
      <c r="IG124" s="412"/>
      <c r="IH124" s="412"/>
      <c r="II124" s="412"/>
      <c r="IJ124" s="412"/>
      <c r="IK124" s="412"/>
      <c r="IL124" s="412"/>
      <c r="IM124" s="412"/>
      <c r="IN124" s="412"/>
      <c r="IO124" s="412"/>
      <c r="IP124" s="413"/>
      <c r="IQ124" s="389"/>
      <c r="IR124" s="389"/>
      <c r="IS124" s="389"/>
      <c r="IT124" s="389"/>
      <c r="IU124" s="389"/>
      <c r="IV124" s="389"/>
      <c r="IW124" s="389"/>
      <c r="IX124" s="389"/>
      <c r="IY124" s="389"/>
      <c r="IZ124" s="389"/>
      <c r="JA124" s="389"/>
      <c r="JB124" s="389"/>
      <c r="JC124" s="389"/>
      <c r="JD124" s="389"/>
      <c r="JE124" s="389"/>
      <c r="JF124" s="389"/>
      <c r="JG124" s="389"/>
      <c r="JH124" s="389"/>
      <c r="JI124" s="389"/>
      <c r="JJ124" s="389"/>
      <c r="JK124" s="389"/>
      <c r="JL124" s="389"/>
      <c r="JM124" s="389"/>
      <c r="JN124" s="389"/>
      <c r="JO124" s="389"/>
      <c r="JT124" s="553"/>
    </row>
    <row r="125" spans="1:302" s="14" customFormat="1" ht="11.1" hidden="1" customHeight="1" outlineLevel="1">
      <c r="A125" s="559">
        <v>1</v>
      </c>
      <c r="B125" s="990" t="s">
        <v>183</v>
      </c>
      <c r="C125" s="990"/>
      <c r="D125" s="452">
        <f>COUPPCD(D123,C122,K124,AH126)</f>
        <v>45538</v>
      </c>
      <c r="E125" s="767"/>
      <c r="F125" s="431"/>
      <c r="G125" s="985">
        <v>2032</v>
      </c>
      <c r="H125" s="431"/>
      <c r="I125" s="528"/>
      <c r="J125" s="431"/>
      <c r="K125" s="987" t="s">
        <v>205</v>
      </c>
      <c r="L125" s="829"/>
      <c r="M125" s="720"/>
      <c r="N125" s="720"/>
      <c r="O125" s="223"/>
      <c r="P125" s="527"/>
      <c r="Q125" s="526"/>
      <c r="R125" s="22"/>
      <c r="S125" s="15"/>
      <c r="T125" s="431"/>
      <c r="U125" s="15"/>
      <c r="V125" s="15"/>
      <c r="W125" s="15"/>
      <c r="X125" s="442"/>
      <c r="Y125" s="430"/>
      <c r="Z125" s="430"/>
      <c r="AA125" s="430"/>
      <c r="AB125" s="533"/>
      <c r="AC125" s="431"/>
      <c r="AD125" s="117"/>
      <c r="AE125" s="431"/>
      <c r="AH125" s="457"/>
      <c r="AI125" s="457"/>
      <c r="AJ125" s="990"/>
      <c r="AK125" s="991"/>
      <c r="AL125" s="967">
        <f>AL124-AL123</f>
        <v>0</v>
      </c>
      <c r="AM125" s="532">
        <f>C122-AL122</f>
        <v>2922</v>
      </c>
      <c r="AN125" s="530">
        <f>IF(OR(K124&lt;&gt;1,AN124&gt;365),COUPDAYBS(D123,C122,K124,AH126),AN124)</f>
        <v>23</v>
      </c>
      <c r="AO125" s="424">
        <f>IF(B127=2,AO124-AL123,AL125/AM125*AN124)</f>
        <v>0</v>
      </c>
      <c r="AP125" s="455">
        <f>IF(B127=4,FLOOR(F122/K124*AN125/(D126-D125)*100,0.000001),IF(AH126=4,YEARFRAC(D125,D123,0)*F122*100,IF(B127=3,IF(OR(AH126=4,AH126=2),(F124*(AN125))/(360)*100,(F124*(AN125))/(365)*100),FLOOR(F122/K124*AN125/(D126-D125)*100,0.000001))))</f>
        <v>0.25993099999999997</v>
      </c>
      <c r="AQ125" s="454"/>
      <c r="AR125" s="555">
        <f>AL125*G122/100</f>
        <v>0</v>
      </c>
      <c r="AS125" s="422">
        <f>IF(AS124&lt;0,0,AS124*(100-F127)/100)</f>
        <v>0</v>
      </c>
      <c r="AT125" s="419"/>
      <c r="AU125" s="420"/>
      <c r="AV125" s="223"/>
      <c r="AW125" s="420"/>
      <c r="AX125" s="417"/>
      <c r="AY125" s="420"/>
      <c r="AZ125" s="223"/>
      <c r="BA125" s="419"/>
      <c r="BB125" s="223"/>
      <c r="BC125" s="223"/>
      <c r="BD125" s="223"/>
      <c r="BE125" s="223"/>
      <c r="BF125" s="416"/>
      <c r="BG125" s="418"/>
      <c r="BH125" s="416"/>
      <c r="BI125" s="416"/>
      <c r="BJ125" s="416"/>
      <c r="BK125" s="418"/>
      <c r="BL125" s="417"/>
      <c r="BM125" s="416"/>
      <c r="BN125" s="416"/>
      <c r="BO125" s="416"/>
      <c r="BP125" s="416"/>
      <c r="BQ125" s="416"/>
      <c r="BR125" s="416"/>
      <c r="BS125" s="416"/>
      <c r="BT125" s="389"/>
      <c r="BU125" s="389"/>
      <c r="BV125" s="389"/>
      <c r="BW125" s="389"/>
      <c r="BX125" s="415"/>
      <c r="BY125" s="389"/>
      <c r="BZ125" s="389"/>
      <c r="CA125" s="389"/>
      <c r="CB125" s="389"/>
      <c r="CC125" s="389"/>
      <c r="CD125" s="389"/>
      <c r="CE125" s="389"/>
      <c r="CF125" s="389"/>
      <c r="CG125" s="389"/>
      <c r="CH125" s="389"/>
      <c r="CI125" s="389"/>
      <c r="CJ125" s="389"/>
      <c r="CK125" s="389"/>
      <c r="CL125" s="389"/>
      <c r="CM125" s="389"/>
      <c r="CN125" s="389"/>
      <c r="CO125" s="389"/>
      <c r="CP125" s="389"/>
      <c r="CQ125" s="389"/>
      <c r="CR125" s="389"/>
      <c r="CS125" s="415"/>
      <c r="CT125" s="389"/>
      <c r="CU125" s="389"/>
      <c r="CV125" s="389"/>
      <c r="CW125" s="389"/>
      <c r="CX125" s="389"/>
      <c r="CY125" s="389"/>
      <c r="CZ125" s="389"/>
      <c r="DA125" s="389"/>
      <c r="DB125" s="389"/>
      <c r="DC125" s="389"/>
      <c r="DD125" s="389"/>
      <c r="DE125" s="389"/>
      <c r="DF125" s="389"/>
      <c r="DG125" s="389"/>
      <c r="DH125" s="389"/>
      <c r="DI125" s="389"/>
      <c r="DJ125" s="389"/>
      <c r="DK125" s="389"/>
      <c r="DL125" s="389"/>
      <c r="DM125" s="389"/>
      <c r="DN125" s="389"/>
      <c r="DO125" s="414"/>
      <c r="DP125" s="39"/>
      <c r="DQ125" s="39"/>
      <c r="DR125" s="39"/>
      <c r="DS125" s="39"/>
      <c r="DT125" s="39"/>
      <c r="DU125" s="39"/>
      <c r="DV125" s="39"/>
      <c r="DW125" s="39"/>
      <c r="DX125" s="39"/>
      <c r="DY125" s="39"/>
      <c r="DZ125" s="39"/>
      <c r="EA125" s="39"/>
      <c r="EB125" s="39"/>
      <c r="EC125" s="39"/>
      <c r="ED125" s="136"/>
      <c r="EE125" s="136"/>
      <c r="EF125" s="136"/>
      <c r="EG125" s="136"/>
      <c r="EH125" s="136"/>
      <c r="EI125" s="136"/>
      <c r="EJ125" s="136"/>
      <c r="EK125" s="136"/>
      <c r="EL125" s="136"/>
      <c r="EM125" s="136"/>
      <c r="EN125" s="136"/>
      <c r="EO125" s="136"/>
      <c r="EP125" s="136"/>
      <c r="EQ125" s="136"/>
      <c r="ER125" s="136"/>
      <c r="ES125" s="136"/>
      <c r="ET125" s="136"/>
      <c r="EU125" s="136"/>
      <c r="EV125" s="136"/>
      <c r="EW125" s="136"/>
      <c r="EX125" s="136"/>
      <c r="EY125" s="136"/>
      <c r="EZ125" s="136"/>
      <c r="FA125" s="136"/>
      <c r="FB125" s="136"/>
      <c r="FC125" s="136"/>
      <c r="FD125" s="136"/>
      <c r="FE125" s="136"/>
      <c r="FF125" s="136"/>
      <c r="FG125" s="136"/>
      <c r="FH125" s="136"/>
      <c r="FI125" s="136"/>
      <c r="FJ125" s="136"/>
      <c r="FK125" s="136"/>
      <c r="FL125" s="136"/>
      <c r="FM125" s="136"/>
      <c r="FN125" s="136"/>
      <c r="FO125" s="39"/>
      <c r="FP125" s="39"/>
      <c r="FQ125" s="39"/>
      <c r="FR125" s="412"/>
      <c r="FS125" s="412"/>
      <c r="FT125" s="412"/>
      <c r="FU125" s="412"/>
      <c r="FV125" s="412"/>
      <c r="FW125" s="412"/>
      <c r="FX125" s="412"/>
      <c r="FY125" s="412"/>
      <c r="FZ125" s="412"/>
      <c r="GA125" s="412"/>
      <c r="GB125" s="412"/>
      <c r="GC125" s="412"/>
      <c r="GD125" s="412"/>
      <c r="GE125" s="412"/>
      <c r="GF125" s="412"/>
      <c r="GG125" s="412"/>
      <c r="GH125" s="412"/>
      <c r="GI125" s="412"/>
      <c r="GJ125" s="412"/>
      <c r="GK125" s="412"/>
      <c r="GL125" s="412"/>
      <c r="GM125" s="412"/>
      <c r="GN125" s="412"/>
      <c r="GO125" s="412"/>
      <c r="GP125" s="412"/>
      <c r="GQ125" s="412"/>
      <c r="GR125" s="412"/>
      <c r="GS125" s="412"/>
      <c r="GT125" s="412"/>
      <c r="GU125" s="412"/>
      <c r="GV125" s="412"/>
      <c r="GW125" s="412"/>
      <c r="GX125" s="412"/>
      <c r="GY125" s="412"/>
      <c r="GZ125" s="412"/>
      <c r="HA125" s="412"/>
      <c r="HB125" s="412"/>
      <c r="HC125" s="412"/>
      <c r="HD125" s="412"/>
      <c r="HE125" s="412"/>
      <c r="HF125" s="412"/>
      <c r="HG125" s="412"/>
      <c r="HH125" s="412"/>
      <c r="HI125" s="412"/>
      <c r="HJ125" s="412"/>
      <c r="HK125" s="412"/>
      <c r="HL125" s="412"/>
      <c r="HM125" s="412"/>
      <c r="HN125" s="412"/>
      <c r="HO125" s="412"/>
      <c r="HP125" s="412"/>
      <c r="HQ125" s="412"/>
      <c r="HR125" s="412"/>
      <c r="HS125" s="412"/>
      <c r="HT125" s="412"/>
      <c r="HU125" s="278"/>
      <c r="HV125" s="277"/>
      <c r="HW125" s="277"/>
      <c r="HX125" s="277"/>
      <c r="HY125" s="277"/>
      <c r="HZ125" s="277"/>
      <c r="IA125" s="277"/>
      <c r="IB125" s="277"/>
      <c r="IC125" s="277"/>
      <c r="ID125" s="412"/>
      <c r="IE125" s="412"/>
      <c r="IF125" s="412"/>
      <c r="IG125" s="412"/>
      <c r="IH125" s="412"/>
      <c r="II125" s="412"/>
      <c r="IJ125" s="412"/>
      <c r="IK125" s="412"/>
      <c r="IL125" s="412"/>
      <c r="IM125" s="412"/>
      <c r="IN125" s="412"/>
      <c r="IO125" s="412"/>
      <c r="IP125" s="413"/>
      <c r="IQ125" s="389"/>
      <c r="IR125" s="389"/>
      <c r="IS125" s="389"/>
      <c r="IT125" s="389"/>
      <c r="IU125" s="389"/>
      <c r="IV125" s="389"/>
      <c r="IW125" s="389"/>
      <c r="IX125" s="389"/>
      <c r="IY125" s="389"/>
      <c r="IZ125" s="389"/>
      <c r="JA125" s="389"/>
      <c r="JB125" s="389"/>
      <c r="JC125" s="389"/>
      <c r="JD125" s="389"/>
      <c r="JE125" s="389"/>
      <c r="JF125" s="389"/>
      <c r="JG125" s="389"/>
      <c r="JH125" s="389"/>
      <c r="JI125" s="389"/>
      <c r="JJ125" s="389"/>
      <c r="JK125" s="389"/>
      <c r="JL125" s="389"/>
      <c r="JM125" s="389"/>
      <c r="JN125" s="389"/>
      <c r="JO125" s="389"/>
      <c r="JT125" s="553"/>
    </row>
    <row r="126" spans="1:302" s="14" customFormat="1" ht="11.1" hidden="1" customHeight="1" outlineLevel="1">
      <c r="A126" s="18"/>
      <c r="B126" s="990"/>
      <c r="C126" s="990"/>
      <c r="D126" s="452">
        <f>COUPNCD(D123,C122,K124,AH126)</f>
        <v>45903</v>
      </c>
      <c r="E126" s="932" t="s">
        <v>182</v>
      </c>
      <c r="F126" s="451" t="str">
        <f>IF(E127=1,"87,5",IF(D122&lt;40908,87.5,IF(D122&lt;41820,"80","74")))</f>
        <v>74</v>
      </c>
      <c r="G126" s="986"/>
      <c r="H126" s="431"/>
      <c r="I126" s="528"/>
      <c r="J126" s="431"/>
      <c r="K126" s="987"/>
      <c r="L126" s="829"/>
      <c r="M126" s="720"/>
      <c r="N126" s="720"/>
      <c r="O126" s="223"/>
      <c r="P126" s="527"/>
      <c r="Q126" s="526"/>
      <c r="R126" s="22"/>
      <c r="S126" s="15"/>
      <c r="T126" s="431"/>
      <c r="U126" s="15"/>
      <c r="V126" s="15"/>
      <c r="W126" s="15"/>
      <c r="X126" s="442"/>
      <c r="Y126" s="430"/>
      <c r="Z126" s="430"/>
      <c r="AA126" s="430"/>
      <c r="AB126" s="78"/>
      <c r="AC126" s="431"/>
      <c r="AD126" s="117"/>
      <c r="AE126" s="431"/>
      <c r="AF126" s="605"/>
      <c r="AG126" s="604"/>
      <c r="AH126" s="419">
        <f>VLOOKUP(AH123,'[2]IBAN CONTI'!A:B,2,FALSE)</f>
        <v>1</v>
      </c>
      <c r="AI126" s="419"/>
      <c r="AJ126" s="989">
        <f>VLOOKUP(AJ124,'[2]IBAN CONTI'!A$67:B$77,2,FALSE)</f>
        <v>11</v>
      </c>
      <c r="AK126" s="992"/>
      <c r="AL126" s="965">
        <f>AL123</f>
        <v>100</v>
      </c>
      <c r="AM126" s="449">
        <f>IF(B127=1,YEARFRAC(D123,C122,AH126),IF(B127=2,YEARFRAC(AL122,D123,AH126)))</f>
        <v>7.9352189781021902</v>
      </c>
      <c r="AN126" s="530">
        <f>IF(B127=2,0,C122-D123-(365-AN125))</f>
        <v>2557</v>
      </c>
      <c r="AO126" s="424">
        <f>E122-AO125</f>
        <v>101.11</v>
      </c>
      <c r="AP126" s="447">
        <f>E122+AO127+AP125+0.1</f>
        <v>101.46993099999999</v>
      </c>
      <c r="AQ126" s="446"/>
      <c r="AR126" s="463">
        <f>IF(B127=3,F124*G122,F122*G122)</f>
        <v>41.25</v>
      </c>
      <c r="AS126" s="421">
        <f>AR122-AS125</f>
        <v>1030.5250000000001</v>
      </c>
      <c r="AT126" s="419"/>
      <c r="AU126" s="420"/>
      <c r="AV126" s="223"/>
      <c r="AW126" s="420"/>
      <c r="AX126" s="417"/>
      <c r="AY126" s="420"/>
      <c r="AZ126" s="223"/>
      <c r="BA126" s="419"/>
      <c r="BB126" s="223"/>
      <c r="BC126" s="223"/>
      <c r="BD126" s="223"/>
      <c r="BE126" s="223"/>
      <c r="BF126" s="416"/>
      <c r="BG126" s="418"/>
      <c r="BH126" s="416"/>
      <c r="BI126" s="416"/>
      <c r="BJ126" s="416"/>
      <c r="BK126" s="418"/>
      <c r="BL126" s="417"/>
      <c r="BM126" s="416"/>
      <c r="BN126" s="416"/>
      <c r="BO126" s="416"/>
      <c r="BP126" s="416"/>
      <c r="BQ126" s="416"/>
      <c r="BR126" s="416"/>
      <c r="BS126" s="416"/>
      <c r="BT126" s="389"/>
      <c r="BU126" s="389"/>
      <c r="BV126" s="389"/>
      <c r="BW126" s="389"/>
      <c r="BX126" s="415"/>
      <c r="BY126" s="389"/>
      <c r="BZ126" s="389"/>
      <c r="CA126" s="389"/>
      <c r="CB126" s="389"/>
      <c r="CC126" s="389"/>
      <c r="CD126" s="389"/>
      <c r="CE126" s="389"/>
      <c r="CF126" s="389"/>
      <c r="CG126" s="389"/>
      <c r="CH126" s="389"/>
      <c r="CI126" s="389"/>
      <c r="CJ126" s="389"/>
      <c r="CK126" s="389"/>
      <c r="CL126" s="389"/>
      <c r="CM126" s="389"/>
      <c r="CN126" s="389"/>
      <c r="CO126" s="389"/>
      <c r="CP126" s="389"/>
      <c r="CQ126" s="389"/>
      <c r="CR126" s="389"/>
      <c r="CS126" s="415"/>
      <c r="CT126" s="389"/>
      <c r="CU126" s="389"/>
      <c r="CV126" s="389"/>
      <c r="CW126" s="389"/>
      <c r="CX126" s="389"/>
      <c r="CY126" s="389"/>
      <c r="CZ126" s="389"/>
      <c r="DA126" s="389"/>
      <c r="DB126" s="389"/>
      <c r="DC126" s="389"/>
      <c r="DD126" s="389"/>
      <c r="DE126" s="389"/>
      <c r="DF126" s="389"/>
      <c r="DG126" s="389"/>
      <c r="DH126" s="389"/>
      <c r="DI126" s="389"/>
      <c r="DJ126" s="389"/>
      <c r="DK126" s="389"/>
      <c r="DL126" s="389"/>
      <c r="DM126" s="389"/>
      <c r="DN126" s="389"/>
      <c r="DO126" s="414"/>
      <c r="DP126" s="39"/>
      <c r="DQ126" s="39"/>
      <c r="DR126" s="39"/>
      <c r="DS126" s="136"/>
      <c r="DT126" s="136"/>
      <c r="DU126" s="136"/>
      <c r="DV126" s="136"/>
      <c r="DW126" s="136"/>
      <c r="DX126" s="136"/>
      <c r="DY126" s="136"/>
      <c r="DZ126" s="136"/>
      <c r="EA126" s="136"/>
      <c r="EB126" s="136"/>
      <c r="EC126" s="136"/>
      <c r="ED126" s="136"/>
      <c r="EE126" s="136"/>
      <c r="EF126" s="136"/>
      <c r="EG126" s="136"/>
      <c r="EH126" s="136"/>
      <c r="EI126" s="136"/>
      <c r="EJ126" s="136"/>
      <c r="EK126" s="136"/>
      <c r="EL126" s="136"/>
      <c r="EM126" s="136"/>
      <c r="EN126" s="136"/>
      <c r="EO126" s="136"/>
      <c r="EP126" s="136"/>
      <c r="EQ126" s="136"/>
      <c r="ER126" s="136"/>
      <c r="ES126" s="136"/>
      <c r="ET126" s="136"/>
      <c r="EU126" s="136"/>
      <c r="EV126" s="136"/>
      <c r="EW126" s="136"/>
      <c r="EX126" s="136"/>
      <c r="EY126" s="136"/>
      <c r="EZ126" s="136"/>
      <c r="FA126" s="136"/>
      <c r="FB126" s="136"/>
      <c r="FC126" s="136"/>
      <c r="FD126" s="136"/>
      <c r="FE126" s="136"/>
      <c r="FF126" s="136"/>
      <c r="FG126" s="136"/>
      <c r="FH126" s="136"/>
      <c r="FI126" s="136"/>
      <c r="FJ126" s="136"/>
      <c r="FK126" s="136"/>
      <c r="FL126" s="136"/>
      <c r="FM126" s="136"/>
      <c r="FN126" s="136"/>
      <c r="FO126" s="136"/>
      <c r="FP126" s="136"/>
      <c r="FQ126" s="136"/>
      <c r="FR126" s="412"/>
      <c r="FS126" s="412"/>
      <c r="FT126" s="412"/>
      <c r="FU126" s="412"/>
      <c r="FV126" s="412"/>
      <c r="FW126" s="412"/>
      <c r="FX126" s="412"/>
      <c r="FY126" s="412"/>
      <c r="FZ126" s="412"/>
      <c r="GA126" s="412"/>
      <c r="GB126" s="412"/>
      <c r="GC126" s="412"/>
      <c r="GD126" s="412"/>
      <c r="GE126" s="412"/>
      <c r="GF126" s="412"/>
      <c r="GG126" s="412"/>
      <c r="GH126" s="412"/>
      <c r="GI126" s="412"/>
      <c r="GJ126" s="412"/>
      <c r="GK126" s="412"/>
      <c r="GL126" s="412"/>
      <c r="GM126" s="412"/>
      <c r="GN126" s="412"/>
      <c r="GO126" s="412"/>
      <c r="GP126" s="412"/>
      <c r="GQ126" s="412"/>
      <c r="GR126" s="412"/>
      <c r="GS126" s="412"/>
      <c r="GT126" s="412"/>
      <c r="GU126" s="412"/>
      <c r="GV126" s="412"/>
      <c r="GW126" s="412"/>
      <c r="GX126" s="412"/>
      <c r="GY126" s="412"/>
      <c r="GZ126" s="412"/>
      <c r="HA126" s="412"/>
      <c r="HB126" s="412"/>
      <c r="HC126" s="412"/>
      <c r="HD126" s="412"/>
      <c r="HE126" s="412"/>
      <c r="HF126" s="412"/>
      <c r="HG126" s="412"/>
      <c r="HH126" s="412"/>
      <c r="HI126" s="412"/>
      <c r="HJ126" s="412"/>
      <c r="HK126" s="412"/>
      <c r="HL126" s="412"/>
      <c r="HM126" s="412"/>
      <c r="HN126" s="412"/>
      <c r="HO126" s="412"/>
      <c r="HP126" s="412"/>
      <c r="HQ126" s="412"/>
      <c r="HR126" s="412"/>
      <c r="HS126" s="412"/>
      <c r="HT126" s="412"/>
      <c r="HU126" s="278"/>
      <c r="HV126" s="277"/>
      <c r="HW126" s="277"/>
      <c r="HX126" s="277"/>
      <c r="HY126" s="277"/>
      <c r="HZ126" s="277"/>
      <c r="IA126" s="277"/>
      <c r="IB126" s="277"/>
      <c r="IC126" s="277"/>
      <c r="ID126" s="412"/>
      <c r="IE126" s="412"/>
      <c r="IF126" s="412"/>
      <c r="IG126" s="412"/>
      <c r="IH126" s="412"/>
      <c r="II126" s="412"/>
      <c r="IJ126" s="412"/>
      <c r="IK126" s="412"/>
      <c r="IL126" s="412"/>
      <c r="IM126" s="412"/>
      <c r="IN126" s="412"/>
      <c r="IO126" s="412"/>
      <c r="IP126" s="413"/>
      <c r="IQ126" s="389"/>
      <c r="IR126" s="389"/>
      <c r="IS126" s="389"/>
      <c r="IT126" s="389"/>
      <c r="IU126" s="389"/>
      <c r="IV126" s="389"/>
      <c r="IW126" s="389"/>
      <c r="IX126" s="389"/>
      <c r="IY126" s="389"/>
      <c r="IZ126" s="389"/>
      <c r="JA126" s="389"/>
      <c r="JB126" s="389"/>
      <c r="JC126" s="389"/>
      <c r="JD126" s="389"/>
      <c r="JE126" s="389"/>
      <c r="JF126" s="389"/>
      <c r="JG126" s="389"/>
      <c r="JH126" s="389"/>
      <c r="JI126" s="389"/>
      <c r="JJ126" s="389"/>
      <c r="JK126" s="389"/>
      <c r="JL126" s="389"/>
      <c r="JM126" s="389"/>
      <c r="JN126" s="389"/>
      <c r="JO126" s="389"/>
      <c r="JT126" s="553"/>
    </row>
    <row r="127" spans="1:302" s="14" customFormat="1" ht="11.1" hidden="1" customHeight="1" outlineLevel="1">
      <c r="A127" s="461">
        <v>1</v>
      </c>
      <c r="B127" s="989">
        <f>VLOOKUP(B125,'[2]IBAN CONTI'!A$1:B$65562,2,FALSE)</f>
        <v>1</v>
      </c>
      <c r="C127" s="989"/>
      <c r="D127" s="436">
        <v>42023</v>
      </c>
      <c r="E127" s="932">
        <f>VLOOKUP(E126,'[2]IBAN CONTI'!A:B,2,FALSE)</f>
        <v>2</v>
      </c>
      <c r="F127" s="444" t="str">
        <f>IF(E127=1,"87,5","74")</f>
        <v>74</v>
      </c>
      <c r="G127" s="443">
        <f>VLOOKUP(G125,'[2]IBAN CONTI'!A$244:B$273,2,FALSE)</f>
        <v>21</v>
      </c>
      <c r="H127" s="431"/>
      <c r="I127" s="528"/>
      <c r="J127" s="431"/>
      <c r="K127" s="443">
        <f>VLOOKUP(K125,'[2]IBAN CONTI'!A$80:B$101,2,FALSE)</f>
        <v>4</v>
      </c>
      <c r="L127" s="720"/>
      <c r="M127" s="720"/>
      <c r="N127" s="720"/>
      <c r="O127" s="223"/>
      <c r="P127" s="527"/>
      <c r="Q127" s="526"/>
      <c r="R127" s="22"/>
      <c r="S127" s="15"/>
      <c r="T127" s="431"/>
      <c r="U127" s="15"/>
      <c r="V127" s="15"/>
      <c r="W127" s="15"/>
      <c r="X127" s="594">
        <f ca="1">X122-$AF$2</f>
        <v>-4630.6850547453723</v>
      </c>
      <c r="Y127" s="430"/>
      <c r="Z127" s="430"/>
      <c r="AA127" s="430"/>
      <c r="AB127" s="78"/>
      <c r="AC127" s="431"/>
      <c r="AD127" s="117"/>
      <c r="AE127" s="431"/>
      <c r="AF127" s="1011" t="s">
        <v>508</v>
      </c>
      <c r="AG127" s="1011"/>
      <c r="AH127" s="552"/>
      <c r="AI127" s="551"/>
      <c r="AJ127" s="441" t="s">
        <v>172</v>
      </c>
      <c r="AK127" s="525">
        <f>VLOOKUP(AJ127,'[2]IBAN CONTI'!A$61:B$64,2,FALSE)</f>
        <v>1</v>
      </c>
      <c r="AL127" s="967">
        <f>AL124-AL125*(100-F127)/100</f>
        <v>100</v>
      </c>
      <c r="AM127" s="524" t="str">
        <f>IF(B127=2,10^((LOG(AL124/AL123))/AM124)-1,"")</f>
        <v/>
      </c>
      <c r="AN127" s="422">
        <f>IF(B127=4,A124*E122/100,IF(AF124=1,G122*E122/100,A123/E123*E122/100))</f>
        <v>1011.1</v>
      </c>
      <c r="AO127" s="425">
        <f>-AO125*(100-F126)/100</f>
        <v>0</v>
      </c>
      <c r="AP127" s="438">
        <f>IF(B127=2,(AN127-AP124+AN122+AN123)/G122*100,(AN127-AP123+AN122+AN123)/G122*100)</f>
        <v>101.56111000000001</v>
      </c>
      <c r="AQ127" s="423"/>
      <c r="AR127" s="555">
        <f>AL123</f>
        <v>100</v>
      </c>
      <c r="AS127" s="421"/>
      <c r="AT127" s="419"/>
      <c r="AU127" s="420"/>
      <c r="AV127" s="223"/>
      <c r="AW127" s="420"/>
      <c r="AX127" s="417"/>
      <c r="AY127" s="420"/>
      <c r="AZ127" s="223"/>
      <c r="BA127" s="419"/>
      <c r="BB127" s="223"/>
      <c r="BC127" s="223"/>
      <c r="BD127" s="223"/>
      <c r="BE127" s="223"/>
      <c r="BF127" s="416"/>
      <c r="BG127" s="418"/>
      <c r="BH127" s="416"/>
      <c r="BI127" s="416"/>
      <c r="BJ127" s="416"/>
      <c r="BK127" s="418"/>
      <c r="BL127" s="417"/>
      <c r="BM127" s="416"/>
      <c r="BN127" s="416"/>
      <c r="BO127" s="416"/>
      <c r="BP127" s="416"/>
      <c r="BQ127" s="416"/>
      <c r="BR127" s="416"/>
      <c r="BS127" s="416"/>
      <c r="BT127" s="389"/>
      <c r="BU127" s="389"/>
      <c r="BV127" s="389"/>
      <c r="BW127" s="389"/>
      <c r="BX127" s="415"/>
      <c r="BY127" s="389"/>
      <c r="BZ127" s="389"/>
      <c r="CA127" s="389"/>
      <c r="CB127" s="389"/>
      <c r="CC127" s="389"/>
      <c r="CD127" s="389"/>
      <c r="CE127" s="389"/>
      <c r="CF127" s="389"/>
      <c r="CG127" s="389"/>
      <c r="CH127" s="389"/>
      <c r="CI127" s="389"/>
      <c r="CJ127" s="389"/>
      <c r="CK127" s="389"/>
      <c r="CL127" s="389"/>
      <c r="CM127" s="389"/>
      <c r="CN127" s="389"/>
      <c r="CO127" s="389"/>
      <c r="CP127" s="389"/>
      <c r="CQ127" s="389"/>
      <c r="CR127" s="389"/>
      <c r="CS127" s="415"/>
      <c r="CT127" s="389"/>
      <c r="CU127" s="389"/>
      <c r="CV127" s="389"/>
      <c r="CW127" s="389"/>
      <c r="CX127" s="389"/>
      <c r="CY127" s="389"/>
      <c r="CZ127" s="389"/>
      <c r="DA127" s="389"/>
      <c r="DB127" s="389"/>
      <c r="DC127" s="389"/>
      <c r="DD127" s="389"/>
      <c r="DE127" s="389"/>
      <c r="DF127" s="389"/>
      <c r="DG127" s="389"/>
      <c r="DH127" s="389"/>
      <c r="DI127" s="389"/>
      <c r="DJ127" s="389"/>
      <c r="DK127" s="389"/>
      <c r="DL127" s="389"/>
      <c r="DM127" s="389"/>
      <c r="DN127" s="389"/>
      <c r="DO127" s="414"/>
      <c r="DP127" s="39"/>
      <c r="DQ127" s="39"/>
      <c r="DR127" s="39"/>
      <c r="DS127" s="136"/>
      <c r="DT127" s="136"/>
      <c r="DU127" s="136"/>
      <c r="DV127" s="136"/>
      <c r="DW127" s="136"/>
      <c r="DX127" s="136"/>
      <c r="DY127" s="136"/>
      <c r="DZ127" s="136"/>
      <c r="EA127" s="136"/>
      <c r="EB127" s="136"/>
      <c r="EC127" s="136"/>
      <c r="ED127" s="136"/>
      <c r="EE127" s="136"/>
      <c r="EF127" s="136"/>
      <c r="EG127" s="136"/>
      <c r="EH127" s="136"/>
      <c r="EI127" s="136"/>
      <c r="EJ127" s="136"/>
      <c r="EK127" s="136"/>
      <c r="EL127" s="136"/>
      <c r="EM127" s="136"/>
      <c r="EN127" s="136"/>
      <c r="EO127" s="136"/>
      <c r="EP127" s="136"/>
      <c r="EQ127" s="136"/>
      <c r="ER127" s="136"/>
      <c r="ES127" s="136"/>
      <c r="ET127" s="136"/>
      <c r="EU127" s="136"/>
      <c r="EV127" s="136"/>
      <c r="EW127" s="136"/>
      <c r="EX127" s="136"/>
      <c r="EY127" s="136"/>
      <c r="EZ127" s="136"/>
      <c r="FA127" s="136"/>
      <c r="FB127" s="136"/>
      <c r="FC127" s="136"/>
      <c r="FD127" s="136"/>
      <c r="FE127" s="136"/>
      <c r="FF127" s="136"/>
      <c r="FG127" s="136"/>
      <c r="FH127" s="136"/>
      <c r="FI127" s="136"/>
      <c r="FJ127" s="136"/>
      <c r="FK127" s="136"/>
      <c r="FL127" s="136"/>
      <c r="FM127" s="136"/>
      <c r="FN127" s="136"/>
      <c r="FO127" s="136"/>
      <c r="FP127" s="136"/>
      <c r="FQ127" s="136"/>
      <c r="FR127" s="412"/>
      <c r="FS127" s="412"/>
      <c r="FT127" s="412"/>
      <c r="FU127" s="412"/>
      <c r="FV127" s="412"/>
      <c r="FW127" s="412"/>
      <c r="FX127" s="412"/>
      <c r="FY127" s="412"/>
      <c r="FZ127" s="412"/>
      <c r="GA127" s="412"/>
      <c r="GB127" s="412"/>
      <c r="GC127" s="412"/>
      <c r="GD127" s="412"/>
      <c r="GE127" s="412"/>
      <c r="GF127" s="412"/>
      <c r="GG127" s="412"/>
      <c r="GH127" s="412"/>
      <c r="GI127" s="412"/>
      <c r="GJ127" s="412"/>
      <c r="GK127" s="412"/>
      <c r="GL127" s="412"/>
      <c r="GM127" s="412"/>
      <c r="GN127" s="412"/>
      <c r="GO127" s="412"/>
      <c r="GP127" s="412"/>
      <c r="GQ127" s="412"/>
      <c r="GR127" s="412"/>
      <c r="GS127" s="412"/>
      <c r="GT127" s="412"/>
      <c r="GU127" s="412"/>
      <c r="GV127" s="412"/>
      <c r="GW127" s="412"/>
      <c r="GX127" s="412"/>
      <c r="GY127" s="412"/>
      <c r="GZ127" s="412"/>
      <c r="HA127" s="412"/>
      <c r="HB127" s="412"/>
      <c r="HC127" s="412"/>
      <c r="HD127" s="412"/>
      <c r="HE127" s="412"/>
      <c r="HF127" s="412"/>
      <c r="HG127" s="412"/>
      <c r="HH127" s="412"/>
      <c r="HI127" s="412"/>
      <c r="HJ127" s="412"/>
      <c r="HK127" s="412"/>
      <c r="HL127" s="412"/>
      <c r="HM127" s="412"/>
      <c r="HN127" s="412"/>
      <c r="HO127" s="412"/>
      <c r="HP127" s="412"/>
      <c r="HQ127" s="412"/>
      <c r="HR127" s="412"/>
      <c r="HS127" s="412"/>
      <c r="HT127" s="412"/>
      <c r="HU127" s="278"/>
      <c r="HV127" s="277"/>
      <c r="HW127" s="277"/>
      <c r="HX127" s="277"/>
      <c r="HY127" s="277"/>
      <c r="HZ127" s="277"/>
      <c r="IA127" s="277"/>
      <c r="IB127" s="277"/>
      <c r="IC127" s="277"/>
      <c r="ID127" s="412"/>
      <c r="IE127" s="412"/>
      <c r="IF127" s="412"/>
      <c r="IG127" s="412"/>
      <c r="IH127" s="412"/>
      <c r="II127" s="412"/>
      <c r="IJ127" s="412"/>
      <c r="IK127" s="412"/>
      <c r="IL127" s="412"/>
      <c r="IM127" s="412"/>
      <c r="IN127" s="412"/>
      <c r="IO127" s="412"/>
      <c r="IP127" s="413"/>
      <c r="IQ127" s="389"/>
      <c r="IR127" s="389"/>
      <c r="IS127" s="389"/>
      <c r="IT127" s="389"/>
      <c r="IU127" s="389"/>
      <c r="IV127" s="389"/>
      <c r="IW127" s="389"/>
      <c r="IX127" s="389"/>
      <c r="IY127" s="389"/>
      <c r="IZ127" s="389"/>
      <c r="JA127" s="389"/>
      <c r="JB127" s="389"/>
      <c r="JC127" s="389"/>
      <c r="JD127" s="389"/>
      <c r="JE127" s="389"/>
      <c r="JF127" s="389"/>
      <c r="JG127" s="389"/>
      <c r="JH127" s="389"/>
      <c r="JI127" s="389"/>
      <c r="JJ127" s="389"/>
      <c r="JK127" s="389"/>
      <c r="JL127" s="389"/>
      <c r="JM127" s="389"/>
      <c r="JN127" s="389"/>
      <c r="JO127" s="389"/>
      <c r="JT127" s="553"/>
    </row>
    <row r="128" spans="1:302" s="14" customFormat="1" ht="11.1" hidden="1" customHeight="1" outlineLevel="1">
      <c r="A128" s="18"/>
      <c r="B128" s="933"/>
      <c r="C128" s="933"/>
      <c r="D128" s="436"/>
      <c r="E128" s="932"/>
      <c r="F128" s="435"/>
      <c r="G128" s="443"/>
      <c r="H128" s="431"/>
      <c r="I128" s="528"/>
      <c r="J128" s="431"/>
      <c r="K128" s="443"/>
      <c r="L128" s="720"/>
      <c r="M128" s="720"/>
      <c r="N128" s="720"/>
      <c r="O128" s="223"/>
      <c r="P128" s="527"/>
      <c r="Q128" s="526"/>
      <c r="R128" s="22"/>
      <c r="S128" s="15"/>
      <c r="T128" s="431"/>
      <c r="U128" s="15"/>
      <c r="V128" s="15"/>
      <c r="W128" s="15"/>
      <c r="X128" s="778"/>
      <c r="Y128" s="430"/>
      <c r="Z128" s="430"/>
      <c r="AA128" s="430"/>
      <c r="AB128" s="78"/>
      <c r="AC128" s="431"/>
      <c r="AD128" s="117"/>
      <c r="AE128" s="431"/>
      <c r="AF128" s="934"/>
      <c r="AG128" s="934"/>
      <c r="AH128" s="552"/>
      <c r="AI128" s="551"/>
      <c r="AJ128" s="441"/>
      <c r="AK128" s="595"/>
      <c r="AL128" s="967"/>
      <c r="AM128" s="524"/>
      <c r="AN128" s="422"/>
      <c r="AO128" s="425"/>
      <c r="AP128" s="438"/>
      <c r="AQ128" s="423"/>
      <c r="AR128" s="422"/>
      <c r="AS128" s="421"/>
      <c r="AT128" s="419"/>
      <c r="AU128" s="420"/>
      <c r="AV128" s="223"/>
      <c r="AW128" s="420"/>
      <c r="AX128" s="417"/>
      <c r="AY128" s="420"/>
      <c r="AZ128" s="223"/>
      <c r="BA128" s="419"/>
      <c r="BB128" s="223"/>
      <c r="BC128" s="223"/>
      <c r="BD128" s="223"/>
      <c r="BE128" s="223"/>
      <c r="BF128" s="416"/>
      <c r="BG128" s="418"/>
      <c r="BH128" s="416"/>
      <c r="BI128" s="416"/>
      <c r="BJ128" s="416"/>
      <c r="BK128" s="418"/>
      <c r="BL128" s="417"/>
      <c r="BM128" s="416"/>
      <c r="BN128" s="416"/>
      <c r="BO128" s="416"/>
      <c r="BP128" s="416"/>
      <c r="BQ128" s="416"/>
      <c r="BR128" s="416"/>
      <c r="BS128" s="416"/>
      <c r="BT128" s="389"/>
      <c r="BU128" s="389"/>
      <c r="BV128" s="389"/>
      <c r="BW128" s="389"/>
      <c r="BX128" s="415"/>
      <c r="BY128" s="389"/>
      <c r="BZ128" s="389"/>
      <c r="CA128" s="389"/>
      <c r="CB128" s="389"/>
      <c r="CC128" s="389"/>
      <c r="CD128" s="389"/>
      <c r="CE128" s="389"/>
      <c r="CF128" s="389"/>
      <c r="CG128" s="389"/>
      <c r="CH128" s="389"/>
      <c r="CI128" s="389"/>
      <c r="CJ128" s="389"/>
      <c r="CK128" s="389"/>
      <c r="CL128" s="389"/>
      <c r="CM128" s="389"/>
      <c r="CN128" s="389"/>
      <c r="CO128" s="389"/>
      <c r="CP128" s="389"/>
      <c r="CQ128" s="389"/>
      <c r="CR128" s="389"/>
      <c r="CS128" s="415"/>
      <c r="CT128" s="389"/>
      <c r="CU128" s="389"/>
      <c r="CV128" s="389"/>
      <c r="CW128" s="389"/>
      <c r="CX128" s="389"/>
      <c r="CY128" s="389"/>
      <c r="CZ128" s="389"/>
      <c r="DA128" s="389"/>
      <c r="DB128" s="389"/>
      <c r="DC128" s="389"/>
      <c r="DD128" s="389"/>
      <c r="DE128" s="389"/>
      <c r="DF128" s="389"/>
      <c r="DG128" s="389"/>
      <c r="DH128" s="389"/>
      <c r="DI128" s="389"/>
      <c r="DJ128" s="389"/>
      <c r="DK128" s="389"/>
      <c r="DL128" s="389"/>
      <c r="DM128" s="389"/>
      <c r="DN128" s="389"/>
      <c r="DO128" s="414"/>
      <c r="DP128" s="39"/>
      <c r="DQ128" s="39"/>
      <c r="DR128" s="39"/>
      <c r="DS128" s="136"/>
      <c r="DT128" s="136"/>
      <c r="DU128" s="136"/>
      <c r="DV128" s="136"/>
      <c r="DW128" s="136"/>
      <c r="DX128" s="136"/>
      <c r="DY128" s="136"/>
      <c r="DZ128" s="136"/>
      <c r="EA128" s="136"/>
      <c r="EB128" s="136"/>
      <c r="EC128" s="136"/>
      <c r="ED128" s="136"/>
      <c r="EE128" s="136"/>
      <c r="EF128" s="136"/>
      <c r="EG128" s="136"/>
      <c r="EH128" s="136"/>
      <c r="EI128" s="136"/>
      <c r="EJ128" s="136"/>
      <c r="EK128" s="136"/>
      <c r="EL128" s="136"/>
      <c r="EM128" s="136"/>
      <c r="EN128" s="136"/>
      <c r="EO128" s="136"/>
      <c r="EP128" s="136"/>
      <c r="EQ128" s="136"/>
      <c r="ER128" s="136"/>
      <c r="ES128" s="136"/>
      <c r="ET128" s="136"/>
      <c r="EU128" s="136"/>
      <c r="EV128" s="136"/>
      <c r="EW128" s="136"/>
      <c r="EX128" s="136"/>
      <c r="EY128" s="136"/>
      <c r="EZ128" s="136"/>
      <c r="FA128" s="136"/>
      <c r="FB128" s="136"/>
      <c r="FC128" s="136"/>
      <c r="FD128" s="136"/>
      <c r="FE128" s="136"/>
      <c r="FF128" s="136"/>
      <c r="FG128" s="136"/>
      <c r="FH128" s="136"/>
      <c r="FI128" s="136"/>
      <c r="FJ128" s="136"/>
      <c r="FK128" s="136"/>
      <c r="FL128" s="136"/>
      <c r="FM128" s="136"/>
      <c r="FN128" s="136"/>
      <c r="FO128" s="136"/>
      <c r="FP128" s="136"/>
      <c r="FQ128" s="136"/>
      <c r="FR128" s="412"/>
      <c r="FS128" s="412"/>
      <c r="FT128" s="412"/>
      <c r="FU128" s="412"/>
      <c r="FV128" s="412"/>
      <c r="FW128" s="412"/>
      <c r="FX128" s="412"/>
      <c r="FY128" s="412"/>
      <c r="FZ128" s="412"/>
      <c r="GA128" s="412"/>
      <c r="GB128" s="412"/>
      <c r="GC128" s="412"/>
      <c r="GD128" s="412"/>
      <c r="GE128" s="412"/>
      <c r="GF128" s="412"/>
      <c r="GG128" s="412"/>
      <c r="GH128" s="412"/>
      <c r="GI128" s="412"/>
      <c r="GJ128" s="412"/>
      <c r="GK128" s="412"/>
      <c r="GL128" s="412"/>
      <c r="GM128" s="412"/>
      <c r="GN128" s="412"/>
      <c r="GO128" s="412"/>
      <c r="GP128" s="412"/>
      <c r="GQ128" s="412"/>
      <c r="GR128" s="412"/>
      <c r="GS128" s="412"/>
      <c r="GT128" s="412"/>
      <c r="GU128" s="412"/>
      <c r="GV128" s="412"/>
      <c r="GW128" s="412"/>
      <c r="GX128" s="412"/>
      <c r="GY128" s="412"/>
      <c r="GZ128" s="412"/>
      <c r="HA128" s="412"/>
      <c r="HB128" s="412"/>
      <c r="HC128" s="412"/>
      <c r="HD128" s="412"/>
      <c r="HE128" s="412"/>
      <c r="HF128" s="412"/>
      <c r="HG128" s="412"/>
      <c r="HH128" s="412"/>
      <c r="HI128" s="412"/>
      <c r="HJ128" s="412"/>
      <c r="HK128" s="412"/>
      <c r="HL128" s="412"/>
      <c r="HM128" s="412"/>
      <c r="HN128" s="412"/>
      <c r="HO128" s="412"/>
      <c r="HP128" s="412"/>
      <c r="HQ128" s="412"/>
      <c r="HR128" s="412"/>
      <c r="HS128" s="412"/>
      <c r="HT128" s="412"/>
      <c r="HU128" s="278"/>
      <c r="HV128" s="277"/>
      <c r="HW128" s="277"/>
      <c r="HX128" s="277"/>
      <c r="HY128" s="277"/>
      <c r="HZ128" s="277"/>
      <c r="IA128" s="277"/>
      <c r="IB128" s="277"/>
      <c r="IC128" s="277"/>
      <c r="ID128" s="412"/>
      <c r="IE128" s="412"/>
      <c r="IF128" s="412"/>
      <c r="IG128" s="412"/>
      <c r="IH128" s="412"/>
      <c r="II128" s="412"/>
      <c r="IJ128" s="412"/>
      <c r="IK128" s="412"/>
      <c r="IL128" s="412"/>
      <c r="IM128" s="412"/>
      <c r="IN128" s="412"/>
      <c r="IO128" s="412"/>
      <c r="IP128" s="412"/>
      <c r="IQ128" s="389"/>
      <c r="IR128" s="389"/>
      <c r="IS128" s="389"/>
      <c r="IT128" s="389"/>
      <c r="IU128" s="389"/>
      <c r="IV128" s="389"/>
      <c r="IW128" s="389"/>
      <c r="IX128" s="389"/>
      <c r="IY128" s="389"/>
      <c r="IZ128" s="389"/>
      <c r="JA128" s="389"/>
      <c r="JB128" s="389"/>
      <c r="JC128" s="389"/>
      <c r="JD128" s="389"/>
      <c r="JE128" s="389"/>
      <c r="JF128" s="389"/>
      <c r="JG128" s="389"/>
      <c r="JH128" s="389"/>
      <c r="JI128" s="389"/>
      <c r="JJ128" s="389"/>
      <c r="JK128" s="389"/>
      <c r="JL128" s="389"/>
      <c r="JM128" s="389"/>
      <c r="JN128" s="389"/>
      <c r="JO128" s="389"/>
      <c r="JT128" s="553"/>
    </row>
    <row r="129" spans="1:302" s="1" customFormat="1" ht="11.1" customHeight="1" collapsed="1">
      <c r="A129" s="522">
        <v>2033</v>
      </c>
      <c r="B129" s="508"/>
      <c r="C129" s="521"/>
      <c r="D129" s="250"/>
      <c r="E129" s="768"/>
      <c r="F129" s="519"/>
      <c r="G129" s="966"/>
      <c r="H129" s="966"/>
      <c r="I129" s="519"/>
      <c r="J129" s="966"/>
      <c r="K129" s="260"/>
      <c r="L129" s="837"/>
      <c r="M129" s="847"/>
      <c r="N129" s="847"/>
      <c r="O129" s="260"/>
      <c r="P129" s="518" t="s">
        <v>30</v>
      </c>
      <c r="Q129" s="517"/>
      <c r="R129" s="517"/>
      <c r="S129" s="516"/>
      <c r="T129" s="966"/>
      <c r="U129" s="516"/>
      <c r="V129" s="516"/>
      <c r="W129" s="516"/>
      <c r="X129" s="516"/>
      <c r="Y129" s="516"/>
      <c r="Z129" s="516"/>
      <c r="AA129" s="516"/>
      <c r="AB129" s="515"/>
      <c r="AC129" s="966"/>
      <c r="AD129" s="514"/>
      <c r="AE129" s="966"/>
      <c r="AF129" s="513"/>
      <c r="AG129" s="513"/>
      <c r="AH129" s="512"/>
      <c r="AI129" s="511"/>
      <c r="AJ129" s="469"/>
      <c r="AK129" s="510"/>
      <c r="AL129" s="509"/>
      <c r="AM129" s="374"/>
      <c r="AN129" s="508"/>
      <c r="AO129" s="250"/>
      <c r="AP129" s="249"/>
      <c r="AQ129" s="249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HU129" s="10"/>
      <c r="JT129" s="380"/>
    </row>
    <row r="130" spans="1:302" s="15" customFormat="1" ht="5.0999999999999996" customHeight="1" collapsed="1">
      <c r="A130" s="232"/>
      <c r="B130" s="507"/>
      <c r="C130" s="431"/>
      <c r="D130" s="506"/>
      <c r="E130" s="475"/>
      <c r="F130" s="431"/>
      <c r="G130" s="431"/>
      <c r="H130" s="431"/>
      <c r="I130" s="385"/>
      <c r="J130" s="431"/>
      <c r="K130" s="431"/>
      <c r="L130" s="601"/>
      <c r="M130" s="844"/>
      <c r="N130" s="844"/>
      <c r="O130" s="505"/>
      <c r="P130" s="967"/>
      <c r="Q130" s="280"/>
      <c r="X130" s="442"/>
      <c r="Y130" s="498"/>
      <c r="Z130" s="498"/>
      <c r="AA130" s="498"/>
      <c r="AB130" s="982"/>
      <c r="AC130" s="431"/>
      <c r="AD130" s="78"/>
      <c r="AE130" s="431"/>
      <c r="AF130" s="504"/>
      <c r="AG130" s="307"/>
      <c r="AH130" s="503"/>
      <c r="AI130" s="503"/>
      <c r="AJ130" s="502"/>
      <c r="AK130" s="501"/>
      <c r="AL130" s="54"/>
      <c r="AM130" s="22"/>
      <c r="AN130" s="54"/>
      <c r="AO130" s="22"/>
      <c r="AP130" s="22"/>
      <c r="AQ130" s="22"/>
      <c r="AT130" s="54"/>
      <c r="AU130" s="22"/>
      <c r="AV130" s="22"/>
      <c r="AW130" s="22"/>
      <c r="AX130" s="22"/>
      <c r="AY130" s="22"/>
      <c r="AZ130" s="22"/>
      <c r="BA130" s="54"/>
      <c r="BB130" s="22"/>
      <c r="BG130" s="51"/>
      <c r="BK130" s="51"/>
      <c r="BX130" s="51"/>
      <c r="CS130" s="51"/>
      <c r="DO130" s="500"/>
      <c r="HG130" s="981"/>
      <c r="HH130" s="981"/>
      <c r="HI130" s="981"/>
      <c r="HJ130" s="981"/>
      <c r="HK130" s="981"/>
      <c r="HL130" s="981"/>
      <c r="HM130" s="981"/>
      <c r="HN130" s="981"/>
      <c r="HO130" s="981"/>
      <c r="HP130" s="981"/>
      <c r="HQ130" s="981"/>
      <c r="HR130" s="981"/>
      <c r="HS130" s="981"/>
      <c r="HT130" s="981"/>
      <c r="HU130" s="499"/>
      <c r="HV130" s="498"/>
      <c r="HW130" s="498"/>
      <c r="HX130" s="498"/>
      <c r="HY130" s="498"/>
      <c r="HZ130" s="498"/>
      <c r="IA130" s="498"/>
      <c r="IB130" s="498"/>
      <c r="IC130" s="498"/>
      <c r="ID130" s="498"/>
      <c r="IE130" s="498"/>
      <c r="IF130" s="498"/>
      <c r="IG130" s="498"/>
      <c r="IH130" s="498"/>
      <c r="II130" s="498"/>
      <c r="IJ130" s="498"/>
      <c r="IK130" s="498"/>
      <c r="IL130" s="498"/>
      <c r="IM130" s="498"/>
      <c r="IN130" s="498"/>
      <c r="IO130" s="498"/>
      <c r="IP130" s="498"/>
      <c r="IQ130" s="498"/>
      <c r="IR130" s="498"/>
      <c r="IS130" s="498"/>
      <c r="IT130" s="498"/>
      <c r="IU130" s="498"/>
      <c r="IV130" s="498"/>
      <c r="IW130" s="498"/>
      <c r="IX130" s="498"/>
      <c r="IY130" s="498"/>
      <c r="IZ130" s="498"/>
      <c r="JA130" s="498"/>
      <c r="JB130" s="498"/>
      <c r="JC130" s="498"/>
      <c r="JR130" s="4"/>
      <c r="JS130" s="4"/>
      <c r="JT130" s="4"/>
      <c r="JU130" s="4"/>
      <c r="JV130" s="4"/>
      <c r="JW130" s="4"/>
      <c r="JX130" s="4"/>
      <c r="JY130" s="4"/>
      <c r="JZ130" s="4"/>
      <c r="KA130" s="4"/>
      <c r="KB130" s="4"/>
      <c r="KC130" s="4"/>
      <c r="KD130" s="4"/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6"/>
      <c r="KP130" s="6"/>
    </row>
    <row r="131" spans="1:302" s="1" customFormat="1" ht="11.1" customHeight="1">
      <c r="A131" s="497" t="s">
        <v>463</v>
      </c>
      <c r="B131" s="496" t="s">
        <v>186</v>
      </c>
      <c r="C131" s="495">
        <v>48834</v>
      </c>
      <c r="D131" s="974">
        <v>45188</v>
      </c>
      <c r="E131" s="770">
        <v>98.79</v>
      </c>
      <c r="F131" s="561">
        <v>5.3749999999999999E-2</v>
      </c>
      <c r="G131" s="383">
        <v>1000</v>
      </c>
      <c r="H131" s="492">
        <f>G131</f>
        <v>1000</v>
      </c>
      <c r="I131" s="385">
        <f>G131*F131/100*F136</f>
        <v>47.03125</v>
      </c>
      <c r="J131" s="492">
        <f>I131</f>
        <v>47.03125</v>
      </c>
      <c r="K131" s="879" t="s">
        <v>426</v>
      </c>
      <c r="L131" s="833">
        <f>MONTH(C131)</f>
        <v>9</v>
      </c>
      <c r="M131" s="842" t="str">
        <f>IFERROR(IF(N131&gt;12,N131-12,N131),"")</f>
        <v/>
      </c>
      <c r="N131" s="594" t="str">
        <f>IF(K133=1,"",MONTH(C131)+6)</f>
        <v/>
      </c>
      <c r="O131" s="832">
        <f>IF(K133=1,I131,I131/2)</f>
        <v>47.03125</v>
      </c>
      <c r="P131" s="215">
        <f>VLOOKUP(B132,[2]Prezzi!$A$2:$R$125,18,FALSE)</f>
        <v>107.04000091552734</v>
      </c>
      <c r="Q131" s="280"/>
      <c r="R131" s="432"/>
      <c r="S131" s="493">
        <f ca="1">MAX(0,IF(B136=5,I131/AM133*X131,(((((F131)*AF$2)/365)*G131*F136/100)+((((F131)*X136)/365)*G131*F136/100))))</f>
        <v>7.9888698630138606</v>
      </c>
      <c r="T131" s="492">
        <f ca="1">S131</f>
        <v>7.9888698630138606</v>
      </c>
      <c r="U131" s="469"/>
      <c r="V131" s="4"/>
      <c r="W131" s="469"/>
      <c r="X131" s="491">
        <f ca="1">IF(B136=4,COUPDAYBS($AB$2,C131,K133,AH135),IF($AB$2-AL131&lt;365,IF(K133&gt;1,FLOOR(365/K133-(E133-AB$2),1),IF(B136=2,0,IF(AL131&gt;$AB$2,0,IF(AND(E133-AL131&lt;365,$AB$2&lt;E133),$AB$2-AL131,COUPDAYBS($AB$2,C131,K133,AH135))))),COUPDAYBS($AB$2,C131,K133,AH135)))</f>
        <v>62</v>
      </c>
      <c r="Y131" s="456">
        <f ca="1">G131*AF131</f>
        <v>7024.9861262108416</v>
      </c>
      <c r="Z131" s="456">
        <f ca="1">IF(G131=0,"0",G131*AG131)</f>
        <v>38.444570819225405</v>
      </c>
      <c r="AA131" s="22"/>
      <c r="AB131" s="979">
        <f ca="1">IF(B136=5,(((I131/AM134)*X131)+(G131)),(G131*P131*A136/100)+(S131*A136))</f>
        <v>1078.3888790182873</v>
      </c>
      <c r="AC131" s="383">
        <f ca="1">AB131</f>
        <v>1078.3888790182873</v>
      </c>
      <c r="AD131" s="156">
        <f>IF(E132="",((P131-E131)/100)*G131,((((P131-E131)/100)*A132)/F132)+((A132/F132)-(A132/E132)))</f>
        <v>82.500009155273375</v>
      </c>
      <c r="AE131" s="383">
        <f>AD131</f>
        <v>82.500009155273375</v>
      </c>
      <c r="AF131" s="446">
        <f ca="1">IF(B136=1,MDURATION($AB$2,C131,F131,AG131,K133,AH135),IF(B136=2,YEARFRAC(C131,$AB$2,AH135)))</f>
        <v>7.024986126210842</v>
      </c>
      <c r="AG131" s="824">
        <f ca="1">YIELD(AB$2,C131,F131,P131,AL133,K133,AH135)*F136/100</f>
        <v>3.8444570819225407E-2</v>
      </c>
      <c r="AH131" s="489">
        <f ca="1">(((F131)*X131)/365)*F136</f>
        <v>0.79888698630136978</v>
      </c>
      <c r="AI131" s="489"/>
      <c r="AJ131" s="488"/>
      <c r="AK131" s="487"/>
      <c r="AL131" s="486">
        <v>45181</v>
      </c>
      <c r="AM131" s="22" t="s">
        <v>427</v>
      </c>
      <c r="AN131" s="179">
        <f>IF(B136=4,MIN(G131*E131*A134*AV$3/100,AV$4),IF(AF133=1,MIN(G131*E131*AV$3/100,AV$4),MIN((A132*E131/E132*AV$3/100),AV$4)+(((A132/E132*E131/100)+(A132/E132*E131*AV$3/100)+AN132+AO131)*AZ$3)))</f>
        <v>0.98790000000000011</v>
      </c>
      <c r="AO131" s="484">
        <f>IF(B136=4,AP134*A133/100,IF(AF133=1,G131*AP134/100,A132/E132/100*AP134))</f>
        <v>1.32172</v>
      </c>
      <c r="AP131" s="188">
        <f>IF(B136=2,AN136+AN131+AN132+AP132,AN136+AN131+AN132+AO131+AO132+AP132)</f>
        <v>993.54099581576781</v>
      </c>
      <c r="AQ131" s="326">
        <f>AP131</f>
        <v>993.54099581576781</v>
      </c>
      <c r="AR131" s="710">
        <f>AR133+AR135+AR132</f>
        <v>1045.6475</v>
      </c>
      <c r="AS131" s="825">
        <f ca="1">AG131</f>
        <v>3.8444570819225407E-2</v>
      </c>
      <c r="AT131" s="419">
        <f>IF(B136=1,G131,"")</f>
        <v>1000</v>
      </c>
      <c r="AU131" s="420" t="str">
        <f>IF(B136=2,G131,"")</f>
        <v/>
      </c>
      <c r="AV131" s="223" t="str">
        <f>IF(B136=3,G131,"")</f>
        <v/>
      </c>
      <c r="AW131" s="420" t="str">
        <f>IF(B136=4,G131,"")</f>
        <v/>
      </c>
      <c r="AX131" s="417" t="str">
        <f>IF(B136=5,G131,"")</f>
        <v/>
      </c>
      <c r="AY131" s="420" t="str">
        <f>IF(B136=6,G131,"")</f>
        <v/>
      </c>
      <c r="AZ131" s="223" t="str">
        <f>IF(B136=7,G131,"")</f>
        <v/>
      </c>
      <c r="BA131" s="419" t="str">
        <f>IF(B133=1,G131,"")</f>
        <v/>
      </c>
      <c r="BB131" s="223" t="str">
        <f>IF(B133=2,G131,"")</f>
        <v/>
      </c>
      <c r="BC131" s="223" t="str">
        <f>IF(B133=3,G131,"")</f>
        <v/>
      </c>
      <c r="BD131" s="223">
        <f>IF(B133=4,G131,"")</f>
        <v>1000</v>
      </c>
      <c r="BE131" s="223" t="str">
        <f>IF(B133=5,G131,"")</f>
        <v/>
      </c>
      <c r="BF131" s="417" t="str">
        <f>IF(B133=6,G131,"")</f>
        <v/>
      </c>
      <c r="BG131" s="419">
        <f>IF(AK136=1,G131,"")</f>
        <v>1000</v>
      </c>
      <c r="BH131" s="223" t="str">
        <f>IF(AK136=2,G131,"")</f>
        <v/>
      </c>
      <c r="BI131" s="223" t="str">
        <f>IF(AK136=3,G131,"")</f>
        <v/>
      </c>
      <c r="BJ131" s="223" t="str">
        <f>IF(AK136=4,G131,"")</f>
        <v/>
      </c>
      <c r="BK131" s="419">
        <f>IF(AJ135=1,G131,"")</f>
        <v>1000</v>
      </c>
      <c r="BL131" s="482">
        <f ca="1">IF(BK131&lt;&gt;"",AB131,"")</f>
        <v>1078.3888790182873</v>
      </c>
      <c r="BM131" s="223" t="str">
        <f>IF(AJ135=2,G131,"")</f>
        <v/>
      </c>
      <c r="BN131" s="223" t="str">
        <f>IF(BM131&lt;&gt;"",AB131,"")</f>
        <v/>
      </c>
      <c r="BO131" s="223" t="str">
        <f>IF(AJ135=3,G131,"")</f>
        <v/>
      </c>
      <c r="BP131" s="223" t="str">
        <f>IF(AJ135=4,G131,"")</f>
        <v/>
      </c>
      <c r="BQ131" s="223" t="str">
        <f>IF(AJ135=5,G131,"")</f>
        <v/>
      </c>
      <c r="BR131" s="223" t="str">
        <f>IF(AJ135=6,G131,"")</f>
        <v/>
      </c>
      <c r="BS131" s="223" t="str">
        <f>IF(AJ135=7,G131,"")</f>
        <v/>
      </c>
      <c r="BT131" s="223" t="str">
        <f>IF(AJ135=8,G131,"")</f>
        <v/>
      </c>
      <c r="BU131" s="223" t="str">
        <f>IF(AJ135=9,G131,"")</f>
        <v/>
      </c>
      <c r="BV131" s="223" t="str">
        <f>IF(AJ135=10,G131,"")</f>
        <v/>
      </c>
      <c r="BW131" s="223" t="str">
        <f>IF(AJ135=11,G131,"")</f>
        <v/>
      </c>
      <c r="BX131" s="419">
        <f>IF(AF133=1,G131,"")</f>
        <v>1000</v>
      </c>
      <c r="BY131" s="223" t="str">
        <f>IF(AF133=2,G131,"")</f>
        <v/>
      </c>
      <c r="BZ131" s="223" t="str">
        <f>IF(AF133=3,G131,"")</f>
        <v/>
      </c>
      <c r="CA131" s="223" t="str">
        <f>IF(AF133=4,G131,"")</f>
        <v/>
      </c>
      <c r="CB131" s="223" t="str">
        <f>IF(AF133=5,G131,"")</f>
        <v/>
      </c>
      <c r="CC131" s="223" t="str">
        <f>IF(AF133=6,G131,"")</f>
        <v/>
      </c>
      <c r="CD131" s="223" t="str">
        <f>IF(AF133=7,G131,"")</f>
        <v/>
      </c>
      <c r="CE131" s="223" t="str">
        <f>IF(AF133=8,G131,"")</f>
        <v/>
      </c>
      <c r="CF131" s="223" t="str">
        <f>IF(AF133=9,G131,"")</f>
        <v/>
      </c>
      <c r="CG131" s="223" t="str">
        <f>IF(AF133=10,G131,"")</f>
        <v/>
      </c>
      <c r="CH131" s="223" t="str">
        <f>IF(AF133=11,G131,"")</f>
        <v/>
      </c>
      <c r="CI131" s="223" t="str">
        <f>IF(AF133=12,G131,"")</f>
        <v/>
      </c>
      <c r="CJ131" s="223" t="str">
        <f>IF(AF133=13,G131,"")</f>
        <v/>
      </c>
      <c r="CK131" s="223" t="str">
        <f>IF(AF133=14,G131,"")</f>
        <v/>
      </c>
      <c r="CL131" s="223" t="str">
        <f>IF(AF133=15,G131,"")</f>
        <v/>
      </c>
      <c r="CM131" s="223" t="str">
        <f>IF(AF133=16,G131,"")</f>
        <v/>
      </c>
      <c r="CN131" s="223" t="str">
        <f>IF(AF133=17,G131,"")</f>
        <v/>
      </c>
      <c r="CO131" s="223" t="str">
        <f>IF(AF133=18,G131,"")</f>
        <v/>
      </c>
      <c r="CP131" s="223" t="str">
        <f>IF(AF133=19,G131,"")</f>
        <v/>
      </c>
      <c r="CQ131" s="223" t="str">
        <f>IF(AF133=20,G131,"")</f>
        <v/>
      </c>
      <c r="CR131" s="223" t="str">
        <f>IF(AF133=21,G131,"")</f>
        <v/>
      </c>
      <c r="CS131" s="419" t="str">
        <f>IF(K136=1,G131,"")</f>
        <v/>
      </c>
      <c r="CT131" s="223" t="str">
        <f>IF(K136=2,G131,"")</f>
        <v/>
      </c>
      <c r="CU131" s="223" t="str">
        <f>IF(K136=3,G131,"")</f>
        <v/>
      </c>
      <c r="CV131" s="223" t="str">
        <f>IF(K136=4,G131,"")</f>
        <v/>
      </c>
      <c r="CW131" s="223" t="str">
        <f>IF(K136=5,G131,"")</f>
        <v/>
      </c>
      <c r="CX131" s="223" t="str">
        <f>IF(K136=6,G131,"")</f>
        <v/>
      </c>
      <c r="CY131" s="223" t="str">
        <f>IF(K136=7,G131,"")</f>
        <v/>
      </c>
      <c r="CZ131" s="223" t="str">
        <f>IF(K136=8,G131,"")</f>
        <v/>
      </c>
      <c r="DA131" s="223" t="str">
        <f>IF(K136=9,G131,"")</f>
        <v/>
      </c>
      <c r="DB131" s="223" t="str">
        <f>IF(K136=10,G131,"")</f>
        <v/>
      </c>
      <c r="DC131" s="223" t="str">
        <f>IF(K136=11,G131,"")</f>
        <v/>
      </c>
      <c r="DD131" s="223" t="str">
        <f>IF(K136=12,G131,"")</f>
        <v/>
      </c>
      <c r="DE131" s="223" t="str">
        <f>IF(K136=13,G131,"")</f>
        <v/>
      </c>
      <c r="DF131" s="223" t="str">
        <f>IF(K136=14,G131,"")</f>
        <v/>
      </c>
      <c r="DG131" s="223" t="str">
        <f>IF(K136=15,G131,"")</f>
        <v/>
      </c>
      <c r="DH131" s="223" t="str">
        <f>IF(K136=16,G131,"")</f>
        <v/>
      </c>
      <c r="DI131" s="223" t="str">
        <f>IF(K136=17,G131,"")</f>
        <v/>
      </c>
      <c r="DJ131" s="223" t="str">
        <f>IF(K136=18,G131,"")</f>
        <v/>
      </c>
      <c r="DK131" s="223" t="str">
        <f>IF(K136=19,G131,"")</f>
        <v/>
      </c>
      <c r="DL131" s="223" t="str">
        <f>IF(K136=20,G131,"")</f>
        <v/>
      </c>
      <c r="DM131" s="223" t="str">
        <f>IF(K136=21,G131,"")</f>
        <v/>
      </c>
      <c r="DN131" s="223">
        <f>IF(K136=22,G131,"")</f>
        <v>1000</v>
      </c>
      <c r="DO131" s="419" t="str">
        <f>IF(AG133=1,G131,"")</f>
        <v/>
      </c>
      <c r="DP131" s="223" t="str">
        <f>IF(AG133=2,G131,"")</f>
        <v/>
      </c>
      <c r="DQ131" s="223" t="str">
        <f>IF(AG133=3,G131,"")</f>
        <v/>
      </c>
      <c r="DR131" s="223" t="str">
        <f>IF(AG133=4,G131,"")</f>
        <v/>
      </c>
      <c r="DS131" s="223" t="str">
        <f>IF(AG133=5,G131,"")</f>
        <v/>
      </c>
      <c r="DT131" s="223" t="str">
        <f>IF(AG133=6,G131,"")</f>
        <v/>
      </c>
      <c r="DU131" s="223" t="str">
        <f>IF(AG133=7,G131,"")</f>
        <v/>
      </c>
      <c r="DV131" s="223" t="str">
        <f>IF(AG133=8,G131,"")</f>
        <v/>
      </c>
      <c r="DW131" s="136" t="str">
        <f>IF(AG133=9,G131,"")</f>
        <v/>
      </c>
      <c r="DX131" s="136" t="str">
        <f>IF(AG133=10,G131,"")</f>
        <v/>
      </c>
      <c r="DY131" s="136" t="str">
        <f>IF(AG133=11,G131,"")</f>
        <v/>
      </c>
      <c r="DZ131" s="136" t="str">
        <f>IF(AG133=12,G131,"")</f>
        <v/>
      </c>
      <c r="EA131" s="136" t="str">
        <f>IF(AG133=13,G131,"")</f>
        <v/>
      </c>
      <c r="EB131" s="136" t="str">
        <f>IF(AG133=14,G131,"")</f>
        <v/>
      </c>
      <c r="EC131" s="317" t="str">
        <f>IF(AG133=15,G131,"")</f>
        <v/>
      </c>
      <c r="ED131" s="136" t="str">
        <f>IF(AG133=16,G131,"")</f>
        <v/>
      </c>
      <c r="EE131" s="136" t="str">
        <f>IF(AG133=17,G131,"")</f>
        <v/>
      </c>
      <c r="EF131" s="136" t="str">
        <f>IF(AG133=18,G131,"")</f>
        <v/>
      </c>
      <c r="EG131" s="136" t="str">
        <f>IF(AG133=19,G131,"")</f>
        <v/>
      </c>
      <c r="EH131" s="136" t="str">
        <f>IF(AG133=20,G131,"")</f>
        <v/>
      </c>
      <c r="EI131" s="136" t="str">
        <f>IF(AG133=21,G131,"")</f>
        <v/>
      </c>
      <c r="EJ131" s="136" t="str">
        <f>IF(AG133=22,G131,"")</f>
        <v/>
      </c>
      <c r="EK131" s="136" t="str">
        <f>IF(AG133=23,G131,"")</f>
        <v/>
      </c>
      <c r="EL131" s="136" t="str">
        <f>IF(AG133=24,G131,"")</f>
        <v/>
      </c>
      <c r="EM131" s="136" t="str">
        <f>IF(AG133=25,G131,"")</f>
        <v/>
      </c>
      <c r="EN131" s="136" t="str">
        <f>IF(AG133=26,G131,"")</f>
        <v/>
      </c>
      <c r="EO131" s="136" t="str">
        <f>IF(AG133=27,G131,"")</f>
        <v/>
      </c>
      <c r="EP131" s="136" t="str">
        <f>IF(AG133=28,G131,"")</f>
        <v/>
      </c>
      <c r="EQ131" s="136" t="str">
        <f>IF(AG133=29,G131,"")</f>
        <v/>
      </c>
      <c r="ER131" s="136" t="str">
        <f>IF(AG133=30,G131,"")</f>
        <v/>
      </c>
      <c r="ES131" s="136" t="str">
        <f>IF(AG133=31,G131,"")</f>
        <v/>
      </c>
      <c r="ET131" s="136" t="str">
        <f>IF(AG133=32,G131,"")</f>
        <v/>
      </c>
      <c r="EU131" s="136" t="str">
        <f>IF(AG133=33,G131,"")</f>
        <v/>
      </c>
      <c r="EV131" s="136" t="str">
        <f>IF(AG133=34,G131,"")</f>
        <v/>
      </c>
      <c r="EW131" s="136" t="str">
        <f>IF(AG133=35,G131,"")</f>
        <v/>
      </c>
      <c r="EX131" s="136" t="str">
        <f>IF(AG133=36,G131,"")</f>
        <v/>
      </c>
      <c r="EY131" s="136" t="str">
        <f>IF(AG133=37,G131,"")</f>
        <v/>
      </c>
      <c r="EZ131" s="136" t="str">
        <f>IF(AG133=38,G131,"")</f>
        <v/>
      </c>
      <c r="FA131" s="136" t="str">
        <f>IF(AG133=39,G131,"")</f>
        <v/>
      </c>
      <c r="FB131" s="136" t="str">
        <f>IF(AG133=40,G131,"")</f>
        <v/>
      </c>
      <c r="FC131" s="136" t="str">
        <f>IF(AG133=41,G131,"")</f>
        <v/>
      </c>
      <c r="FD131" s="136" t="str">
        <f>IF(AG133=42,G131,"")</f>
        <v/>
      </c>
      <c r="FE131" s="136" t="str">
        <f>IF(AG133=43,G131,"")</f>
        <v/>
      </c>
      <c r="FF131" s="136" t="str">
        <f>IF(AG133=44,G131,"")</f>
        <v/>
      </c>
      <c r="FG131" s="136" t="str">
        <f>IF(AG133=45,G131,"")</f>
        <v/>
      </c>
      <c r="FH131" s="136" t="str">
        <f>IF(AG133=46,G131,"")</f>
        <v/>
      </c>
      <c r="FI131" s="136" t="str">
        <f>IF(AG133=47,G131,"")</f>
        <v/>
      </c>
      <c r="FJ131" s="136" t="str">
        <f>IF(AG133=48,G131,"")</f>
        <v/>
      </c>
      <c r="FK131" s="136" t="str">
        <f>IF(AG133=49,G131,"")</f>
        <v/>
      </c>
      <c r="FL131" s="136" t="str">
        <f>IF(AG133=50,G131,"")</f>
        <v/>
      </c>
      <c r="FM131" s="136" t="str">
        <f>IF(AG133=51,G131,"")</f>
        <v/>
      </c>
      <c r="FN131" s="136" t="str">
        <f>IF(AG133=52,G131,"")</f>
        <v/>
      </c>
      <c r="FO131" s="136" t="str">
        <f>IF(AG133=53,G131,"")</f>
        <v/>
      </c>
      <c r="FP131" s="136" t="str">
        <f>IF(AG133=54,G131,"")</f>
        <v/>
      </c>
      <c r="FQ131" s="136" t="str">
        <f>IF(AG133=55,G131,"")</f>
        <v/>
      </c>
      <c r="FR131" s="412" t="str">
        <f>IF(AG133=56,G131,"")</f>
        <v/>
      </c>
      <c r="FS131" s="412" t="str">
        <f>IF(AG133=57,G131,"")</f>
        <v/>
      </c>
      <c r="FT131" s="412" t="str">
        <f>IF(AG133=58,G131,"")</f>
        <v/>
      </c>
      <c r="FU131" s="412" t="str">
        <f>IF(AG133=59,G131,"")</f>
        <v/>
      </c>
      <c r="FV131" s="412" t="str">
        <f>IF(AG133=60,G131,"")</f>
        <v/>
      </c>
      <c r="FW131" s="412" t="str">
        <f>IF(AG133=61,G131,"")</f>
        <v/>
      </c>
      <c r="FX131" s="412" t="str">
        <f>IF(AG133=62,G131,"")</f>
        <v/>
      </c>
      <c r="FY131" s="412" t="str">
        <f>IF(AG133=63,G131,"")</f>
        <v/>
      </c>
      <c r="FZ131" s="412" t="str">
        <f>IF(AG133=64,G131,"")</f>
        <v/>
      </c>
      <c r="GA131" s="412" t="str">
        <f>IF(AG133=65,G131,"")</f>
        <v/>
      </c>
      <c r="GB131" s="412" t="str">
        <f>IF(AG133=66,G131,"")</f>
        <v/>
      </c>
      <c r="GC131" s="412" t="str">
        <f>IF(AG133=67,G131,"")</f>
        <v/>
      </c>
      <c r="GD131" s="412" t="str">
        <f>IF(AG133=68,G131,"")</f>
        <v/>
      </c>
      <c r="GE131" s="412" t="str">
        <f>IF(AG133=69,G131,"")</f>
        <v/>
      </c>
      <c r="GF131" s="412" t="str">
        <f>IF(AG133=70,G131,"")</f>
        <v/>
      </c>
      <c r="GG131" s="412" t="str">
        <f>IF(AG133=71,G131,"")</f>
        <v/>
      </c>
      <c r="GH131" s="412" t="str">
        <f>IF(AG133=72,G131,"")</f>
        <v/>
      </c>
      <c r="GI131" s="412" t="str">
        <f>IF(AG133=73,G131,"")</f>
        <v/>
      </c>
      <c r="GJ131" s="412" t="str">
        <f>IF(AG133=74,G131,"")</f>
        <v/>
      </c>
      <c r="GK131" s="412" t="str">
        <f>IF(AG133=75,G131,"")</f>
        <v/>
      </c>
      <c r="GL131" s="412" t="str">
        <f>IF(AG133=76,G131,"")</f>
        <v/>
      </c>
      <c r="GM131" s="412" t="str">
        <f>IF(AG133=77,G131,"")</f>
        <v/>
      </c>
      <c r="GN131" s="412" t="str">
        <f>IF(AG133=78,G131,"")</f>
        <v/>
      </c>
      <c r="GO131" s="412" t="str">
        <f>IF(AG133=79,G131,"")</f>
        <v/>
      </c>
      <c r="GP131" s="412" t="str">
        <f>IF(AG133=80,G131,"")</f>
        <v/>
      </c>
      <c r="GQ131" s="412" t="str">
        <f>IF(AG133=81,G131,"")</f>
        <v/>
      </c>
      <c r="GR131" s="412" t="str">
        <f>IF(AG133=82,G131,"")</f>
        <v/>
      </c>
      <c r="GS131" s="412" t="str">
        <f>IF(AG133=83,G131,"")</f>
        <v/>
      </c>
      <c r="GT131" s="412" t="str">
        <f>IF(AG133=84,G131,"")</f>
        <v/>
      </c>
      <c r="GU131" s="412" t="str">
        <f>IF(AG133=85,G131,"")</f>
        <v/>
      </c>
      <c r="GV131" s="412" t="str">
        <f>IF(AG133=86,G131,"")</f>
        <v/>
      </c>
      <c r="GW131" s="412" t="str">
        <f>IF(AG133=87,G131,"")</f>
        <v/>
      </c>
      <c r="GX131" s="412" t="str">
        <f>IF(AG133=88,G131,"")</f>
        <v/>
      </c>
      <c r="GY131" s="412" t="str">
        <f>IF(AG133=89,G131,"")</f>
        <v/>
      </c>
      <c r="GZ131" s="412" t="str">
        <f>IF(AG133=90,G131,"")</f>
        <v/>
      </c>
      <c r="HA131" s="412" t="str">
        <f>IF(AG133=91,G131,"")</f>
        <v/>
      </c>
      <c r="HB131" s="412" t="str">
        <f>IF(AG133=92,G131,"")</f>
        <v/>
      </c>
      <c r="HC131" s="412" t="str">
        <f>IF(AG133=93,G131,"")</f>
        <v/>
      </c>
      <c r="HD131" s="412">
        <f>IF(AG133=94,G131,"")</f>
        <v>1000</v>
      </c>
      <c r="HE131" s="412" t="str">
        <f>IF(AG133=95,G131,"")</f>
        <v/>
      </c>
      <c r="HF131" s="412" t="str">
        <f>IF(AG133=96,G131,"")</f>
        <v/>
      </c>
      <c r="HG131" s="412" t="str">
        <f>IF(AG133=97,G131,"")</f>
        <v/>
      </c>
      <c r="HH131" s="412" t="str">
        <f>IF(AG133=98,G131,"")</f>
        <v/>
      </c>
      <c r="HI131" s="412" t="str">
        <f>IF(AG133=99,G131,"")</f>
        <v/>
      </c>
      <c r="HJ131" s="412"/>
      <c r="HK131" s="412"/>
      <c r="HL131" s="412"/>
      <c r="HM131" s="412"/>
      <c r="HN131" s="412"/>
      <c r="HO131" s="412"/>
      <c r="HP131" s="412"/>
      <c r="HQ131" s="412"/>
      <c r="HR131" s="412"/>
      <c r="HS131" s="412"/>
      <c r="HT131" s="412"/>
      <c r="HU131" s="278">
        <f ca="1">IF(AF133=1,AB131,"")</f>
        <v>1078.3888790182873</v>
      </c>
      <c r="HV131" s="277" t="str">
        <f>IF(AF133=2,AB131,"")</f>
        <v/>
      </c>
      <c r="HW131" s="277" t="str">
        <f>IF(AF133=3,AB131,"")</f>
        <v/>
      </c>
      <c r="HX131" s="277" t="str">
        <f>IF(AF133=4,AB131,"")</f>
        <v/>
      </c>
      <c r="HY131" s="277" t="str">
        <f>IF(AF133=5,AB131,"")</f>
        <v/>
      </c>
      <c r="HZ131" s="277" t="str">
        <f>IF(AF133=6,AB131,"")</f>
        <v/>
      </c>
      <c r="IA131" s="277" t="str">
        <f>IF(AF133=7,AB131,"")</f>
        <v/>
      </c>
      <c r="IB131" s="277" t="str">
        <f>IF(AF133=8,AB131,"")</f>
        <v/>
      </c>
      <c r="IC131" s="277" t="str">
        <f>IF(AF133=9,AB131,"")</f>
        <v/>
      </c>
      <c r="ID131" s="412" t="str">
        <f>IF(AF133=10,AB131,"")</f>
        <v/>
      </c>
      <c r="IE131" s="223" t="str">
        <f>IF(AF133=11,AB131,"")</f>
        <v/>
      </c>
      <c r="IF131" s="223" t="str">
        <f>IF(AF133=12,AB131,"")</f>
        <v/>
      </c>
      <c r="IG131" s="223" t="str">
        <f>IF(AF133=13,AB131,"")</f>
        <v/>
      </c>
      <c r="IH131" s="223" t="str">
        <f>IF(AF133=14,AB131,"")</f>
        <v/>
      </c>
      <c r="II131" s="223" t="str">
        <f>IF(AF133=15,AB131,"")</f>
        <v/>
      </c>
      <c r="IJ131" s="223" t="str">
        <f>IF(AF133=16,AB131,"")</f>
        <v/>
      </c>
      <c r="IK131" s="223" t="str">
        <f>IF(AF133=17,AB131,"")</f>
        <v/>
      </c>
      <c r="IL131" s="223" t="str">
        <f>IF(AF133=18,AB131,"")</f>
        <v/>
      </c>
      <c r="IM131" s="223" t="str">
        <f>IF(AF133=19,AB131,"")</f>
        <v/>
      </c>
      <c r="IN131" s="223" t="str">
        <f>IF(AF133=20,AB131,"")</f>
        <v/>
      </c>
      <c r="IO131" s="223" t="str">
        <f>IF(AF133=21,AB131,"")</f>
        <v/>
      </c>
      <c r="IP131" s="413"/>
      <c r="IQ131" s="478" t="str">
        <f>IF(G136=6,G131,"")</f>
        <v/>
      </c>
      <c r="IR131" s="317" t="str">
        <f>IF(G136=7,G131,"")</f>
        <v/>
      </c>
      <c r="IS131" s="478" t="str">
        <f>IF(G136=8,G131,"")</f>
        <v/>
      </c>
      <c r="IT131" s="317" t="str">
        <f>IF(G136=9,G131,"")</f>
        <v/>
      </c>
      <c r="IU131" s="478" t="str">
        <f>IF(G136=10,G131,"")</f>
        <v/>
      </c>
      <c r="IV131" s="478" t="str">
        <f>IF(G136=11,G131,"")</f>
        <v/>
      </c>
      <c r="IW131" s="478" t="str">
        <f>IF(G136=12,G131,"")</f>
        <v/>
      </c>
      <c r="IX131" s="478" t="str">
        <f>IF(G136=13,G131,"")</f>
        <v/>
      </c>
      <c r="IY131" s="478" t="str">
        <f>IF(G136=14,G131,"")</f>
        <v/>
      </c>
      <c r="IZ131" s="478" t="str">
        <f>IF(G136=15,G131,"")</f>
        <v/>
      </c>
      <c r="JA131" s="478" t="str">
        <f>IF(G136=16,G131,"")</f>
        <v/>
      </c>
      <c r="JB131" s="478" t="str">
        <f>IF(G136=17,G131,"")</f>
        <v/>
      </c>
      <c r="JC131" s="478" t="str">
        <f>IF(G136=18,G131,"")</f>
        <v/>
      </c>
      <c r="JD131" s="478" t="str">
        <f>IF(G136=19,G131,"")</f>
        <v/>
      </c>
      <c r="JE131" s="478" t="str">
        <f>IF(G136=20,G131,"")</f>
        <v/>
      </c>
      <c r="JF131" s="478" t="str">
        <f>IF(G136=21,G131,"")</f>
        <v/>
      </c>
      <c r="JG131" s="478">
        <f>IF(G136=22,G131,"")</f>
        <v>1000</v>
      </c>
      <c r="JH131" s="478" t="str">
        <f>IF(G136=23,G131,"")</f>
        <v/>
      </c>
      <c r="JI131" s="478" t="str">
        <f>IF(G136=24,G131,"")</f>
        <v/>
      </c>
      <c r="JJ131" s="478" t="str">
        <f>IF(G136=25,G131,"")</f>
        <v/>
      </c>
      <c r="JK131" s="478" t="str">
        <f>IF(G136=26,G131,"")</f>
        <v/>
      </c>
      <c r="JL131" s="478" t="str">
        <f>IF(G136=27,G131,"")</f>
        <v/>
      </c>
      <c r="JM131" s="478" t="str">
        <f>IF(G136=28,G131,"")</f>
        <v/>
      </c>
      <c r="JN131" s="478" t="str">
        <f>IF(G136=29,G131,"")</f>
        <v/>
      </c>
      <c r="JO131" s="478" t="str">
        <f>IF(G136=30,G131,"")</f>
        <v/>
      </c>
      <c r="JP131" s="478"/>
      <c r="JQ131" s="481">
        <f>IF(AND(AJ135=4,K136=1,G136&lt;=3),G131,0)</f>
        <v>0</v>
      </c>
      <c r="JR131" s="445" t="str">
        <f>IF(AF133=2,G131*E132,"")</f>
        <v/>
      </c>
      <c r="JS131" s="544" t="str">
        <f>IF(AF133&gt;1,((A132/F132)-(A132/E132)),"")</f>
        <v/>
      </c>
      <c r="JT131" s="543" t="str">
        <f>IF(AF133=2,((A132/F132)-(A132/E132)),"")</f>
        <v/>
      </c>
      <c r="JU131" s="543" t="str">
        <f>IF(AF133=3,((A132/F132)-(A132/E132)),"")</f>
        <v/>
      </c>
      <c r="JV131" s="543" t="str">
        <f>IF(AF133=4,((A132/F132)-(A132/E132)),"")</f>
        <v/>
      </c>
      <c r="JW131" s="543" t="str">
        <f>IF(AF133=5,((A132/F132)-(A132/E132)),"")</f>
        <v/>
      </c>
      <c r="JX131" s="543" t="str">
        <f>IF(AF133=6,((A132/F132)-(A132/E132)),"")</f>
        <v/>
      </c>
      <c r="JY131" s="543" t="str">
        <f>IF(AF133=7,((A132/F132)-(A132/E132)),"")</f>
        <v/>
      </c>
      <c r="JZ131" s="542" t="str">
        <f>IF(AF133=8,((A132/F132)-(A132/E132)),"")</f>
        <v/>
      </c>
      <c r="KA131" s="542" t="str">
        <f>IF(AF133=9,((A132/F132)-(A132/E132)),"")</f>
        <v/>
      </c>
      <c r="KB131" s="542" t="str">
        <f>IF(AF133=10,((A132/F132)-(A132/E132)),"")</f>
        <v/>
      </c>
      <c r="KC131" s="542" t="str">
        <f>IF(AF133=11,((A132/F132)-(A132/E132)),"")</f>
        <v/>
      </c>
      <c r="KD131" s="542" t="str">
        <f>IF(AF133=12,((A132/F132)-(A132/E132)),"")</f>
        <v/>
      </c>
      <c r="KE131" s="542" t="str">
        <f>IF(AF133=13,((A132/F132)-(A132/E132)),"")</f>
        <v/>
      </c>
      <c r="KF131" s="542" t="str">
        <f>IF(AF133=14,((A132/F132)-(A132/E132)),"")</f>
        <v/>
      </c>
      <c r="KG131" s="542" t="str">
        <f>IF(AF133=15,((A132/F132)-(A132/E132)),"")</f>
        <v/>
      </c>
      <c r="KH131" s="542" t="str">
        <f>IF(AF133=16,((A132/F132)-(A132/E132)),"")</f>
        <v/>
      </c>
      <c r="KI131" s="542" t="str">
        <f>IF(AF133=17,((A132/F132)-(A132/E132)),"")</f>
        <v/>
      </c>
      <c r="KJ131" s="542" t="str">
        <f>IF(AF133=18,((A132/F132)-(A132/E132)),"")</f>
        <v/>
      </c>
      <c r="KK131" s="542" t="str">
        <f>IF(AF133=19,((A132/F132)-(A132/E132)),"")</f>
        <v/>
      </c>
      <c r="KL131" s="542" t="str">
        <f>IF(AF133=20,((A132/F132)-(A132/E132)),"")</f>
        <v/>
      </c>
      <c r="KM131" s="542" t="str">
        <f>IF(AF133=21,((A132/F132)-(A132/E132)),"")</f>
        <v/>
      </c>
      <c r="KN131" s="445"/>
      <c r="KO131" s="445"/>
      <c r="KP131" s="445"/>
    </row>
    <row r="132" spans="1:302" s="1" customFormat="1" ht="11.1" customHeight="1">
      <c r="A132" s="461"/>
      <c r="B132" s="628" t="s">
        <v>485</v>
      </c>
      <c r="C132" s="933"/>
      <c r="D132" s="828">
        <f>IF(WEEKDAY(D131,2)=4,D131+4,IF(WEEKDAY(D131,2)=5,D131+4,D131+2))</f>
        <v>45190</v>
      </c>
      <c r="E132" s="475"/>
      <c r="F132" s="460"/>
      <c r="G132" s="383"/>
      <c r="H132" s="383"/>
      <c r="I132" s="434"/>
      <c r="J132" s="434"/>
      <c r="K132" s="384"/>
      <c r="L132" s="722"/>
      <c r="M132" s="720"/>
      <c r="N132" s="720"/>
      <c r="O132" s="223"/>
      <c r="P132" s="474"/>
      <c r="Q132" s="280"/>
      <c r="R132" s="432"/>
      <c r="S132" s="4"/>
      <c r="T132" s="431"/>
      <c r="U132" s="469"/>
      <c r="V132" s="4"/>
      <c r="W132" s="469"/>
      <c r="X132" s="442"/>
      <c r="Y132" s="22"/>
      <c r="Z132" s="22"/>
      <c r="AA132" s="22"/>
      <c r="AB132" s="360"/>
      <c r="AC132" s="431"/>
      <c r="AD132" s="825">
        <f>IF(E132="",((P131-E131)/E131),((P131-E131)/E131)+(((1/F132)-(1/E132))/(1/E132)))</f>
        <v>8.3510486036312753E-2</v>
      </c>
      <c r="AE132" s="431"/>
      <c r="AF132" s="279" t="s">
        <v>65</v>
      </c>
      <c r="AG132" s="824"/>
      <c r="AH132" s="993" t="s">
        <v>177</v>
      </c>
      <c r="AI132" s="954"/>
      <c r="AJ132" s="960"/>
      <c r="AK132" s="473"/>
      <c r="AL132" s="54">
        <v>98.893000000000001</v>
      </c>
      <c r="AM132" s="472" t="s">
        <v>176</v>
      </c>
      <c r="AN132" s="179">
        <f>AV$6</f>
        <v>3.5</v>
      </c>
      <c r="AO132" s="179">
        <f>IF(B136=2,"0",AO131*-(100-F135)/100)</f>
        <v>-0.165215</v>
      </c>
      <c r="AP132" s="463">
        <f>IF(AP133&lt;0,0,AP133*-(100-F135)/100)</f>
        <v>-3.409184232137966E-3</v>
      </c>
      <c r="AQ132" s="179"/>
      <c r="AR132" s="709">
        <f>AR135*-(100-F136)/100</f>
        <v>-6.71875</v>
      </c>
      <c r="AS132" s="471">
        <f>-AP131+AS135+(F131/365*AN135*F136/100)*G131</f>
        <v>475.77431240341025</v>
      </c>
      <c r="AT132" s="419"/>
      <c r="AU132" s="420"/>
      <c r="AV132" s="223"/>
      <c r="AW132" s="420"/>
      <c r="AX132" s="417"/>
      <c r="AY132" s="420"/>
      <c r="AZ132" s="223"/>
      <c r="BA132" s="419"/>
      <c r="BB132" s="223"/>
      <c r="BC132" s="223"/>
      <c r="BD132" s="223"/>
      <c r="BE132" s="223"/>
      <c r="BF132" s="416"/>
      <c r="BG132" s="418"/>
      <c r="BH132" s="416"/>
      <c r="BI132" s="416"/>
      <c r="BJ132" s="416"/>
      <c r="BK132" s="418"/>
      <c r="BL132" s="417"/>
      <c r="BM132" s="417"/>
      <c r="BN132" s="417"/>
      <c r="BO132" s="417"/>
      <c r="BP132" s="417"/>
      <c r="BQ132" s="417"/>
      <c r="BR132" s="417"/>
      <c r="BS132" s="417"/>
      <c r="BT132" s="412"/>
      <c r="BU132" s="412"/>
      <c r="BV132" s="412"/>
      <c r="BW132" s="412"/>
      <c r="BX132" s="415"/>
      <c r="BY132" s="389"/>
      <c r="BZ132" s="389"/>
      <c r="CA132" s="389"/>
      <c r="CB132" s="389"/>
      <c r="CC132" s="389"/>
      <c r="CD132" s="389"/>
      <c r="CE132" s="389"/>
      <c r="CF132" s="389"/>
      <c r="CG132" s="389"/>
      <c r="CH132" s="389"/>
      <c r="CI132" s="389"/>
      <c r="CJ132" s="389"/>
      <c r="CK132" s="389"/>
      <c r="CL132" s="389"/>
      <c r="CM132" s="389"/>
      <c r="CN132" s="389"/>
      <c r="CO132" s="389"/>
      <c r="CP132" s="389"/>
      <c r="CQ132" s="389"/>
      <c r="CR132" s="389"/>
      <c r="CS132" s="415"/>
      <c r="CT132" s="389"/>
      <c r="CU132" s="389"/>
      <c r="CV132" s="389"/>
      <c r="CW132" s="389"/>
      <c r="CX132" s="389"/>
      <c r="CY132" s="389"/>
      <c r="CZ132" s="389"/>
      <c r="DA132" s="389"/>
      <c r="DB132" s="389"/>
      <c r="DC132" s="389"/>
      <c r="DD132" s="389"/>
      <c r="DE132" s="389"/>
      <c r="DF132" s="389"/>
      <c r="DG132" s="389"/>
      <c r="DH132" s="389"/>
      <c r="DI132" s="389"/>
      <c r="DJ132" s="389"/>
      <c r="DK132" s="389"/>
      <c r="DL132" s="389"/>
      <c r="DM132" s="389"/>
      <c r="DN132" s="389"/>
      <c r="DO132" s="414"/>
      <c r="DP132" s="39"/>
      <c r="DQ132" s="39"/>
      <c r="DR132" s="39"/>
      <c r="DS132" s="39"/>
      <c r="DT132" s="39"/>
      <c r="DU132" s="39"/>
      <c r="DV132" s="39"/>
      <c r="DW132" s="39"/>
      <c r="DX132" s="39"/>
      <c r="DY132" s="39"/>
      <c r="DZ132" s="39"/>
      <c r="EA132" s="39"/>
      <c r="EB132" s="39"/>
      <c r="EC132" s="39"/>
      <c r="ED132" s="136"/>
      <c r="EE132" s="136"/>
      <c r="EF132" s="136"/>
      <c r="EG132" s="136"/>
      <c r="EH132" s="136"/>
      <c r="EI132" s="136"/>
      <c r="EJ132" s="136"/>
      <c r="EK132" s="136"/>
      <c r="EL132" s="136"/>
      <c r="EM132" s="136"/>
      <c r="EN132" s="136"/>
      <c r="EO132" s="136"/>
      <c r="EP132" s="136"/>
      <c r="EQ132" s="136"/>
      <c r="ER132" s="136"/>
      <c r="ES132" s="136"/>
      <c r="ET132" s="136"/>
      <c r="EU132" s="136"/>
      <c r="EV132" s="136"/>
      <c r="EW132" s="136"/>
      <c r="EX132" s="136"/>
      <c r="EY132" s="136"/>
      <c r="EZ132" s="136"/>
      <c r="FA132" s="136"/>
      <c r="FB132" s="136"/>
      <c r="FC132" s="136"/>
      <c r="FD132" s="136"/>
      <c r="FE132" s="136"/>
      <c r="FF132" s="136"/>
      <c r="FG132" s="136"/>
      <c r="FH132" s="136"/>
      <c r="FI132" s="136"/>
      <c r="FJ132" s="136"/>
      <c r="FK132" s="136"/>
      <c r="FL132" s="136"/>
      <c r="FM132" s="136"/>
      <c r="FN132" s="136"/>
      <c r="FO132" s="39"/>
      <c r="FP132" s="39"/>
      <c r="FQ132" s="39"/>
      <c r="FR132" s="412"/>
      <c r="FS132" s="412"/>
      <c r="FT132" s="412"/>
      <c r="FU132" s="412"/>
      <c r="FV132" s="412"/>
      <c r="FW132" s="412"/>
      <c r="FX132" s="412"/>
      <c r="FY132" s="412"/>
      <c r="FZ132" s="412"/>
      <c r="GA132" s="412"/>
      <c r="GB132" s="412"/>
      <c r="GC132" s="412"/>
      <c r="GD132" s="412"/>
      <c r="GE132" s="412"/>
      <c r="GF132" s="412"/>
      <c r="GG132" s="412"/>
      <c r="GH132" s="412"/>
      <c r="GI132" s="412"/>
      <c r="GJ132" s="412"/>
      <c r="GK132" s="412"/>
      <c r="GL132" s="412"/>
      <c r="GM132" s="412"/>
      <c r="GN132" s="412"/>
      <c r="GO132" s="412"/>
      <c r="GP132" s="412"/>
      <c r="GQ132" s="412"/>
      <c r="GR132" s="278"/>
      <c r="GS132" s="277"/>
      <c r="GT132" s="277"/>
      <c r="GU132" s="277"/>
      <c r="GV132" s="277"/>
      <c r="GW132" s="277"/>
      <c r="GX132" s="277"/>
      <c r="GY132" s="277"/>
      <c r="GZ132" s="277"/>
      <c r="HA132" s="277"/>
      <c r="HB132" s="277"/>
      <c r="HC132" s="277"/>
      <c r="HD132" s="277"/>
      <c r="HE132" s="277"/>
      <c r="HF132" s="277"/>
      <c r="HG132" s="554"/>
      <c r="HH132" s="554"/>
      <c r="HI132" s="554"/>
      <c r="HJ132" s="554"/>
      <c r="HK132" s="554"/>
      <c r="HL132" s="554"/>
      <c r="HM132" s="554"/>
      <c r="HN132" s="554"/>
      <c r="HO132" s="554"/>
      <c r="HP132" s="554"/>
      <c r="HQ132" s="554"/>
      <c r="HR132" s="554"/>
      <c r="HS132" s="554"/>
      <c r="HT132" s="554"/>
      <c r="HU132" s="277"/>
      <c r="HV132" s="277"/>
      <c r="HW132" s="277"/>
      <c r="HX132" s="277"/>
      <c r="HY132" s="277"/>
      <c r="HZ132" s="277"/>
      <c r="IA132" s="277"/>
      <c r="IB132" s="277"/>
      <c r="IC132" s="412"/>
      <c r="ID132" s="412"/>
      <c r="IE132" s="412"/>
      <c r="IF132" s="412"/>
      <c r="IG132" s="412"/>
      <c r="IH132" s="412"/>
      <c r="II132" s="412"/>
      <c r="IJ132" s="412"/>
      <c r="IK132" s="412"/>
      <c r="IL132" s="412"/>
      <c r="IM132" s="412"/>
      <c r="IN132" s="412"/>
      <c r="IO132" s="413"/>
      <c r="IP132" s="412"/>
      <c r="IQ132" s="389"/>
      <c r="IR132" s="389"/>
      <c r="IS132" s="389"/>
      <c r="IT132" s="389"/>
      <c r="IU132" s="389"/>
      <c r="IV132" s="389"/>
      <c r="IW132" s="389"/>
      <c r="IX132" s="389"/>
      <c r="IY132" s="389"/>
      <c r="IZ132" s="389"/>
      <c r="JA132" s="389"/>
      <c r="JB132" s="389"/>
      <c r="JC132" s="389"/>
      <c r="JD132" s="389"/>
      <c r="JE132" s="389"/>
      <c r="JF132" s="389"/>
      <c r="JG132" s="389"/>
      <c r="JH132" s="389"/>
      <c r="JI132" s="389"/>
      <c r="JJ132" s="389"/>
      <c r="JK132" s="389"/>
      <c r="JL132" s="389"/>
      <c r="JM132" s="389"/>
      <c r="JN132" s="389"/>
      <c r="JO132" s="14"/>
      <c r="JP132" s="14"/>
      <c r="JQ132" s="14"/>
      <c r="JR132" s="14"/>
      <c r="JS132" s="14"/>
      <c r="JT132" s="14"/>
      <c r="JU132" s="14"/>
      <c r="JV132" s="14"/>
      <c r="JW132" s="14"/>
      <c r="JX132" s="14"/>
      <c r="JY132" s="14"/>
      <c r="JZ132" s="14"/>
      <c r="KA132" s="14"/>
      <c r="KB132" s="14"/>
      <c r="KC132" s="14"/>
      <c r="KD132" s="14"/>
      <c r="KE132" s="14"/>
      <c r="KF132" s="14"/>
      <c r="KG132" s="14"/>
      <c r="KH132" s="14"/>
      <c r="KI132" s="14"/>
      <c r="KJ132" s="14"/>
      <c r="KK132" s="14"/>
      <c r="KL132" s="14"/>
      <c r="KM132" s="14"/>
      <c r="KN132" s="14"/>
      <c r="KO132" s="14"/>
      <c r="KP132" s="14"/>
    </row>
    <row r="133" spans="1:302" s="1" customFormat="1" ht="11.1" hidden="1" customHeight="1" outlineLevel="1">
      <c r="A133" s="453">
        <f>(A134*G131)</f>
        <v>1000</v>
      </c>
      <c r="B133" s="468">
        <f>VLOOKUP(B131,'[2]IBAN CONTI'!A$53:B$58,2,FALSE)</f>
        <v>4</v>
      </c>
      <c r="C133" s="56"/>
      <c r="D133" s="973"/>
      <c r="E133" s="766">
        <f ca="1">IF(B136=2,C131,COUPNCD($AB$2,C131,K133,AH135))</f>
        <v>45912</v>
      </c>
      <c r="F133" s="460"/>
      <c r="G133" s="383"/>
      <c r="H133" s="383"/>
      <c r="I133" s="434"/>
      <c r="J133" s="434"/>
      <c r="K133" s="67">
        <v>1</v>
      </c>
      <c r="L133" s="838"/>
      <c r="M133" s="720"/>
      <c r="N133" s="720"/>
      <c r="O133" s="223"/>
      <c r="P133" s="470"/>
      <c r="Q133" s="280"/>
      <c r="R133" s="432"/>
      <c r="S133" s="4"/>
      <c r="T133" s="431"/>
      <c r="U133" s="469"/>
      <c r="V133" s="4"/>
      <c r="W133" s="469"/>
      <c r="X133" s="442"/>
      <c r="Y133" s="22"/>
      <c r="Z133" s="22"/>
      <c r="AA133" s="22"/>
      <c r="AB133" s="979"/>
      <c r="AC133" s="979"/>
      <c r="AD133" s="219"/>
      <c r="AE133" s="219"/>
      <c r="AF133" s="468">
        <f>VLOOKUP(AF132,'[2]IBAN CONTI'!A$106:B$122,2,FALSE)</f>
        <v>1</v>
      </c>
      <c r="AG133" s="467">
        <f>VLOOKUP(A131,'[2]IBAN CONTI'!A$134:B$232,2,FALSE)</f>
        <v>94</v>
      </c>
      <c r="AH133" s="993"/>
      <c r="AI133" s="954"/>
      <c r="AJ133" s="1035" t="s">
        <v>175</v>
      </c>
      <c r="AK133" s="1039"/>
      <c r="AL133" s="54">
        <v>100</v>
      </c>
      <c r="AM133" s="466">
        <f>YEARFRAC(C131,AL131)</f>
        <v>10</v>
      </c>
      <c r="AN133" s="465">
        <f>IF(B136=2,0,D132-AL131)</f>
        <v>9</v>
      </c>
      <c r="AO133" s="464">
        <f>IF(B136=2,AL132*(1+AM136)^AM135,AO134+AL132)</f>
        <v>98.895727347385716</v>
      </c>
      <c r="AP133" s="463">
        <f>IF(AF133=1,G131*AO134/100,A132/E132/100*AO134)</f>
        <v>2.7273473857103728E-2</v>
      </c>
      <c r="AQ133" s="179"/>
      <c r="AR133" s="709">
        <f>AL136*G131/100</f>
        <v>998.61625000000004</v>
      </c>
      <c r="AS133" s="462">
        <f>(AR136-AP136)*G131/100</f>
        <v>-3.4613091842321353</v>
      </c>
      <c r="AT133" s="419"/>
      <c r="AU133" s="420"/>
      <c r="AV133" s="223"/>
      <c r="AW133" s="420"/>
      <c r="AX133" s="417"/>
      <c r="AY133" s="420"/>
      <c r="AZ133" s="223"/>
      <c r="BA133" s="419"/>
      <c r="BB133" s="223"/>
      <c r="BC133" s="223"/>
      <c r="BD133" s="223"/>
      <c r="BE133" s="223"/>
      <c r="BF133" s="416"/>
      <c r="BG133" s="418"/>
      <c r="BH133" s="416"/>
      <c r="BI133" s="416"/>
      <c r="BJ133" s="416"/>
      <c r="BK133" s="418"/>
      <c r="BL133" s="417"/>
      <c r="BM133" s="416"/>
      <c r="BN133" s="416"/>
      <c r="BO133" s="416"/>
      <c r="BP133" s="416"/>
      <c r="BQ133" s="416"/>
      <c r="BR133" s="416"/>
      <c r="BS133" s="416"/>
      <c r="BT133" s="389"/>
      <c r="BU133" s="389"/>
      <c r="BV133" s="389"/>
      <c r="BW133" s="389"/>
      <c r="BX133" s="415"/>
      <c r="BY133" s="389"/>
      <c r="BZ133" s="389"/>
      <c r="CA133" s="389"/>
      <c r="CB133" s="389"/>
      <c r="CC133" s="389"/>
      <c r="CD133" s="389"/>
      <c r="CE133" s="389"/>
      <c r="CF133" s="389"/>
      <c r="CG133" s="389"/>
      <c r="CH133" s="389"/>
      <c r="CI133" s="389"/>
      <c r="CJ133" s="389"/>
      <c r="CK133" s="389"/>
      <c r="CL133" s="389"/>
      <c r="CM133" s="389"/>
      <c r="CN133" s="389"/>
      <c r="CO133" s="389"/>
      <c r="CP133" s="389"/>
      <c r="CQ133" s="389"/>
      <c r="CR133" s="389"/>
      <c r="CS133" s="415"/>
      <c r="CT133" s="389"/>
      <c r="CU133" s="389"/>
      <c r="CV133" s="389"/>
      <c r="CW133" s="389"/>
      <c r="CX133" s="389"/>
      <c r="CY133" s="389"/>
      <c r="CZ133" s="389"/>
      <c r="DA133" s="389"/>
      <c r="DB133" s="389"/>
      <c r="DC133" s="389"/>
      <c r="DD133" s="389"/>
      <c r="DE133" s="389"/>
      <c r="DF133" s="389"/>
      <c r="DG133" s="389"/>
      <c r="DH133" s="389"/>
      <c r="DI133" s="389"/>
      <c r="DJ133" s="389"/>
      <c r="DK133" s="389"/>
      <c r="DL133" s="389"/>
      <c r="DM133" s="389"/>
      <c r="DN133" s="389"/>
      <c r="DO133" s="414"/>
      <c r="DP133" s="39"/>
      <c r="DQ133" s="39"/>
      <c r="DR133" s="39"/>
      <c r="DS133" s="39"/>
      <c r="DT133" s="39"/>
      <c r="DU133" s="39"/>
      <c r="DV133" s="39"/>
      <c r="DW133" s="39"/>
      <c r="DX133" s="39"/>
      <c r="DY133" s="39"/>
      <c r="DZ133" s="39"/>
      <c r="EA133" s="39"/>
      <c r="EB133" s="39"/>
      <c r="EC133" s="39"/>
      <c r="ED133" s="136"/>
      <c r="EE133" s="136"/>
      <c r="EF133" s="136"/>
      <c r="EG133" s="136"/>
      <c r="EH133" s="136"/>
      <c r="EI133" s="136"/>
      <c r="EJ133" s="136"/>
      <c r="EK133" s="136"/>
      <c r="EL133" s="136"/>
      <c r="EM133" s="136"/>
      <c r="EN133" s="136"/>
      <c r="EO133" s="136"/>
      <c r="EP133" s="136"/>
      <c r="EQ133" s="136"/>
      <c r="ER133" s="136"/>
      <c r="ES133" s="136"/>
      <c r="ET133" s="136"/>
      <c r="EU133" s="136"/>
      <c r="EV133" s="136"/>
      <c r="EW133" s="136"/>
      <c r="EX133" s="136"/>
      <c r="EY133" s="136"/>
      <c r="EZ133" s="136"/>
      <c r="FA133" s="136"/>
      <c r="FB133" s="136"/>
      <c r="FC133" s="136"/>
      <c r="FD133" s="136"/>
      <c r="FE133" s="136"/>
      <c r="FF133" s="136"/>
      <c r="FG133" s="136"/>
      <c r="FH133" s="136"/>
      <c r="FI133" s="136"/>
      <c r="FJ133" s="136"/>
      <c r="FK133" s="136"/>
      <c r="FL133" s="136"/>
      <c r="FM133" s="136"/>
      <c r="FN133" s="136"/>
      <c r="FO133" s="39"/>
      <c r="FP133" s="39"/>
      <c r="FQ133" s="39"/>
      <c r="FR133" s="412"/>
      <c r="FS133" s="412"/>
      <c r="FT133" s="412"/>
      <c r="FU133" s="412"/>
      <c r="FV133" s="412"/>
      <c r="FW133" s="412"/>
      <c r="FX133" s="412"/>
      <c r="FY133" s="412"/>
      <c r="FZ133" s="412"/>
      <c r="GA133" s="412"/>
      <c r="GB133" s="412"/>
      <c r="GC133" s="412"/>
      <c r="GD133" s="412"/>
      <c r="GE133" s="412"/>
      <c r="GF133" s="412"/>
      <c r="GG133" s="412"/>
      <c r="GH133" s="412"/>
      <c r="GI133" s="412"/>
      <c r="GJ133" s="412"/>
      <c r="GK133" s="412"/>
      <c r="GL133" s="412"/>
      <c r="GM133" s="412"/>
      <c r="GN133" s="412"/>
      <c r="GO133" s="412"/>
      <c r="GP133" s="412"/>
      <c r="GQ133" s="412"/>
      <c r="GR133" s="278"/>
      <c r="GS133" s="277"/>
      <c r="GT133" s="277"/>
      <c r="GU133" s="277"/>
      <c r="GV133" s="277"/>
      <c r="GW133" s="277"/>
      <c r="GX133" s="277"/>
      <c r="GY133" s="277"/>
      <c r="GZ133" s="277"/>
      <c r="HA133" s="277"/>
      <c r="HB133" s="277"/>
      <c r="HC133" s="277"/>
      <c r="HD133" s="277"/>
      <c r="HE133" s="277"/>
      <c r="HF133" s="277"/>
      <c r="HG133" s="554"/>
      <c r="HH133" s="554"/>
      <c r="HI133" s="554"/>
      <c r="HJ133" s="554"/>
      <c r="HK133" s="554"/>
      <c r="HL133" s="554"/>
      <c r="HM133" s="554"/>
      <c r="HN133" s="554"/>
      <c r="HO133" s="554"/>
      <c r="HP133" s="554"/>
      <c r="HQ133" s="554"/>
      <c r="HR133" s="554"/>
      <c r="HS133" s="554"/>
      <c r="HT133" s="554"/>
      <c r="HU133" s="277"/>
      <c r="HV133" s="277"/>
      <c r="HW133" s="277"/>
      <c r="HX133" s="277"/>
      <c r="HY133" s="277"/>
      <c r="HZ133" s="277"/>
      <c r="IA133" s="277"/>
      <c r="IB133" s="277"/>
      <c r="IC133" s="412"/>
      <c r="ID133" s="412"/>
      <c r="IE133" s="412"/>
      <c r="IF133" s="412"/>
      <c r="IG133" s="412"/>
      <c r="IH133" s="412"/>
      <c r="II133" s="412"/>
      <c r="IJ133" s="412"/>
      <c r="IK133" s="412"/>
      <c r="IL133" s="412"/>
      <c r="IM133" s="412"/>
      <c r="IN133" s="412"/>
      <c r="IO133" s="413"/>
      <c r="IP133" s="412"/>
      <c r="IQ133" s="389"/>
      <c r="IR133" s="389"/>
      <c r="IS133" s="389"/>
      <c r="IT133" s="389"/>
      <c r="IU133" s="389"/>
      <c r="IV133" s="389"/>
      <c r="IW133" s="389"/>
      <c r="IX133" s="389"/>
      <c r="IY133" s="389"/>
      <c r="IZ133" s="389"/>
      <c r="JA133" s="389"/>
      <c r="JB133" s="389"/>
      <c r="JC133" s="389"/>
      <c r="JD133" s="389"/>
      <c r="JE133" s="389"/>
      <c r="JF133" s="389"/>
      <c r="JG133" s="389"/>
      <c r="JH133" s="389"/>
      <c r="JI133" s="389"/>
      <c r="JJ133" s="389"/>
      <c r="JK133" s="389"/>
      <c r="JL133" s="389"/>
      <c r="JM133" s="389"/>
      <c r="JN133" s="389"/>
      <c r="JO133" s="14"/>
      <c r="JP133" s="14"/>
      <c r="JQ133" s="14"/>
      <c r="JR133" s="14"/>
      <c r="JS133" s="14"/>
      <c r="JT133" s="14"/>
      <c r="JU133" s="14"/>
      <c r="JV133" s="14"/>
      <c r="JW133" s="14"/>
      <c r="JX133" s="14"/>
      <c r="JY133" s="14"/>
      <c r="JZ133" s="14"/>
      <c r="KA133" s="14"/>
      <c r="KB133" s="14"/>
      <c r="KC133" s="14"/>
      <c r="KD133" s="14"/>
      <c r="KE133" s="14"/>
      <c r="KF133" s="14"/>
      <c r="KG133" s="14"/>
      <c r="KH133" s="14"/>
      <c r="KI133" s="14"/>
      <c r="KJ133" s="14"/>
      <c r="KK133" s="14"/>
      <c r="KL133" s="14"/>
      <c r="KM133" s="14"/>
      <c r="KN133" s="14"/>
      <c r="KO133" s="14"/>
      <c r="KP133" s="14"/>
    </row>
    <row r="134" spans="1:302" s="1" customFormat="1" ht="11.1" hidden="1" customHeight="1" outlineLevel="1">
      <c r="A134" s="461">
        <v>1</v>
      </c>
      <c r="B134" s="990" t="s">
        <v>183</v>
      </c>
      <c r="C134" s="990"/>
      <c r="D134" s="452">
        <f>COUPPCD(D132,C131,K133,AH135)</f>
        <v>45181</v>
      </c>
      <c r="E134" s="386"/>
      <c r="F134" s="460"/>
      <c r="G134" s="985">
        <v>2033</v>
      </c>
      <c r="H134" s="383"/>
      <c r="I134" s="434"/>
      <c r="J134" s="434"/>
      <c r="K134" s="987" t="s">
        <v>464</v>
      </c>
      <c r="L134" s="829"/>
      <c r="M134" s="720"/>
      <c r="N134" s="720"/>
      <c r="O134" s="223"/>
      <c r="Q134" s="280"/>
      <c r="R134" s="432"/>
      <c r="S134" s="15"/>
      <c r="T134" s="431"/>
      <c r="U134" s="15"/>
      <c r="V134" s="15"/>
      <c r="W134" s="15"/>
      <c r="X134" s="442"/>
      <c r="Y134" s="430"/>
      <c r="Z134" s="430"/>
      <c r="AA134" s="430"/>
      <c r="AB134" s="9"/>
      <c r="AC134" s="36"/>
      <c r="AD134" s="219"/>
      <c r="AE134" s="219"/>
      <c r="AF134" s="459"/>
      <c r="AG134" s="458"/>
      <c r="AH134" s="457"/>
      <c r="AI134" s="457"/>
      <c r="AJ134" s="1037"/>
      <c r="AK134" s="990"/>
      <c r="AL134" s="54">
        <f>IF(AL132&gt;100,0,AL133-AL132)</f>
        <v>1.1069999999999993</v>
      </c>
      <c r="AM134" s="456">
        <f>C131-AL131</f>
        <v>3653</v>
      </c>
      <c r="AN134" s="448">
        <f>IF(OR(K133&lt;&gt;1,AN133&gt;365),COUPDAYBS(D132,C131,K133,AH135),AN133)</f>
        <v>9</v>
      </c>
      <c r="AO134" s="424">
        <f>IF(B136=2,AO133-AL132,AL134/AM134*AN133)</f>
        <v>2.7273473857103731E-3</v>
      </c>
      <c r="AP134" s="455">
        <f>IF(B136=4,FLOOR(F131/K133*AN134/(D135-D134)*100,0.000001),IF(AH135=4,YEARFRAC(D134,D132,0)*F131*100,IF(B136=3,IF(OR(AH135=4,AH135=2),(F133*(AN134))/(360)*100,(F133*(AN134))/(365)*100),FLOOR(F131/K133*AN134/(D135-D134)*100,0.000001))))</f>
        <v>0.13217199999999998</v>
      </c>
      <c r="AQ134" s="454"/>
      <c r="AR134" s="708">
        <f>AL134*G131/100</f>
        <v>11.069999999999993</v>
      </c>
      <c r="AS134" s="422">
        <f>IF(AS133&lt;0,0,AS133*(100-F136)/100)</f>
        <v>0</v>
      </c>
      <c r="AT134" s="419"/>
      <c r="AU134" s="420"/>
      <c r="AV134" s="223"/>
      <c r="AW134" s="420"/>
      <c r="AX134" s="417"/>
      <c r="AY134" s="420"/>
      <c r="AZ134" s="223"/>
      <c r="BA134" s="419"/>
      <c r="BB134" s="223"/>
      <c r="BC134" s="223"/>
      <c r="BD134" s="223"/>
      <c r="BE134" s="223"/>
      <c r="BF134" s="416"/>
      <c r="BG134" s="418"/>
      <c r="BH134" s="416"/>
      <c r="BI134" s="416"/>
      <c r="BJ134" s="416"/>
      <c r="BK134" s="418"/>
      <c r="BL134" s="417"/>
      <c r="BM134" s="416"/>
      <c r="BN134" s="416"/>
      <c r="BO134" s="416"/>
      <c r="BP134" s="416"/>
      <c r="BQ134" s="416"/>
      <c r="BR134" s="416"/>
      <c r="BS134" s="416"/>
      <c r="BT134" s="389"/>
      <c r="BU134" s="389"/>
      <c r="BV134" s="389"/>
      <c r="BW134" s="389"/>
      <c r="BX134" s="415"/>
      <c r="BY134" s="389"/>
      <c r="BZ134" s="389"/>
      <c r="CA134" s="389"/>
      <c r="CB134" s="389"/>
      <c r="CC134" s="389"/>
      <c r="CD134" s="389"/>
      <c r="CE134" s="389"/>
      <c r="CF134" s="389"/>
      <c r="CG134" s="389"/>
      <c r="CH134" s="389"/>
      <c r="CI134" s="389"/>
      <c r="CJ134" s="389"/>
      <c r="CK134" s="389"/>
      <c r="CL134" s="389"/>
      <c r="CM134" s="389"/>
      <c r="CN134" s="389"/>
      <c r="CO134" s="389"/>
      <c r="CP134" s="389"/>
      <c r="CQ134" s="389"/>
      <c r="CR134" s="389"/>
      <c r="CS134" s="415"/>
      <c r="CT134" s="389"/>
      <c r="CU134" s="389"/>
      <c r="CV134" s="389"/>
      <c r="CW134" s="389"/>
      <c r="CX134" s="389"/>
      <c r="CY134" s="389"/>
      <c r="CZ134" s="389"/>
      <c r="DA134" s="389"/>
      <c r="DB134" s="389"/>
      <c r="DC134" s="389"/>
      <c r="DD134" s="389"/>
      <c r="DE134" s="389"/>
      <c r="DF134" s="389"/>
      <c r="DG134" s="389"/>
      <c r="DH134" s="389"/>
      <c r="DI134" s="389"/>
      <c r="DJ134" s="389"/>
      <c r="DK134" s="389"/>
      <c r="DL134" s="389"/>
      <c r="DM134" s="389"/>
      <c r="DN134" s="389"/>
      <c r="DO134" s="414"/>
      <c r="DP134" s="39"/>
      <c r="DQ134" s="39"/>
      <c r="DR134" s="39"/>
      <c r="DS134" s="39"/>
      <c r="DT134" s="39"/>
      <c r="DU134" s="39"/>
      <c r="DV134" s="39"/>
      <c r="DW134" s="39"/>
      <c r="DX134" s="39"/>
      <c r="DY134" s="39"/>
      <c r="DZ134" s="39"/>
      <c r="EA134" s="39"/>
      <c r="EB134" s="39"/>
      <c r="EC134" s="39"/>
      <c r="ED134" s="136"/>
      <c r="EE134" s="136"/>
      <c r="EF134" s="136"/>
      <c r="EG134" s="136"/>
      <c r="EH134" s="136"/>
      <c r="EI134" s="136"/>
      <c r="EJ134" s="136"/>
      <c r="EK134" s="136"/>
      <c r="EL134" s="136"/>
      <c r="EM134" s="136"/>
      <c r="EN134" s="136"/>
      <c r="EO134" s="136"/>
      <c r="EP134" s="136"/>
      <c r="EQ134" s="136"/>
      <c r="ER134" s="136"/>
      <c r="ES134" s="136"/>
      <c r="ET134" s="136"/>
      <c r="EU134" s="136"/>
      <c r="EV134" s="136"/>
      <c r="EW134" s="136"/>
      <c r="EX134" s="136"/>
      <c r="EY134" s="136"/>
      <c r="EZ134" s="136"/>
      <c r="FA134" s="136"/>
      <c r="FB134" s="136"/>
      <c r="FC134" s="136"/>
      <c r="FD134" s="136"/>
      <c r="FE134" s="136"/>
      <c r="FF134" s="136"/>
      <c r="FG134" s="136"/>
      <c r="FH134" s="136"/>
      <c r="FI134" s="136"/>
      <c r="FJ134" s="136"/>
      <c r="FK134" s="136"/>
      <c r="FL134" s="136"/>
      <c r="FM134" s="136"/>
      <c r="FN134" s="136"/>
      <c r="FO134" s="39"/>
      <c r="FP134" s="39"/>
      <c r="FQ134" s="39"/>
      <c r="FR134" s="412"/>
      <c r="FS134" s="412"/>
      <c r="FT134" s="412"/>
      <c r="FU134" s="412"/>
      <c r="FV134" s="412"/>
      <c r="FW134" s="412"/>
      <c r="FX134" s="412"/>
      <c r="FY134" s="412"/>
      <c r="FZ134" s="412"/>
      <c r="GA134" s="412"/>
      <c r="GB134" s="412"/>
      <c r="GC134" s="412"/>
      <c r="GD134" s="412"/>
      <c r="GE134" s="412"/>
      <c r="GF134" s="412"/>
      <c r="GG134" s="412"/>
      <c r="GH134" s="412"/>
      <c r="GI134" s="412"/>
      <c r="GJ134" s="412"/>
      <c r="GK134" s="412"/>
      <c r="GL134" s="412"/>
      <c r="GM134" s="412"/>
      <c r="GN134" s="412"/>
      <c r="GO134" s="412"/>
      <c r="GP134" s="412"/>
      <c r="GQ134" s="412"/>
      <c r="GR134" s="278"/>
      <c r="GS134" s="277"/>
      <c r="GT134" s="277"/>
      <c r="GU134" s="277"/>
      <c r="GV134" s="277"/>
      <c r="GW134" s="277"/>
      <c r="GX134" s="277"/>
      <c r="GY134" s="277"/>
      <c r="GZ134" s="277"/>
      <c r="HA134" s="277"/>
      <c r="HB134" s="277"/>
      <c r="HC134" s="277"/>
      <c r="HD134" s="277"/>
      <c r="HE134" s="277"/>
      <c r="HF134" s="277"/>
      <c r="HG134" s="554"/>
      <c r="HH134" s="554"/>
      <c r="HI134" s="554"/>
      <c r="HJ134" s="554"/>
      <c r="HK134" s="554"/>
      <c r="HL134" s="554"/>
      <c r="HM134" s="554"/>
      <c r="HN134" s="554"/>
      <c r="HO134" s="554"/>
      <c r="HP134" s="554"/>
      <c r="HQ134" s="554"/>
      <c r="HR134" s="554"/>
      <c r="HS134" s="554"/>
      <c r="HT134" s="554"/>
      <c r="HU134" s="277"/>
      <c r="HV134" s="277"/>
      <c r="HW134" s="277"/>
      <c r="HX134" s="277"/>
      <c r="HY134" s="277"/>
      <c r="HZ134" s="277"/>
      <c r="IA134" s="277"/>
      <c r="IB134" s="277"/>
      <c r="IC134" s="412"/>
      <c r="ID134" s="412"/>
      <c r="IE134" s="412"/>
      <c r="IF134" s="412"/>
      <c r="IG134" s="412"/>
      <c r="IH134" s="412"/>
      <c r="II134" s="412"/>
      <c r="IJ134" s="412"/>
      <c r="IK134" s="412"/>
      <c r="IL134" s="412"/>
      <c r="IM134" s="412"/>
      <c r="IN134" s="412"/>
      <c r="IO134" s="413"/>
      <c r="IP134" s="412"/>
      <c r="IQ134" s="389"/>
      <c r="IR134" s="389"/>
      <c r="IS134" s="389"/>
      <c r="IT134" s="389"/>
      <c r="IU134" s="389"/>
      <c r="IV134" s="389"/>
      <c r="IW134" s="389"/>
      <c r="IX134" s="389"/>
      <c r="IY134" s="389"/>
      <c r="IZ134" s="389"/>
      <c r="JA134" s="389"/>
      <c r="JB134" s="389"/>
      <c r="JC134" s="389"/>
      <c r="JD134" s="389"/>
      <c r="JE134" s="389"/>
      <c r="JF134" s="389"/>
      <c r="JG134" s="389"/>
      <c r="JH134" s="389"/>
      <c r="JI134" s="389"/>
      <c r="JJ134" s="389"/>
      <c r="JK134" s="389"/>
      <c r="JL134" s="389"/>
      <c r="JM134" s="389"/>
      <c r="JN134" s="389"/>
      <c r="JO134" s="14"/>
      <c r="JP134" s="14"/>
      <c r="JQ134" s="14"/>
      <c r="JR134" s="14"/>
      <c r="JS134" s="14"/>
      <c r="JT134" s="14"/>
      <c r="JU134" s="14"/>
      <c r="JV134" s="14"/>
      <c r="JW134" s="14"/>
      <c r="JX134" s="14"/>
      <c r="JY134" s="14"/>
      <c r="JZ134" s="14"/>
      <c r="KA134" s="14"/>
      <c r="KB134" s="14"/>
      <c r="KC134" s="14"/>
      <c r="KD134" s="14"/>
      <c r="KE134" s="14"/>
      <c r="KF134" s="14"/>
      <c r="KG134" s="14"/>
      <c r="KH134" s="14"/>
      <c r="KI134" s="14"/>
      <c r="KJ134" s="14"/>
      <c r="KK134" s="14"/>
      <c r="KL134" s="14"/>
      <c r="KM134" s="14"/>
      <c r="KN134" s="14"/>
      <c r="KO134" s="14"/>
      <c r="KP134" s="14"/>
    </row>
    <row r="135" spans="1:302" s="1" customFormat="1" ht="11.1" hidden="1" customHeight="1" outlineLevel="1" thickBot="1">
      <c r="A135" s="453">
        <f>(A136*G131)</f>
        <v>1000</v>
      </c>
      <c r="B135" s="990"/>
      <c r="C135" s="990"/>
      <c r="D135" s="452">
        <f>COUPNCD(D132,C131,K133,AH135)</f>
        <v>45547</v>
      </c>
      <c r="E135" s="932" t="s">
        <v>173</v>
      </c>
      <c r="F135" s="451" t="str">
        <f>IF(E136=1,"87,5",IF(D131&lt;40908,87.5,IF(D131&lt;41820,"80","74")))</f>
        <v>87,5</v>
      </c>
      <c r="G135" s="986"/>
      <c r="H135" s="383"/>
      <c r="I135" s="434"/>
      <c r="J135" s="434"/>
      <c r="K135" s="987"/>
      <c r="L135" s="829"/>
      <c r="M135" s="720"/>
      <c r="N135" s="720"/>
      <c r="O135" s="223"/>
      <c r="Q135" s="280"/>
      <c r="R135" s="432"/>
      <c r="S135" s="15"/>
      <c r="T135" s="431"/>
      <c r="U135" s="15"/>
      <c r="V135" s="15"/>
      <c r="W135" s="15"/>
      <c r="X135" s="442"/>
      <c r="Y135" s="430"/>
      <c r="Z135" s="430"/>
      <c r="AA135" s="430"/>
      <c r="AB135" s="9"/>
      <c r="AC135" s="36"/>
      <c r="AD135" s="219"/>
      <c r="AE135" s="219"/>
      <c r="AF135" s="15"/>
      <c r="AG135" s="75"/>
      <c r="AH135" s="419">
        <f>VLOOKUP(AH132,'[2]IBAN CONTI'!A:B,2,FALSE)</f>
        <v>1</v>
      </c>
      <c r="AI135" s="419"/>
      <c r="AJ135" s="1033">
        <f>VLOOKUP(AJ133,'[2]IBAN CONTI'!A$67:B$77,2,FALSE)</f>
        <v>1</v>
      </c>
      <c r="AK135" s="1034"/>
      <c r="AL135" s="450">
        <f>AL132</f>
        <v>98.893000000000001</v>
      </c>
      <c r="AM135" s="577">
        <f>IF(B136=2,YEARFRAC(AL131,D132,AH135),YEARFRAC(D132,C131,AH135))</f>
        <v>9.976107516177203</v>
      </c>
      <c r="AN135" s="448">
        <f>IF(B136=2,0,C131-D132-(365-AN134))</f>
        <v>3288</v>
      </c>
      <c r="AO135" s="424">
        <f>E131-AO134</f>
        <v>98.787272652614291</v>
      </c>
      <c r="AP135" s="447">
        <f>E131+AO136+AP134+0.1</f>
        <v>99.021831081576778</v>
      </c>
      <c r="AQ135" s="446"/>
      <c r="AR135" s="709">
        <f>IF(B136=3,F133*G131,F131*G131)</f>
        <v>53.75</v>
      </c>
      <c r="AS135" s="421">
        <f>AR131-AS134</f>
        <v>1045.6475</v>
      </c>
      <c r="AT135" s="419"/>
      <c r="AU135" s="420"/>
      <c r="AV135" s="223"/>
      <c r="AW135" s="420"/>
      <c r="AX135" s="417"/>
      <c r="AY135" s="420"/>
      <c r="AZ135" s="223"/>
      <c r="BA135" s="419"/>
      <c r="BB135" s="223"/>
      <c r="BC135" s="223"/>
      <c r="BD135" s="223"/>
      <c r="BE135" s="223"/>
      <c r="BF135" s="416"/>
      <c r="BG135" s="418"/>
      <c r="BH135" s="416"/>
      <c r="BI135" s="416"/>
      <c r="BJ135" s="416"/>
      <c r="BK135" s="418"/>
      <c r="BL135" s="417"/>
      <c r="BM135" s="416"/>
      <c r="BN135" s="416"/>
      <c r="BO135" s="416"/>
      <c r="BP135" s="416"/>
      <c r="BQ135" s="416"/>
      <c r="BR135" s="416"/>
      <c r="BS135" s="416"/>
      <c r="BT135" s="389"/>
      <c r="BU135" s="389"/>
      <c r="BV135" s="389"/>
      <c r="BW135" s="389"/>
      <c r="BX135" s="415"/>
      <c r="BY135" s="389"/>
      <c r="BZ135" s="389"/>
      <c r="CA135" s="389"/>
      <c r="CB135" s="389"/>
      <c r="CC135" s="389"/>
      <c r="CD135" s="389"/>
      <c r="CE135" s="389"/>
      <c r="CF135" s="389"/>
      <c r="CG135" s="389"/>
      <c r="CH135" s="389"/>
      <c r="CI135" s="389"/>
      <c r="CJ135" s="389"/>
      <c r="CK135" s="389"/>
      <c r="CL135" s="389"/>
      <c r="CM135" s="389"/>
      <c r="CN135" s="389"/>
      <c r="CO135" s="389"/>
      <c r="CP135" s="389"/>
      <c r="CQ135" s="389"/>
      <c r="CR135" s="389"/>
      <c r="CS135" s="415"/>
      <c r="CT135" s="389"/>
      <c r="CU135" s="389"/>
      <c r="CV135" s="389"/>
      <c r="CW135" s="389"/>
      <c r="CX135" s="389"/>
      <c r="CY135" s="389"/>
      <c r="CZ135" s="389"/>
      <c r="DA135" s="389"/>
      <c r="DB135" s="389"/>
      <c r="DC135" s="389"/>
      <c r="DD135" s="389"/>
      <c r="DE135" s="389"/>
      <c r="DF135" s="389"/>
      <c r="DG135" s="389"/>
      <c r="DH135" s="389"/>
      <c r="DI135" s="389"/>
      <c r="DJ135" s="389"/>
      <c r="DK135" s="389"/>
      <c r="DL135" s="389"/>
      <c r="DM135" s="389"/>
      <c r="DN135" s="389"/>
      <c r="DO135" s="414"/>
      <c r="DP135" s="39"/>
      <c r="DQ135" s="39"/>
      <c r="DR135" s="39"/>
      <c r="DS135" s="136"/>
      <c r="DT135" s="136"/>
      <c r="DU135" s="136"/>
      <c r="DV135" s="136"/>
      <c r="DW135" s="136"/>
      <c r="DX135" s="136"/>
      <c r="DY135" s="136"/>
      <c r="DZ135" s="136"/>
      <c r="EA135" s="136"/>
      <c r="EB135" s="136"/>
      <c r="EC135" s="136"/>
      <c r="ED135" s="136"/>
      <c r="EE135" s="136"/>
      <c r="EF135" s="136"/>
      <c r="EG135" s="136"/>
      <c r="EH135" s="136"/>
      <c r="EI135" s="136"/>
      <c r="EJ135" s="136"/>
      <c r="EK135" s="136"/>
      <c r="EL135" s="136"/>
      <c r="EM135" s="136"/>
      <c r="EN135" s="136"/>
      <c r="EO135" s="136"/>
      <c r="EP135" s="136"/>
      <c r="EQ135" s="136"/>
      <c r="ER135" s="136"/>
      <c r="ES135" s="136"/>
      <c r="ET135" s="136"/>
      <c r="EU135" s="136"/>
      <c r="EV135" s="136"/>
      <c r="EW135" s="136"/>
      <c r="EX135" s="136"/>
      <c r="EY135" s="136"/>
      <c r="EZ135" s="136"/>
      <c r="FA135" s="136"/>
      <c r="FB135" s="136"/>
      <c r="FC135" s="136"/>
      <c r="FD135" s="136"/>
      <c r="FE135" s="136"/>
      <c r="FF135" s="136"/>
      <c r="FG135" s="136"/>
      <c r="FH135" s="136"/>
      <c r="FI135" s="136"/>
      <c r="FJ135" s="136"/>
      <c r="FK135" s="136"/>
      <c r="FL135" s="136"/>
      <c r="FM135" s="136"/>
      <c r="FN135" s="136"/>
      <c r="FO135" s="136"/>
      <c r="FP135" s="136"/>
      <c r="FQ135" s="136"/>
      <c r="FR135" s="412"/>
      <c r="FS135" s="412"/>
      <c r="FT135" s="412"/>
      <c r="FU135" s="412"/>
      <c r="FV135" s="412"/>
      <c r="FW135" s="412"/>
      <c r="FX135" s="412"/>
      <c r="FY135" s="412"/>
      <c r="FZ135" s="412"/>
      <c r="GA135" s="412"/>
      <c r="GB135" s="412"/>
      <c r="GC135" s="412"/>
      <c r="GD135" s="412"/>
      <c r="GE135" s="412"/>
      <c r="GF135" s="412"/>
      <c r="GG135" s="412"/>
      <c r="GH135" s="412"/>
      <c r="GI135" s="412"/>
      <c r="GJ135" s="412"/>
      <c r="GK135" s="412"/>
      <c r="GL135" s="412"/>
      <c r="GM135" s="412"/>
      <c r="GN135" s="412"/>
      <c r="GO135" s="412"/>
      <c r="GP135" s="412"/>
      <c r="GQ135" s="412"/>
      <c r="GR135" s="278"/>
      <c r="GS135" s="277"/>
      <c r="GT135" s="277"/>
      <c r="GU135" s="277"/>
      <c r="GV135" s="277"/>
      <c r="GW135" s="277"/>
      <c r="GX135" s="277"/>
      <c r="GY135" s="277"/>
      <c r="GZ135" s="277"/>
      <c r="HA135" s="277"/>
      <c r="HB135" s="277"/>
      <c r="HC135" s="277"/>
      <c r="HD135" s="277"/>
      <c r="HE135" s="277"/>
      <c r="HF135" s="277"/>
      <c r="HG135" s="554"/>
      <c r="HH135" s="554"/>
      <c r="HI135" s="554"/>
      <c r="HJ135" s="554"/>
      <c r="HK135" s="554"/>
      <c r="HL135" s="554"/>
      <c r="HM135" s="554"/>
      <c r="HN135" s="554"/>
      <c r="HO135" s="554"/>
      <c r="HP135" s="554"/>
      <c r="HQ135" s="554"/>
      <c r="HR135" s="554"/>
      <c r="HS135" s="554"/>
      <c r="HT135" s="554"/>
      <c r="HU135" s="277"/>
      <c r="HV135" s="277"/>
      <c r="HW135" s="277"/>
      <c r="HX135" s="277"/>
      <c r="HY135" s="277"/>
      <c r="HZ135" s="277"/>
      <c r="IA135" s="277"/>
      <c r="IB135" s="277"/>
      <c r="IC135" s="412"/>
      <c r="ID135" s="412"/>
      <c r="IE135" s="412"/>
      <c r="IF135" s="412"/>
      <c r="IG135" s="412"/>
      <c r="IH135" s="412"/>
      <c r="II135" s="412"/>
      <c r="IJ135" s="412"/>
      <c r="IK135" s="412"/>
      <c r="IL135" s="412"/>
      <c r="IM135" s="412"/>
      <c r="IN135" s="412"/>
      <c r="IO135" s="413"/>
      <c r="IP135" s="412"/>
      <c r="IQ135" s="389"/>
      <c r="IR135" s="389"/>
      <c r="IS135" s="389"/>
      <c r="IT135" s="389"/>
      <c r="IU135" s="389"/>
      <c r="IV135" s="389"/>
      <c r="IW135" s="389"/>
      <c r="IX135" s="389"/>
      <c r="IY135" s="389"/>
      <c r="IZ135" s="389"/>
      <c r="JA135" s="389"/>
      <c r="JB135" s="389"/>
      <c r="JC135" s="389"/>
      <c r="JD135" s="389"/>
      <c r="JE135" s="389"/>
      <c r="JF135" s="389"/>
      <c r="JG135" s="389"/>
      <c r="JH135" s="389"/>
      <c r="JI135" s="389"/>
      <c r="JJ135" s="389"/>
      <c r="JK135" s="389"/>
      <c r="JL135" s="389"/>
      <c r="JM135" s="389"/>
      <c r="JN135" s="389"/>
      <c r="JO135" s="14"/>
      <c r="JP135" s="14"/>
      <c r="JQ135" s="14"/>
      <c r="JR135" s="14"/>
      <c r="JS135" s="14"/>
      <c r="JT135" s="14"/>
      <c r="JU135" s="14"/>
      <c r="JV135" s="14"/>
      <c r="JW135" s="14"/>
      <c r="JX135" s="14"/>
      <c r="JY135" s="14"/>
      <c r="JZ135" s="14"/>
      <c r="KA135" s="14"/>
      <c r="KB135" s="14"/>
      <c r="KC135" s="14"/>
      <c r="KD135" s="14"/>
      <c r="KE135" s="14"/>
      <c r="KF135" s="14"/>
      <c r="KG135" s="14"/>
      <c r="KH135" s="14"/>
      <c r="KI135" s="14"/>
      <c r="KJ135" s="14"/>
      <c r="KK135" s="14"/>
      <c r="KL135" s="14"/>
      <c r="KM135" s="14"/>
      <c r="KN135" s="14"/>
      <c r="KO135" s="14"/>
      <c r="KP135" s="14"/>
    </row>
    <row r="136" spans="1:302" s="1" customFormat="1" ht="11.1" hidden="1" customHeight="1" outlineLevel="1">
      <c r="A136" s="437">
        <v>1</v>
      </c>
      <c r="B136" s="989">
        <f>VLOOKUP(B134,'[2]IBAN CONTI'!A$1:B$65562,2,FALSE)</f>
        <v>1</v>
      </c>
      <c r="C136" s="989"/>
      <c r="D136" s="436">
        <f>COUPNCD(AL131,C131,K133,AH135)</f>
        <v>45547</v>
      </c>
      <c r="E136" s="933">
        <f>VLOOKUP(E135,'[2]IBAN CONTI'!A:B,2,FALSE)</f>
        <v>1</v>
      </c>
      <c r="F136" s="444" t="str">
        <f>IF(E136=1,"87,5","74")</f>
        <v>87,5</v>
      </c>
      <c r="G136" s="443">
        <f>VLOOKUP(G134,'[2]IBAN CONTI'!A$244:B$273,2,FALSE)</f>
        <v>22</v>
      </c>
      <c r="H136" s="383"/>
      <c r="I136" s="434"/>
      <c r="J136" s="434"/>
      <c r="K136" s="433">
        <f>VLOOKUP(K134,'[2]IBAN CONTI'!A$80:B$101,2,FALSE)</f>
        <v>22</v>
      </c>
      <c r="L136" s="720"/>
      <c r="M136" s="720"/>
      <c r="N136" s="720"/>
      <c r="O136" s="223"/>
      <c r="Q136" s="280"/>
      <c r="R136" s="432"/>
      <c r="S136" s="15"/>
      <c r="T136" s="431"/>
      <c r="U136" s="15"/>
      <c r="V136" s="15"/>
      <c r="W136" s="15"/>
      <c r="X136" s="594">
        <f ca="1">X131-$AF$2</f>
        <v>-4639.6850547453723</v>
      </c>
      <c r="Y136" s="430"/>
      <c r="Z136" s="430"/>
      <c r="AA136" s="430"/>
      <c r="AB136" s="9"/>
      <c r="AC136" s="36"/>
      <c r="AD136" s="219"/>
      <c r="AE136" s="219"/>
      <c r="AF136" s="1011">
        <v>9901.94</v>
      </c>
      <c r="AG136" s="1011"/>
      <c r="AH136" s="54"/>
      <c r="AI136" s="54"/>
      <c r="AJ136" s="441" t="s">
        <v>172</v>
      </c>
      <c r="AK136" s="440">
        <f>VLOOKUP(AJ136,'[2]IBAN CONTI'!A$61:B$64,2,FALSE)</f>
        <v>1</v>
      </c>
      <c r="AL136" s="427">
        <f>AL133-AL134*(100-F136)/100</f>
        <v>99.861625000000004</v>
      </c>
      <c r="AM136" s="426" t="str">
        <f>IF(B136=2,10^((LOG(AL133/AL132))/AM133)-1,"")</f>
        <v/>
      </c>
      <c r="AN136" s="439">
        <f>IF(B136=4,A133*E131/100,IF(AF133=1,G131*E131/100,A132/E132*E131/100))</f>
        <v>987.9</v>
      </c>
      <c r="AO136" s="425">
        <f>-AO134*(100-F135)/100</f>
        <v>-3.4091842321379664E-4</v>
      </c>
      <c r="AP136" s="438">
        <f>IF(B136=2,(AN136-AP133+AN131+AN132)/G131*100,(AN136-AP132+AN131+AN132)/G131*100)</f>
        <v>99.239130918423214</v>
      </c>
      <c r="AQ136" s="423"/>
      <c r="AR136" s="708">
        <f>AL132</f>
        <v>98.893000000000001</v>
      </c>
      <c r="AS136" s="421"/>
      <c r="AT136" s="419"/>
      <c r="AU136" s="420"/>
      <c r="AV136" s="223"/>
      <c r="AW136" s="420"/>
      <c r="AX136" s="417"/>
      <c r="AY136" s="420"/>
      <c r="AZ136" s="223"/>
      <c r="BA136" s="419"/>
      <c r="BB136" s="223"/>
      <c r="BC136" s="223"/>
      <c r="BD136" s="223"/>
      <c r="BE136" s="223"/>
      <c r="BF136" s="416"/>
      <c r="BG136" s="418"/>
      <c r="BH136" s="416"/>
      <c r="BI136" s="416"/>
      <c r="BJ136" s="416"/>
      <c r="BK136" s="418"/>
      <c r="BL136" s="417"/>
      <c r="BM136" s="416"/>
      <c r="BN136" s="416"/>
      <c r="BO136" s="416"/>
      <c r="BP136" s="416"/>
      <c r="BQ136" s="416"/>
      <c r="BR136" s="416"/>
      <c r="BS136" s="416"/>
      <c r="BT136" s="389"/>
      <c r="BU136" s="389"/>
      <c r="BV136" s="389"/>
      <c r="BW136" s="389"/>
      <c r="BX136" s="415"/>
      <c r="BY136" s="389"/>
      <c r="BZ136" s="389"/>
      <c r="CA136" s="389"/>
      <c r="CB136" s="389"/>
      <c r="CC136" s="389"/>
      <c r="CD136" s="389"/>
      <c r="CE136" s="389"/>
      <c r="CF136" s="389"/>
      <c r="CG136" s="389"/>
      <c r="CH136" s="389"/>
      <c r="CI136" s="389"/>
      <c r="CJ136" s="389"/>
      <c r="CK136" s="389"/>
      <c r="CL136" s="389"/>
      <c r="CM136" s="389"/>
      <c r="CN136" s="389"/>
      <c r="CO136" s="389"/>
      <c r="CP136" s="389"/>
      <c r="CQ136" s="389"/>
      <c r="CR136" s="389"/>
      <c r="CS136" s="415"/>
      <c r="CT136" s="389"/>
      <c r="CU136" s="389"/>
      <c r="CV136" s="389"/>
      <c r="CW136" s="389"/>
      <c r="CX136" s="389"/>
      <c r="CY136" s="389"/>
      <c r="CZ136" s="389"/>
      <c r="DA136" s="389"/>
      <c r="DB136" s="389"/>
      <c r="DC136" s="389"/>
      <c r="DD136" s="389"/>
      <c r="DE136" s="389"/>
      <c r="DF136" s="389"/>
      <c r="DG136" s="389"/>
      <c r="DH136" s="389"/>
      <c r="DI136" s="389"/>
      <c r="DJ136" s="389"/>
      <c r="DK136" s="389"/>
      <c r="DL136" s="389"/>
      <c r="DM136" s="389"/>
      <c r="DN136" s="389"/>
      <c r="DO136" s="414"/>
      <c r="DP136" s="39"/>
      <c r="DQ136" s="39"/>
      <c r="DR136" s="39"/>
      <c r="DS136" s="136"/>
      <c r="DT136" s="136"/>
      <c r="DU136" s="136"/>
      <c r="DV136" s="136"/>
      <c r="DW136" s="136"/>
      <c r="DX136" s="136"/>
      <c r="DY136" s="136"/>
      <c r="DZ136" s="136"/>
      <c r="EA136" s="136"/>
      <c r="EB136" s="136"/>
      <c r="EC136" s="136"/>
      <c r="ED136" s="136"/>
      <c r="EE136" s="136"/>
      <c r="EF136" s="136"/>
      <c r="EG136" s="136"/>
      <c r="EH136" s="136"/>
      <c r="EI136" s="136"/>
      <c r="EJ136" s="136"/>
      <c r="EK136" s="136"/>
      <c r="EL136" s="136"/>
      <c r="EM136" s="136"/>
      <c r="EN136" s="136"/>
      <c r="EO136" s="136"/>
      <c r="EP136" s="136"/>
      <c r="EQ136" s="136"/>
      <c r="ER136" s="136"/>
      <c r="ES136" s="136"/>
      <c r="ET136" s="136"/>
      <c r="EU136" s="136"/>
      <c r="EV136" s="136"/>
      <c r="EW136" s="136"/>
      <c r="EX136" s="136"/>
      <c r="EY136" s="136"/>
      <c r="EZ136" s="136"/>
      <c r="FA136" s="136"/>
      <c r="FB136" s="136"/>
      <c r="FC136" s="136"/>
      <c r="FD136" s="136"/>
      <c r="FE136" s="136"/>
      <c r="FF136" s="136"/>
      <c r="FG136" s="136"/>
      <c r="FH136" s="136"/>
      <c r="FI136" s="136"/>
      <c r="FJ136" s="136"/>
      <c r="FK136" s="136"/>
      <c r="FL136" s="136"/>
      <c r="FM136" s="136"/>
      <c r="FN136" s="136"/>
      <c r="FO136" s="136"/>
      <c r="FP136" s="136"/>
      <c r="FQ136" s="136"/>
      <c r="FR136" s="412"/>
      <c r="FS136" s="412"/>
      <c r="FT136" s="412"/>
      <c r="FU136" s="412"/>
      <c r="FV136" s="412"/>
      <c r="FW136" s="412"/>
      <c r="FX136" s="412"/>
      <c r="FY136" s="412"/>
      <c r="FZ136" s="412"/>
      <c r="GA136" s="412"/>
      <c r="GB136" s="412"/>
      <c r="GC136" s="412"/>
      <c r="GD136" s="412"/>
      <c r="GE136" s="412"/>
      <c r="GF136" s="412"/>
      <c r="GG136" s="412"/>
      <c r="GH136" s="412"/>
      <c r="GI136" s="412"/>
      <c r="GJ136" s="412"/>
      <c r="GK136" s="412"/>
      <c r="GL136" s="412"/>
      <c r="GM136" s="412"/>
      <c r="GN136" s="412"/>
      <c r="GO136" s="412"/>
      <c r="GP136" s="412"/>
      <c r="GQ136" s="412"/>
      <c r="GR136" s="278"/>
      <c r="GS136" s="277"/>
      <c r="GT136" s="277"/>
      <c r="GU136" s="277"/>
      <c r="GV136" s="277"/>
      <c r="GW136" s="277"/>
      <c r="GX136" s="277"/>
      <c r="GY136" s="277"/>
      <c r="GZ136" s="277"/>
      <c r="HA136" s="277"/>
      <c r="HB136" s="277"/>
      <c r="HC136" s="277"/>
      <c r="HD136" s="277"/>
      <c r="HE136" s="277"/>
      <c r="HF136" s="277"/>
      <c r="HG136" s="554"/>
      <c r="HH136" s="554"/>
      <c r="HI136" s="554"/>
      <c r="HJ136" s="554"/>
      <c r="HK136" s="554"/>
      <c r="HL136" s="554"/>
      <c r="HM136" s="554"/>
      <c r="HN136" s="554"/>
      <c r="HO136" s="554"/>
      <c r="HP136" s="554"/>
      <c r="HQ136" s="554"/>
      <c r="HR136" s="554"/>
      <c r="HS136" s="554"/>
      <c r="HT136" s="554"/>
      <c r="HU136" s="277"/>
      <c r="HV136" s="277"/>
      <c r="HW136" s="277"/>
      <c r="HX136" s="277"/>
      <c r="HY136" s="277"/>
      <c r="HZ136" s="277"/>
      <c r="IA136" s="277"/>
      <c r="IB136" s="277"/>
      <c r="IC136" s="412"/>
      <c r="ID136" s="412"/>
      <c r="IE136" s="412"/>
      <c r="IF136" s="412"/>
      <c r="IG136" s="412"/>
      <c r="IH136" s="412"/>
      <c r="II136" s="412"/>
      <c r="IJ136" s="412"/>
      <c r="IK136" s="412"/>
      <c r="IL136" s="412"/>
      <c r="IM136" s="412"/>
      <c r="IN136" s="412"/>
      <c r="IO136" s="413"/>
      <c r="IP136" s="412"/>
      <c r="IQ136" s="389"/>
      <c r="IR136" s="389"/>
      <c r="IS136" s="389"/>
      <c r="IT136" s="389"/>
      <c r="IU136" s="389"/>
      <c r="IV136" s="389"/>
      <c r="IW136" s="389"/>
      <c r="IX136" s="389"/>
      <c r="IY136" s="389"/>
      <c r="IZ136" s="389"/>
      <c r="JA136" s="389"/>
      <c r="JB136" s="389"/>
      <c r="JC136" s="389"/>
      <c r="JD136" s="389"/>
      <c r="JE136" s="389"/>
      <c r="JF136" s="389"/>
      <c r="JG136" s="389"/>
      <c r="JH136" s="389"/>
      <c r="JI136" s="389"/>
      <c r="JJ136" s="389"/>
      <c r="JK136" s="389"/>
      <c r="JL136" s="389"/>
      <c r="JM136" s="389"/>
      <c r="JN136" s="389"/>
      <c r="JO136" s="14"/>
      <c r="JP136" s="14"/>
      <c r="JQ136" s="14"/>
      <c r="JR136" s="14"/>
      <c r="JS136" s="14"/>
      <c r="JT136" s="14"/>
      <c r="JU136" s="14"/>
      <c r="JV136" s="14"/>
      <c r="JW136" s="14"/>
      <c r="JX136" s="14"/>
      <c r="JY136" s="14"/>
      <c r="JZ136" s="14"/>
      <c r="KA136" s="14"/>
      <c r="KB136" s="14"/>
      <c r="KC136" s="14"/>
      <c r="KD136" s="14"/>
      <c r="KE136" s="14"/>
      <c r="KF136" s="14"/>
      <c r="KG136" s="14"/>
      <c r="KH136" s="14"/>
      <c r="KI136" s="14"/>
      <c r="KJ136" s="14"/>
      <c r="KK136" s="14"/>
      <c r="KL136" s="14"/>
      <c r="KM136" s="14"/>
      <c r="KN136" s="14"/>
      <c r="KO136" s="14"/>
      <c r="KP136" s="14"/>
    </row>
    <row r="137" spans="1:302" s="1" customFormat="1" ht="11.1" hidden="1" customHeight="1" outlineLevel="1">
      <c r="A137" s="437"/>
      <c r="B137" s="933"/>
      <c r="C137" s="933"/>
      <c r="D137" s="436"/>
      <c r="E137" s="933"/>
      <c r="F137" s="435"/>
      <c r="G137" s="433"/>
      <c r="H137" s="383"/>
      <c r="I137" s="434"/>
      <c r="J137" s="434"/>
      <c r="K137" s="433"/>
      <c r="L137" s="720"/>
      <c r="M137" s="720"/>
      <c r="N137" s="720"/>
      <c r="O137" s="223"/>
      <c r="Q137" s="280"/>
      <c r="R137" s="432"/>
      <c r="S137" s="15"/>
      <c r="T137" s="15"/>
      <c r="U137" s="15"/>
      <c r="V137" s="15"/>
      <c r="W137" s="15"/>
      <c r="X137" s="442"/>
      <c r="Y137" s="430"/>
      <c r="Z137" s="430"/>
      <c r="AA137" s="430"/>
      <c r="AB137" s="9"/>
      <c r="AC137" s="36"/>
      <c r="AD137" s="219"/>
      <c r="AE137" s="219"/>
      <c r="AF137" s="934"/>
      <c r="AG137" s="934"/>
      <c r="AH137" s="54"/>
      <c r="AI137" s="54"/>
      <c r="AJ137" s="429"/>
      <c r="AK137" s="428"/>
      <c r="AL137" s="427"/>
      <c r="AM137" s="426"/>
      <c r="AN137" s="439"/>
      <c r="AO137" s="425"/>
      <c r="AP137" s="424"/>
      <c r="AQ137" s="424"/>
      <c r="AR137" s="708"/>
      <c r="AS137" s="421"/>
      <c r="AT137" s="419"/>
      <c r="AU137" s="420"/>
      <c r="AV137" s="223"/>
      <c r="AW137" s="420"/>
      <c r="AX137" s="417"/>
      <c r="AY137" s="420"/>
      <c r="AZ137" s="223"/>
      <c r="BA137" s="419"/>
      <c r="BB137" s="223"/>
      <c r="BC137" s="223"/>
      <c r="BD137" s="223"/>
      <c r="BE137" s="223"/>
      <c r="BF137" s="416"/>
      <c r="BG137" s="418"/>
      <c r="BH137" s="416"/>
      <c r="BI137" s="416"/>
      <c r="BJ137" s="416"/>
      <c r="BK137" s="418"/>
      <c r="BL137" s="417"/>
      <c r="BM137" s="416"/>
      <c r="BN137" s="416"/>
      <c r="BO137" s="416"/>
      <c r="BP137" s="416"/>
      <c r="BQ137" s="416"/>
      <c r="BR137" s="416"/>
      <c r="BS137" s="416"/>
      <c r="BT137" s="389"/>
      <c r="BU137" s="389"/>
      <c r="BV137" s="389"/>
      <c r="BW137" s="389"/>
      <c r="BX137" s="415"/>
      <c r="BY137" s="389"/>
      <c r="BZ137" s="389"/>
      <c r="CA137" s="389"/>
      <c r="CB137" s="389"/>
      <c r="CC137" s="389"/>
      <c r="CD137" s="389"/>
      <c r="CE137" s="389"/>
      <c r="CF137" s="389"/>
      <c r="CG137" s="389"/>
      <c r="CH137" s="389"/>
      <c r="CI137" s="389"/>
      <c r="CJ137" s="389"/>
      <c r="CK137" s="389"/>
      <c r="CL137" s="389"/>
      <c r="CM137" s="389"/>
      <c r="CN137" s="389"/>
      <c r="CO137" s="389"/>
      <c r="CP137" s="389"/>
      <c r="CQ137" s="389"/>
      <c r="CR137" s="389"/>
      <c r="CS137" s="415"/>
      <c r="CT137" s="389"/>
      <c r="CU137" s="389"/>
      <c r="CV137" s="389"/>
      <c r="CW137" s="389"/>
      <c r="CX137" s="389"/>
      <c r="CY137" s="389"/>
      <c r="CZ137" s="389"/>
      <c r="DA137" s="389"/>
      <c r="DB137" s="389"/>
      <c r="DC137" s="389"/>
      <c r="DD137" s="389"/>
      <c r="DE137" s="389"/>
      <c r="DF137" s="389"/>
      <c r="DG137" s="389"/>
      <c r="DH137" s="389"/>
      <c r="DI137" s="389"/>
      <c r="DJ137" s="389"/>
      <c r="DK137" s="389"/>
      <c r="DL137" s="389"/>
      <c r="DM137" s="389"/>
      <c r="DN137" s="389"/>
      <c r="DO137" s="414"/>
      <c r="DP137" s="39"/>
      <c r="DQ137" s="39"/>
      <c r="DR137" s="39"/>
      <c r="DS137" s="136"/>
      <c r="DT137" s="136"/>
      <c r="DU137" s="136"/>
      <c r="DV137" s="136"/>
      <c r="DW137" s="136"/>
      <c r="DX137" s="136"/>
      <c r="DY137" s="136"/>
      <c r="DZ137" s="136"/>
      <c r="EA137" s="136"/>
      <c r="EB137" s="136"/>
      <c r="EC137" s="136"/>
      <c r="ED137" s="136"/>
      <c r="EE137" s="136"/>
      <c r="EF137" s="136"/>
      <c r="EG137" s="136"/>
      <c r="EH137" s="136"/>
      <c r="EI137" s="136"/>
      <c r="EJ137" s="136"/>
      <c r="EK137" s="136"/>
      <c r="EL137" s="136"/>
      <c r="EM137" s="136"/>
      <c r="EN137" s="136"/>
      <c r="EO137" s="136"/>
      <c r="EP137" s="136"/>
      <c r="EQ137" s="136"/>
      <c r="ER137" s="136"/>
      <c r="ES137" s="136"/>
      <c r="ET137" s="136"/>
      <c r="EU137" s="136"/>
      <c r="EV137" s="136"/>
      <c r="EW137" s="136"/>
      <c r="EX137" s="136"/>
      <c r="EY137" s="136"/>
      <c r="EZ137" s="136"/>
      <c r="FA137" s="136"/>
      <c r="FB137" s="136"/>
      <c r="FC137" s="136"/>
      <c r="FD137" s="136"/>
      <c r="FE137" s="136"/>
      <c r="FF137" s="136"/>
      <c r="FG137" s="136"/>
      <c r="FH137" s="136"/>
      <c r="FI137" s="136"/>
      <c r="FJ137" s="136"/>
      <c r="FK137" s="136"/>
      <c r="FL137" s="136"/>
      <c r="FM137" s="136"/>
      <c r="FN137" s="136"/>
      <c r="FO137" s="136"/>
      <c r="FP137" s="136"/>
      <c r="FQ137" s="136"/>
      <c r="FR137" s="412"/>
      <c r="FS137" s="412"/>
      <c r="FT137" s="412"/>
      <c r="FU137" s="412"/>
      <c r="FV137" s="412"/>
      <c r="FW137" s="412"/>
      <c r="FX137" s="412"/>
      <c r="FY137" s="412"/>
      <c r="FZ137" s="412"/>
      <c r="GA137" s="412"/>
      <c r="GB137" s="412"/>
      <c r="GC137" s="412"/>
      <c r="GD137" s="412"/>
      <c r="GE137" s="412"/>
      <c r="GF137" s="412"/>
      <c r="GG137" s="412"/>
      <c r="GH137" s="412"/>
      <c r="GI137" s="412"/>
      <c r="GJ137" s="412"/>
      <c r="GK137" s="412"/>
      <c r="GL137" s="412"/>
      <c r="GM137" s="412"/>
      <c r="GN137" s="412"/>
      <c r="GO137" s="412"/>
      <c r="GP137" s="412"/>
      <c r="GQ137" s="412"/>
      <c r="GR137" s="278"/>
      <c r="GS137" s="277"/>
      <c r="GT137" s="277"/>
      <c r="GU137" s="277"/>
      <c r="GV137" s="277"/>
      <c r="GW137" s="277"/>
      <c r="GX137" s="277"/>
      <c r="GY137" s="277"/>
      <c r="GZ137" s="277"/>
      <c r="HA137" s="277"/>
      <c r="HB137" s="277"/>
      <c r="HC137" s="277"/>
      <c r="HD137" s="277"/>
      <c r="HE137" s="277"/>
      <c r="HF137" s="277"/>
      <c r="HG137" s="554"/>
      <c r="HH137" s="554"/>
      <c r="HI137" s="554"/>
      <c r="HJ137" s="554"/>
      <c r="HK137" s="554"/>
      <c r="HL137" s="554"/>
      <c r="HM137" s="554"/>
      <c r="HN137" s="554"/>
      <c r="HO137" s="554"/>
      <c r="HP137" s="554"/>
      <c r="HQ137" s="554"/>
      <c r="HR137" s="554"/>
      <c r="HS137" s="554"/>
      <c r="HT137" s="554"/>
      <c r="HU137" s="277"/>
      <c r="HV137" s="277"/>
      <c r="HW137" s="277"/>
      <c r="HX137" s="277"/>
      <c r="HY137" s="277"/>
      <c r="HZ137" s="277"/>
      <c r="IA137" s="277"/>
      <c r="IB137" s="277"/>
      <c r="IC137" s="412"/>
      <c r="ID137" s="412"/>
      <c r="IE137" s="412"/>
      <c r="IF137" s="412"/>
      <c r="IG137" s="412"/>
      <c r="IH137" s="412"/>
      <c r="II137" s="412"/>
      <c r="IJ137" s="412"/>
      <c r="IK137" s="412"/>
      <c r="IL137" s="412"/>
      <c r="IM137" s="412"/>
      <c r="IN137" s="412"/>
      <c r="IO137" s="413"/>
      <c r="IP137" s="412"/>
      <c r="IQ137" s="389"/>
      <c r="IR137" s="389"/>
      <c r="IS137" s="389"/>
      <c r="IT137" s="389"/>
      <c r="IU137" s="389"/>
      <c r="IV137" s="389"/>
      <c r="IW137" s="389"/>
      <c r="IX137" s="389"/>
      <c r="IY137" s="389"/>
      <c r="IZ137" s="389"/>
      <c r="JA137" s="389"/>
      <c r="JB137" s="389"/>
      <c r="JC137" s="389"/>
      <c r="JD137" s="389"/>
      <c r="JE137" s="389"/>
      <c r="JF137" s="389"/>
      <c r="JG137" s="389"/>
      <c r="JH137" s="389"/>
      <c r="JI137" s="389"/>
      <c r="JJ137" s="389"/>
      <c r="JK137" s="389"/>
      <c r="JL137" s="389"/>
      <c r="JM137" s="389"/>
      <c r="JN137" s="389"/>
      <c r="JO137" s="14"/>
      <c r="JP137" s="14"/>
      <c r="JQ137" s="14"/>
      <c r="JR137" s="14"/>
      <c r="JS137" s="14"/>
      <c r="JT137" s="14"/>
      <c r="JU137" s="14"/>
      <c r="JV137" s="14"/>
      <c r="JW137" s="14"/>
      <c r="JX137" s="14"/>
      <c r="JY137" s="14"/>
      <c r="JZ137" s="14"/>
      <c r="KA137" s="14"/>
      <c r="KB137" s="14"/>
      <c r="KC137" s="14"/>
      <c r="KD137" s="14"/>
      <c r="KE137" s="14"/>
      <c r="KF137" s="14"/>
      <c r="KG137" s="14"/>
      <c r="KH137" s="14"/>
      <c r="KI137" s="14"/>
      <c r="KJ137" s="14"/>
      <c r="KK137" s="14"/>
      <c r="KL137" s="14"/>
      <c r="KM137" s="14"/>
      <c r="KN137" s="14"/>
      <c r="KO137" s="14"/>
      <c r="KP137" s="14"/>
    </row>
    <row r="138" spans="1:302" s="15" customFormat="1" ht="5.0999999999999996" customHeight="1" collapsed="1">
      <c r="A138" s="232"/>
      <c r="B138" s="507"/>
      <c r="C138" s="431"/>
      <c r="D138" s="506"/>
      <c r="E138" s="475"/>
      <c r="F138" s="431"/>
      <c r="G138" s="431"/>
      <c r="H138" s="431"/>
      <c r="I138" s="385"/>
      <c r="J138" s="431"/>
      <c r="K138" s="431"/>
      <c r="L138" s="601"/>
      <c r="M138" s="844"/>
      <c r="N138" s="844"/>
      <c r="O138" s="505"/>
      <c r="P138" s="967"/>
      <c r="Q138" s="280"/>
      <c r="X138" s="442"/>
      <c r="Y138" s="498"/>
      <c r="Z138" s="498"/>
      <c r="AA138" s="498"/>
      <c r="AB138" s="982"/>
      <c r="AC138" s="431"/>
      <c r="AD138" s="78"/>
      <c r="AE138" s="431"/>
      <c r="AF138" s="504"/>
      <c r="AG138" s="307"/>
      <c r="AH138" s="503"/>
      <c r="AI138" s="503"/>
      <c r="AJ138" s="502"/>
      <c r="AK138" s="501"/>
      <c r="AL138" s="54"/>
      <c r="AM138" s="22"/>
      <c r="AN138" s="54"/>
      <c r="AO138" s="22"/>
      <c r="AP138" s="22"/>
      <c r="AQ138" s="22"/>
      <c r="AT138" s="54"/>
      <c r="AU138" s="22"/>
      <c r="AV138" s="22"/>
      <c r="AW138" s="22"/>
      <c r="AX138" s="22"/>
      <c r="AY138" s="22"/>
      <c r="AZ138" s="22"/>
      <c r="BA138" s="54"/>
      <c r="BB138" s="22"/>
      <c r="BG138" s="51"/>
      <c r="BK138" s="51"/>
      <c r="BX138" s="51"/>
      <c r="CS138" s="51"/>
      <c r="DO138" s="500"/>
      <c r="HG138" s="981"/>
      <c r="HH138" s="981"/>
      <c r="HI138" s="981"/>
      <c r="HJ138" s="981"/>
      <c r="HK138" s="981"/>
      <c r="HL138" s="981"/>
      <c r="HM138" s="981"/>
      <c r="HN138" s="981"/>
      <c r="HO138" s="981"/>
      <c r="HP138" s="981"/>
      <c r="HQ138" s="981"/>
      <c r="HR138" s="981"/>
      <c r="HS138" s="981"/>
      <c r="HT138" s="981"/>
      <c r="HU138" s="499"/>
      <c r="HV138" s="498"/>
      <c r="HW138" s="498"/>
      <c r="HX138" s="498"/>
      <c r="HY138" s="498"/>
      <c r="HZ138" s="498"/>
      <c r="IA138" s="498"/>
      <c r="IB138" s="498"/>
      <c r="IC138" s="498"/>
      <c r="ID138" s="498"/>
      <c r="IE138" s="498"/>
      <c r="IF138" s="498"/>
      <c r="IG138" s="498"/>
      <c r="IH138" s="498"/>
      <c r="II138" s="498"/>
      <c r="IJ138" s="498"/>
      <c r="IK138" s="498"/>
      <c r="IL138" s="498"/>
      <c r="IM138" s="498"/>
      <c r="IN138" s="498"/>
      <c r="IO138" s="498"/>
      <c r="IP138" s="498"/>
      <c r="IQ138" s="498"/>
      <c r="IR138" s="498"/>
      <c r="IS138" s="498"/>
      <c r="IT138" s="498"/>
      <c r="IU138" s="498"/>
      <c r="IV138" s="498"/>
      <c r="IW138" s="498"/>
      <c r="IX138" s="498"/>
      <c r="IY138" s="498"/>
      <c r="IZ138" s="498"/>
      <c r="JA138" s="498"/>
      <c r="JB138" s="498"/>
      <c r="JC138" s="498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6"/>
      <c r="KP138" s="6"/>
    </row>
    <row r="139" spans="1:302" s="1" customFormat="1" ht="11.1" customHeight="1">
      <c r="A139" s="497" t="s">
        <v>181</v>
      </c>
      <c r="B139" s="496" t="s">
        <v>186</v>
      </c>
      <c r="C139" s="495">
        <v>48884</v>
      </c>
      <c r="D139" s="946">
        <v>45197</v>
      </c>
      <c r="E139" s="764">
        <v>96.534960600000005</v>
      </c>
      <c r="F139" s="490">
        <v>4.3499999999999997E-2</v>
      </c>
      <c r="G139" s="383">
        <v>1000</v>
      </c>
      <c r="H139" s="492">
        <f>G139</f>
        <v>1000</v>
      </c>
      <c r="I139" s="385">
        <f>G139*F139/100*F144</f>
        <v>38.0625</v>
      </c>
      <c r="J139" s="492">
        <f>I139</f>
        <v>38.0625</v>
      </c>
      <c r="K139" s="574" t="s">
        <v>179</v>
      </c>
      <c r="L139" s="833">
        <f>MONTH(C139)</f>
        <v>11</v>
      </c>
      <c r="M139" s="842">
        <f>IFERROR(IF(N139&gt;12,N139-12,N139),"")</f>
        <v>5</v>
      </c>
      <c r="N139" s="594">
        <f>IF(K141=1,"",MONTH(C139)+6)</f>
        <v>17</v>
      </c>
      <c r="O139" s="832">
        <f>IF(K141=1,I139,I139/2)</f>
        <v>19.03125</v>
      </c>
      <c r="P139" s="215">
        <f>VLOOKUP(B140,[2]Prezzi!$A$2:$R$125,18,FALSE)</f>
        <v>107.09500122070312</v>
      </c>
      <c r="Q139" s="280"/>
      <c r="R139" s="432"/>
      <c r="S139" s="493">
        <f ca="1">MAX(0,IF(B144=5,I139/AM141*X139,(((((F139)*AF$2)/365)*G139*F144/100)+((((F139)*X144)/365)*G139*F144/100))))</f>
        <v>1.2513698630136219</v>
      </c>
      <c r="T139" s="492">
        <f ca="1">S139</f>
        <v>1.2513698630136219</v>
      </c>
      <c r="U139" s="469"/>
      <c r="V139" s="4"/>
      <c r="W139" s="469"/>
      <c r="X139" s="491">
        <f ca="1">IF(B144=4,COUPDAYBS($AB$2,C139,K141,AH143),IF($AB$2-AL139&lt;365,IF(K141&gt;1,FLOOR(365/K141-(E141-AB$2),1),IF(B144=2,0,IF(AL139&gt;$AB$2,0,IF(AND(E141-AL139&lt;365,$AB$2&lt;E141),$AB$2-AL139,COUPDAYBS($AB$2,C139,K141,AH143))))),COUPDAYBS($AB$2,C139,K141,AH143)))</f>
        <v>12</v>
      </c>
      <c r="Y139" s="456">
        <f ca="1">G139*AF139</f>
        <v>7483.1530890501253</v>
      </c>
      <c r="Z139" s="456">
        <f ca="1">IF(G139=0,"0",G139*AG139)</f>
        <v>29.961930441815422</v>
      </c>
      <c r="AA139" s="22"/>
      <c r="AB139" s="979">
        <f ca="1">IF(B144=5,(((I139/AM142)*X139)+(G139)),(G139*P139*A144/100)+(S139*A144))</f>
        <v>1072.2013820700449</v>
      </c>
      <c r="AC139" s="383">
        <f ca="1">AB139</f>
        <v>1072.2013820700449</v>
      </c>
      <c r="AD139" s="156">
        <f>IF(E140="",((P139-E139)/100)*G139,((((P139-E139)/100)*A140)/F140)+((A140/F140)-(A140/E140)))</f>
        <v>105.6004062070312</v>
      </c>
      <c r="AE139" s="383">
        <f>AD139</f>
        <v>105.6004062070312</v>
      </c>
      <c r="AF139" s="446">
        <f ca="1">IF(B144=1,MDURATION($AB$2,C139,F139,AG139,K141,AH143),IF(B144=2,YEARFRAC(C139,$AB$2,AH143)))</f>
        <v>7.4831530890501252</v>
      </c>
      <c r="AG139" s="824">
        <f ca="1">YIELD(AB$2,C139,F139,P139,AL141,K141,AH143)*F144/100</f>
        <v>2.9961930441815422E-2</v>
      </c>
      <c r="AH139" s="489">
        <f ca="1">(((F139)*X139)/365)*F144</f>
        <v>0.12513698630136985</v>
      </c>
      <c r="AI139" s="489"/>
      <c r="AJ139" s="488"/>
      <c r="AK139" s="487"/>
      <c r="AL139" s="486">
        <v>45048</v>
      </c>
      <c r="AM139" s="485" t="s">
        <v>178</v>
      </c>
      <c r="AN139" s="213">
        <v>25</v>
      </c>
      <c r="AO139" s="484">
        <f>IF(B144=4,AP142*A141/100,IF(AF141=1,G139*AP142/100,A140/E140/100*AP142))</f>
        <v>18.203799999999998</v>
      </c>
      <c r="AP139" s="326">
        <f>IF(B144=2,AN144+AN139+AN140+AP140,AN144+AN139+AN140+AO139+AO140+AP140)</f>
        <v>1006.2704525067779</v>
      </c>
      <c r="AQ139" s="326">
        <f>AP139</f>
        <v>1006.2704525067779</v>
      </c>
      <c r="AR139" s="710">
        <f>AR141+AR143+AR140</f>
        <v>1037.875</v>
      </c>
      <c r="AS139" s="825">
        <f ca="1">AG139</f>
        <v>2.9961930441815422E-2</v>
      </c>
      <c r="AT139" s="419">
        <f>IF(B144=1,G139,"")</f>
        <v>1000</v>
      </c>
      <c r="AU139" s="420" t="str">
        <f>IF(B144=2,G139,"")</f>
        <v/>
      </c>
      <c r="AV139" s="223" t="str">
        <f>IF(B144=3,G139,"")</f>
        <v/>
      </c>
      <c r="AW139" s="420" t="str">
        <f>IF(B144=4,G139,"")</f>
        <v/>
      </c>
      <c r="AX139" s="417" t="str">
        <f>IF(B144=5,G139,"")</f>
        <v/>
      </c>
      <c r="AY139" s="420" t="str">
        <f>IF(B144=6,G139,"")</f>
        <v/>
      </c>
      <c r="AZ139" s="223" t="str">
        <f>IF(B144=7,G139,"")</f>
        <v/>
      </c>
      <c r="BA139" s="419" t="str">
        <f>IF(B141=1,G139,"")</f>
        <v/>
      </c>
      <c r="BB139" s="223" t="str">
        <f>IF(B141=2,G139,"")</f>
        <v/>
      </c>
      <c r="BC139" s="223" t="str">
        <f>IF(B141=3,G139,"")</f>
        <v/>
      </c>
      <c r="BD139" s="223">
        <f>IF(B141=4,G139,"")</f>
        <v>1000</v>
      </c>
      <c r="BE139" s="223" t="str">
        <f>IF(B141=5,G139,"")</f>
        <v/>
      </c>
      <c r="BF139" s="417" t="str">
        <f>IF(B141=6,G139,"")</f>
        <v/>
      </c>
      <c r="BG139" s="419">
        <f>IF(AK144=1,G139,"")</f>
        <v>1000</v>
      </c>
      <c r="BH139" s="223" t="str">
        <f>IF(AK144=2,G139,"")</f>
        <v/>
      </c>
      <c r="BI139" s="223" t="str">
        <f>IF(AK144=3,G139,"")</f>
        <v/>
      </c>
      <c r="BJ139" s="223" t="str">
        <f>IF(AK144=4,G139,"")</f>
        <v/>
      </c>
      <c r="BK139" s="419">
        <f>IF(AJ143=1,G139,"")</f>
        <v>1000</v>
      </c>
      <c r="BL139" s="482">
        <f ca="1">IF(BK139&lt;&gt;"",AB139,"")</f>
        <v>1072.2013820700449</v>
      </c>
      <c r="BM139" s="223" t="str">
        <f>IF(AJ143=2,G139,"")</f>
        <v/>
      </c>
      <c r="BN139" s="223" t="str">
        <f>IF(BM139&lt;&gt;"",AB139,"")</f>
        <v/>
      </c>
      <c r="BO139" s="223" t="str">
        <f>IF(AJ143=3,G139,"")</f>
        <v/>
      </c>
      <c r="BP139" s="223" t="str">
        <f>IF(AJ143=4,G139,"")</f>
        <v/>
      </c>
      <c r="BQ139" s="223" t="str">
        <f>IF(AJ143=5,G139,"")</f>
        <v/>
      </c>
      <c r="BR139" s="223" t="str">
        <f>IF(AJ143=6,G139,"")</f>
        <v/>
      </c>
      <c r="BS139" s="223" t="str">
        <f>IF(AJ143=7,G139,"")</f>
        <v/>
      </c>
      <c r="BT139" s="223" t="str">
        <f>IF(AJ143=8,G139,"")</f>
        <v/>
      </c>
      <c r="BU139" s="223" t="str">
        <f>IF(AJ143=9,G139,"")</f>
        <v/>
      </c>
      <c r="BV139" s="223" t="str">
        <f>IF(AJ143=10,G139,"")</f>
        <v/>
      </c>
      <c r="BW139" s="223" t="str">
        <f>IF(AJ143=11,G139,"")</f>
        <v/>
      </c>
      <c r="BX139" s="419">
        <f>IF(AF141=1,G139,"")</f>
        <v>1000</v>
      </c>
      <c r="BY139" s="223" t="str">
        <f>IF(AF141=2,G139,"")</f>
        <v/>
      </c>
      <c r="BZ139" s="223" t="str">
        <f>IF(AF141=3,G139,"")</f>
        <v/>
      </c>
      <c r="CA139" s="223" t="str">
        <f>IF(AF141=4,G139,"")</f>
        <v/>
      </c>
      <c r="CB139" s="223" t="str">
        <f>IF(AF141=5,G139,"")</f>
        <v/>
      </c>
      <c r="CC139" s="223" t="str">
        <f>IF(AF141=6,G139,"")</f>
        <v/>
      </c>
      <c r="CD139" s="223" t="str">
        <f>IF(AF141=7,G139,"")</f>
        <v/>
      </c>
      <c r="CE139" s="223" t="str">
        <f>IF(AF141=8,G139,"")</f>
        <v/>
      </c>
      <c r="CF139" s="223" t="str">
        <f>IF(AF141=9,G139,"")</f>
        <v/>
      </c>
      <c r="CG139" s="223" t="str">
        <f>IF(AF141=10,G139,"")</f>
        <v/>
      </c>
      <c r="CH139" s="223" t="str">
        <f>IF(AF141=11,G139,"")</f>
        <v/>
      </c>
      <c r="CI139" s="223" t="str">
        <f>IF(AF141=12,G139,"")</f>
        <v/>
      </c>
      <c r="CJ139" s="223" t="str">
        <f>IF(AF141=13,G139,"")</f>
        <v/>
      </c>
      <c r="CK139" s="223" t="str">
        <f>IF(AF141=14,G139,"")</f>
        <v/>
      </c>
      <c r="CL139" s="223" t="str">
        <f>IF(AF141=15,G139,"")</f>
        <v/>
      </c>
      <c r="CM139" s="223" t="str">
        <f>IF(AF141=16,G139,"")</f>
        <v/>
      </c>
      <c r="CN139" s="223" t="str">
        <f>IF(AF141=17,G139,"")</f>
        <v/>
      </c>
      <c r="CO139" s="223" t="str">
        <f>IF(AF141=18,G139,"")</f>
        <v/>
      </c>
      <c r="CP139" s="223" t="str">
        <f>IF(AF141=19,G139,"")</f>
        <v/>
      </c>
      <c r="CQ139" s="223" t="str">
        <f>IF(AF141=20,G139,"")</f>
        <v/>
      </c>
      <c r="CR139" s="223" t="str">
        <f>IF(AF141=21,G139,"")</f>
        <v/>
      </c>
      <c r="CS139" s="419">
        <f>IF(K144=1,G139,"")</f>
        <v>1000</v>
      </c>
      <c r="CT139" s="223" t="str">
        <f>IF(K144=2,G139,"")</f>
        <v/>
      </c>
      <c r="CU139" s="223" t="str">
        <f>IF(K144=3,G139,"")</f>
        <v/>
      </c>
      <c r="CV139" s="223" t="str">
        <f>IF(K144=4,G139,"")</f>
        <v/>
      </c>
      <c r="CW139" s="223" t="str">
        <f>IF(K144=5,G139,"")</f>
        <v/>
      </c>
      <c r="CX139" s="223" t="str">
        <f>IF(K144=6,G139,"")</f>
        <v/>
      </c>
      <c r="CY139" s="223" t="str">
        <f>IF(K144=7,G139,"")</f>
        <v/>
      </c>
      <c r="CZ139" s="223" t="str">
        <f>IF(K144=8,G139,"")</f>
        <v/>
      </c>
      <c r="DA139" s="223" t="str">
        <f>IF(K144=9,G139,"")</f>
        <v/>
      </c>
      <c r="DB139" s="223" t="str">
        <f>IF(K144=10,G139,"")</f>
        <v/>
      </c>
      <c r="DC139" s="223" t="str">
        <f>IF(K144=11,G139,"")</f>
        <v/>
      </c>
      <c r="DD139" s="223" t="str">
        <f>IF(K144=12,G139,"")</f>
        <v/>
      </c>
      <c r="DE139" s="223" t="str">
        <f>IF(K144=13,G139,"")</f>
        <v/>
      </c>
      <c r="DF139" s="223" t="str">
        <f>IF(K144=14,G139,"")</f>
        <v/>
      </c>
      <c r="DG139" s="223" t="str">
        <f>IF(K144=15,G139,"")</f>
        <v/>
      </c>
      <c r="DH139" s="223" t="str">
        <f>IF(K144=16,G139,"")</f>
        <v/>
      </c>
      <c r="DI139" s="223" t="str">
        <f>IF(K144=17,G139,"")</f>
        <v/>
      </c>
      <c r="DJ139" s="223" t="str">
        <f>IF(K144=18,G139,"")</f>
        <v/>
      </c>
      <c r="DK139" s="223" t="str">
        <f>IF(K144=19,G139,"")</f>
        <v/>
      </c>
      <c r="DL139" s="223" t="str">
        <f>IF(K144=20,G139,"")</f>
        <v/>
      </c>
      <c r="DM139" s="223"/>
      <c r="DN139" s="223"/>
      <c r="DO139" s="419">
        <f>IF(AG141=1,G139,"")</f>
        <v>1000</v>
      </c>
      <c r="DP139" s="223" t="str">
        <f>IF(AG141=2,G139,"")</f>
        <v/>
      </c>
      <c r="DQ139" s="223" t="str">
        <f>IF(AG141=3,G139,"")</f>
        <v/>
      </c>
      <c r="DR139" s="223" t="str">
        <f>IF(AG141=4,G139,"")</f>
        <v/>
      </c>
      <c r="DS139" s="223" t="str">
        <f>IF(AG141=5,G139,"")</f>
        <v/>
      </c>
      <c r="DT139" s="223" t="str">
        <f>IF(AG141=6,G139,"")</f>
        <v/>
      </c>
      <c r="DU139" s="223" t="str">
        <f>IF(AG141=7,G139,"")</f>
        <v/>
      </c>
      <c r="DV139" s="223" t="str">
        <f>IF(AG141=8,G139,"")</f>
        <v/>
      </c>
      <c r="DW139" s="136" t="str">
        <f>IF(AG141=9,G139,"")</f>
        <v/>
      </c>
      <c r="DX139" s="136" t="str">
        <f>IF(AG141=10,G139,"")</f>
        <v/>
      </c>
      <c r="DY139" s="136" t="str">
        <f>IF(AG141=11,G139,"")</f>
        <v/>
      </c>
      <c r="DZ139" s="136" t="str">
        <f>IF(AG141=12,G139,"")</f>
        <v/>
      </c>
      <c r="EA139" s="136" t="str">
        <f>IF(AG141=13,G139,"")</f>
        <v/>
      </c>
      <c r="EB139" s="136" t="str">
        <f>IF(AG141=14,G139,"")</f>
        <v/>
      </c>
      <c r="EC139" s="317" t="str">
        <f>IF(AG141=15,G139,"")</f>
        <v/>
      </c>
      <c r="ED139" s="136" t="str">
        <f>IF(AG141=16,G139,"")</f>
        <v/>
      </c>
      <c r="EE139" s="136" t="str">
        <f>IF(AG141=17,G139,"")</f>
        <v/>
      </c>
      <c r="EF139" s="136" t="str">
        <f>IF(AG141=18,G139,"")</f>
        <v/>
      </c>
      <c r="EG139" s="136" t="str">
        <f>IF(AG141=19,G139,"")</f>
        <v/>
      </c>
      <c r="EH139" s="136" t="str">
        <f>IF(AG141=20,G139,"")</f>
        <v/>
      </c>
      <c r="EI139" s="136" t="str">
        <f>IF(AG141=21,G139,"")</f>
        <v/>
      </c>
      <c r="EJ139" s="136" t="str">
        <f>IF(AG141=22,G139,"")</f>
        <v/>
      </c>
      <c r="EK139" s="136" t="str">
        <f>IF(AG141=23,G139,"")</f>
        <v/>
      </c>
      <c r="EL139" s="136" t="str">
        <f>IF(AG141=24,G139,"")</f>
        <v/>
      </c>
      <c r="EM139" s="136" t="str">
        <f>IF(AG141=25,G139,"")</f>
        <v/>
      </c>
      <c r="EN139" s="136" t="str">
        <f>IF(AG141=26,G139,"")</f>
        <v/>
      </c>
      <c r="EO139" s="136" t="str">
        <f>IF(AG141=27,G139,"")</f>
        <v/>
      </c>
      <c r="EP139" s="136" t="str">
        <f>IF(AG141=28,G139,"")</f>
        <v/>
      </c>
      <c r="EQ139" s="136" t="str">
        <f>IF(AG141=29,G139,"")</f>
        <v/>
      </c>
      <c r="ER139" s="136" t="str">
        <f>IF(AG141=30,G139,"")</f>
        <v/>
      </c>
      <c r="ES139" s="136" t="str">
        <f>IF(AG141=31,G139,"")</f>
        <v/>
      </c>
      <c r="ET139" s="136" t="str">
        <f>IF(AG141=32,G139,"")</f>
        <v/>
      </c>
      <c r="EU139" s="136" t="str">
        <f>IF(AG141=33,G139,"")</f>
        <v/>
      </c>
      <c r="EV139" s="136" t="str">
        <f>IF(AG141=34,G139,"")</f>
        <v/>
      </c>
      <c r="EW139" s="136" t="str">
        <f>IF(AG141=35,G139,"")</f>
        <v/>
      </c>
      <c r="EX139" s="136" t="str">
        <f>IF(AG141=36,G139,"")</f>
        <v/>
      </c>
      <c r="EY139" s="136" t="str">
        <f>IF(AG141=37,G139,"")</f>
        <v/>
      </c>
      <c r="EZ139" s="136" t="str">
        <f>IF(AG141=38,G139,"")</f>
        <v/>
      </c>
      <c r="FA139" s="136" t="str">
        <f>IF(AG141=39,G139,"")</f>
        <v/>
      </c>
      <c r="FB139" s="136" t="str">
        <f>IF(AG141=40,G139,"")</f>
        <v/>
      </c>
      <c r="FC139" s="136" t="str">
        <f>IF(AG141=41,G139,"")</f>
        <v/>
      </c>
      <c r="FD139" s="136" t="str">
        <f>IF(AG141=42,G139,"")</f>
        <v/>
      </c>
      <c r="FE139" s="136" t="str">
        <f>IF(AG141=43,G139,"")</f>
        <v/>
      </c>
      <c r="FF139" s="136" t="str">
        <f>IF(AG141=44,G139,"")</f>
        <v/>
      </c>
      <c r="FG139" s="136" t="str">
        <f>IF(AG141=45,G139,"")</f>
        <v/>
      </c>
      <c r="FH139" s="136" t="str">
        <f>IF(AG141=46,G139,"")</f>
        <v/>
      </c>
      <c r="FI139" s="136" t="str">
        <f>IF(AG141=47,G139,"")</f>
        <v/>
      </c>
      <c r="FJ139" s="136" t="str">
        <f>IF(AG141=48,G139,"")</f>
        <v/>
      </c>
      <c r="FK139" s="136" t="str">
        <f>IF(AG141=49,G139,"")</f>
        <v/>
      </c>
      <c r="FL139" s="136" t="str">
        <f>IF(AG141=50,G139,"")</f>
        <v/>
      </c>
      <c r="FM139" s="136" t="str">
        <f>IF(AG141=51,G139,"")</f>
        <v/>
      </c>
      <c r="FN139" s="136" t="str">
        <f>IF(AG141=52,G139,"")</f>
        <v/>
      </c>
      <c r="FO139" s="136" t="str">
        <f>IF(AG141=53,G139,"")</f>
        <v/>
      </c>
      <c r="FP139" s="136" t="str">
        <f>IF(AG141=54,G139,"")</f>
        <v/>
      </c>
      <c r="FQ139" s="136" t="str">
        <f>IF(AG141=55,G139,"")</f>
        <v/>
      </c>
      <c r="FR139" s="412" t="str">
        <f>IF(AG141=56,G139,"")</f>
        <v/>
      </c>
      <c r="FS139" s="412" t="str">
        <f>IF(AG141=57,G139,"")</f>
        <v/>
      </c>
      <c r="FT139" s="412" t="str">
        <f>IF(AG141=58,G139,"")</f>
        <v/>
      </c>
      <c r="FU139" s="412" t="str">
        <f>IF(AG141=59,G139,"")</f>
        <v/>
      </c>
      <c r="FV139" s="412" t="str">
        <f>IF(AG141=60,G139,"")</f>
        <v/>
      </c>
      <c r="FW139" s="412" t="str">
        <f>IF(AG141=61,G139,"")</f>
        <v/>
      </c>
      <c r="FX139" s="412" t="str">
        <f>IF(AG141=62,G139,"")</f>
        <v/>
      </c>
      <c r="FY139" s="412" t="str">
        <f>IF(AG141=63,G139,"")</f>
        <v/>
      </c>
      <c r="FZ139" s="412" t="str">
        <f>IF(AG141=64,G139,"")</f>
        <v/>
      </c>
      <c r="GA139" s="412" t="str">
        <f>IF(AG141=65,G139,"")</f>
        <v/>
      </c>
      <c r="GB139" s="412" t="str">
        <f>IF(AG141=66,G139,"")</f>
        <v/>
      </c>
      <c r="GC139" s="412" t="str">
        <f>IF(AG141=67,G139,"")</f>
        <v/>
      </c>
      <c r="GD139" s="412" t="str">
        <f>IF(AG141=68,G139,"")</f>
        <v/>
      </c>
      <c r="GE139" s="412" t="str">
        <f>IF(AG141=69,G139,"")</f>
        <v/>
      </c>
      <c r="GF139" s="412" t="str">
        <f>IF(AG141=70,G139,"")</f>
        <v/>
      </c>
      <c r="GG139" s="412" t="str">
        <f>IF(AG141=71,G139,"")</f>
        <v/>
      </c>
      <c r="GH139" s="412" t="str">
        <f>IF(AG141=72,G139,"")</f>
        <v/>
      </c>
      <c r="GI139" s="412" t="str">
        <f>IF(AG141=73,G139,"")</f>
        <v/>
      </c>
      <c r="GJ139" s="412" t="str">
        <f>IF(AG141=74,G139,"")</f>
        <v/>
      </c>
      <c r="GK139" s="412" t="str">
        <f>IF(AG141=75,G139,"")</f>
        <v/>
      </c>
      <c r="GL139" s="412" t="str">
        <f>IF(AG141=76,G139,"")</f>
        <v/>
      </c>
      <c r="GM139" s="412" t="str">
        <f>IF(AG141=77,G139,"")</f>
        <v/>
      </c>
      <c r="GN139" s="412" t="str">
        <f>IF(AG141=78,G139,"")</f>
        <v/>
      </c>
      <c r="GO139" s="412" t="str">
        <f>IF(AG141=79,G139,"")</f>
        <v/>
      </c>
      <c r="GP139" s="412" t="str">
        <f>IF(AG141=80,G139,"")</f>
        <v/>
      </c>
      <c r="GQ139" s="412" t="str">
        <f>IF(AG141=81,G139,"")</f>
        <v/>
      </c>
      <c r="GR139" s="412" t="str">
        <f>IF(AG141=82,G139,"")</f>
        <v/>
      </c>
      <c r="GS139" s="412" t="str">
        <f>IF(AG141=83,G139,"")</f>
        <v/>
      </c>
      <c r="GT139" s="412" t="str">
        <f>IF(AG141=84,G139,"")</f>
        <v/>
      </c>
      <c r="GU139" s="412"/>
      <c r="GV139" s="412"/>
      <c r="GW139" s="412"/>
      <c r="GX139" s="412"/>
      <c r="GY139" s="412"/>
      <c r="GZ139" s="412"/>
      <c r="HA139" s="412"/>
      <c r="HB139" s="412"/>
      <c r="HC139" s="412"/>
      <c r="HD139" s="412"/>
      <c r="HE139" s="412"/>
      <c r="HF139" s="412"/>
      <c r="HG139" s="136"/>
      <c r="HH139" s="136"/>
      <c r="HI139" s="136"/>
      <c r="HJ139" s="136"/>
      <c r="HK139" s="136"/>
      <c r="HL139" s="136"/>
      <c r="HM139" s="136"/>
      <c r="HN139" s="136"/>
      <c r="HO139" s="136"/>
      <c r="HP139" s="136"/>
      <c r="HQ139" s="136"/>
      <c r="HR139" s="136"/>
      <c r="HS139" s="136"/>
      <c r="HT139" s="136"/>
      <c r="HU139" s="278">
        <f ca="1">IF(AF141=1,AB139,"")</f>
        <v>1072.2013820700449</v>
      </c>
      <c r="HV139" s="277" t="str">
        <f>IF(AF141=2,AB139,"")</f>
        <v/>
      </c>
      <c r="HW139" s="277" t="str">
        <f>IF(AF141=3,AB139,"")</f>
        <v/>
      </c>
      <c r="HX139" s="277" t="str">
        <f>IF(AF141=4,AB139,"")</f>
        <v/>
      </c>
      <c r="HY139" s="277" t="str">
        <f>IF(AF141=5,AB139,"")</f>
        <v/>
      </c>
      <c r="HZ139" s="277" t="str">
        <f>IF(AF141=6,AB139,"")</f>
        <v/>
      </c>
      <c r="IA139" s="277" t="str">
        <f>IF(AF141=7,AB139,"")</f>
        <v/>
      </c>
      <c r="IB139" s="277" t="str">
        <f>IF(AF141=8,AB139,"")</f>
        <v/>
      </c>
      <c r="IC139" s="277" t="str">
        <f>IF(AF141=9,AB139,"")</f>
        <v/>
      </c>
      <c r="ID139" s="412" t="str">
        <f>IF(AF141=10,AB139,"")</f>
        <v/>
      </c>
      <c r="IE139" s="223" t="str">
        <f>IF(AF141=11,AB139,"")</f>
        <v/>
      </c>
      <c r="IF139" s="223" t="str">
        <f>IF(AF141=12,AB139,"")</f>
        <v/>
      </c>
      <c r="IG139" s="223" t="str">
        <f>IF(AF141=13,AB139,"")</f>
        <v/>
      </c>
      <c r="IH139" s="223" t="str">
        <f>IF(AF141=14,AB139,"")</f>
        <v/>
      </c>
      <c r="II139" s="223" t="str">
        <f>IF(AF141=15,AB139,"")</f>
        <v/>
      </c>
      <c r="IJ139" s="223" t="str">
        <f>IF(AF141=16,AB139,"")</f>
        <v/>
      </c>
      <c r="IK139" s="223" t="str">
        <f>IF(AF141=17,AB139,"")</f>
        <v/>
      </c>
      <c r="IL139" s="223" t="str">
        <f>IF(AF141=18,AB139,"")</f>
        <v/>
      </c>
      <c r="IM139" s="223" t="str">
        <f>IF(AF141=19,AB139,"")</f>
        <v/>
      </c>
      <c r="IN139" s="223" t="str">
        <f>IF(AF141=20,AB139,"")</f>
        <v/>
      </c>
      <c r="IO139" s="223" t="str">
        <f>IF(AF141=21,AB139,"")</f>
        <v/>
      </c>
      <c r="IP139" s="413"/>
      <c r="IQ139" s="478" t="str">
        <f>IF(G144=6,G139,"")</f>
        <v/>
      </c>
      <c r="IR139" s="317" t="str">
        <f>IF(G144=7,G139,"")</f>
        <v/>
      </c>
      <c r="IS139" s="478" t="str">
        <f>IF(G144=8,G139,"")</f>
        <v/>
      </c>
      <c r="IT139" s="317" t="str">
        <f>IF(G144=9,G139,"")</f>
        <v/>
      </c>
      <c r="IU139" s="478" t="str">
        <f>IF(G144=10,G139,"")</f>
        <v/>
      </c>
      <c r="IV139" s="478" t="str">
        <f>IF(G144=11,G139,"")</f>
        <v/>
      </c>
      <c r="IW139" s="478" t="str">
        <f>IF(G144=12,G139,"")</f>
        <v/>
      </c>
      <c r="IX139" s="478" t="str">
        <f>IF(G144=13,G139,"")</f>
        <v/>
      </c>
      <c r="IY139" s="478" t="str">
        <f>IF(G144=14,G139,"")</f>
        <v/>
      </c>
      <c r="IZ139" s="478" t="str">
        <f>IF(G144=15,G139,"")</f>
        <v/>
      </c>
      <c r="JA139" s="478" t="str">
        <f>IF(G144=16,G139,"")</f>
        <v/>
      </c>
      <c r="JB139" s="478" t="str">
        <f>IF(G144=17,G139,"")</f>
        <v/>
      </c>
      <c r="JC139" s="478" t="str">
        <f>IF(G144=18,G139,"")</f>
        <v/>
      </c>
      <c r="JD139" s="478" t="str">
        <f>IF(G144=19,G139,"")</f>
        <v/>
      </c>
      <c r="JE139" s="478" t="str">
        <f>IF(G144=20,G139,"")</f>
        <v/>
      </c>
      <c r="JF139" s="478" t="str">
        <f>IF(G144=21,G139,"")</f>
        <v/>
      </c>
      <c r="JG139" s="478">
        <f>IF(G144=22,G139,"")</f>
        <v>1000</v>
      </c>
      <c r="JH139" s="478" t="str">
        <f>IF(G144=23,G139,"")</f>
        <v/>
      </c>
      <c r="JI139" s="478" t="str">
        <f>IF(G144=24,G139,"")</f>
        <v/>
      </c>
      <c r="JJ139" s="478" t="str">
        <f>IF(G144=25,G139,"")</f>
        <v/>
      </c>
      <c r="JK139" s="478" t="str">
        <f>IF(G144=26,G139,"")</f>
        <v/>
      </c>
      <c r="JL139" s="478" t="str">
        <f>IF(G144=27,G139,"")</f>
        <v/>
      </c>
      <c r="JM139" s="478" t="str">
        <f>IF(G144=28,G139,"")</f>
        <v/>
      </c>
      <c r="JN139" s="478" t="str">
        <f>IF(G144=29,G139,"")</f>
        <v/>
      </c>
      <c r="JO139" s="478" t="str">
        <f>IF(G144=30,G139,"")</f>
        <v/>
      </c>
      <c r="JP139" s="478"/>
      <c r="JQ139" s="481">
        <f>IF(AND(AJ143=4,K144=1,G144&lt;=3),G139,0)</f>
        <v>0</v>
      </c>
      <c r="JR139" s="445" t="str">
        <f>IF(AF141=2,G139*E140,"")</f>
        <v/>
      </c>
      <c r="JS139" s="544" t="str">
        <f>IF(AF141&gt;1,((A140/F140)-(A140/E140)),"")</f>
        <v/>
      </c>
      <c r="JT139" s="543" t="str">
        <f>IF(AF141=2,((A140/F140)-(A140/E140)),"")</f>
        <v/>
      </c>
      <c r="JU139" s="543" t="str">
        <f>IF(AF141=3,((A140/F140)-(A140/E140)),"")</f>
        <v/>
      </c>
      <c r="JV139" s="543" t="str">
        <f>IF(AF141=4,((A140/F140)-(A140/E140)),"")</f>
        <v/>
      </c>
      <c r="JW139" s="543" t="str">
        <f>IF(AF141=5,((A140/F140)-(A140/E140)),"")</f>
        <v/>
      </c>
      <c r="JX139" s="543" t="str">
        <f>IF(AF141=6,((A140/F140)-(A140/E140)),"")</f>
        <v/>
      </c>
      <c r="JY139" s="543" t="str">
        <f>IF(AF141=7,((A140/F140)-(A140/E140)),"")</f>
        <v/>
      </c>
      <c r="JZ139" s="542" t="str">
        <f>IF(AF141=8,((A140/F140)-(A140/E140)),"")</f>
        <v/>
      </c>
      <c r="KA139" s="542" t="str">
        <f>IF(AF141=9,((A140/F140)-(A140/E140)),"")</f>
        <v/>
      </c>
      <c r="KB139" s="542" t="str">
        <f>IF(AF141=10,((A140/F140)-(A140/E140)),"")</f>
        <v/>
      </c>
      <c r="KC139" s="542" t="str">
        <f>IF(AF141=11,((A140/F140)-(A140/E140)),"")</f>
        <v/>
      </c>
      <c r="KD139" s="542" t="str">
        <f>IF(AF141=12,((A140/F140)-(A140/E140)),"")</f>
        <v/>
      </c>
      <c r="KE139" s="542" t="str">
        <f>IF(AF141=13,((A140/F140)-(A140/E140)),"")</f>
        <v/>
      </c>
      <c r="KF139" s="542" t="str">
        <f>IF(AF141=14,((A140/F140)-(A140/E140)),"")</f>
        <v/>
      </c>
      <c r="KG139" s="542" t="str">
        <f>IF(AF141=15,((A140/F140)-(A140/E140)),"")</f>
        <v/>
      </c>
      <c r="KH139" s="542" t="str">
        <f>IF(AF141=16,((A140/F140)-(A140/E140)),"")</f>
        <v/>
      </c>
      <c r="KI139" s="542" t="str">
        <f>IF(AF141=17,((A140/F140)-(A140/E140)),"")</f>
        <v/>
      </c>
      <c r="KJ139" s="542" t="str">
        <f>IF(AF141=18,((A140/F140)-(A140/E140)),"")</f>
        <v/>
      </c>
      <c r="KK139" s="542" t="str">
        <f>IF(AF141=19,((A140/F140)-(A140/E140)),"")</f>
        <v/>
      </c>
      <c r="KL139" s="542" t="str">
        <f>IF(AF141=20,((A140/F140)-(A140/E140)),"")</f>
        <v/>
      </c>
      <c r="KM139" s="542" t="str">
        <f>IF(AF141=21,((A140/F140)-(A140/E140)),"")</f>
        <v/>
      </c>
      <c r="KN139" s="445"/>
      <c r="KO139" s="445"/>
      <c r="KP139" s="445"/>
    </row>
    <row r="140" spans="1:302" s="1" customFormat="1" ht="11.1" customHeight="1">
      <c r="A140" s="461" t="s">
        <v>457</v>
      </c>
      <c r="B140" s="628" t="s">
        <v>483</v>
      </c>
      <c r="C140" s="933"/>
      <c r="D140" s="828">
        <f>IF(WEEKDAY(D139,2)=4,D139+4,IF(WEEKDAY(D139,2)=5,D139+4,D139+2))</f>
        <v>45201</v>
      </c>
      <c r="E140" s="475"/>
      <c r="F140" s="460"/>
      <c r="G140" s="383"/>
      <c r="H140" s="383"/>
      <c r="I140" s="434"/>
      <c r="J140" s="434"/>
      <c r="K140" s="384"/>
      <c r="L140" s="722"/>
      <c r="M140" s="720"/>
      <c r="N140" s="720"/>
      <c r="O140" s="223"/>
      <c r="P140" s="474"/>
      <c r="Q140" s="280"/>
      <c r="R140" s="432"/>
      <c r="S140" s="4"/>
      <c r="T140" s="431"/>
      <c r="U140" s="469"/>
      <c r="V140" s="4"/>
      <c r="W140" s="469"/>
      <c r="X140" s="442"/>
      <c r="Y140" s="22"/>
      <c r="Z140" s="22"/>
      <c r="AA140" s="22"/>
      <c r="AB140" s="360"/>
      <c r="AC140" s="431"/>
      <c r="AD140" s="825">
        <f>IF(E140="",((P139-E139)/E139),((P139-E139)/E139)+(((1/F140)-(1/E140))/(1/E140)))</f>
        <v>0.10939084198168844</v>
      </c>
      <c r="AE140" s="431"/>
      <c r="AF140" s="279" t="s">
        <v>65</v>
      </c>
      <c r="AG140" s="824"/>
      <c r="AH140" s="993" t="s">
        <v>177</v>
      </c>
      <c r="AI140" s="954"/>
      <c r="AJ140" s="960"/>
      <c r="AK140" s="473"/>
      <c r="AL140" s="54">
        <v>99.85</v>
      </c>
      <c r="AM140" s="472" t="s">
        <v>176</v>
      </c>
      <c r="AN140" s="179">
        <v>0</v>
      </c>
      <c r="AO140" s="179">
        <f>IF(B144=2,"0",AO139*-(100-F143)/100)</f>
        <v>-2.2754749999999997</v>
      </c>
      <c r="AP140" s="463">
        <f>IF(AP141&lt;0,0,AP141*-(100-F143)/100)</f>
        <v>-7.478493222106644E-3</v>
      </c>
      <c r="AQ140" s="179"/>
      <c r="AR140" s="709">
        <f>AR143*-(100-F144)/100</f>
        <v>-5.4375</v>
      </c>
      <c r="AS140" s="471">
        <f>-AP139+AS143+(F139/365*AN143*F144/100)*G139</f>
        <v>392.64969675350494</v>
      </c>
      <c r="AT140" s="419"/>
      <c r="AU140" s="420"/>
      <c r="AV140" s="223"/>
      <c r="AW140" s="420"/>
      <c r="AX140" s="417"/>
      <c r="AY140" s="420"/>
      <c r="AZ140" s="223"/>
      <c r="BA140" s="419"/>
      <c r="BB140" s="223"/>
      <c r="BC140" s="223"/>
      <c r="BD140" s="223"/>
      <c r="BE140" s="223"/>
      <c r="BF140" s="416"/>
      <c r="BG140" s="418"/>
      <c r="BH140" s="416"/>
      <c r="BI140" s="416"/>
      <c r="BJ140" s="416"/>
      <c r="BK140" s="418"/>
      <c r="BL140" s="417"/>
      <c r="BM140" s="417"/>
      <c r="BN140" s="417"/>
      <c r="BO140" s="417"/>
      <c r="BP140" s="417"/>
      <c r="BQ140" s="417"/>
      <c r="BR140" s="417"/>
      <c r="BS140" s="417"/>
      <c r="BT140" s="412"/>
      <c r="BU140" s="412"/>
      <c r="BV140" s="412"/>
      <c r="BW140" s="412"/>
      <c r="BX140" s="415"/>
      <c r="BY140" s="389"/>
      <c r="BZ140" s="389"/>
      <c r="CA140" s="389"/>
      <c r="CB140" s="389"/>
      <c r="CC140" s="389"/>
      <c r="CD140" s="389"/>
      <c r="CE140" s="389"/>
      <c r="CF140" s="389"/>
      <c r="CG140" s="389"/>
      <c r="CH140" s="389"/>
      <c r="CI140" s="389"/>
      <c r="CJ140" s="389"/>
      <c r="CK140" s="389"/>
      <c r="CL140" s="389"/>
      <c r="CM140" s="389"/>
      <c r="CN140" s="389"/>
      <c r="CO140" s="389"/>
      <c r="CP140" s="389"/>
      <c r="CQ140" s="389"/>
      <c r="CR140" s="389"/>
      <c r="CS140" s="415"/>
      <c r="CT140" s="389"/>
      <c r="CU140" s="389"/>
      <c r="CV140" s="389"/>
      <c r="CW140" s="389"/>
      <c r="CX140" s="389"/>
      <c r="CY140" s="389"/>
      <c r="CZ140" s="389"/>
      <c r="DA140" s="389"/>
      <c r="DB140" s="389"/>
      <c r="DC140" s="389"/>
      <c r="DD140" s="389"/>
      <c r="DE140" s="389"/>
      <c r="DF140" s="389"/>
      <c r="DG140" s="389"/>
      <c r="DH140" s="389"/>
      <c r="DI140" s="389"/>
      <c r="DJ140" s="389"/>
      <c r="DK140" s="389"/>
      <c r="DL140" s="389"/>
      <c r="DM140" s="389"/>
      <c r="DN140" s="389"/>
      <c r="DO140" s="414"/>
      <c r="DP140" s="39"/>
      <c r="DQ140" s="39"/>
      <c r="DR140" s="39"/>
      <c r="DS140" s="39"/>
      <c r="DT140" s="39"/>
      <c r="DU140" s="39"/>
      <c r="DV140" s="39"/>
      <c r="DW140" s="39"/>
      <c r="DX140" s="39"/>
      <c r="DY140" s="39"/>
      <c r="DZ140" s="39"/>
      <c r="EA140" s="39"/>
      <c r="EB140" s="39"/>
      <c r="EC140" s="39"/>
      <c r="ED140" s="136"/>
      <c r="EE140" s="136"/>
      <c r="EF140" s="136"/>
      <c r="EG140" s="136"/>
      <c r="EH140" s="136"/>
      <c r="EI140" s="136"/>
      <c r="EJ140" s="136"/>
      <c r="EK140" s="136"/>
      <c r="EL140" s="136"/>
      <c r="EM140" s="136"/>
      <c r="EN140" s="136"/>
      <c r="EO140" s="136"/>
      <c r="EP140" s="136"/>
      <c r="EQ140" s="136"/>
      <c r="ER140" s="136"/>
      <c r="ES140" s="136"/>
      <c r="ET140" s="136"/>
      <c r="EU140" s="136"/>
      <c r="EV140" s="136"/>
      <c r="EW140" s="136"/>
      <c r="EX140" s="136"/>
      <c r="EY140" s="136"/>
      <c r="EZ140" s="136"/>
      <c r="FA140" s="136"/>
      <c r="FB140" s="136"/>
      <c r="FC140" s="136"/>
      <c r="FD140" s="136"/>
      <c r="FE140" s="136"/>
      <c r="FF140" s="136"/>
      <c r="FG140" s="136"/>
      <c r="FH140" s="136"/>
      <c r="FI140" s="136"/>
      <c r="FJ140" s="136"/>
      <c r="FK140" s="136"/>
      <c r="FL140" s="136"/>
      <c r="FM140" s="136"/>
      <c r="FN140" s="136"/>
      <c r="FO140" s="39"/>
      <c r="FP140" s="39"/>
      <c r="FQ140" s="39"/>
      <c r="FR140" s="412"/>
      <c r="FS140" s="412"/>
      <c r="FT140" s="412"/>
      <c r="FU140" s="412"/>
      <c r="FV140" s="412"/>
      <c r="FW140" s="412"/>
      <c r="FX140" s="412"/>
      <c r="FY140" s="412"/>
      <c r="FZ140" s="412"/>
      <c r="GA140" s="412"/>
      <c r="GB140" s="412"/>
      <c r="GC140" s="412"/>
      <c r="GD140" s="412"/>
      <c r="GE140" s="412"/>
      <c r="GF140" s="412"/>
      <c r="GG140" s="412"/>
      <c r="GH140" s="412"/>
      <c r="GI140" s="412"/>
      <c r="GJ140" s="412"/>
      <c r="GK140" s="412"/>
      <c r="GL140" s="412"/>
      <c r="GM140" s="412"/>
      <c r="GN140" s="412"/>
      <c r="GO140" s="412"/>
      <c r="GP140" s="412"/>
      <c r="GQ140" s="412"/>
      <c r="GR140" s="278"/>
      <c r="GS140" s="277"/>
      <c r="GT140" s="277"/>
      <c r="GU140" s="277"/>
      <c r="GV140" s="277"/>
      <c r="GW140" s="277"/>
      <c r="GX140" s="277"/>
      <c r="GY140" s="277"/>
      <c r="GZ140" s="277"/>
      <c r="HA140" s="277"/>
      <c r="HB140" s="277"/>
      <c r="HC140" s="277"/>
      <c r="HD140" s="277"/>
      <c r="HE140" s="277"/>
      <c r="HF140" s="277"/>
      <c r="HG140" s="554"/>
      <c r="HH140" s="554"/>
      <c r="HI140" s="554"/>
      <c r="HJ140" s="554"/>
      <c r="HK140" s="554"/>
      <c r="HL140" s="554"/>
      <c r="HM140" s="554"/>
      <c r="HN140" s="554"/>
      <c r="HO140" s="554"/>
      <c r="HP140" s="554"/>
      <c r="HQ140" s="554"/>
      <c r="HR140" s="554"/>
      <c r="HS140" s="554"/>
      <c r="HT140" s="554"/>
      <c r="HU140" s="277"/>
      <c r="HV140" s="277"/>
      <c r="HW140" s="277"/>
      <c r="HX140" s="277"/>
      <c r="HY140" s="277"/>
      <c r="HZ140" s="277"/>
      <c r="IA140" s="277"/>
      <c r="IB140" s="277"/>
      <c r="IC140" s="412"/>
      <c r="ID140" s="412"/>
      <c r="IE140" s="412"/>
      <c r="IF140" s="412"/>
      <c r="IG140" s="412"/>
      <c r="IH140" s="412"/>
      <c r="II140" s="412"/>
      <c r="IJ140" s="412"/>
      <c r="IK140" s="412"/>
      <c r="IL140" s="412"/>
      <c r="IM140" s="412"/>
      <c r="IN140" s="412"/>
      <c r="IO140" s="413"/>
      <c r="IP140" s="412"/>
      <c r="IQ140" s="389"/>
      <c r="IR140" s="389"/>
      <c r="IS140" s="389"/>
      <c r="IT140" s="389"/>
      <c r="IU140" s="389"/>
      <c r="IV140" s="389"/>
      <c r="IW140" s="389"/>
      <c r="IX140" s="389"/>
      <c r="IY140" s="389"/>
      <c r="IZ140" s="389"/>
      <c r="JA140" s="389"/>
      <c r="JB140" s="389"/>
      <c r="JC140" s="389"/>
      <c r="JD140" s="389"/>
      <c r="JE140" s="389"/>
      <c r="JF140" s="389"/>
      <c r="JG140" s="389"/>
      <c r="JH140" s="389"/>
      <c r="JI140" s="389"/>
      <c r="JJ140" s="389"/>
      <c r="JK140" s="389"/>
      <c r="JL140" s="389"/>
      <c r="JM140" s="389"/>
      <c r="JN140" s="389"/>
      <c r="JO140" s="14"/>
      <c r="JP140" s="14"/>
      <c r="JQ140" s="14"/>
      <c r="JR140" s="14"/>
      <c r="JS140" s="14"/>
      <c r="JT140" s="14"/>
      <c r="JU140" s="14"/>
      <c r="JV140" s="14"/>
      <c r="JW140" s="14"/>
      <c r="JX140" s="14"/>
      <c r="JY140" s="14"/>
      <c r="JZ140" s="14"/>
      <c r="KA140" s="14"/>
      <c r="KB140" s="14"/>
      <c r="KC140" s="14"/>
      <c r="KD140" s="14"/>
      <c r="KE140" s="14"/>
      <c r="KF140" s="14"/>
      <c r="KG140" s="14"/>
      <c r="KH140" s="14"/>
      <c r="KI140" s="14"/>
      <c r="KJ140" s="14"/>
      <c r="KK140" s="14"/>
      <c r="KL140" s="14"/>
      <c r="KM140" s="14"/>
      <c r="KN140" s="14"/>
      <c r="KO140" s="14"/>
      <c r="KP140" s="14"/>
    </row>
    <row r="141" spans="1:302" s="1" customFormat="1" ht="11.1" hidden="1" customHeight="1" outlineLevel="1">
      <c r="A141" s="453">
        <f>(A142*G139)</f>
        <v>1000</v>
      </c>
      <c r="B141" s="468">
        <f>VLOOKUP(B139,'[2]IBAN CONTI'!A$53:B$58,2,FALSE)</f>
        <v>4</v>
      </c>
      <c r="C141" s="56"/>
      <c r="D141" s="973"/>
      <c r="E141" s="766">
        <f ca="1">IF(B144=2,C139,COUPNCD($AB$2,C139,K141,AH143))</f>
        <v>45778</v>
      </c>
      <c r="F141" s="460"/>
      <c r="G141" s="383"/>
      <c r="H141" s="383"/>
      <c r="I141" s="434"/>
      <c r="J141" s="434"/>
      <c r="K141" s="67">
        <v>2</v>
      </c>
      <c r="L141" s="838"/>
      <c r="M141" s="720"/>
      <c r="N141" s="720"/>
      <c r="O141" s="223"/>
      <c r="P141" s="470"/>
      <c r="Q141" s="280"/>
      <c r="R141" s="432"/>
      <c r="S141" s="4"/>
      <c r="T141" s="431"/>
      <c r="U141" s="469"/>
      <c r="V141" s="4"/>
      <c r="W141" s="469"/>
      <c r="X141" s="442"/>
      <c r="Y141" s="22"/>
      <c r="Z141" s="22"/>
      <c r="AA141" s="22"/>
      <c r="AB141" s="979"/>
      <c r="AC141" s="979"/>
      <c r="AD141" s="219"/>
      <c r="AE141" s="219"/>
      <c r="AF141" s="468">
        <f>VLOOKUP(AF140,'[2]IBAN CONTI'!A$106:B$122,2,FALSE)</f>
        <v>1</v>
      </c>
      <c r="AG141" s="467">
        <f>VLOOKUP(A139,'[2]IBAN CONTI'!A$134:B$211,2,FALSE)</f>
        <v>1</v>
      </c>
      <c r="AH141" s="993"/>
      <c r="AI141" s="954"/>
      <c r="AJ141" s="1035" t="s">
        <v>175</v>
      </c>
      <c r="AK141" s="1039"/>
      <c r="AL141" s="54">
        <v>100</v>
      </c>
      <c r="AM141" s="466">
        <f>YEARFRAC(C139,AL139)</f>
        <v>10.497222222222222</v>
      </c>
      <c r="AN141" s="465">
        <f>IF(B144=2,0,D140-AL139)</f>
        <v>153</v>
      </c>
      <c r="AO141" s="464">
        <f>IF(B144=2,AL140*(1+AM144)^AM143,AO142+AL140)</f>
        <v>99.855982794577685</v>
      </c>
      <c r="AP141" s="463">
        <f>IF(AF141=1,G139*AO142/100,A140/E140/100*AO142)</f>
        <v>5.9827945776853152E-2</v>
      </c>
      <c r="AQ141" s="179"/>
      <c r="AR141" s="709">
        <f>AL144*G139/100</f>
        <v>999.8125</v>
      </c>
      <c r="AS141" s="462">
        <f>(AR144-AP144)*G139/100</f>
        <v>8.1429155067776549</v>
      </c>
      <c r="AT141" s="419"/>
      <c r="AU141" s="420"/>
      <c r="AV141" s="223"/>
      <c r="AW141" s="420"/>
      <c r="AX141" s="417"/>
      <c r="AY141" s="420"/>
      <c r="AZ141" s="223"/>
      <c r="BA141" s="419"/>
      <c r="BB141" s="223"/>
      <c r="BC141" s="223"/>
      <c r="BD141" s="223"/>
      <c r="BE141" s="223"/>
      <c r="BF141" s="416"/>
      <c r="BG141" s="418"/>
      <c r="BH141" s="416"/>
      <c r="BI141" s="416"/>
      <c r="BJ141" s="416"/>
      <c r="BK141" s="418"/>
      <c r="BL141" s="417"/>
      <c r="BM141" s="416"/>
      <c r="BN141" s="416"/>
      <c r="BO141" s="416"/>
      <c r="BP141" s="416"/>
      <c r="BQ141" s="416"/>
      <c r="BR141" s="416"/>
      <c r="BS141" s="416"/>
      <c r="BT141" s="389"/>
      <c r="BU141" s="389"/>
      <c r="BV141" s="389"/>
      <c r="BW141" s="389"/>
      <c r="BX141" s="415"/>
      <c r="BY141" s="389"/>
      <c r="BZ141" s="389"/>
      <c r="CA141" s="389"/>
      <c r="CB141" s="389"/>
      <c r="CC141" s="389"/>
      <c r="CD141" s="389"/>
      <c r="CE141" s="389"/>
      <c r="CF141" s="389"/>
      <c r="CG141" s="389"/>
      <c r="CH141" s="389"/>
      <c r="CI141" s="389"/>
      <c r="CJ141" s="389"/>
      <c r="CK141" s="389"/>
      <c r="CL141" s="389"/>
      <c r="CM141" s="389"/>
      <c r="CN141" s="389"/>
      <c r="CO141" s="389"/>
      <c r="CP141" s="389"/>
      <c r="CQ141" s="389"/>
      <c r="CR141" s="389"/>
      <c r="CS141" s="415"/>
      <c r="CT141" s="389"/>
      <c r="CU141" s="389"/>
      <c r="CV141" s="389"/>
      <c r="CW141" s="389"/>
      <c r="CX141" s="389"/>
      <c r="CY141" s="389"/>
      <c r="CZ141" s="389"/>
      <c r="DA141" s="389"/>
      <c r="DB141" s="389"/>
      <c r="DC141" s="389"/>
      <c r="DD141" s="389"/>
      <c r="DE141" s="389"/>
      <c r="DF141" s="389"/>
      <c r="DG141" s="389"/>
      <c r="DH141" s="389"/>
      <c r="DI141" s="389"/>
      <c r="DJ141" s="389"/>
      <c r="DK141" s="389"/>
      <c r="DL141" s="389"/>
      <c r="DM141" s="389"/>
      <c r="DN141" s="389"/>
      <c r="DO141" s="414"/>
      <c r="DP141" s="39"/>
      <c r="DQ141" s="39"/>
      <c r="DR141" s="39"/>
      <c r="DS141" s="39"/>
      <c r="DT141" s="39"/>
      <c r="DU141" s="39"/>
      <c r="DV141" s="39"/>
      <c r="DW141" s="39"/>
      <c r="DX141" s="39"/>
      <c r="DY141" s="39"/>
      <c r="DZ141" s="39"/>
      <c r="EA141" s="39"/>
      <c r="EB141" s="39"/>
      <c r="EC141" s="39"/>
      <c r="ED141" s="136"/>
      <c r="EE141" s="136"/>
      <c r="EF141" s="136"/>
      <c r="EG141" s="136"/>
      <c r="EH141" s="136"/>
      <c r="EI141" s="136"/>
      <c r="EJ141" s="136"/>
      <c r="EK141" s="136"/>
      <c r="EL141" s="136"/>
      <c r="EM141" s="136"/>
      <c r="EN141" s="136"/>
      <c r="EO141" s="136"/>
      <c r="EP141" s="136"/>
      <c r="EQ141" s="136"/>
      <c r="ER141" s="136"/>
      <c r="ES141" s="136"/>
      <c r="ET141" s="136"/>
      <c r="EU141" s="136"/>
      <c r="EV141" s="136"/>
      <c r="EW141" s="136"/>
      <c r="EX141" s="136"/>
      <c r="EY141" s="136"/>
      <c r="EZ141" s="136"/>
      <c r="FA141" s="136"/>
      <c r="FB141" s="136"/>
      <c r="FC141" s="136"/>
      <c r="FD141" s="136"/>
      <c r="FE141" s="136"/>
      <c r="FF141" s="136"/>
      <c r="FG141" s="136"/>
      <c r="FH141" s="136"/>
      <c r="FI141" s="136"/>
      <c r="FJ141" s="136"/>
      <c r="FK141" s="136"/>
      <c r="FL141" s="136"/>
      <c r="FM141" s="136"/>
      <c r="FN141" s="136"/>
      <c r="FO141" s="39"/>
      <c r="FP141" s="39"/>
      <c r="FQ141" s="39"/>
      <c r="FR141" s="412"/>
      <c r="FS141" s="412"/>
      <c r="FT141" s="412"/>
      <c r="FU141" s="412"/>
      <c r="FV141" s="412"/>
      <c r="FW141" s="412"/>
      <c r="FX141" s="412"/>
      <c r="FY141" s="412"/>
      <c r="FZ141" s="412"/>
      <c r="GA141" s="412"/>
      <c r="GB141" s="412"/>
      <c r="GC141" s="412"/>
      <c r="GD141" s="412"/>
      <c r="GE141" s="412"/>
      <c r="GF141" s="412"/>
      <c r="GG141" s="412"/>
      <c r="GH141" s="412"/>
      <c r="GI141" s="412"/>
      <c r="GJ141" s="412"/>
      <c r="GK141" s="412"/>
      <c r="GL141" s="412"/>
      <c r="GM141" s="412"/>
      <c r="GN141" s="412"/>
      <c r="GO141" s="412"/>
      <c r="GP141" s="412"/>
      <c r="GQ141" s="412"/>
      <c r="GR141" s="278"/>
      <c r="GS141" s="277"/>
      <c r="GT141" s="277"/>
      <c r="GU141" s="277"/>
      <c r="GV141" s="277"/>
      <c r="GW141" s="277"/>
      <c r="GX141" s="277"/>
      <c r="GY141" s="277"/>
      <c r="GZ141" s="277"/>
      <c r="HA141" s="277"/>
      <c r="HB141" s="277"/>
      <c r="HC141" s="277"/>
      <c r="HD141" s="277"/>
      <c r="HE141" s="277"/>
      <c r="HF141" s="277"/>
      <c r="HG141" s="554"/>
      <c r="HH141" s="554"/>
      <c r="HI141" s="554"/>
      <c r="HJ141" s="554"/>
      <c r="HK141" s="554"/>
      <c r="HL141" s="554"/>
      <c r="HM141" s="554"/>
      <c r="HN141" s="554"/>
      <c r="HO141" s="554"/>
      <c r="HP141" s="554"/>
      <c r="HQ141" s="554"/>
      <c r="HR141" s="554"/>
      <c r="HS141" s="554"/>
      <c r="HT141" s="554"/>
      <c r="HU141" s="277"/>
      <c r="HV141" s="277"/>
      <c r="HW141" s="277"/>
      <c r="HX141" s="277"/>
      <c r="HY141" s="277"/>
      <c r="HZ141" s="277"/>
      <c r="IA141" s="277"/>
      <c r="IB141" s="277"/>
      <c r="IC141" s="412"/>
      <c r="ID141" s="412"/>
      <c r="IE141" s="412"/>
      <c r="IF141" s="412"/>
      <c r="IG141" s="412"/>
      <c r="IH141" s="412"/>
      <c r="II141" s="412"/>
      <c r="IJ141" s="412"/>
      <c r="IK141" s="412"/>
      <c r="IL141" s="412"/>
      <c r="IM141" s="412"/>
      <c r="IN141" s="412"/>
      <c r="IO141" s="413"/>
      <c r="IP141" s="412"/>
      <c r="IQ141" s="389"/>
      <c r="IR141" s="389"/>
      <c r="IS141" s="389"/>
      <c r="IT141" s="389"/>
      <c r="IU141" s="389"/>
      <c r="IV141" s="389"/>
      <c r="IW141" s="389"/>
      <c r="IX141" s="389"/>
      <c r="IY141" s="389"/>
      <c r="IZ141" s="389"/>
      <c r="JA141" s="389"/>
      <c r="JB141" s="389"/>
      <c r="JC141" s="389"/>
      <c r="JD141" s="389"/>
      <c r="JE141" s="389"/>
      <c r="JF141" s="389"/>
      <c r="JG141" s="389"/>
      <c r="JH141" s="389"/>
      <c r="JI141" s="389"/>
      <c r="JJ141" s="389"/>
      <c r="JK141" s="389"/>
      <c r="JL141" s="389"/>
      <c r="JM141" s="389"/>
      <c r="JN141" s="389"/>
      <c r="JO141" s="14"/>
      <c r="JP141" s="14"/>
      <c r="JQ141" s="14"/>
      <c r="JR141" s="14"/>
      <c r="JS141" s="14"/>
      <c r="JT141" s="14"/>
      <c r="JU141" s="14"/>
      <c r="JV141" s="14"/>
      <c r="JW141" s="14"/>
      <c r="JX141" s="14"/>
      <c r="JY141" s="14"/>
      <c r="JZ141" s="14"/>
      <c r="KA141" s="14"/>
      <c r="KB141" s="14"/>
      <c r="KC141" s="14"/>
      <c r="KD141" s="14"/>
      <c r="KE141" s="14"/>
      <c r="KF141" s="14"/>
      <c r="KG141" s="14"/>
      <c r="KH141" s="14"/>
      <c r="KI141" s="14"/>
      <c r="KJ141" s="14"/>
      <c r="KK141" s="14"/>
      <c r="KL141" s="14"/>
      <c r="KM141" s="14"/>
      <c r="KN141" s="14"/>
      <c r="KO141" s="14"/>
      <c r="KP141" s="14"/>
    </row>
    <row r="142" spans="1:302" s="1" customFormat="1" ht="11.1" hidden="1" customHeight="1" outlineLevel="1">
      <c r="A142" s="461">
        <v>1</v>
      </c>
      <c r="B142" s="990" t="s">
        <v>183</v>
      </c>
      <c r="C142" s="990"/>
      <c r="D142" s="452">
        <f>COUPPCD(D140,C139,K141,AH143)</f>
        <v>45047</v>
      </c>
      <c r="E142" s="386"/>
      <c r="F142" s="460"/>
      <c r="G142" s="985">
        <v>2033</v>
      </c>
      <c r="H142" s="383"/>
      <c r="I142" s="434"/>
      <c r="J142" s="434"/>
      <c r="K142" s="987" t="s">
        <v>174</v>
      </c>
      <c r="L142" s="829"/>
      <c r="M142" s="720"/>
      <c r="N142" s="720"/>
      <c r="O142" s="223"/>
      <c r="Q142" s="280"/>
      <c r="R142" s="432"/>
      <c r="S142" s="15"/>
      <c r="T142" s="431"/>
      <c r="U142" s="15"/>
      <c r="V142" s="15"/>
      <c r="W142" s="15"/>
      <c r="X142" s="442"/>
      <c r="Y142" s="430"/>
      <c r="Z142" s="430"/>
      <c r="AA142" s="430"/>
      <c r="AB142" s="9"/>
      <c r="AC142" s="36"/>
      <c r="AD142" s="219"/>
      <c r="AE142" s="219"/>
      <c r="AF142" s="459"/>
      <c r="AG142" s="458"/>
      <c r="AH142" s="457"/>
      <c r="AI142" s="457"/>
      <c r="AJ142" s="1037"/>
      <c r="AK142" s="990"/>
      <c r="AL142" s="54">
        <f>IF(AL140&gt;100,0,AL141-AL140)</f>
        <v>0.15000000000000568</v>
      </c>
      <c r="AM142" s="456">
        <f>C139-AL139</f>
        <v>3836</v>
      </c>
      <c r="AN142" s="448">
        <f>IF(OR(K141&lt;&gt;1,AN141&gt;365),COUPDAYBS(D140,C139,K141,AH143),AN141)</f>
        <v>154</v>
      </c>
      <c r="AO142" s="424">
        <f>IF(B144=2,AO141-AL140,AL142/AM142*AN141)</f>
        <v>5.982794577685315E-3</v>
      </c>
      <c r="AP142" s="455">
        <f>IF(B144=4,FLOOR(F139/K141*AN142/(D143-D142)*100,0.000001),IF(AH143=4,YEARFRAC(D142,D140,0)*F139*100,IF(B144=3,IF(OR(AH143=4,AH143=2),(F141*(AN142))/(360)*100,(F141*(AN142))/(365)*100),FLOOR(F139/K141*AN142/(D143-D142)*100,0.000001))))</f>
        <v>1.8203799999999999</v>
      </c>
      <c r="AQ142" s="454"/>
      <c r="AR142" s="708">
        <f>AL142*G139/100</f>
        <v>1.5000000000000568</v>
      </c>
      <c r="AS142" s="422">
        <f>IF(AS141&lt;0,0,AS141*(100-F144)/100)</f>
        <v>1.0178644383472069</v>
      </c>
      <c r="AT142" s="419"/>
      <c r="AU142" s="420"/>
      <c r="AV142" s="223"/>
      <c r="AW142" s="420"/>
      <c r="AX142" s="417"/>
      <c r="AY142" s="420"/>
      <c r="AZ142" s="223"/>
      <c r="BA142" s="419"/>
      <c r="BB142" s="223"/>
      <c r="BC142" s="223"/>
      <c r="BD142" s="223"/>
      <c r="BE142" s="223"/>
      <c r="BF142" s="416"/>
      <c r="BG142" s="418"/>
      <c r="BH142" s="416"/>
      <c r="BI142" s="416"/>
      <c r="BJ142" s="416"/>
      <c r="BK142" s="418"/>
      <c r="BL142" s="417"/>
      <c r="BM142" s="416"/>
      <c r="BN142" s="416"/>
      <c r="BO142" s="416"/>
      <c r="BP142" s="416"/>
      <c r="BQ142" s="416"/>
      <c r="BR142" s="416"/>
      <c r="BS142" s="416"/>
      <c r="BT142" s="389"/>
      <c r="BU142" s="389"/>
      <c r="BV142" s="389"/>
      <c r="BW142" s="389"/>
      <c r="BX142" s="415"/>
      <c r="BY142" s="389"/>
      <c r="BZ142" s="389"/>
      <c r="CA142" s="389"/>
      <c r="CB142" s="389"/>
      <c r="CC142" s="389"/>
      <c r="CD142" s="389"/>
      <c r="CE142" s="389"/>
      <c r="CF142" s="389"/>
      <c r="CG142" s="389"/>
      <c r="CH142" s="389"/>
      <c r="CI142" s="389"/>
      <c r="CJ142" s="389"/>
      <c r="CK142" s="389"/>
      <c r="CL142" s="389"/>
      <c r="CM142" s="389"/>
      <c r="CN142" s="389"/>
      <c r="CO142" s="389"/>
      <c r="CP142" s="389"/>
      <c r="CQ142" s="389"/>
      <c r="CR142" s="389"/>
      <c r="CS142" s="415"/>
      <c r="CT142" s="389"/>
      <c r="CU142" s="389"/>
      <c r="CV142" s="389"/>
      <c r="CW142" s="389"/>
      <c r="CX142" s="389"/>
      <c r="CY142" s="389"/>
      <c r="CZ142" s="389"/>
      <c r="DA142" s="389"/>
      <c r="DB142" s="389"/>
      <c r="DC142" s="389"/>
      <c r="DD142" s="389"/>
      <c r="DE142" s="389"/>
      <c r="DF142" s="389"/>
      <c r="DG142" s="389"/>
      <c r="DH142" s="389"/>
      <c r="DI142" s="389"/>
      <c r="DJ142" s="389"/>
      <c r="DK142" s="389"/>
      <c r="DL142" s="389"/>
      <c r="DM142" s="389"/>
      <c r="DN142" s="389"/>
      <c r="DO142" s="414"/>
      <c r="DP142" s="39"/>
      <c r="DQ142" s="39"/>
      <c r="DR142" s="39"/>
      <c r="DS142" s="39"/>
      <c r="DT142" s="39"/>
      <c r="DU142" s="39"/>
      <c r="DV142" s="39"/>
      <c r="DW142" s="39"/>
      <c r="DX142" s="39"/>
      <c r="DY142" s="39"/>
      <c r="DZ142" s="39"/>
      <c r="EA142" s="39"/>
      <c r="EB142" s="39"/>
      <c r="EC142" s="39"/>
      <c r="ED142" s="136"/>
      <c r="EE142" s="136"/>
      <c r="EF142" s="136"/>
      <c r="EG142" s="136"/>
      <c r="EH142" s="136"/>
      <c r="EI142" s="136"/>
      <c r="EJ142" s="136"/>
      <c r="EK142" s="136"/>
      <c r="EL142" s="136"/>
      <c r="EM142" s="136"/>
      <c r="EN142" s="136"/>
      <c r="EO142" s="136"/>
      <c r="EP142" s="136"/>
      <c r="EQ142" s="136"/>
      <c r="ER142" s="136"/>
      <c r="ES142" s="136"/>
      <c r="ET142" s="136"/>
      <c r="EU142" s="136"/>
      <c r="EV142" s="136"/>
      <c r="EW142" s="136"/>
      <c r="EX142" s="136"/>
      <c r="EY142" s="136"/>
      <c r="EZ142" s="136"/>
      <c r="FA142" s="136"/>
      <c r="FB142" s="136"/>
      <c r="FC142" s="136"/>
      <c r="FD142" s="136"/>
      <c r="FE142" s="136"/>
      <c r="FF142" s="136"/>
      <c r="FG142" s="136"/>
      <c r="FH142" s="136"/>
      <c r="FI142" s="136"/>
      <c r="FJ142" s="136"/>
      <c r="FK142" s="136"/>
      <c r="FL142" s="136"/>
      <c r="FM142" s="136"/>
      <c r="FN142" s="136"/>
      <c r="FO142" s="39"/>
      <c r="FP142" s="39"/>
      <c r="FQ142" s="39"/>
      <c r="FR142" s="412"/>
      <c r="FS142" s="412"/>
      <c r="FT142" s="412"/>
      <c r="FU142" s="412"/>
      <c r="FV142" s="412"/>
      <c r="FW142" s="412"/>
      <c r="FX142" s="412"/>
      <c r="FY142" s="412"/>
      <c r="FZ142" s="412"/>
      <c r="GA142" s="412"/>
      <c r="GB142" s="412"/>
      <c r="GC142" s="412"/>
      <c r="GD142" s="412"/>
      <c r="GE142" s="412"/>
      <c r="GF142" s="412"/>
      <c r="GG142" s="412"/>
      <c r="GH142" s="412"/>
      <c r="GI142" s="412"/>
      <c r="GJ142" s="412"/>
      <c r="GK142" s="412"/>
      <c r="GL142" s="412"/>
      <c r="GM142" s="412"/>
      <c r="GN142" s="412"/>
      <c r="GO142" s="412"/>
      <c r="GP142" s="412"/>
      <c r="GQ142" s="412"/>
      <c r="GR142" s="278"/>
      <c r="GS142" s="277"/>
      <c r="GT142" s="277"/>
      <c r="GU142" s="277"/>
      <c r="GV142" s="277"/>
      <c r="GW142" s="277"/>
      <c r="GX142" s="277"/>
      <c r="GY142" s="277"/>
      <c r="GZ142" s="277"/>
      <c r="HA142" s="277"/>
      <c r="HB142" s="277"/>
      <c r="HC142" s="277"/>
      <c r="HD142" s="277"/>
      <c r="HE142" s="277"/>
      <c r="HF142" s="277"/>
      <c r="HG142" s="554"/>
      <c r="HH142" s="554"/>
      <c r="HI142" s="554"/>
      <c r="HJ142" s="554"/>
      <c r="HK142" s="554"/>
      <c r="HL142" s="554"/>
      <c r="HM142" s="554"/>
      <c r="HN142" s="554"/>
      <c r="HO142" s="554"/>
      <c r="HP142" s="554"/>
      <c r="HQ142" s="554"/>
      <c r="HR142" s="554"/>
      <c r="HS142" s="554"/>
      <c r="HT142" s="554"/>
      <c r="HU142" s="277"/>
      <c r="HV142" s="277"/>
      <c r="HW142" s="277"/>
      <c r="HX142" s="277"/>
      <c r="HY142" s="277"/>
      <c r="HZ142" s="277"/>
      <c r="IA142" s="277"/>
      <c r="IB142" s="277"/>
      <c r="IC142" s="412"/>
      <c r="ID142" s="412"/>
      <c r="IE142" s="412"/>
      <c r="IF142" s="412"/>
      <c r="IG142" s="412"/>
      <c r="IH142" s="412"/>
      <c r="II142" s="412"/>
      <c r="IJ142" s="412"/>
      <c r="IK142" s="412"/>
      <c r="IL142" s="412"/>
      <c r="IM142" s="412"/>
      <c r="IN142" s="412"/>
      <c r="IO142" s="413"/>
      <c r="IP142" s="412"/>
      <c r="IQ142" s="389"/>
      <c r="IR142" s="389"/>
      <c r="IS142" s="389"/>
      <c r="IT142" s="389"/>
      <c r="IU142" s="389"/>
      <c r="IV142" s="389"/>
      <c r="IW142" s="389"/>
      <c r="IX142" s="389"/>
      <c r="IY142" s="389"/>
      <c r="IZ142" s="389"/>
      <c r="JA142" s="389"/>
      <c r="JB142" s="389"/>
      <c r="JC142" s="389"/>
      <c r="JD142" s="389"/>
      <c r="JE142" s="389"/>
      <c r="JF142" s="389"/>
      <c r="JG142" s="389"/>
      <c r="JH142" s="389"/>
      <c r="JI142" s="389"/>
      <c r="JJ142" s="389"/>
      <c r="JK142" s="389"/>
      <c r="JL142" s="389"/>
      <c r="JM142" s="389"/>
      <c r="JN142" s="389"/>
      <c r="JO142" s="14"/>
      <c r="JP142" s="14"/>
      <c r="JQ142" s="14"/>
      <c r="JR142" s="14"/>
      <c r="JS142" s="14"/>
      <c r="JT142" s="14"/>
      <c r="JU142" s="14"/>
      <c r="JV142" s="14"/>
      <c r="JW142" s="14"/>
      <c r="JX142" s="14"/>
      <c r="JY142" s="14"/>
      <c r="JZ142" s="14"/>
      <c r="KA142" s="14"/>
      <c r="KB142" s="14"/>
      <c r="KC142" s="14"/>
      <c r="KD142" s="14"/>
      <c r="KE142" s="14"/>
      <c r="KF142" s="14"/>
      <c r="KG142" s="14"/>
      <c r="KH142" s="14"/>
      <c r="KI142" s="14"/>
      <c r="KJ142" s="14"/>
      <c r="KK142" s="14"/>
      <c r="KL142" s="14"/>
      <c r="KM142" s="14"/>
      <c r="KN142" s="14"/>
      <c r="KO142" s="14"/>
      <c r="KP142" s="14"/>
    </row>
    <row r="143" spans="1:302" s="1" customFormat="1" ht="11.1" hidden="1" customHeight="1" outlineLevel="1" thickBot="1">
      <c r="A143" s="453">
        <f>(A144*G139)</f>
        <v>1000</v>
      </c>
      <c r="B143" s="990"/>
      <c r="C143" s="990"/>
      <c r="D143" s="452">
        <f>COUPNCD(D140,C139,K141,AH143)</f>
        <v>45231</v>
      </c>
      <c r="E143" s="932" t="s">
        <v>173</v>
      </c>
      <c r="F143" s="451" t="str">
        <f>IF(E144=1,"87,5",IF(D139&lt;40908,87.5,IF(D139&lt;41820,"80","74")))</f>
        <v>87,5</v>
      </c>
      <c r="G143" s="986"/>
      <c r="H143" s="383"/>
      <c r="I143" s="434"/>
      <c r="J143" s="434"/>
      <c r="K143" s="987"/>
      <c r="L143" s="829"/>
      <c r="M143" s="720"/>
      <c r="N143" s="720"/>
      <c r="O143" s="223"/>
      <c r="Q143" s="280"/>
      <c r="R143" s="432"/>
      <c r="S143" s="15"/>
      <c r="T143" s="431"/>
      <c r="U143" s="15"/>
      <c r="V143" s="15"/>
      <c r="W143" s="15"/>
      <c r="X143" s="442"/>
      <c r="Y143" s="430"/>
      <c r="Z143" s="430"/>
      <c r="AA143" s="430"/>
      <c r="AB143" s="9"/>
      <c r="AC143" s="36"/>
      <c r="AD143" s="219"/>
      <c r="AE143" s="219"/>
      <c r="AF143" s="15"/>
      <c r="AG143" s="75"/>
      <c r="AH143" s="419">
        <f>VLOOKUP(AH140,'[2]IBAN CONTI'!A:B,2,FALSE)</f>
        <v>1</v>
      </c>
      <c r="AI143" s="419"/>
      <c r="AJ143" s="1033">
        <f>VLOOKUP(AJ141,'[2]IBAN CONTI'!A$67:B$77,2,FALSE)</f>
        <v>1</v>
      </c>
      <c r="AK143" s="1034"/>
      <c r="AL143" s="450">
        <f>AL140</f>
        <v>99.85</v>
      </c>
      <c r="AM143" s="577">
        <f>IF(B144=2,YEARFRAC(AL139,D140,AH143),YEARFRAC(D140,C139,AH143))</f>
        <v>10.082877053260329</v>
      </c>
      <c r="AN143" s="448">
        <f>IF(B144=2,0,C139-D140-(365-AN142))</f>
        <v>3472</v>
      </c>
      <c r="AO143" s="424">
        <f>E139-AO142</f>
        <v>96.528977805422315</v>
      </c>
      <c r="AP143" s="447">
        <f>E139+AO144+AP142+0.1</f>
        <v>98.45459275067779</v>
      </c>
      <c r="AQ143" s="446"/>
      <c r="AR143" s="709">
        <f>IF(B144=3,F141*G139,F139*G139)</f>
        <v>43.5</v>
      </c>
      <c r="AS143" s="421">
        <f>AR139-AS142</f>
        <v>1036.8571355616527</v>
      </c>
      <c r="AT143" s="419"/>
      <c r="AU143" s="420"/>
      <c r="AV143" s="223"/>
      <c r="AW143" s="420"/>
      <c r="AX143" s="417"/>
      <c r="AY143" s="420"/>
      <c r="AZ143" s="223"/>
      <c r="BA143" s="419"/>
      <c r="BB143" s="223"/>
      <c r="BC143" s="223"/>
      <c r="BD143" s="223"/>
      <c r="BE143" s="223"/>
      <c r="BF143" s="416"/>
      <c r="BG143" s="418"/>
      <c r="BH143" s="416"/>
      <c r="BI143" s="416"/>
      <c r="BJ143" s="416"/>
      <c r="BK143" s="418"/>
      <c r="BL143" s="417"/>
      <c r="BM143" s="416"/>
      <c r="BN143" s="416"/>
      <c r="BO143" s="416"/>
      <c r="BP143" s="416"/>
      <c r="BQ143" s="416"/>
      <c r="BR143" s="416"/>
      <c r="BS143" s="416"/>
      <c r="BT143" s="389"/>
      <c r="BU143" s="389"/>
      <c r="BV143" s="389"/>
      <c r="BW143" s="389"/>
      <c r="BX143" s="415"/>
      <c r="BY143" s="389"/>
      <c r="BZ143" s="389"/>
      <c r="CA143" s="389"/>
      <c r="CB143" s="389"/>
      <c r="CC143" s="389"/>
      <c r="CD143" s="389"/>
      <c r="CE143" s="389"/>
      <c r="CF143" s="389"/>
      <c r="CG143" s="389"/>
      <c r="CH143" s="389"/>
      <c r="CI143" s="389"/>
      <c r="CJ143" s="389"/>
      <c r="CK143" s="389"/>
      <c r="CL143" s="389"/>
      <c r="CM143" s="389"/>
      <c r="CN143" s="389"/>
      <c r="CO143" s="389"/>
      <c r="CP143" s="389"/>
      <c r="CQ143" s="389"/>
      <c r="CR143" s="389"/>
      <c r="CS143" s="415"/>
      <c r="CT143" s="389"/>
      <c r="CU143" s="389"/>
      <c r="CV143" s="389"/>
      <c r="CW143" s="389"/>
      <c r="CX143" s="389"/>
      <c r="CY143" s="389"/>
      <c r="CZ143" s="389"/>
      <c r="DA143" s="389"/>
      <c r="DB143" s="389"/>
      <c r="DC143" s="389"/>
      <c r="DD143" s="389"/>
      <c r="DE143" s="389"/>
      <c r="DF143" s="389"/>
      <c r="DG143" s="389"/>
      <c r="DH143" s="389"/>
      <c r="DI143" s="389"/>
      <c r="DJ143" s="389"/>
      <c r="DK143" s="389"/>
      <c r="DL143" s="389"/>
      <c r="DM143" s="389"/>
      <c r="DN143" s="389"/>
      <c r="DO143" s="414"/>
      <c r="DP143" s="39"/>
      <c r="DQ143" s="39"/>
      <c r="DR143" s="39"/>
      <c r="DS143" s="136"/>
      <c r="DT143" s="136"/>
      <c r="DU143" s="136"/>
      <c r="DV143" s="136"/>
      <c r="DW143" s="136"/>
      <c r="DX143" s="136"/>
      <c r="DY143" s="136"/>
      <c r="DZ143" s="136"/>
      <c r="EA143" s="136"/>
      <c r="EB143" s="136"/>
      <c r="EC143" s="136"/>
      <c r="ED143" s="136"/>
      <c r="EE143" s="136"/>
      <c r="EF143" s="136"/>
      <c r="EG143" s="136"/>
      <c r="EH143" s="136"/>
      <c r="EI143" s="136"/>
      <c r="EJ143" s="136"/>
      <c r="EK143" s="136"/>
      <c r="EL143" s="136"/>
      <c r="EM143" s="136"/>
      <c r="EN143" s="136"/>
      <c r="EO143" s="136"/>
      <c r="EP143" s="136"/>
      <c r="EQ143" s="136"/>
      <c r="ER143" s="136"/>
      <c r="ES143" s="136"/>
      <c r="ET143" s="136"/>
      <c r="EU143" s="136"/>
      <c r="EV143" s="136"/>
      <c r="EW143" s="136"/>
      <c r="EX143" s="136"/>
      <c r="EY143" s="136"/>
      <c r="EZ143" s="136"/>
      <c r="FA143" s="136"/>
      <c r="FB143" s="136"/>
      <c r="FC143" s="136"/>
      <c r="FD143" s="136"/>
      <c r="FE143" s="136"/>
      <c r="FF143" s="136"/>
      <c r="FG143" s="136"/>
      <c r="FH143" s="136"/>
      <c r="FI143" s="136"/>
      <c r="FJ143" s="136"/>
      <c r="FK143" s="136"/>
      <c r="FL143" s="136"/>
      <c r="FM143" s="136"/>
      <c r="FN143" s="136"/>
      <c r="FO143" s="136"/>
      <c r="FP143" s="136"/>
      <c r="FQ143" s="136"/>
      <c r="FR143" s="412"/>
      <c r="FS143" s="412"/>
      <c r="FT143" s="412"/>
      <c r="FU143" s="412"/>
      <c r="FV143" s="412"/>
      <c r="FW143" s="412"/>
      <c r="FX143" s="412"/>
      <c r="FY143" s="412"/>
      <c r="FZ143" s="412"/>
      <c r="GA143" s="412"/>
      <c r="GB143" s="412"/>
      <c r="GC143" s="412"/>
      <c r="GD143" s="412"/>
      <c r="GE143" s="412"/>
      <c r="GF143" s="412"/>
      <c r="GG143" s="412"/>
      <c r="GH143" s="412"/>
      <c r="GI143" s="412"/>
      <c r="GJ143" s="412"/>
      <c r="GK143" s="412"/>
      <c r="GL143" s="412"/>
      <c r="GM143" s="412"/>
      <c r="GN143" s="412"/>
      <c r="GO143" s="412"/>
      <c r="GP143" s="412"/>
      <c r="GQ143" s="412"/>
      <c r="GR143" s="278"/>
      <c r="GS143" s="277"/>
      <c r="GT143" s="277"/>
      <c r="GU143" s="277"/>
      <c r="GV143" s="277"/>
      <c r="GW143" s="277"/>
      <c r="GX143" s="277"/>
      <c r="GY143" s="277"/>
      <c r="GZ143" s="277"/>
      <c r="HA143" s="277"/>
      <c r="HB143" s="277"/>
      <c r="HC143" s="277"/>
      <c r="HD143" s="277"/>
      <c r="HE143" s="277"/>
      <c r="HF143" s="277"/>
      <c r="HG143" s="554"/>
      <c r="HH143" s="554"/>
      <c r="HI143" s="554"/>
      <c r="HJ143" s="554"/>
      <c r="HK143" s="554"/>
      <c r="HL143" s="554"/>
      <c r="HM143" s="554"/>
      <c r="HN143" s="554"/>
      <c r="HO143" s="554"/>
      <c r="HP143" s="554"/>
      <c r="HQ143" s="554"/>
      <c r="HR143" s="554"/>
      <c r="HS143" s="554"/>
      <c r="HT143" s="554"/>
      <c r="HU143" s="277"/>
      <c r="HV143" s="277"/>
      <c r="HW143" s="277"/>
      <c r="HX143" s="277"/>
      <c r="HY143" s="277"/>
      <c r="HZ143" s="277"/>
      <c r="IA143" s="277"/>
      <c r="IB143" s="277"/>
      <c r="IC143" s="412"/>
      <c r="ID143" s="412"/>
      <c r="IE143" s="412"/>
      <c r="IF143" s="412"/>
      <c r="IG143" s="412"/>
      <c r="IH143" s="412"/>
      <c r="II143" s="412"/>
      <c r="IJ143" s="412"/>
      <c r="IK143" s="412"/>
      <c r="IL143" s="412"/>
      <c r="IM143" s="412"/>
      <c r="IN143" s="412"/>
      <c r="IO143" s="413"/>
      <c r="IP143" s="412"/>
      <c r="IQ143" s="389"/>
      <c r="IR143" s="389"/>
      <c r="IS143" s="389"/>
      <c r="IT143" s="389"/>
      <c r="IU143" s="389"/>
      <c r="IV143" s="389"/>
      <c r="IW143" s="389"/>
      <c r="IX143" s="389"/>
      <c r="IY143" s="389"/>
      <c r="IZ143" s="389"/>
      <c r="JA143" s="389"/>
      <c r="JB143" s="389"/>
      <c r="JC143" s="389"/>
      <c r="JD143" s="389"/>
      <c r="JE143" s="389"/>
      <c r="JF143" s="389"/>
      <c r="JG143" s="389"/>
      <c r="JH143" s="389"/>
      <c r="JI143" s="389"/>
      <c r="JJ143" s="389"/>
      <c r="JK143" s="389"/>
      <c r="JL143" s="389"/>
      <c r="JM143" s="389"/>
      <c r="JN143" s="389"/>
      <c r="JO143" s="14"/>
      <c r="JP143" s="14"/>
      <c r="JQ143" s="14"/>
      <c r="JR143" s="14"/>
      <c r="JS143" s="14"/>
      <c r="JT143" s="14"/>
      <c r="JU143" s="14"/>
      <c r="JV143" s="14"/>
      <c r="JW143" s="14"/>
      <c r="JX143" s="14"/>
      <c r="JY143" s="14"/>
      <c r="JZ143" s="14"/>
      <c r="KA143" s="14"/>
      <c r="KB143" s="14"/>
      <c r="KC143" s="14"/>
      <c r="KD143" s="14"/>
      <c r="KE143" s="14"/>
      <c r="KF143" s="14"/>
      <c r="KG143" s="14"/>
      <c r="KH143" s="14"/>
      <c r="KI143" s="14"/>
      <c r="KJ143" s="14"/>
      <c r="KK143" s="14"/>
      <c r="KL143" s="14"/>
      <c r="KM143" s="14"/>
      <c r="KN143" s="14"/>
      <c r="KO143" s="14"/>
      <c r="KP143" s="14"/>
    </row>
    <row r="144" spans="1:302" s="1" customFormat="1" ht="11.1" hidden="1" customHeight="1" outlineLevel="1">
      <c r="A144" s="461">
        <v>1</v>
      </c>
      <c r="B144" s="989">
        <f>VLOOKUP(B142,'[2]IBAN CONTI'!A$1:B$65562,2,FALSE)</f>
        <v>1</v>
      </c>
      <c r="C144" s="989"/>
      <c r="D144" s="436">
        <f>COUPNCD(AL139,C139,K141,AH143)</f>
        <v>45231</v>
      </c>
      <c r="E144" s="933">
        <f>VLOOKUP(E143,'[2]IBAN CONTI'!A:B,2,FALSE)</f>
        <v>1</v>
      </c>
      <c r="F144" s="444" t="str">
        <f>IF(E144=1,"87,5","74")</f>
        <v>87,5</v>
      </c>
      <c r="G144" s="443">
        <f>VLOOKUP(G142,'[2]IBAN CONTI'!A$244:B$273,2,FALSE)</f>
        <v>22</v>
      </c>
      <c r="H144" s="383"/>
      <c r="I144" s="434"/>
      <c r="J144" s="434"/>
      <c r="K144" s="433">
        <f>VLOOKUP(K142,'[2]IBAN CONTI'!A$80:B$101,2,FALSE)</f>
        <v>1</v>
      </c>
      <c r="L144" s="720"/>
      <c r="M144" s="720"/>
      <c r="N144" s="720"/>
      <c r="O144" s="223"/>
      <c r="Q144" s="280"/>
      <c r="R144" s="432"/>
      <c r="S144" s="15"/>
      <c r="T144" s="431"/>
      <c r="U144" s="15"/>
      <c r="V144" s="15"/>
      <c r="W144" s="15"/>
      <c r="X144" s="594">
        <f ca="1">X139-$AF$2</f>
        <v>-4689.6850547453723</v>
      </c>
      <c r="Y144" s="430"/>
      <c r="Z144" s="430"/>
      <c r="AA144" s="430"/>
      <c r="AB144" s="9"/>
      <c r="AC144" s="36"/>
      <c r="AD144" s="219"/>
      <c r="AE144" s="219"/>
      <c r="AF144" s="1012"/>
      <c r="AG144" s="1012"/>
      <c r="AH144" s="54"/>
      <c r="AI144" s="54"/>
      <c r="AJ144" s="441" t="s">
        <v>172</v>
      </c>
      <c r="AK144" s="440">
        <f>VLOOKUP(AJ144,'[2]IBAN CONTI'!A$61:B$64,2,FALSE)</f>
        <v>1</v>
      </c>
      <c r="AL144" s="427">
        <f>AL141-AL142*(100-F144)/100</f>
        <v>99.981250000000003</v>
      </c>
      <c r="AM144" s="426" t="str">
        <f>IF(B144=2,10^((LOG(AL141/AL140))/AM141)-1,"")</f>
        <v/>
      </c>
      <c r="AN144" s="439">
        <f>IF(B144=4,A141*E139/100,IF(AF141=1,G139*E139/100,A140/E140*E139/100))</f>
        <v>965.34960600000011</v>
      </c>
      <c r="AO144" s="425">
        <f>-AO142*(100-F143)/100</f>
        <v>-7.4784932221066437E-4</v>
      </c>
      <c r="AP144" s="438">
        <f>IF(B144=2,(AN144-AP141+AN139+AN140)/G139*100,(AN144-AP140+AN139+AN140)/G139*100)</f>
        <v>99.035708449322229</v>
      </c>
      <c r="AQ144" s="423"/>
      <c r="AR144" s="708">
        <f>AL140</f>
        <v>99.85</v>
      </c>
      <c r="AS144" s="421"/>
      <c r="AT144" s="419"/>
      <c r="AU144" s="420"/>
      <c r="AV144" s="223"/>
      <c r="AW144" s="420"/>
      <c r="AX144" s="417"/>
      <c r="AY144" s="420"/>
      <c r="AZ144" s="223"/>
      <c r="BA144" s="419"/>
      <c r="BB144" s="223"/>
      <c r="BC144" s="223"/>
      <c r="BD144" s="223"/>
      <c r="BE144" s="223"/>
      <c r="BF144" s="416"/>
      <c r="BG144" s="418"/>
      <c r="BH144" s="416"/>
      <c r="BI144" s="416"/>
      <c r="BJ144" s="416"/>
      <c r="BK144" s="418"/>
      <c r="BL144" s="417"/>
      <c r="BM144" s="416"/>
      <c r="BN144" s="416"/>
      <c r="BO144" s="416"/>
      <c r="BP144" s="416"/>
      <c r="BQ144" s="416"/>
      <c r="BR144" s="416"/>
      <c r="BS144" s="416"/>
      <c r="BT144" s="389"/>
      <c r="BU144" s="389"/>
      <c r="BV144" s="389"/>
      <c r="BW144" s="389"/>
      <c r="BX144" s="415"/>
      <c r="BY144" s="389"/>
      <c r="BZ144" s="389"/>
      <c r="CA144" s="389"/>
      <c r="CB144" s="389"/>
      <c r="CC144" s="389"/>
      <c r="CD144" s="389"/>
      <c r="CE144" s="389"/>
      <c r="CF144" s="389"/>
      <c r="CG144" s="389"/>
      <c r="CH144" s="389"/>
      <c r="CI144" s="389"/>
      <c r="CJ144" s="389"/>
      <c r="CK144" s="389"/>
      <c r="CL144" s="389"/>
      <c r="CM144" s="389"/>
      <c r="CN144" s="389"/>
      <c r="CO144" s="389"/>
      <c r="CP144" s="389"/>
      <c r="CQ144" s="389"/>
      <c r="CR144" s="389"/>
      <c r="CS144" s="415"/>
      <c r="CT144" s="389"/>
      <c r="CU144" s="389"/>
      <c r="CV144" s="389"/>
      <c r="CW144" s="389"/>
      <c r="CX144" s="389"/>
      <c r="CY144" s="389"/>
      <c r="CZ144" s="389"/>
      <c r="DA144" s="389"/>
      <c r="DB144" s="389"/>
      <c r="DC144" s="389"/>
      <c r="DD144" s="389"/>
      <c r="DE144" s="389"/>
      <c r="DF144" s="389"/>
      <c r="DG144" s="389"/>
      <c r="DH144" s="389"/>
      <c r="DI144" s="389"/>
      <c r="DJ144" s="389"/>
      <c r="DK144" s="389"/>
      <c r="DL144" s="389"/>
      <c r="DM144" s="389"/>
      <c r="DN144" s="389"/>
      <c r="DO144" s="414"/>
      <c r="DP144" s="39"/>
      <c r="DQ144" s="39"/>
      <c r="DR144" s="39"/>
      <c r="DS144" s="136"/>
      <c r="DT144" s="136"/>
      <c r="DU144" s="136"/>
      <c r="DV144" s="136"/>
      <c r="DW144" s="136"/>
      <c r="DX144" s="136"/>
      <c r="DY144" s="136"/>
      <c r="DZ144" s="136"/>
      <c r="EA144" s="136"/>
      <c r="EB144" s="136"/>
      <c r="EC144" s="136"/>
      <c r="ED144" s="136"/>
      <c r="EE144" s="136"/>
      <c r="EF144" s="136"/>
      <c r="EG144" s="136"/>
      <c r="EH144" s="136"/>
      <c r="EI144" s="136"/>
      <c r="EJ144" s="136"/>
      <c r="EK144" s="136"/>
      <c r="EL144" s="136"/>
      <c r="EM144" s="136"/>
      <c r="EN144" s="136"/>
      <c r="EO144" s="136"/>
      <c r="EP144" s="136"/>
      <c r="EQ144" s="136"/>
      <c r="ER144" s="136"/>
      <c r="ES144" s="136"/>
      <c r="ET144" s="136"/>
      <c r="EU144" s="136"/>
      <c r="EV144" s="136"/>
      <c r="EW144" s="136"/>
      <c r="EX144" s="136"/>
      <c r="EY144" s="136"/>
      <c r="EZ144" s="136"/>
      <c r="FA144" s="136"/>
      <c r="FB144" s="136"/>
      <c r="FC144" s="136"/>
      <c r="FD144" s="136"/>
      <c r="FE144" s="136"/>
      <c r="FF144" s="136"/>
      <c r="FG144" s="136"/>
      <c r="FH144" s="136"/>
      <c r="FI144" s="136"/>
      <c r="FJ144" s="136"/>
      <c r="FK144" s="136"/>
      <c r="FL144" s="136"/>
      <c r="FM144" s="136"/>
      <c r="FN144" s="136"/>
      <c r="FO144" s="136"/>
      <c r="FP144" s="136"/>
      <c r="FQ144" s="136"/>
      <c r="FR144" s="412"/>
      <c r="FS144" s="412"/>
      <c r="FT144" s="412"/>
      <c r="FU144" s="412"/>
      <c r="FV144" s="412"/>
      <c r="FW144" s="412"/>
      <c r="FX144" s="412"/>
      <c r="FY144" s="412"/>
      <c r="FZ144" s="412"/>
      <c r="GA144" s="412"/>
      <c r="GB144" s="412"/>
      <c r="GC144" s="412"/>
      <c r="GD144" s="412"/>
      <c r="GE144" s="412"/>
      <c r="GF144" s="412"/>
      <c r="GG144" s="412"/>
      <c r="GH144" s="412"/>
      <c r="GI144" s="412"/>
      <c r="GJ144" s="412"/>
      <c r="GK144" s="412"/>
      <c r="GL144" s="412"/>
      <c r="GM144" s="412"/>
      <c r="GN144" s="412"/>
      <c r="GO144" s="412"/>
      <c r="GP144" s="412"/>
      <c r="GQ144" s="412"/>
      <c r="GR144" s="278"/>
      <c r="GS144" s="277"/>
      <c r="GT144" s="277"/>
      <c r="GU144" s="277"/>
      <c r="GV144" s="277"/>
      <c r="GW144" s="277"/>
      <c r="GX144" s="277"/>
      <c r="GY144" s="277"/>
      <c r="GZ144" s="277"/>
      <c r="HA144" s="277"/>
      <c r="HB144" s="277"/>
      <c r="HC144" s="277"/>
      <c r="HD144" s="277"/>
      <c r="HE144" s="277"/>
      <c r="HF144" s="277"/>
      <c r="HG144" s="554"/>
      <c r="HH144" s="554"/>
      <c r="HI144" s="554"/>
      <c r="HJ144" s="554"/>
      <c r="HK144" s="554"/>
      <c r="HL144" s="554"/>
      <c r="HM144" s="554"/>
      <c r="HN144" s="554"/>
      <c r="HO144" s="554"/>
      <c r="HP144" s="554"/>
      <c r="HQ144" s="554"/>
      <c r="HR144" s="554"/>
      <c r="HS144" s="554"/>
      <c r="HT144" s="554"/>
      <c r="HU144" s="277"/>
      <c r="HV144" s="277"/>
      <c r="HW144" s="277"/>
      <c r="HX144" s="277"/>
      <c r="HY144" s="277"/>
      <c r="HZ144" s="277"/>
      <c r="IA144" s="277"/>
      <c r="IB144" s="277"/>
      <c r="IC144" s="412"/>
      <c r="ID144" s="412"/>
      <c r="IE144" s="412"/>
      <c r="IF144" s="412"/>
      <c r="IG144" s="412"/>
      <c r="IH144" s="412"/>
      <c r="II144" s="412"/>
      <c r="IJ144" s="412"/>
      <c r="IK144" s="412"/>
      <c r="IL144" s="412"/>
      <c r="IM144" s="412"/>
      <c r="IN144" s="412"/>
      <c r="IO144" s="413"/>
      <c r="IP144" s="412"/>
      <c r="IQ144" s="389"/>
      <c r="IR144" s="389"/>
      <c r="IS144" s="389"/>
      <c r="IT144" s="389"/>
      <c r="IU144" s="389"/>
      <c r="IV144" s="389"/>
      <c r="IW144" s="389"/>
      <c r="IX144" s="389"/>
      <c r="IY144" s="389"/>
      <c r="IZ144" s="389"/>
      <c r="JA144" s="389"/>
      <c r="JB144" s="389"/>
      <c r="JC144" s="389"/>
      <c r="JD144" s="389"/>
      <c r="JE144" s="389"/>
      <c r="JF144" s="389"/>
      <c r="JG144" s="389"/>
      <c r="JH144" s="389"/>
      <c r="JI144" s="389"/>
      <c r="JJ144" s="389"/>
      <c r="JK144" s="389"/>
      <c r="JL144" s="389"/>
      <c r="JM144" s="389"/>
      <c r="JN144" s="389"/>
      <c r="JO144" s="14"/>
      <c r="JP144" s="14"/>
      <c r="JQ144" s="14"/>
      <c r="JR144" s="14"/>
      <c r="JS144" s="14"/>
      <c r="JT144" s="14"/>
      <c r="JU144" s="14"/>
      <c r="JV144" s="14"/>
      <c r="JW144" s="14"/>
      <c r="JX144" s="14"/>
      <c r="JY144" s="14"/>
      <c r="JZ144" s="14"/>
      <c r="KA144" s="14"/>
      <c r="KB144" s="14"/>
      <c r="KC144" s="14"/>
      <c r="KD144" s="14"/>
      <c r="KE144" s="14"/>
      <c r="KF144" s="14"/>
      <c r="KG144" s="14"/>
      <c r="KH144" s="14"/>
      <c r="KI144" s="14"/>
      <c r="KJ144" s="14"/>
      <c r="KK144" s="14"/>
      <c r="KL144" s="14"/>
      <c r="KM144" s="14"/>
      <c r="KN144" s="14"/>
      <c r="KO144" s="14"/>
      <c r="KP144" s="14"/>
    </row>
    <row r="145" spans="1:302" s="1" customFormat="1" ht="11.1" hidden="1" customHeight="1" outlineLevel="1">
      <c r="A145" s="437" t="s">
        <v>484</v>
      </c>
      <c r="B145" s="933"/>
      <c r="C145" s="933"/>
      <c r="D145" s="436"/>
      <c r="E145" s="933"/>
      <c r="F145" s="435"/>
      <c r="G145" s="433"/>
      <c r="H145" s="383"/>
      <c r="I145" s="434"/>
      <c r="J145" s="434"/>
      <c r="K145" s="433"/>
      <c r="L145" s="720"/>
      <c r="M145" s="720"/>
      <c r="N145" s="720"/>
      <c r="O145" s="223"/>
      <c r="Q145" s="280"/>
      <c r="R145" s="432"/>
      <c r="S145" s="15"/>
      <c r="T145" s="15"/>
      <c r="U145" s="15"/>
      <c r="V145" s="15"/>
      <c r="W145" s="15"/>
      <c r="X145" s="442"/>
      <c r="Y145" s="430"/>
      <c r="Z145" s="430"/>
      <c r="AA145" s="430"/>
      <c r="AB145" s="9"/>
      <c r="AC145" s="36"/>
      <c r="AD145" s="219"/>
      <c r="AE145" s="219"/>
      <c r="AF145" s="934"/>
      <c r="AG145" s="934"/>
      <c r="AH145" s="54"/>
      <c r="AI145" s="54"/>
      <c r="AJ145" s="429"/>
      <c r="AK145" s="428"/>
      <c r="AL145" s="427"/>
      <c r="AM145" s="426"/>
      <c r="AN145" s="439"/>
      <c r="AO145" s="425"/>
      <c r="AP145" s="424"/>
      <c r="AQ145" s="424"/>
      <c r="AR145" s="708"/>
      <c r="AS145" s="421"/>
      <c r="AT145" s="419"/>
      <c r="AU145" s="420"/>
      <c r="AV145" s="223"/>
      <c r="AW145" s="420"/>
      <c r="AX145" s="417"/>
      <c r="AY145" s="420"/>
      <c r="AZ145" s="223"/>
      <c r="BA145" s="419"/>
      <c r="BB145" s="223"/>
      <c r="BC145" s="223"/>
      <c r="BD145" s="223"/>
      <c r="BE145" s="223"/>
      <c r="BF145" s="416"/>
      <c r="BG145" s="418"/>
      <c r="BH145" s="416"/>
      <c r="BI145" s="416"/>
      <c r="BJ145" s="416"/>
      <c r="BK145" s="418"/>
      <c r="BL145" s="417"/>
      <c r="BM145" s="416"/>
      <c r="BN145" s="416"/>
      <c r="BO145" s="416"/>
      <c r="BP145" s="416"/>
      <c r="BQ145" s="416"/>
      <c r="BR145" s="416"/>
      <c r="BS145" s="416"/>
      <c r="BT145" s="389"/>
      <c r="BU145" s="389"/>
      <c r="BV145" s="389"/>
      <c r="BW145" s="389"/>
      <c r="BX145" s="415"/>
      <c r="BY145" s="389"/>
      <c r="BZ145" s="389"/>
      <c r="CA145" s="389"/>
      <c r="CB145" s="389"/>
      <c r="CC145" s="389"/>
      <c r="CD145" s="389"/>
      <c r="CE145" s="389"/>
      <c r="CF145" s="389"/>
      <c r="CG145" s="389"/>
      <c r="CH145" s="389"/>
      <c r="CI145" s="389"/>
      <c r="CJ145" s="389"/>
      <c r="CK145" s="389"/>
      <c r="CL145" s="389"/>
      <c r="CM145" s="389"/>
      <c r="CN145" s="389"/>
      <c r="CO145" s="389"/>
      <c r="CP145" s="389"/>
      <c r="CQ145" s="389"/>
      <c r="CR145" s="389"/>
      <c r="CS145" s="415"/>
      <c r="CT145" s="389"/>
      <c r="CU145" s="389"/>
      <c r="CV145" s="389"/>
      <c r="CW145" s="389"/>
      <c r="CX145" s="389"/>
      <c r="CY145" s="389"/>
      <c r="CZ145" s="389"/>
      <c r="DA145" s="389"/>
      <c r="DB145" s="389"/>
      <c r="DC145" s="389"/>
      <c r="DD145" s="389"/>
      <c r="DE145" s="389"/>
      <c r="DF145" s="389"/>
      <c r="DG145" s="389"/>
      <c r="DH145" s="389"/>
      <c r="DI145" s="389"/>
      <c r="DJ145" s="389"/>
      <c r="DK145" s="389"/>
      <c r="DL145" s="389"/>
      <c r="DM145" s="389"/>
      <c r="DN145" s="389"/>
      <c r="DO145" s="414"/>
      <c r="DP145" s="39"/>
      <c r="DQ145" s="39"/>
      <c r="DR145" s="39"/>
      <c r="DS145" s="136"/>
      <c r="DT145" s="136"/>
      <c r="DU145" s="136"/>
      <c r="DV145" s="136"/>
      <c r="DW145" s="136"/>
      <c r="DX145" s="136"/>
      <c r="DY145" s="136"/>
      <c r="DZ145" s="136"/>
      <c r="EA145" s="136"/>
      <c r="EB145" s="136"/>
      <c r="EC145" s="136"/>
      <c r="ED145" s="136"/>
      <c r="EE145" s="136"/>
      <c r="EF145" s="136"/>
      <c r="EG145" s="136"/>
      <c r="EH145" s="136"/>
      <c r="EI145" s="136"/>
      <c r="EJ145" s="136"/>
      <c r="EK145" s="136"/>
      <c r="EL145" s="136"/>
      <c r="EM145" s="136"/>
      <c r="EN145" s="136"/>
      <c r="EO145" s="136"/>
      <c r="EP145" s="136"/>
      <c r="EQ145" s="136"/>
      <c r="ER145" s="136"/>
      <c r="ES145" s="136"/>
      <c r="ET145" s="136"/>
      <c r="EU145" s="136"/>
      <c r="EV145" s="136"/>
      <c r="EW145" s="136"/>
      <c r="EX145" s="136"/>
      <c r="EY145" s="136"/>
      <c r="EZ145" s="136"/>
      <c r="FA145" s="136"/>
      <c r="FB145" s="136"/>
      <c r="FC145" s="136"/>
      <c r="FD145" s="136"/>
      <c r="FE145" s="136"/>
      <c r="FF145" s="136"/>
      <c r="FG145" s="136"/>
      <c r="FH145" s="136"/>
      <c r="FI145" s="136"/>
      <c r="FJ145" s="136"/>
      <c r="FK145" s="136"/>
      <c r="FL145" s="136"/>
      <c r="FM145" s="136"/>
      <c r="FN145" s="136"/>
      <c r="FO145" s="136"/>
      <c r="FP145" s="136"/>
      <c r="FQ145" s="136"/>
      <c r="FR145" s="412"/>
      <c r="FS145" s="412"/>
      <c r="FT145" s="412"/>
      <c r="FU145" s="412"/>
      <c r="FV145" s="412"/>
      <c r="FW145" s="412"/>
      <c r="FX145" s="412"/>
      <c r="FY145" s="412"/>
      <c r="FZ145" s="412"/>
      <c r="GA145" s="412"/>
      <c r="GB145" s="412"/>
      <c r="GC145" s="412"/>
      <c r="GD145" s="412"/>
      <c r="GE145" s="412"/>
      <c r="GF145" s="412"/>
      <c r="GG145" s="412"/>
      <c r="GH145" s="412"/>
      <c r="GI145" s="412"/>
      <c r="GJ145" s="412"/>
      <c r="GK145" s="412"/>
      <c r="GL145" s="412"/>
      <c r="GM145" s="412"/>
      <c r="GN145" s="412"/>
      <c r="GO145" s="412"/>
      <c r="GP145" s="412"/>
      <c r="GQ145" s="412"/>
      <c r="GR145" s="278"/>
      <c r="GS145" s="277"/>
      <c r="GT145" s="277"/>
      <c r="GU145" s="277"/>
      <c r="GV145" s="277"/>
      <c r="GW145" s="277"/>
      <c r="GX145" s="277"/>
      <c r="GY145" s="277"/>
      <c r="GZ145" s="277"/>
      <c r="HA145" s="277"/>
      <c r="HB145" s="277"/>
      <c r="HC145" s="277"/>
      <c r="HD145" s="277"/>
      <c r="HE145" s="277"/>
      <c r="HF145" s="277"/>
      <c r="HG145" s="554"/>
      <c r="HH145" s="554"/>
      <c r="HI145" s="554"/>
      <c r="HJ145" s="554"/>
      <c r="HK145" s="554"/>
      <c r="HL145" s="554"/>
      <c r="HM145" s="554"/>
      <c r="HN145" s="554"/>
      <c r="HO145" s="554"/>
      <c r="HP145" s="554"/>
      <c r="HQ145" s="554"/>
      <c r="HR145" s="554"/>
      <c r="HS145" s="554"/>
      <c r="HT145" s="554"/>
      <c r="HU145" s="277"/>
      <c r="HV145" s="277"/>
      <c r="HW145" s="277"/>
      <c r="HX145" s="277"/>
      <c r="HY145" s="277"/>
      <c r="HZ145" s="277"/>
      <c r="IA145" s="277"/>
      <c r="IB145" s="277"/>
      <c r="IC145" s="412"/>
      <c r="ID145" s="412"/>
      <c r="IE145" s="412"/>
      <c r="IF145" s="412"/>
      <c r="IG145" s="412"/>
      <c r="IH145" s="412"/>
      <c r="II145" s="412"/>
      <c r="IJ145" s="412"/>
      <c r="IK145" s="412"/>
      <c r="IL145" s="412"/>
      <c r="IM145" s="412"/>
      <c r="IN145" s="412"/>
      <c r="IO145" s="413"/>
      <c r="IP145" s="412"/>
      <c r="IQ145" s="389"/>
      <c r="IR145" s="389"/>
      <c r="IS145" s="389"/>
      <c r="IT145" s="389"/>
      <c r="IU145" s="389"/>
      <c r="IV145" s="389"/>
      <c r="IW145" s="389"/>
      <c r="IX145" s="389"/>
      <c r="IY145" s="389"/>
      <c r="IZ145" s="389"/>
      <c r="JA145" s="389"/>
      <c r="JB145" s="389"/>
      <c r="JC145" s="389"/>
      <c r="JD145" s="389"/>
      <c r="JE145" s="389"/>
      <c r="JF145" s="389"/>
      <c r="JG145" s="389"/>
      <c r="JH145" s="389"/>
      <c r="JI145" s="389"/>
      <c r="JJ145" s="389"/>
      <c r="JK145" s="389"/>
      <c r="JL145" s="389"/>
      <c r="JM145" s="389"/>
      <c r="JN145" s="389"/>
      <c r="JO145" s="14"/>
      <c r="JP145" s="14"/>
      <c r="JQ145" s="14"/>
      <c r="JR145" s="14"/>
      <c r="JS145" s="14"/>
      <c r="JT145" s="14"/>
      <c r="JU145" s="14"/>
      <c r="JV145" s="14"/>
      <c r="JW145" s="14"/>
      <c r="JX145" s="14"/>
      <c r="JY145" s="14"/>
      <c r="JZ145" s="14"/>
      <c r="KA145" s="14"/>
      <c r="KB145" s="14"/>
      <c r="KC145" s="14"/>
      <c r="KD145" s="14"/>
      <c r="KE145" s="14"/>
      <c r="KF145" s="14"/>
      <c r="KG145" s="14"/>
      <c r="KH145" s="14"/>
      <c r="KI145" s="14"/>
      <c r="KJ145" s="14"/>
      <c r="KK145" s="14"/>
      <c r="KL145" s="14"/>
      <c r="KM145" s="14"/>
      <c r="KN145" s="14"/>
      <c r="KO145" s="14"/>
      <c r="KP145" s="14"/>
    </row>
    <row r="146" spans="1:302" ht="11.1" customHeight="1" collapsed="1">
      <c r="A146" s="627">
        <v>2034</v>
      </c>
      <c r="B146" s="626"/>
      <c r="C146" s="620"/>
      <c r="D146" s="625"/>
      <c r="E146" s="624"/>
      <c r="F146" s="620"/>
      <c r="G146" s="620"/>
      <c r="H146" s="620"/>
      <c r="I146" s="519"/>
      <c r="J146" s="620"/>
      <c r="K146" s="620"/>
      <c r="L146" s="830"/>
      <c r="M146" s="847"/>
      <c r="N146" s="847"/>
      <c r="O146" s="260"/>
      <c r="P146" s="623"/>
      <c r="Q146" s="280"/>
      <c r="R146" s="15"/>
      <c r="S146" s="646"/>
      <c r="T146" s="620"/>
      <c r="U146" s="646"/>
      <c r="V146" s="646"/>
      <c r="W146" s="646"/>
      <c r="X146" s="622"/>
      <c r="Y146" s="622"/>
      <c r="Z146" s="622"/>
      <c r="AA146" s="622"/>
      <c r="AB146" s="621"/>
      <c r="AC146" s="620"/>
      <c r="AD146" s="515"/>
      <c r="AE146" s="620"/>
      <c r="AF146" s="619"/>
      <c r="AG146" s="618"/>
      <c r="AH146" s="617"/>
      <c r="AI146" s="617"/>
      <c r="AJ146" s="616"/>
      <c r="AK146" s="615"/>
      <c r="AL146" s="614"/>
      <c r="AM146" s="249"/>
      <c r="AN146" s="613"/>
      <c r="AO146" s="249"/>
      <c r="AP146" s="612"/>
      <c r="AQ146" s="250"/>
      <c r="AR146" s="18"/>
      <c r="AS146" s="18"/>
      <c r="AT146" s="54"/>
      <c r="AU146" s="22"/>
      <c r="AV146" s="22"/>
      <c r="AW146" s="22"/>
      <c r="AX146" s="22"/>
      <c r="AY146" s="22"/>
      <c r="AZ146" s="22"/>
      <c r="BA146" s="54"/>
      <c r="BB146" s="22"/>
      <c r="BC146" s="15"/>
      <c r="BD146" s="15"/>
      <c r="BE146" s="15"/>
      <c r="BF146" s="15"/>
      <c r="BG146" s="51"/>
      <c r="BH146" s="15"/>
      <c r="BI146" s="15"/>
      <c r="BJ146" s="15"/>
      <c r="BK146" s="51"/>
      <c r="BL146" s="15"/>
      <c r="BM146" s="15"/>
      <c r="BN146" s="15"/>
      <c r="BO146" s="15"/>
      <c r="BP146" s="15"/>
      <c r="BQ146" s="18"/>
      <c r="BR146" s="18"/>
      <c r="BS146" s="18"/>
      <c r="BT146" s="18"/>
      <c r="BU146" s="18"/>
      <c r="BV146" s="18"/>
      <c r="BW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393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  <c r="FR146" s="18"/>
      <c r="FS146" s="18"/>
      <c r="FT146" s="18"/>
      <c r="FU146" s="18"/>
      <c r="FV146" s="18"/>
      <c r="FW146" s="18"/>
      <c r="FX146" s="18"/>
      <c r="FY146" s="18"/>
      <c r="FZ146" s="18"/>
      <c r="GA146" s="18"/>
      <c r="GB146" s="18"/>
      <c r="GC146" s="18"/>
      <c r="GD146" s="18"/>
      <c r="GE146" s="18"/>
      <c r="GF146" s="18"/>
      <c r="GG146" s="18"/>
      <c r="GH146" s="18"/>
      <c r="GI146" s="18"/>
      <c r="GJ146" s="18"/>
      <c r="GK146" s="18"/>
      <c r="GL146" s="18"/>
      <c r="GM146" s="18"/>
      <c r="GN146" s="18"/>
      <c r="GO146" s="18"/>
      <c r="GP146" s="18"/>
      <c r="GQ146" s="18"/>
      <c r="GR146" s="18"/>
      <c r="GS146" s="18"/>
      <c r="GT146" s="18"/>
      <c r="GU146" s="18"/>
      <c r="GV146" s="18"/>
      <c r="GW146" s="18"/>
      <c r="GX146" s="18"/>
      <c r="GY146" s="18"/>
      <c r="GZ146" s="18"/>
      <c r="HA146" s="18"/>
      <c r="HB146" s="18"/>
      <c r="HC146" s="18"/>
      <c r="HD146" s="18"/>
      <c r="HE146" s="18"/>
      <c r="HF146" s="18"/>
      <c r="HG146" s="18"/>
      <c r="HH146" s="18"/>
      <c r="HI146" s="18"/>
      <c r="HJ146" s="18"/>
      <c r="HK146" s="18"/>
      <c r="HL146" s="18"/>
      <c r="HM146" s="18"/>
      <c r="HN146" s="18"/>
      <c r="HO146" s="18"/>
      <c r="HP146" s="18"/>
      <c r="HQ146" s="18"/>
      <c r="HR146" s="18"/>
      <c r="HS146" s="18"/>
      <c r="HT146" s="18"/>
      <c r="HU146" s="611"/>
      <c r="HV146" s="610"/>
      <c r="HW146" s="610"/>
      <c r="HX146" s="610"/>
      <c r="HY146" s="610"/>
      <c r="HZ146" s="610"/>
      <c r="IA146" s="610"/>
      <c r="IB146" s="610"/>
      <c r="IC146" s="610"/>
      <c r="ID146" s="610"/>
      <c r="IE146" s="610"/>
      <c r="IF146" s="610"/>
      <c r="IG146" s="610"/>
      <c r="IH146" s="610"/>
      <c r="II146" s="610"/>
      <c r="IJ146" s="610"/>
      <c r="IK146" s="610"/>
      <c r="IL146" s="610"/>
      <c r="IM146" s="610"/>
      <c r="IN146" s="610"/>
      <c r="IO146" s="610"/>
      <c r="IP146" s="610"/>
      <c r="IQ146" s="610"/>
      <c r="IR146" s="610"/>
      <c r="IS146" s="610"/>
      <c r="IT146" s="610"/>
      <c r="IU146" s="610"/>
      <c r="IV146" s="610"/>
      <c r="IW146" s="610"/>
      <c r="IX146" s="610"/>
      <c r="IY146" s="610"/>
      <c r="IZ146" s="610"/>
      <c r="JA146" s="610"/>
      <c r="JB146" s="610"/>
      <c r="JC146" s="610"/>
      <c r="JD146" s="18"/>
      <c r="JE146" s="18"/>
      <c r="JF146" s="18"/>
      <c r="JG146" s="18"/>
      <c r="JH146" s="18"/>
      <c r="JI146" s="18"/>
      <c r="JJ146" s="18"/>
      <c r="JK146" s="18"/>
      <c r="JL146" s="18"/>
      <c r="JM146" s="18"/>
      <c r="JN146" s="18"/>
      <c r="JO146" s="18"/>
      <c r="JP146" s="18"/>
      <c r="JQ146" s="18"/>
      <c r="JR146" s="8"/>
      <c r="JS146" s="8"/>
      <c r="JT146" s="8"/>
      <c r="JU146" s="8"/>
      <c r="JV146" s="8"/>
      <c r="JW146" s="8"/>
      <c r="JX146" s="8"/>
      <c r="JY146" s="8"/>
      <c r="JZ146" s="8"/>
      <c r="KA146" s="8"/>
      <c r="KB146" s="8"/>
      <c r="KC146" s="8"/>
      <c r="KD146" s="8"/>
      <c r="KE146" s="8"/>
      <c r="KF146" s="8"/>
      <c r="KG146" s="8"/>
      <c r="KH146" s="8"/>
      <c r="KI146" s="8"/>
      <c r="KJ146" s="8"/>
      <c r="KK146" s="8"/>
      <c r="KL146" s="8"/>
      <c r="KM146" s="8"/>
      <c r="KN146" s="8"/>
      <c r="KO146" s="1"/>
      <c r="KP146" s="1"/>
    </row>
    <row r="147" spans="1:302" ht="5.0999999999999996" customHeight="1" collapsed="1">
      <c r="A147" s="1"/>
      <c r="B147" s="933"/>
      <c r="C147" s="933"/>
      <c r="D147" s="431"/>
      <c r="E147" s="765"/>
      <c r="F147" s="431"/>
      <c r="G147" s="431"/>
      <c r="H147" s="431"/>
      <c r="I147" s="528"/>
      <c r="J147" s="431"/>
      <c r="K147" s="431"/>
      <c r="L147" s="833"/>
      <c r="M147" s="720"/>
      <c r="N147" s="720"/>
      <c r="O147" s="223"/>
      <c r="P147" s="276" t="s">
        <v>30</v>
      </c>
      <c r="Q147" s="280"/>
      <c r="R147" s="280"/>
      <c r="S147" s="18"/>
      <c r="T147" s="431"/>
      <c r="U147" s="18"/>
      <c r="V147" s="18"/>
      <c r="W147" s="18"/>
      <c r="X147" s="430"/>
      <c r="Y147" s="430"/>
      <c r="Z147" s="430"/>
      <c r="AA147" s="430"/>
      <c r="AB147" s="78"/>
      <c r="AC147" s="431"/>
      <c r="AD147" s="117"/>
      <c r="AE147" s="431"/>
      <c r="AF147" s="934"/>
      <c r="AG147" s="934"/>
      <c r="AH147" s="552"/>
      <c r="AI147" s="551"/>
      <c r="AJ147" s="745"/>
      <c r="AK147" s="744"/>
      <c r="AL147" s="967"/>
      <c r="AM147" s="426"/>
      <c r="AN147" s="743"/>
      <c r="AO147" s="425"/>
      <c r="AP147" s="438"/>
      <c r="AQ147" s="424"/>
      <c r="AR147" s="439"/>
      <c r="AS147" s="421"/>
      <c r="AT147" s="742"/>
      <c r="AU147" s="223"/>
      <c r="AV147" s="420"/>
      <c r="AW147" s="526"/>
      <c r="AX147" s="420"/>
      <c r="AY147" s="223"/>
      <c r="AZ147" s="223"/>
      <c r="BA147" s="419"/>
      <c r="BB147" s="223"/>
      <c r="BC147" s="223"/>
      <c r="BD147" s="223"/>
      <c r="BE147" s="15"/>
      <c r="BF147" s="15"/>
      <c r="BG147" s="51"/>
      <c r="BH147" s="15"/>
      <c r="BI147" s="15"/>
      <c r="BJ147" s="15"/>
      <c r="BK147" s="51"/>
      <c r="BL147" s="15"/>
      <c r="BM147" s="15"/>
      <c r="BN147" s="15"/>
      <c r="BO147" s="15"/>
      <c r="BP147" s="15"/>
      <c r="BQ147" s="18"/>
      <c r="BR147" s="18"/>
      <c r="BS147" s="18"/>
      <c r="BT147" s="18"/>
      <c r="BU147" s="18"/>
      <c r="BV147" s="18"/>
      <c r="BW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393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  <c r="FR147" s="18"/>
      <c r="FS147" s="18"/>
      <c r="FT147" s="18"/>
      <c r="FU147" s="18"/>
      <c r="FV147" s="18"/>
      <c r="FW147" s="18"/>
      <c r="FX147" s="18"/>
      <c r="FY147" s="18"/>
      <c r="FZ147" s="18"/>
      <c r="GA147" s="18"/>
      <c r="GB147" s="18"/>
      <c r="GC147" s="18"/>
      <c r="GD147" s="18"/>
      <c r="GE147" s="18"/>
      <c r="GF147" s="18"/>
      <c r="GG147" s="18"/>
      <c r="GH147" s="18"/>
      <c r="GI147" s="18"/>
      <c r="GJ147" s="18"/>
      <c r="GK147" s="18"/>
      <c r="GL147" s="18"/>
      <c r="GM147" s="18"/>
      <c r="GN147" s="18"/>
      <c r="GO147" s="611"/>
      <c r="GP147" s="610"/>
      <c r="GQ147" s="610"/>
      <c r="GR147" s="610"/>
      <c r="GS147" s="610"/>
      <c r="GT147" s="610"/>
      <c r="GU147" s="610"/>
      <c r="GV147" s="610"/>
      <c r="GW147" s="610"/>
      <c r="GX147" s="610"/>
      <c r="GY147" s="610"/>
      <c r="GZ147" s="610"/>
      <c r="HA147" s="610"/>
      <c r="HB147" s="610"/>
      <c r="HC147" s="610"/>
      <c r="HD147" s="610"/>
      <c r="HE147" s="610"/>
      <c r="HF147" s="610"/>
      <c r="HG147" s="610"/>
      <c r="HH147" s="610"/>
      <c r="HI147" s="610"/>
      <c r="HJ147" s="610"/>
      <c r="HK147" s="610"/>
      <c r="HL147" s="610"/>
      <c r="HM147" s="610"/>
      <c r="HN147" s="610"/>
      <c r="HO147" s="610"/>
      <c r="HP147" s="610"/>
      <c r="HQ147" s="610"/>
      <c r="HR147" s="610"/>
      <c r="HS147" s="610"/>
      <c r="HT147" s="610"/>
      <c r="HU147" s="610"/>
      <c r="HV147" s="610"/>
      <c r="HW147" s="610"/>
      <c r="HX147" s="611"/>
      <c r="HY147" s="610"/>
      <c r="HZ147" s="610"/>
      <c r="IA147" s="610"/>
      <c r="IB147" s="610"/>
      <c r="IC147" s="610"/>
      <c r="ID147" s="610"/>
      <c r="IE147" s="610"/>
      <c r="IF147" s="610"/>
      <c r="IG147" s="610"/>
      <c r="IH147" s="610"/>
      <c r="II147" s="610"/>
      <c r="IJ147" s="610"/>
      <c r="IK147" s="610"/>
      <c r="IL147" s="610"/>
      <c r="IM147" s="610"/>
      <c r="IN147" s="610"/>
      <c r="IO147" s="610"/>
      <c r="IP147" s="18"/>
      <c r="IQ147" s="18"/>
      <c r="IR147" s="18"/>
      <c r="IS147" s="18"/>
      <c r="IT147" s="18"/>
      <c r="IU147" s="18"/>
      <c r="IV147" s="18"/>
      <c r="IW147" s="18"/>
      <c r="IX147" s="18"/>
      <c r="IY147" s="8"/>
      <c r="IZ147" s="8"/>
      <c r="JA147" s="8"/>
      <c r="JB147" s="8"/>
      <c r="JC147" s="8"/>
      <c r="JD147" s="8"/>
      <c r="JE147" s="8"/>
      <c r="JF147" s="8"/>
      <c r="JG147" s="8"/>
      <c r="JH147" s="8"/>
      <c r="JI147" s="8"/>
      <c r="JJ147" s="8"/>
      <c r="JK147" s="8"/>
      <c r="JL147" s="8"/>
      <c r="JM147" s="8"/>
      <c r="JN147" s="8"/>
      <c r="JO147" s="8"/>
      <c r="JP147" s="8"/>
      <c r="JQ147" s="8"/>
      <c r="JR147" s="8"/>
      <c r="JS147" s="8"/>
      <c r="JT147" s="8"/>
      <c r="JU147" s="8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</row>
    <row r="148" spans="1:302" s="6" customFormat="1" ht="11.1" customHeight="1">
      <c r="A148" s="497" t="s">
        <v>482</v>
      </c>
      <c r="B148" s="496" t="s">
        <v>180</v>
      </c>
      <c r="C148" s="974">
        <v>49072</v>
      </c>
      <c r="D148" s="725">
        <v>45559</v>
      </c>
      <c r="E148" s="773">
        <v>99.11</v>
      </c>
      <c r="F148" s="490">
        <v>4.1000000000000002E-2</v>
      </c>
      <c r="G148" s="383">
        <v>1000</v>
      </c>
      <c r="H148" s="383">
        <f>G148</f>
        <v>1000</v>
      </c>
      <c r="I148" s="385">
        <f>G148*F148/100*F153</f>
        <v>30.34</v>
      </c>
      <c r="J148" s="383">
        <f>I148</f>
        <v>30.34</v>
      </c>
      <c r="K148" s="384" t="s">
        <v>198</v>
      </c>
      <c r="L148" s="833">
        <f>MONTH(C148)</f>
        <v>5</v>
      </c>
      <c r="M148" s="842" t="str">
        <f>IFERROR(IF(N148&gt;12,N148-12,N148),"")</f>
        <v/>
      </c>
      <c r="N148" s="594" t="str">
        <f>IF(K150=1,"",MONTH(C148)+6)</f>
        <v/>
      </c>
      <c r="O148" s="832">
        <f>IF(K150=1,I148,I148/2)</f>
        <v>30.34</v>
      </c>
      <c r="P148" s="215">
        <f>VLOOKUP(B149,[2]Prezzi!$A$2:$R$125,18,FALSE)</f>
        <v>102.5</v>
      </c>
      <c r="Q148" s="280"/>
      <c r="R148" s="280"/>
      <c r="S148" s="493">
        <f ca="1">MAX(0,IF(B153=5,I148/AM150*X148,(((((F148)*AF$2)/365)*G148*F153/100)+((((F148)*X153)/365)*G148*F153/100))))</f>
        <v>15.600998797190641</v>
      </c>
      <c r="T148" s="492">
        <f ca="1">S148</f>
        <v>15.600998797190641</v>
      </c>
      <c r="U148" s="469"/>
      <c r="V148" s="4"/>
      <c r="W148" s="469"/>
      <c r="X148" s="491">
        <f ca="1">IF(B153=4,COUPDAYBS($AB$2,C148,K150,AH152),IF($AB$2-AL148&lt;365,IF(K150&gt;1,FLOOR(365/K150-(E150-AB$2),1),IF(B153=2,0,IF(AL148&gt;$AB$2,0,IF(AND(E150-AL148&lt;365,$AB$2&lt;E150),$AB$2-AL148,COUPDAYBS($AB$2,C148,K150,AH152))))),COUPDAYBS($AB$2,C148,K150,AH152)))</f>
        <v>187.68505474537233</v>
      </c>
      <c r="Y148" s="456">
        <f ca="1">G148*AF148</f>
        <v>7763.2379267585802</v>
      </c>
      <c r="Z148" s="456">
        <f ca="1">IF(G148=0,"0",G148*AG148)</f>
        <v>27.964424726310202</v>
      </c>
      <c r="AA148" s="22"/>
      <c r="AB148" s="979">
        <f ca="1">IF(B153=5,(((I148/AM151)*X148)+(G148)),(G148*P148*A153/100)+(S148*A153))</f>
        <v>1040.6009987971906</v>
      </c>
      <c r="AC148" s="383">
        <f ca="1">AB148</f>
        <v>1040.6009987971906</v>
      </c>
      <c r="AD148" s="156">
        <f>IF(E149="",((P148-E148)/100)*G148,((((P148-E148)/100)*A149)/F149)+((A149/F149)-(A149/E149)))</f>
        <v>33.900000000000006</v>
      </c>
      <c r="AE148" s="383">
        <f>AD148</f>
        <v>33.900000000000006</v>
      </c>
      <c r="AF148" s="446">
        <f ca="1">IF(B153=1,MDURATION($AB$2,C148,F148,AG148,K150,AH152),IF(B153=2,YEARFRAC(C148,$AB$2,AH152)))</f>
        <v>7.7632379267585803</v>
      </c>
      <c r="AG148" s="824">
        <f ca="1">YIELD(AB$2,C148,F148,P148,AL150,K150,AH152)*F153/100</f>
        <v>2.7964424726310201E-2</v>
      </c>
      <c r="AH148" s="489">
        <f ca="1">(((F148)*X148)/365)*F153</f>
        <v>1.5600998797190675</v>
      </c>
      <c r="AI148" s="573"/>
      <c r="AJ148" s="487"/>
      <c r="AK148" s="487"/>
      <c r="AL148" s="741">
        <v>45422</v>
      </c>
      <c r="AM148" s="22" t="s">
        <v>506</v>
      </c>
      <c r="AN148" s="179">
        <f>IF(B153=4,MIN(G148*E148*A151*AV$3/100,AV$4),IF(AF150=1,MIN(G148*E148*AV$3/100,AV$4),MIN((A149*E148/E149*AV$3/100),AV$4)+(((A149/E149*E148/100)+(A149/E149*E148*AV$3/100)+AN149+AO148)*AZ$3)))</f>
        <v>0.99109999999999998</v>
      </c>
      <c r="AO148" s="815">
        <v>774.44</v>
      </c>
      <c r="AP148" s="326">
        <f>IF(B153=2,AN153+AN148+AN149+AP149,AN153+AN148+AN149+AO148+AO149+AP149)</f>
        <v>1568.6767000000002</v>
      </c>
      <c r="AQ148" s="326">
        <f>AP148</f>
        <v>1568.6767000000002</v>
      </c>
      <c r="AR148" s="483">
        <f>AR150+AR152+AR149</f>
        <v>1030.3399999999999</v>
      </c>
      <c r="AS148" s="825">
        <f ca="1">AG148</f>
        <v>2.7964424726310201E-2</v>
      </c>
      <c r="AT148" s="419">
        <f>IF(B153=1,G148,"")</f>
        <v>1000</v>
      </c>
      <c r="AU148" s="420" t="str">
        <f>IF(B153=2,G148,"")</f>
        <v/>
      </c>
      <c r="AV148" s="223" t="str">
        <f>IF(B153=3,G148,"")</f>
        <v/>
      </c>
      <c r="AW148" s="420" t="str">
        <f>IF(B153=4,G148,"")</f>
        <v/>
      </c>
      <c r="AX148" s="417" t="str">
        <f>IF(B153=5,G148,"")</f>
        <v/>
      </c>
      <c r="AY148" s="420" t="str">
        <f>IF(B153=6,G148,"")</f>
        <v/>
      </c>
      <c r="AZ148" s="223" t="str">
        <f>IF(B153=7,G148,"")</f>
        <v/>
      </c>
      <c r="BA148" s="419" t="str">
        <f>IF(B150=1,G148,"")</f>
        <v/>
      </c>
      <c r="BB148" s="223" t="str">
        <f>IF(B150=2,G148,"")</f>
        <v/>
      </c>
      <c r="BC148" s="223">
        <f>IF(B150=3,G148,"")</f>
        <v>1000</v>
      </c>
      <c r="BD148" s="223" t="str">
        <f>IF(B150=4,G148,"")</f>
        <v/>
      </c>
      <c r="BE148" s="223" t="str">
        <f>IF(B150=5,G148,"")</f>
        <v/>
      </c>
      <c r="BF148" s="417" t="str">
        <f>IF(B150=6,G148,"")</f>
        <v/>
      </c>
      <c r="BG148" s="419">
        <f>IF(AK153=1,G148,"")</f>
        <v>1000</v>
      </c>
      <c r="BH148" s="223" t="str">
        <f>IF(AK153=2,G148,"")</f>
        <v/>
      </c>
      <c r="BI148" s="223" t="str">
        <f>IF(AK153=3,G148,"")</f>
        <v/>
      </c>
      <c r="BJ148" s="223" t="str">
        <f>IF(AK153=4,G148,"")</f>
        <v/>
      </c>
      <c r="BK148" s="419" t="str">
        <f>IF(AJ152=1,G148,"")</f>
        <v/>
      </c>
      <c r="BL148" s="482" t="str">
        <f>IF(BK148&lt;&gt;"",AB148,"")</f>
        <v/>
      </c>
      <c r="BM148" s="223" t="str">
        <f>IF(AJ152=2,G148,"")</f>
        <v/>
      </c>
      <c r="BN148" s="223" t="str">
        <f>IF(BM148&lt;&gt;"",AB148,"")</f>
        <v/>
      </c>
      <c r="BO148" s="223" t="str">
        <f>IF(AJ152=3,G148,"")</f>
        <v/>
      </c>
      <c r="BP148" s="223">
        <f>IF(AJ152=4,G148,"")</f>
        <v>1000</v>
      </c>
      <c r="BQ148" s="223" t="str">
        <f>IF(AJ152=5,G148,"")</f>
        <v/>
      </c>
      <c r="BR148" s="223" t="str">
        <f>IF(AJ152=6,G148,"")</f>
        <v/>
      </c>
      <c r="BS148" s="223" t="str">
        <f>IF(AJ152=7,G148,"")</f>
        <v/>
      </c>
      <c r="BT148" s="223" t="str">
        <f>IF(AJ152=8,G148,"")</f>
        <v/>
      </c>
      <c r="BU148" s="223" t="str">
        <f>IF(AJ152=9,G148,"")</f>
        <v/>
      </c>
      <c r="BV148" s="223" t="str">
        <f>IF(AJ152=10,G148,"")</f>
        <v/>
      </c>
      <c r="BW148" s="223" t="str">
        <f>IF(AJ152=11,G148,"")</f>
        <v/>
      </c>
      <c r="BX148" s="419">
        <f>IF(AF150=1,G148,"")</f>
        <v>1000</v>
      </c>
      <c r="BY148" s="223" t="str">
        <f>IF(AF150=2,G148,"")</f>
        <v/>
      </c>
      <c r="BZ148" s="223" t="str">
        <f>IF(AF150=3,G148,"")</f>
        <v/>
      </c>
      <c r="CA148" s="223" t="str">
        <f>IF(AF150=4,G148,"")</f>
        <v/>
      </c>
      <c r="CB148" s="223" t="str">
        <f>IF(AF150=5,G148,"")</f>
        <v/>
      </c>
      <c r="CC148" s="223" t="str">
        <f>IF(AF150=6,G148,"")</f>
        <v/>
      </c>
      <c r="CD148" s="223" t="str">
        <f>IF(AF150=7,G148,"")</f>
        <v/>
      </c>
      <c r="CE148" s="223" t="str">
        <f>IF(AF150=8,G148,"")</f>
        <v/>
      </c>
      <c r="CF148" s="223" t="str">
        <f>IF(AF150=9,G148,"")</f>
        <v/>
      </c>
      <c r="CG148" s="223" t="str">
        <f>IF(AF150=10,G148,"")</f>
        <v/>
      </c>
      <c r="CH148" s="223" t="str">
        <f>IF(AF150=11,G148,"")</f>
        <v/>
      </c>
      <c r="CI148" s="223" t="str">
        <f>IF(AF150=12,G148,"")</f>
        <v/>
      </c>
      <c r="CJ148" s="223" t="str">
        <f>IF(AF150=13,G148,"")</f>
        <v/>
      </c>
      <c r="CK148" s="223" t="str">
        <f>IF(AF150=14,G148,"")</f>
        <v/>
      </c>
      <c r="CL148" s="223" t="str">
        <f>IF(AF150=15,G148,"")</f>
        <v/>
      </c>
      <c r="CM148" s="223" t="str">
        <f>IF(AF150=16,G148,"")</f>
        <v/>
      </c>
      <c r="CN148" s="223" t="str">
        <f>IF(AF150=17,G148,"")</f>
        <v/>
      </c>
      <c r="CO148" s="223" t="str">
        <f>IF(AF150=18,G148,"")</f>
        <v/>
      </c>
      <c r="CP148" s="223" t="str">
        <f>IF(AF150=19,G148,"")</f>
        <v/>
      </c>
      <c r="CQ148" s="223" t="str">
        <f>IF(AF150=20,G148,"")</f>
        <v/>
      </c>
      <c r="CR148" s="223" t="str">
        <f>IF(AF150=21,G148,"")</f>
        <v/>
      </c>
      <c r="CS148" s="419" t="str">
        <f>IF(K153=1,G148,"")</f>
        <v/>
      </c>
      <c r="CT148" s="223" t="str">
        <f>IF(K153=2,G148,"")</f>
        <v/>
      </c>
      <c r="CU148" s="223" t="str">
        <f>IF(K153=3,G148,"")</f>
        <v/>
      </c>
      <c r="CV148" s="223" t="str">
        <f>IF(K153=4,G148,"")</f>
        <v/>
      </c>
      <c r="CW148" s="223">
        <f>IF(K153=5,G148,"")</f>
        <v>1000</v>
      </c>
      <c r="CX148" s="223" t="str">
        <f>IF(K153=6,G148,"")</f>
        <v/>
      </c>
      <c r="CY148" s="223" t="str">
        <f>IF(K153=7,G148,"")</f>
        <v/>
      </c>
      <c r="CZ148" s="223" t="str">
        <f>IF(K153=8,G148,"")</f>
        <v/>
      </c>
      <c r="DA148" s="223" t="str">
        <f>IF(K153=9,G148,"")</f>
        <v/>
      </c>
      <c r="DB148" s="223" t="str">
        <f>IF(K153=10,G148,"")</f>
        <v/>
      </c>
      <c r="DC148" s="223" t="str">
        <f>IF(K153=11,G148,"")</f>
        <v/>
      </c>
      <c r="DD148" s="223" t="str">
        <f>IF(K153=12,G148,"")</f>
        <v/>
      </c>
      <c r="DE148" s="223" t="str">
        <f>IF(K153=13,G148,"")</f>
        <v/>
      </c>
      <c r="DF148" s="223" t="str">
        <f>IF(K153=14,G148,"")</f>
        <v/>
      </c>
      <c r="DG148" s="223" t="str">
        <f>IF(K153=15,G148,"")</f>
        <v/>
      </c>
      <c r="DH148" s="223" t="str">
        <f>IF(K153=16,G148,"")</f>
        <v/>
      </c>
      <c r="DI148" s="223" t="str">
        <f>IF(K153=17,G148,"")</f>
        <v/>
      </c>
      <c r="DJ148" s="223" t="str">
        <f>IF(K153=18,G148,"")</f>
        <v/>
      </c>
      <c r="DK148" s="223" t="str">
        <f>IF(K153=19,G148,"")</f>
        <v/>
      </c>
      <c r="DL148" s="223" t="str">
        <f>IF(K153=20,G148,"")</f>
        <v/>
      </c>
      <c r="DM148" s="223"/>
      <c r="DN148" s="223"/>
      <c r="DO148" s="419" t="str">
        <f>IF(AG150=1,G148,"")</f>
        <v/>
      </c>
      <c r="DP148" s="223" t="str">
        <f>IF(AG150=2,G148,"")</f>
        <v/>
      </c>
      <c r="DQ148" s="223" t="str">
        <f>IF(AG150=3,G148,"")</f>
        <v/>
      </c>
      <c r="DR148" s="223" t="str">
        <f>IF(AG150=4,G148,"")</f>
        <v/>
      </c>
      <c r="DS148" s="223" t="str">
        <f>IF(AG150=5,G148,"")</f>
        <v/>
      </c>
      <c r="DT148" s="223" t="str">
        <f>IF(AG150=6,G148,"")</f>
        <v/>
      </c>
      <c r="DU148" s="223" t="str">
        <f>IF(AG150=7,G148,"")</f>
        <v/>
      </c>
      <c r="DV148" s="223" t="str">
        <f>IF(AG150=8,G148,"")</f>
        <v/>
      </c>
      <c r="DW148" s="136" t="str">
        <f>IF(AG150=9,G148,"")</f>
        <v/>
      </c>
      <c r="DX148" s="136" t="str">
        <f>IF(AG150=10,G148,"")</f>
        <v/>
      </c>
      <c r="DY148" s="136" t="str">
        <f>IF(AG150=11,G148,"")</f>
        <v/>
      </c>
      <c r="DZ148" s="136" t="str">
        <f>IF(AG150=12,G148,"")</f>
        <v/>
      </c>
      <c r="EA148" s="136" t="str">
        <f>IF(AG150=13,G148,"")</f>
        <v/>
      </c>
      <c r="EB148" s="136" t="str">
        <f>IF(AG150=14,G148,"")</f>
        <v/>
      </c>
      <c r="EC148" s="317" t="str">
        <f>IF(AG150=15,G148,"")</f>
        <v/>
      </c>
      <c r="ED148" s="136" t="str">
        <f>IF(AG150=16,G148,"")</f>
        <v/>
      </c>
      <c r="EE148" s="136" t="str">
        <f>IF(AG150=17,G148,"")</f>
        <v/>
      </c>
      <c r="EF148" s="136" t="str">
        <f>IF(AG150=18,G148,"")</f>
        <v/>
      </c>
      <c r="EG148" s="136" t="str">
        <f>IF(AG150=19,G148,"")</f>
        <v/>
      </c>
      <c r="EH148" s="136" t="str">
        <f>IF(AG150=20,G148,"")</f>
        <v/>
      </c>
      <c r="EI148" s="136" t="str">
        <f>IF(AG150=21,G148,"")</f>
        <v/>
      </c>
      <c r="EJ148" s="136" t="str">
        <f>IF(AG150=22,G148,"")</f>
        <v/>
      </c>
      <c r="EK148" s="136" t="str">
        <f>IF(AG150=23,G148,"")</f>
        <v/>
      </c>
      <c r="EL148" s="136" t="str">
        <f>IF(AG150=24,G148,"")</f>
        <v/>
      </c>
      <c r="EM148" s="136" t="str">
        <f>IF(AG150=25,G148,"")</f>
        <v/>
      </c>
      <c r="EN148" s="136" t="str">
        <f>IF(AG150=26,G148,"")</f>
        <v/>
      </c>
      <c r="EO148" s="136" t="str">
        <f>IF(AG150=27,G148,"")</f>
        <v/>
      </c>
      <c r="EP148" s="136" t="str">
        <f>IF(AG150=28,G148,"")</f>
        <v/>
      </c>
      <c r="EQ148" s="136" t="str">
        <f>IF(AG150=29,G148,"")</f>
        <v/>
      </c>
      <c r="ER148" s="136" t="str">
        <f>IF(AG150=30,G148,"")</f>
        <v/>
      </c>
      <c r="ES148" s="136" t="str">
        <f>IF(AG150=31,G148,"")</f>
        <v/>
      </c>
      <c r="ET148" s="136" t="str">
        <f>IF(AG150=32,G148,"")</f>
        <v/>
      </c>
      <c r="EU148" s="136">
        <f>IF(AG150=33,G148,"")</f>
        <v>1000</v>
      </c>
      <c r="EV148" s="136" t="str">
        <f>IF(AG150=34,G148,"")</f>
        <v/>
      </c>
      <c r="EW148" s="136" t="str">
        <f>IF(AG150=35,G148,"")</f>
        <v/>
      </c>
      <c r="EX148" s="136" t="str">
        <f>IF(AG150=36,G148,"")</f>
        <v/>
      </c>
      <c r="EY148" s="136" t="str">
        <f>IF(AG150=37,G148,"")</f>
        <v/>
      </c>
      <c r="EZ148" s="136" t="str">
        <f>IF(AG150=38,G148,"")</f>
        <v/>
      </c>
      <c r="FA148" s="136" t="str">
        <f>IF(AG150=39,G148,"")</f>
        <v/>
      </c>
      <c r="FB148" s="136" t="str">
        <f>IF(AG150=40,G148,"")</f>
        <v/>
      </c>
      <c r="FC148" s="136" t="str">
        <f>IF(AG150=41,G148,"")</f>
        <v/>
      </c>
      <c r="FD148" s="136" t="str">
        <f>IF(AG150=42,G148,"")</f>
        <v/>
      </c>
      <c r="FE148" s="136" t="str">
        <f>IF(AG150=43,G148,"")</f>
        <v/>
      </c>
      <c r="FF148" s="136" t="str">
        <f>IF(AG150=44,G148,"")</f>
        <v/>
      </c>
      <c r="FG148" s="136" t="str">
        <f>IF(AG150=45,G148,"")</f>
        <v/>
      </c>
      <c r="FH148" s="136" t="str">
        <f>IF(AG150=46,G148,"")</f>
        <v/>
      </c>
      <c r="FI148" s="136" t="str">
        <f>IF(AG150=47,G148,"")</f>
        <v/>
      </c>
      <c r="FJ148" s="136" t="str">
        <f>IF(AG150=48,G148,"")</f>
        <v/>
      </c>
      <c r="FK148" s="136" t="str">
        <f>IF(AG150=49,G148,"")</f>
        <v/>
      </c>
      <c r="FL148" s="136" t="str">
        <f>IF(AG150=50,G148,"")</f>
        <v/>
      </c>
      <c r="FM148" s="136" t="str">
        <f>IF(AG150=51,G148,"")</f>
        <v/>
      </c>
      <c r="FN148" s="136" t="str">
        <f>IF(AG150=52,G148,"")</f>
        <v/>
      </c>
      <c r="FO148" s="136" t="str">
        <f>IF(AG150=53,G148,"")</f>
        <v/>
      </c>
      <c r="FP148" s="136" t="str">
        <f>IF(AG150=54,G148,"")</f>
        <v/>
      </c>
      <c r="FQ148" s="136" t="str">
        <f>IF(AG150=55,G148,"")</f>
        <v/>
      </c>
      <c r="FR148" s="412" t="str">
        <f>IF(AG150=56,G148,"")</f>
        <v/>
      </c>
      <c r="FS148" s="412" t="str">
        <f>IF(AG150=57,G148,"")</f>
        <v/>
      </c>
      <c r="FT148" s="412" t="str">
        <f>IF(AG150=58,G148,"")</f>
        <v/>
      </c>
      <c r="FU148" s="412" t="str">
        <f>IF(AG150=59,G148,"")</f>
        <v/>
      </c>
      <c r="FV148" s="412" t="str">
        <f>IF(AG150=60,G148,"")</f>
        <v/>
      </c>
      <c r="FW148" s="412" t="str">
        <f>IF(AG150=61,G148,"")</f>
        <v/>
      </c>
      <c r="FX148" s="412" t="str">
        <f>IF(AG150=62,G148,"")</f>
        <v/>
      </c>
      <c r="FY148" s="412" t="str">
        <f>IF(AG150=63,G148,"")</f>
        <v/>
      </c>
      <c r="FZ148" s="412" t="str">
        <f>IF(AG150=64,G148,"")</f>
        <v/>
      </c>
      <c r="GA148" s="412" t="str">
        <f>IF(AG150=65,G148,"")</f>
        <v/>
      </c>
      <c r="GB148" s="412" t="str">
        <f>IF(AG150=66,G148,"")</f>
        <v/>
      </c>
      <c r="GC148" s="412" t="str">
        <f>IF(AG150=67,G148,"")</f>
        <v/>
      </c>
      <c r="GD148" s="412" t="str">
        <f>IF(AG150=68,G148,"")</f>
        <v/>
      </c>
      <c r="GE148" s="412" t="str">
        <f>IF(AG150=69,G148,"")</f>
        <v/>
      </c>
      <c r="GF148" s="412" t="str">
        <f>IF(AG150=70,G148,"")</f>
        <v/>
      </c>
      <c r="GG148" s="412" t="str">
        <f>IF(AG150=71,G148,"")</f>
        <v/>
      </c>
      <c r="GH148" s="412" t="str">
        <f>IF(AG150=72,G148,"")</f>
        <v/>
      </c>
      <c r="GI148" s="412" t="str">
        <f>IF(AG150=73,G148,"")</f>
        <v/>
      </c>
      <c r="GJ148" s="412" t="str">
        <f>IF(AG150=74,G148,"")</f>
        <v/>
      </c>
      <c r="GK148" s="412" t="str">
        <f>IF(AG150=75,G148,"")</f>
        <v/>
      </c>
      <c r="GL148" s="412" t="str">
        <f>IF(AG150=76,G148,"")</f>
        <v/>
      </c>
      <c r="GM148" s="412" t="str">
        <f>IF(AG150=77,G148,"")</f>
        <v/>
      </c>
      <c r="GN148" s="412" t="str">
        <f>IF(AG150=78,G148,"")</f>
        <v/>
      </c>
      <c r="GO148" s="412" t="str">
        <f>IF(AG150=79,G148,"")</f>
        <v/>
      </c>
      <c r="GP148" s="412" t="str">
        <f>IF(AG150=80,G148,"")</f>
        <v/>
      </c>
      <c r="GQ148" s="412" t="str">
        <f>IF(AG150=81,G148,"")</f>
        <v/>
      </c>
      <c r="GR148" s="412" t="str">
        <f>IF(AG150=82,G148,"")</f>
        <v/>
      </c>
      <c r="GS148" s="412" t="str">
        <f>IF(AG150=83,G148,"")</f>
        <v/>
      </c>
      <c r="GT148" s="412" t="str">
        <f>IF(AG150=84,G148,"")</f>
        <v/>
      </c>
      <c r="GU148" s="412"/>
      <c r="GV148" s="412"/>
      <c r="GW148" s="412"/>
      <c r="GX148" s="412"/>
      <c r="GY148" s="412"/>
      <c r="GZ148" s="412"/>
      <c r="HA148" s="412"/>
      <c r="HB148" s="412"/>
      <c r="HC148" s="412"/>
      <c r="HD148" s="412"/>
      <c r="HE148" s="412"/>
      <c r="HF148" s="412"/>
      <c r="HG148" s="412"/>
      <c r="HH148" s="412"/>
      <c r="HI148" s="412"/>
      <c r="HJ148" s="412"/>
      <c r="HK148" s="412"/>
      <c r="HL148" s="412"/>
      <c r="HM148" s="412"/>
      <c r="HN148" s="412"/>
      <c r="HO148" s="412"/>
      <c r="HP148" s="412"/>
      <c r="HQ148" s="412"/>
      <c r="HR148" s="412"/>
      <c r="HS148" s="412"/>
      <c r="HT148" s="412"/>
      <c r="HU148" s="278">
        <f ca="1">IF(AF150=1,AB148,"")</f>
        <v>1040.6009987971906</v>
      </c>
      <c r="HV148" s="277" t="str">
        <f>IF(AF150=2,AB148,"")</f>
        <v/>
      </c>
      <c r="HW148" s="277" t="str">
        <f>IF(AF150=3,AB148,"")</f>
        <v/>
      </c>
      <c r="HX148" s="277" t="str">
        <f>IF(AF150=4,AB148,"")</f>
        <v/>
      </c>
      <c r="HY148" s="277" t="str">
        <f>IF(AF150=5,AB148,"")</f>
        <v/>
      </c>
      <c r="HZ148" s="277" t="str">
        <f>IF(AF150=6,AB148,"")</f>
        <v/>
      </c>
      <c r="IA148" s="277" t="str">
        <f>IF(AF150=7,AB148,"")</f>
        <v/>
      </c>
      <c r="IB148" s="277" t="str">
        <f>IF(AF150=8,AB148,"")</f>
        <v/>
      </c>
      <c r="IC148" s="277" t="str">
        <f>IF(AF150=9,AB148,"")</f>
        <v/>
      </c>
      <c r="ID148" s="412" t="str">
        <f>IF(AF150=10,AB148,"")</f>
        <v/>
      </c>
      <c r="IE148" s="223" t="str">
        <f>IF(AF150=11,AB148,"")</f>
        <v/>
      </c>
      <c r="IF148" s="223" t="str">
        <f>IF(AF150=12,AB148,"")</f>
        <v/>
      </c>
      <c r="IG148" s="223" t="str">
        <f>IF(AF150=13,AB148,"")</f>
        <v/>
      </c>
      <c r="IH148" s="223" t="str">
        <f>IF(AF150=14,AB148,"")</f>
        <v/>
      </c>
      <c r="II148" s="223" t="str">
        <f>IF(AF150=15,AB148,"")</f>
        <v/>
      </c>
      <c r="IJ148" s="223" t="str">
        <f>IF(AF150=16,AB148,"")</f>
        <v/>
      </c>
      <c r="IK148" s="223" t="str">
        <f>IF(AF150=17,AB148,"")</f>
        <v/>
      </c>
      <c r="IL148" s="223" t="str">
        <f>IF(AF150=18,AB148,"")</f>
        <v/>
      </c>
      <c r="IM148" s="223" t="str">
        <f>IF(AF150=19,AB148,"")</f>
        <v/>
      </c>
      <c r="IN148" s="223" t="str">
        <f>IF(AF150=20,AB148,"")</f>
        <v/>
      </c>
      <c r="IO148" s="223" t="str">
        <f>IF(AF150=21,AB148,"")</f>
        <v/>
      </c>
      <c r="IP148" s="413"/>
      <c r="IQ148" s="478" t="str">
        <f>IF(G153=6,G148,"")</f>
        <v/>
      </c>
      <c r="IR148" s="317" t="str">
        <f>IF(G153=7,G148,"")</f>
        <v/>
      </c>
      <c r="IS148" s="478" t="str">
        <f>IF(G153=8,G148,"")</f>
        <v/>
      </c>
      <c r="IT148" s="317" t="str">
        <f>IF(G153=9,G148,"")</f>
        <v/>
      </c>
      <c r="IU148" s="478" t="str">
        <f>IF(G153=10,G148,"")</f>
        <v/>
      </c>
      <c r="IV148" s="478" t="str">
        <f>IF(G153=11,G148,"")</f>
        <v/>
      </c>
      <c r="IW148" s="478" t="str">
        <f>IF(G153=12,G148,"")</f>
        <v/>
      </c>
      <c r="IX148" s="478" t="str">
        <f>IF(G153=13,G148,"")</f>
        <v/>
      </c>
      <c r="IY148" s="478" t="str">
        <f>IF(G153=14,G148,"")</f>
        <v/>
      </c>
      <c r="IZ148" s="478" t="str">
        <f>IF(G153=15,G148,"")</f>
        <v/>
      </c>
      <c r="JA148" s="478" t="str">
        <f>IF(G153=16,G148,"")</f>
        <v/>
      </c>
      <c r="JB148" s="478" t="str">
        <f>IF(G153=17,G148,"")</f>
        <v/>
      </c>
      <c r="JC148" s="478" t="str">
        <f>IF(G153=18,G148,"")</f>
        <v/>
      </c>
      <c r="JD148" s="478" t="str">
        <f>IF(G153=19,G148,"")</f>
        <v/>
      </c>
      <c r="JE148" s="478" t="str">
        <f>IF(G153=20,G148,"")</f>
        <v/>
      </c>
      <c r="JF148" s="478" t="str">
        <f>IF(G153=21,G148,"")</f>
        <v/>
      </c>
      <c r="JG148" s="478" t="str">
        <f>IF(G153=22,G148,"")</f>
        <v/>
      </c>
      <c r="JH148" s="478">
        <f>IF(G153=23,G148,"")</f>
        <v>1000</v>
      </c>
      <c r="JI148" s="478" t="str">
        <f>IF(G153=24,G148,"")</f>
        <v/>
      </c>
      <c r="JJ148" s="478" t="str">
        <f>IF(G153=25,G148,"")</f>
        <v/>
      </c>
      <c r="JK148" s="478" t="str">
        <f>IF(G153=26,G148,"")</f>
        <v/>
      </c>
      <c r="JL148" s="478" t="str">
        <f>IF(G153=27,G148,"")</f>
        <v/>
      </c>
      <c r="JM148" s="478" t="str">
        <f>IF(G153=28,G148,"")</f>
        <v/>
      </c>
      <c r="JN148" s="478" t="str">
        <f>IF(G153=29,G148,"")</f>
        <v/>
      </c>
      <c r="JO148" s="478" t="str">
        <f>IF(G153=30,G148,"")</f>
        <v/>
      </c>
      <c r="JP148" s="478"/>
      <c r="JQ148" s="481">
        <f>IF(AND(AJ152=4,K153=1,G153&lt;=3),G148,0)</f>
        <v>0</v>
      </c>
      <c r="JR148" s="445" t="str">
        <f>IF(AF150=2,G148*E149,"")</f>
        <v/>
      </c>
      <c r="JS148" s="445"/>
      <c r="JT148" s="480" t="str">
        <f>IF(AF150&gt;1,((A149/F149)-(A149/E149)),"")</f>
        <v/>
      </c>
      <c r="JU148" s="479" t="str">
        <f>IF(AF150=2,((A149/F149)-(A149/E149)),"")</f>
        <v/>
      </c>
      <c r="JV148" s="479" t="str">
        <f>IF(AF150=3,((A149/F149)-(A149/E149)),"")</f>
        <v/>
      </c>
      <c r="JW148" s="479" t="str">
        <f>IF(AF150=4,((A149/F149)-(A149/E149)),"")</f>
        <v/>
      </c>
      <c r="JX148" s="479" t="str">
        <f>IF(AF150=5,((A149/F149)-(A149/E149)),"")</f>
        <v/>
      </c>
      <c r="JY148" s="479" t="str">
        <f>IF(AF150=6,((A149/F149)-(A149/E149)),"")</f>
        <v/>
      </c>
      <c r="JZ148" s="479" t="str">
        <f>IF(AF150=7,((A149/F149)-(A149/E149)),"")</f>
        <v/>
      </c>
      <c r="KA148" s="478" t="str">
        <f>IF(AF150=8,((A149/F149)-(A149/E149)),"")</f>
        <v/>
      </c>
      <c r="KB148" s="478" t="str">
        <f>IF(AF150=9,((A149/F149)-(A149/E149)),"")</f>
        <v/>
      </c>
      <c r="KC148" s="478" t="str">
        <f>IF(AF150=10,((A149/F149)-(A149/E149)),"")</f>
        <v/>
      </c>
      <c r="KD148" s="478" t="str">
        <f>IF(AF150=11,((A149/F149)-(A149/E149)),"")</f>
        <v/>
      </c>
      <c r="KE148" s="478" t="str">
        <f>IF(AF150=12,((A149/F149)-(A149/E149)),"")</f>
        <v/>
      </c>
      <c r="KF148" s="478" t="str">
        <f>IF(AF150=13,((A149/F149)-(A149/E149)),"")</f>
        <v/>
      </c>
      <c r="KG148" s="478" t="str">
        <f>IF(AF150=14,((A149/F149)-(A149/E149)),"")</f>
        <v/>
      </c>
      <c r="KH148" s="478" t="str">
        <f>IF(AF150=15,((A149/F149)-(A149/E149)),"")</f>
        <v/>
      </c>
      <c r="KI148" s="478" t="str">
        <f>IF(AF150=16,((A149/F149)-(A149/E149)),"")</f>
        <v/>
      </c>
      <c r="KJ148" s="478" t="str">
        <f>IF(AF150=17,((A149/F149)-(A149/E149)),"")</f>
        <v/>
      </c>
      <c r="KK148" s="478" t="str">
        <f>IF(AF150=18,((A149/F149)-(A149/E149)),"")</f>
        <v/>
      </c>
      <c r="KL148" s="478" t="str">
        <f>IF(AF150=19,((A149/F149)-(A149/E149)),"")</f>
        <v/>
      </c>
      <c r="KM148" s="478" t="str">
        <f>IF(AF150=20,((A149/F149)-(A149/E149)),"")</f>
        <v/>
      </c>
      <c r="KN148" s="478"/>
      <c r="KO148" s="478"/>
      <c r="KP148" s="478"/>
    </row>
    <row r="149" spans="1:302" s="6" customFormat="1" ht="11.1" customHeight="1">
      <c r="A149" s="740"/>
      <c r="B149" s="598" t="s">
        <v>507</v>
      </c>
      <c r="C149" s="56"/>
      <c r="D149" s="828">
        <f>IF(WEEKDAY(D148,2)=4,D148+4,IF(WEEKDAY(D148,2)=5,D148+4,D148+2))</f>
        <v>45561</v>
      </c>
      <c r="E149" s="765"/>
      <c r="F149" s="22"/>
      <c r="G149" s="56"/>
      <c r="H149" s="56"/>
      <c r="I149" s="385"/>
      <c r="J149" s="56"/>
      <c r="K149" s="585"/>
      <c r="L149" s="722"/>
      <c r="M149" s="720"/>
      <c r="N149" s="720"/>
      <c r="O149" s="223"/>
      <c r="P149" s="276">
        <v>98.98</v>
      </c>
      <c r="Q149" s="280"/>
      <c r="R149" s="280"/>
      <c r="S149" s="4"/>
      <c r="T149" s="431"/>
      <c r="U149" s="469"/>
      <c r="V149" s="4"/>
      <c r="W149" s="469"/>
      <c r="X149" s="442"/>
      <c r="Y149" s="456"/>
      <c r="Z149" s="456"/>
      <c r="AA149" s="22"/>
      <c r="AB149" s="360"/>
      <c r="AC149" s="431"/>
      <c r="AD149" s="825">
        <f>IF(E149="",((P148-E148)/E148),((P148-E148)/E148)+(((1/F149)-(1/E149))/(1/E149)))</f>
        <v>3.42044193320553E-2</v>
      </c>
      <c r="AE149" s="431"/>
      <c r="AF149" s="279" t="s">
        <v>65</v>
      </c>
      <c r="AG149" s="824"/>
      <c r="AH149" s="993" t="s">
        <v>177</v>
      </c>
      <c r="AI149" s="564"/>
      <c r="AJ149" s="954"/>
      <c r="AK149" s="960"/>
      <c r="AL149" s="385">
        <v>100</v>
      </c>
      <c r="AM149" s="472" t="s">
        <v>176</v>
      </c>
      <c r="AN149" s="179">
        <f>AV$6</f>
        <v>3.5</v>
      </c>
      <c r="AO149" s="179">
        <f>IF(B153=2,"0",AO148*-(100-F152)/100)</f>
        <v>-201.35440000000003</v>
      </c>
      <c r="AP149" s="463">
        <f>IF(AP150&lt;0,0,AP150*-(100-F152)/100)</f>
        <v>0</v>
      </c>
      <c r="AQ149" s="179"/>
      <c r="AR149" s="179">
        <f>AR152*-(100-F153)/100</f>
        <v>-10.66</v>
      </c>
      <c r="AS149" s="471">
        <f>-AP148+AS152+(F148/365*AN152*F153/100)*G148</f>
        <v>-266.42301400000036</v>
      </c>
      <c r="AT149" s="419"/>
      <c r="AU149" s="420"/>
      <c r="AV149" s="223"/>
      <c r="AW149" s="420"/>
      <c r="AX149" s="417"/>
      <c r="AY149" s="420"/>
      <c r="AZ149" s="223"/>
      <c r="BA149" s="419"/>
      <c r="BB149" s="223"/>
      <c r="BC149" s="223"/>
      <c r="BD149" s="223"/>
      <c r="BE149" s="223"/>
      <c r="BF149" s="416"/>
      <c r="BG149" s="418"/>
      <c r="BH149" s="416"/>
      <c r="BI149" s="416"/>
      <c r="BJ149" s="416"/>
      <c r="BK149" s="418"/>
      <c r="BL149" s="417"/>
      <c r="BM149" s="417"/>
      <c r="BN149" s="417"/>
      <c r="BO149" s="417"/>
      <c r="BP149" s="417"/>
      <c r="BQ149" s="417"/>
      <c r="BR149" s="417"/>
      <c r="BS149" s="417"/>
      <c r="BT149" s="412"/>
      <c r="BU149" s="412"/>
      <c r="BV149" s="412"/>
      <c r="BW149" s="412"/>
      <c r="BX149" s="415"/>
      <c r="BY149" s="389"/>
      <c r="BZ149" s="389"/>
      <c r="CA149" s="389"/>
      <c r="CB149" s="389"/>
      <c r="CC149" s="389"/>
      <c r="CD149" s="389"/>
      <c r="CE149" s="389"/>
      <c r="CF149" s="389"/>
      <c r="CG149" s="389"/>
      <c r="CH149" s="389"/>
      <c r="CI149" s="389"/>
      <c r="CJ149" s="389"/>
      <c r="CK149" s="389"/>
      <c r="CL149" s="389"/>
      <c r="CM149" s="389"/>
      <c r="CN149" s="389"/>
      <c r="CO149" s="389"/>
      <c r="CP149" s="389"/>
      <c r="CQ149" s="389"/>
      <c r="CR149" s="389"/>
      <c r="CS149" s="415"/>
      <c r="CT149" s="389"/>
      <c r="CU149" s="389"/>
      <c r="CV149" s="389"/>
      <c r="CW149" s="389"/>
      <c r="CX149" s="389"/>
      <c r="CY149" s="389"/>
      <c r="CZ149" s="389"/>
      <c r="DA149" s="389"/>
      <c r="DB149" s="389"/>
      <c r="DC149" s="389"/>
      <c r="DD149" s="389"/>
      <c r="DE149" s="389"/>
      <c r="DF149" s="389"/>
      <c r="DG149" s="389"/>
      <c r="DH149" s="389"/>
      <c r="DI149" s="389"/>
      <c r="DJ149" s="389"/>
      <c r="DK149" s="389"/>
      <c r="DL149" s="389"/>
      <c r="DM149" s="389"/>
      <c r="DN149" s="389"/>
      <c r="DO149" s="414"/>
      <c r="DP149" s="39"/>
      <c r="DQ149" s="39"/>
      <c r="DR149" s="39"/>
      <c r="DS149" s="39"/>
      <c r="DT149" s="39"/>
      <c r="DU149" s="39"/>
      <c r="DV149" s="39"/>
      <c r="DW149" s="39"/>
      <c r="DX149" s="39"/>
      <c r="DY149" s="39"/>
      <c r="DZ149" s="39"/>
      <c r="EA149" s="39"/>
      <c r="EB149" s="39"/>
      <c r="EC149" s="39"/>
      <c r="ED149" s="136"/>
      <c r="EE149" s="136"/>
      <c r="EF149" s="136"/>
      <c r="EG149" s="136"/>
      <c r="EH149" s="136"/>
      <c r="EI149" s="136"/>
      <c r="EJ149" s="136"/>
      <c r="EK149" s="136"/>
      <c r="EL149" s="136"/>
      <c r="EM149" s="136"/>
      <c r="EN149" s="136"/>
      <c r="EO149" s="136"/>
      <c r="EP149" s="136"/>
      <c r="EQ149" s="136"/>
      <c r="ER149" s="136"/>
      <c r="ES149" s="136"/>
      <c r="ET149" s="136"/>
      <c r="EU149" s="136"/>
      <c r="EV149" s="136"/>
      <c r="EW149" s="136"/>
      <c r="EX149" s="136"/>
      <c r="EY149" s="136"/>
      <c r="EZ149" s="136"/>
      <c r="FA149" s="136"/>
      <c r="FB149" s="136"/>
      <c r="FC149" s="136"/>
      <c r="FD149" s="136"/>
      <c r="FE149" s="136"/>
      <c r="FF149" s="136"/>
      <c r="FG149" s="136"/>
      <c r="FH149" s="136"/>
      <c r="FI149" s="136"/>
      <c r="FJ149" s="136"/>
      <c r="FK149" s="136"/>
      <c r="FL149" s="136"/>
      <c r="FM149" s="136"/>
      <c r="FN149" s="136"/>
      <c r="FO149" s="39"/>
      <c r="FP149" s="39"/>
      <c r="FQ149" s="39"/>
      <c r="FR149" s="412"/>
      <c r="FS149" s="412"/>
      <c r="FT149" s="412"/>
      <c r="FU149" s="412"/>
      <c r="FV149" s="412"/>
      <c r="FW149" s="412"/>
      <c r="FX149" s="412"/>
      <c r="FY149" s="412"/>
      <c r="FZ149" s="412"/>
      <c r="GA149" s="412"/>
      <c r="GB149" s="412"/>
      <c r="GC149" s="412"/>
      <c r="GD149" s="412"/>
      <c r="GE149" s="412"/>
      <c r="GF149" s="412"/>
      <c r="GG149" s="412"/>
      <c r="GH149" s="412"/>
      <c r="GI149" s="412"/>
      <c r="GJ149" s="412"/>
      <c r="GK149" s="412"/>
      <c r="GL149" s="412"/>
      <c r="GM149" s="412"/>
      <c r="GN149" s="412"/>
      <c r="GO149" s="278"/>
      <c r="GP149" s="277"/>
      <c r="GQ149" s="277"/>
      <c r="GR149" s="277"/>
      <c r="GS149" s="277"/>
      <c r="GT149" s="277"/>
      <c r="GU149" s="277"/>
      <c r="GV149" s="277"/>
      <c r="GW149" s="277"/>
      <c r="GX149" s="412"/>
      <c r="GY149" s="412"/>
      <c r="GZ149" s="412"/>
      <c r="HA149" s="412"/>
      <c r="HB149" s="412"/>
      <c r="HC149" s="412"/>
      <c r="HD149" s="412"/>
      <c r="HE149" s="412"/>
      <c r="HF149" s="412"/>
      <c r="HG149" s="412"/>
      <c r="HH149" s="412"/>
      <c r="HI149" s="412"/>
      <c r="HJ149" s="412"/>
      <c r="HK149" s="412"/>
      <c r="HL149" s="412"/>
      <c r="HM149" s="412"/>
      <c r="HN149" s="412"/>
      <c r="HO149" s="412"/>
      <c r="HP149" s="412"/>
      <c r="HQ149" s="412"/>
      <c r="HR149" s="412"/>
      <c r="HS149" s="412"/>
      <c r="HT149" s="412"/>
      <c r="HU149" s="412"/>
      <c r="HV149" s="412"/>
      <c r="HW149" s="413"/>
      <c r="HX149" s="412"/>
      <c r="HY149" s="389"/>
      <c r="HZ149" s="389"/>
      <c r="IA149" s="389"/>
      <c r="IB149" s="389"/>
      <c r="IC149" s="389"/>
      <c r="ID149" s="389"/>
      <c r="IE149" s="389"/>
      <c r="IF149" s="389"/>
      <c r="IG149" s="389"/>
      <c r="IH149" s="389"/>
      <c r="II149" s="389"/>
      <c r="IJ149" s="389"/>
      <c r="IK149" s="389"/>
      <c r="IL149" s="389"/>
      <c r="IM149" s="389"/>
      <c r="IN149" s="389"/>
      <c r="IO149" s="389"/>
      <c r="IP149" s="389"/>
      <c r="IQ149" s="389"/>
      <c r="IR149" s="389"/>
      <c r="IS149" s="389"/>
      <c r="IT149" s="389"/>
      <c r="IU149" s="389"/>
      <c r="IV149" s="389"/>
      <c r="IW149" s="389"/>
      <c r="IX149" s="389"/>
      <c r="IY149" s="389"/>
      <c r="IZ149" s="389"/>
      <c r="JA149" s="389"/>
      <c r="JB149" s="389"/>
      <c r="JC149" s="389"/>
      <c r="JD149" s="389"/>
      <c r="JE149" s="389"/>
      <c r="JF149" s="389"/>
      <c r="JG149" s="389"/>
      <c r="JH149" s="389"/>
      <c r="JI149" s="389"/>
      <c r="JJ149" s="389"/>
      <c r="JK149" s="389"/>
      <c r="JL149" s="389"/>
      <c r="JM149" s="389"/>
      <c r="JN149" s="389"/>
      <c r="JO149" s="389"/>
      <c r="JP149" s="389"/>
      <c r="JQ149" s="389"/>
      <c r="JR149" s="389"/>
      <c r="JS149" s="389"/>
      <c r="JT149" s="389"/>
      <c r="JU149" s="389"/>
      <c r="JV149" s="389"/>
      <c r="JW149" s="389"/>
      <c r="JX149" s="389"/>
      <c r="JY149" s="389"/>
      <c r="JZ149" s="389"/>
      <c r="KA149" s="389"/>
      <c r="KB149" s="389"/>
      <c r="KC149" s="389"/>
      <c r="KD149" s="389"/>
      <c r="KE149" s="389"/>
      <c r="KF149" s="389"/>
      <c r="KG149" s="389"/>
      <c r="KH149" s="389"/>
      <c r="KI149" s="389"/>
      <c r="KJ149" s="389"/>
      <c r="KK149" s="389"/>
      <c r="KL149" s="389"/>
      <c r="KM149" s="389"/>
      <c r="KN149" s="389"/>
      <c r="KO149" s="389"/>
      <c r="KP149" s="389"/>
    </row>
    <row r="150" spans="1:302" s="6" customFormat="1" ht="11.1" hidden="1" customHeight="1" outlineLevel="1">
      <c r="A150" s="232"/>
      <c r="B150" s="468">
        <f>VLOOKUP(B148,'[2]IBAN CONTI'!A$53:B$58,2,FALSE)</f>
        <v>3</v>
      </c>
      <c r="C150" s="973"/>
      <c r="D150" s="536"/>
      <c r="E150" s="766">
        <f ca="1">IF(B153=2,C148,COUPNCD($AB$2,C148,K150,AH152))</f>
        <v>45785</v>
      </c>
      <c r="F150" s="22"/>
      <c r="G150" s="56"/>
      <c r="H150" s="56"/>
      <c r="I150" s="385"/>
      <c r="J150" s="56"/>
      <c r="K150" s="67">
        <v>1</v>
      </c>
      <c r="L150" s="833"/>
      <c r="M150" s="720"/>
      <c r="N150" s="720"/>
      <c r="O150" s="223"/>
      <c r="Q150" s="280"/>
      <c r="R150" s="280"/>
      <c r="S150" s="4"/>
      <c r="T150" s="431"/>
      <c r="U150" s="469"/>
      <c r="V150" s="4"/>
      <c r="W150" s="469"/>
      <c r="X150" s="442"/>
      <c r="Y150" s="456"/>
      <c r="Z150" s="456"/>
      <c r="AA150" s="22"/>
      <c r="AB150" s="979"/>
      <c r="AC150" s="56"/>
      <c r="AD150" s="219"/>
      <c r="AE150" s="56"/>
      <c r="AF150" s="468">
        <f>VLOOKUP(AF149,'[2]IBAN CONTI'!A$106:B$122,2,FALSE)</f>
        <v>1</v>
      </c>
      <c r="AG150" s="467">
        <f>VLOOKUP(A148,'[2]IBAN CONTI'!A$134:B$211,2,FALSE)</f>
        <v>33</v>
      </c>
      <c r="AH150" s="993"/>
      <c r="AI150" s="580"/>
      <c r="AJ150" s="1035" t="s">
        <v>428</v>
      </c>
      <c r="AK150" s="1036"/>
      <c r="AL150" s="22">
        <v>100</v>
      </c>
      <c r="AM150" s="579">
        <f>YEARFRAC(C148,AL148,AH152)</f>
        <v>9.9925335988053767</v>
      </c>
      <c r="AN150" s="456">
        <f>IF(B153=2,0,D149-AL148)</f>
        <v>139</v>
      </c>
      <c r="AO150" s="464">
        <f>IF(B153=2,AL149*(1+AM153)^AM152,AO151+AL149)</f>
        <v>100</v>
      </c>
      <c r="AP150" s="463">
        <f>IF(AF150=1,G148*AO151/100,A149/E149/100*AO151)</f>
        <v>0</v>
      </c>
      <c r="AQ150" s="221"/>
      <c r="AR150" s="179">
        <f>AL153*G148/100</f>
        <v>1000</v>
      </c>
      <c r="AS150" s="462">
        <f>(AR153-AP153)*G148/100</f>
        <v>4.4089000000001022</v>
      </c>
      <c r="AT150" s="419"/>
      <c r="AU150" s="420"/>
      <c r="AV150" s="223"/>
      <c r="AW150" s="420"/>
      <c r="AX150" s="417"/>
      <c r="AY150" s="420"/>
      <c r="AZ150" s="223"/>
      <c r="BA150" s="419"/>
      <c r="BB150" s="223"/>
      <c r="BC150" s="223"/>
      <c r="BD150" s="223"/>
      <c r="BE150" s="223"/>
      <c r="BF150" s="416"/>
      <c r="BG150" s="418"/>
      <c r="BH150" s="416"/>
      <c r="BI150" s="416"/>
      <c r="BJ150" s="416"/>
      <c r="BK150" s="418"/>
      <c r="BL150" s="417"/>
      <c r="BM150" s="416"/>
      <c r="BN150" s="416"/>
      <c r="BO150" s="416"/>
      <c r="BP150" s="416"/>
      <c r="BQ150" s="416"/>
      <c r="BR150" s="416"/>
      <c r="BS150" s="416"/>
      <c r="BT150" s="389"/>
      <c r="BU150" s="389"/>
      <c r="BV150" s="389"/>
      <c r="BW150" s="389"/>
      <c r="BX150" s="415"/>
      <c r="BY150" s="389"/>
      <c r="BZ150" s="389"/>
      <c r="CA150" s="389"/>
      <c r="CB150" s="389"/>
      <c r="CC150" s="389"/>
      <c r="CD150" s="389"/>
      <c r="CE150" s="389"/>
      <c r="CF150" s="389"/>
      <c r="CG150" s="389"/>
      <c r="CH150" s="389"/>
      <c r="CI150" s="389"/>
      <c r="CJ150" s="389"/>
      <c r="CK150" s="389"/>
      <c r="CL150" s="389"/>
      <c r="CM150" s="389"/>
      <c r="CN150" s="389"/>
      <c r="CO150" s="389"/>
      <c r="CP150" s="389"/>
      <c r="CQ150" s="389"/>
      <c r="CR150" s="389"/>
      <c r="CS150" s="415"/>
      <c r="CT150" s="389"/>
      <c r="CU150" s="389"/>
      <c r="CV150" s="389"/>
      <c r="CW150" s="389"/>
      <c r="CX150" s="389"/>
      <c r="CY150" s="389"/>
      <c r="CZ150" s="389"/>
      <c r="DA150" s="389"/>
      <c r="DB150" s="389"/>
      <c r="DC150" s="389"/>
      <c r="DD150" s="389"/>
      <c r="DE150" s="389"/>
      <c r="DF150" s="389"/>
      <c r="DG150" s="389"/>
      <c r="DH150" s="389"/>
      <c r="DI150" s="389"/>
      <c r="DJ150" s="389"/>
      <c r="DK150" s="389"/>
      <c r="DL150" s="389"/>
      <c r="DM150" s="389"/>
      <c r="DN150" s="389"/>
      <c r="DO150" s="414"/>
      <c r="DP150" s="39"/>
      <c r="DQ150" s="39"/>
      <c r="DR150" s="39"/>
      <c r="DS150" s="39"/>
      <c r="DT150" s="39"/>
      <c r="DU150" s="39"/>
      <c r="DV150" s="39"/>
      <c r="DW150" s="39"/>
      <c r="DX150" s="39"/>
      <c r="DY150" s="39"/>
      <c r="DZ150" s="39"/>
      <c r="EA150" s="39"/>
      <c r="EB150" s="39"/>
      <c r="EC150" s="39"/>
      <c r="ED150" s="136"/>
      <c r="EE150" s="136"/>
      <c r="EF150" s="136"/>
      <c r="EG150" s="136"/>
      <c r="EH150" s="136"/>
      <c r="EI150" s="136"/>
      <c r="EJ150" s="136"/>
      <c r="EK150" s="136"/>
      <c r="EL150" s="136"/>
      <c r="EM150" s="136"/>
      <c r="EN150" s="136"/>
      <c r="EO150" s="136"/>
      <c r="EP150" s="136"/>
      <c r="EQ150" s="136"/>
      <c r="ER150" s="136"/>
      <c r="ES150" s="136"/>
      <c r="ET150" s="136"/>
      <c r="EU150" s="136"/>
      <c r="EV150" s="136"/>
      <c r="EW150" s="136"/>
      <c r="EX150" s="136"/>
      <c r="EY150" s="136"/>
      <c r="EZ150" s="136"/>
      <c r="FA150" s="136"/>
      <c r="FB150" s="136"/>
      <c r="FC150" s="136"/>
      <c r="FD150" s="136"/>
      <c r="FE150" s="136"/>
      <c r="FF150" s="136"/>
      <c r="FG150" s="136"/>
      <c r="FH150" s="136"/>
      <c r="FI150" s="136"/>
      <c r="FJ150" s="136"/>
      <c r="FK150" s="136"/>
      <c r="FL150" s="136"/>
      <c r="FM150" s="136"/>
      <c r="FN150" s="136"/>
      <c r="FO150" s="39"/>
      <c r="FP150" s="39"/>
      <c r="FQ150" s="39"/>
      <c r="FR150" s="412"/>
      <c r="FS150" s="412"/>
      <c r="FT150" s="412"/>
      <c r="FU150" s="412"/>
      <c r="FV150" s="412"/>
      <c r="FW150" s="412"/>
      <c r="FX150" s="412"/>
      <c r="FY150" s="412"/>
      <c r="FZ150" s="412"/>
      <c r="GA150" s="412"/>
      <c r="GB150" s="412"/>
      <c r="GC150" s="412"/>
      <c r="GD150" s="412"/>
      <c r="GE150" s="412"/>
      <c r="GF150" s="412"/>
      <c r="GG150" s="412"/>
      <c r="GH150" s="412"/>
      <c r="GI150" s="412"/>
      <c r="GJ150" s="412"/>
      <c r="GK150" s="412"/>
      <c r="GL150" s="412"/>
      <c r="GM150" s="412"/>
      <c r="GN150" s="412"/>
      <c r="GO150" s="278"/>
      <c r="GP150" s="277"/>
      <c r="GQ150" s="277"/>
      <c r="GR150" s="277"/>
      <c r="GS150" s="277"/>
      <c r="GT150" s="277"/>
      <c r="GU150" s="277"/>
      <c r="GV150" s="277"/>
      <c r="GW150" s="277"/>
      <c r="GX150" s="412"/>
      <c r="GY150" s="412"/>
      <c r="GZ150" s="412"/>
      <c r="HA150" s="412"/>
      <c r="HB150" s="412"/>
      <c r="HC150" s="412"/>
      <c r="HD150" s="412"/>
      <c r="HE150" s="412"/>
      <c r="HF150" s="412"/>
      <c r="HG150" s="412"/>
      <c r="HH150" s="412"/>
      <c r="HI150" s="412"/>
      <c r="HJ150" s="412"/>
      <c r="HK150" s="412"/>
      <c r="HL150" s="412"/>
      <c r="HM150" s="412"/>
      <c r="HN150" s="412"/>
      <c r="HO150" s="412"/>
      <c r="HP150" s="412"/>
      <c r="HQ150" s="412"/>
      <c r="HR150" s="412"/>
      <c r="HS150" s="412"/>
      <c r="HT150" s="412"/>
      <c r="HU150" s="412"/>
      <c r="HV150" s="412"/>
      <c r="HW150" s="413"/>
      <c r="HX150" s="412"/>
      <c r="HY150" s="389"/>
      <c r="HZ150" s="389"/>
      <c r="IA150" s="389"/>
      <c r="IB150" s="389"/>
      <c r="IC150" s="389"/>
      <c r="ID150" s="389"/>
      <c r="IE150" s="389"/>
      <c r="IF150" s="389"/>
      <c r="IG150" s="389"/>
      <c r="IH150" s="389"/>
      <c r="II150" s="389"/>
      <c r="IJ150" s="389"/>
      <c r="IK150" s="389"/>
      <c r="IL150" s="389"/>
      <c r="IM150" s="389"/>
      <c r="IN150" s="389"/>
      <c r="IO150" s="389"/>
      <c r="IP150" s="389"/>
      <c r="IQ150" s="389"/>
      <c r="IR150" s="389"/>
      <c r="IS150" s="389"/>
      <c r="IT150" s="389"/>
      <c r="IU150" s="389"/>
      <c r="IV150" s="389"/>
      <c r="IW150" s="389"/>
      <c r="IX150" s="389"/>
      <c r="IY150" s="389"/>
      <c r="IZ150" s="389"/>
      <c r="JA150" s="389"/>
      <c r="JB150" s="389"/>
      <c r="JC150" s="389"/>
      <c r="JD150" s="389"/>
      <c r="JE150" s="389"/>
      <c r="JF150" s="389"/>
      <c r="JG150" s="389"/>
      <c r="JH150" s="389"/>
      <c r="JI150" s="389"/>
      <c r="JJ150" s="389"/>
      <c r="JK150" s="389"/>
      <c r="JL150" s="389"/>
      <c r="JM150" s="389"/>
      <c r="JN150" s="389"/>
      <c r="JO150" s="389"/>
      <c r="JP150" s="389"/>
      <c r="JQ150" s="389"/>
      <c r="JR150" s="389"/>
      <c r="JS150" s="389"/>
      <c r="JT150" s="389"/>
      <c r="JU150" s="389"/>
      <c r="JV150" s="389"/>
      <c r="JW150" s="389"/>
      <c r="JX150" s="389"/>
      <c r="JY150" s="389"/>
      <c r="JZ150" s="389"/>
      <c r="KA150" s="389"/>
      <c r="KB150" s="389"/>
      <c r="KC150" s="389"/>
      <c r="KD150" s="389"/>
      <c r="KE150" s="389"/>
      <c r="KF150" s="389"/>
      <c r="KG150" s="389"/>
      <c r="KH150" s="389"/>
      <c r="KI150" s="389"/>
      <c r="KJ150" s="389"/>
      <c r="KK150" s="389"/>
      <c r="KL150" s="389"/>
      <c r="KM150" s="389"/>
      <c r="KN150" s="389"/>
      <c r="KO150" s="389"/>
      <c r="KP150" s="389"/>
    </row>
    <row r="151" spans="1:302" s="6" customFormat="1" ht="11.1" hidden="1" customHeight="1" outlineLevel="1">
      <c r="A151" s="461">
        <v>1</v>
      </c>
      <c r="B151" s="990" t="s">
        <v>183</v>
      </c>
      <c r="C151" s="990"/>
      <c r="D151" s="452">
        <f>COUPPCD(D149,C148,K150,AH152)</f>
        <v>45420</v>
      </c>
      <c r="E151" s="767"/>
      <c r="F151" s="22"/>
      <c r="G151" s="1084">
        <v>2034</v>
      </c>
      <c r="H151" s="56"/>
      <c r="I151" s="385"/>
      <c r="J151" s="56"/>
      <c r="K151" s="987" t="s">
        <v>188</v>
      </c>
      <c r="L151" s="833"/>
      <c r="M151" s="720"/>
      <c r="N151" s="720"/>
      <c r="O151" s="223"/>
      <c r="P151" s="4"/>
      <c r="Q151" s="280"/>
      <c r="R151" s="280"/>
      <c r="S151" s="15"/>
      <c r="T151" s="431"/>
      <c r="U151" s="15"/>
      <c r="V151" s="15"/>
      <c r="W151" s="15"/>
      <c r="X151" s="442"/>
      <c r="Y151" s="430"/>
      <c r="Z151" s="430"/>
      <c r="AA151" s="430"/>
      <c r="AB151" s="9"/>
      <c r="AC151" s="56"/>
      <c r="AD151" s="15"/>
      <c r="AE151" s="56"/>
      <c r="AH151" s="457"/>
      <c r="AI151" s="457"/>
      <c r="AJ151" s="1037"/>
      <c r="AK151" s="1038"/>
      <c r="AL151" s="967">
        <f>AL150-AL149</f>
        <v>0</v>
      </c>
      <c r="AM151" s="530">
        <f>C148-AL148</f>
        <v>3650</v>
      </c>
      <c r="AN151" s="530">
        <f>IF(OR(K150&lt;&gt;1,AN150&gt;365),COUPDAYBS(D149,C148,K150,AH152),AN150)</f>
        <v>139</v>
      </c>
      <c r="AO151" s="424">
        <f>IF(B153=2,AO150-AL149,AL151/AM151*AN150)</f>
        <v>0</v>
      </c>
      <c r="AP151" s="455">
        <f>IF(B153=4,FLOOR(F148/K150*AN151/(D152-D151)*100,0.000001),IF(AH152=4,YEARFRAC(D151,D149,0)*F148*100,IF(B153=3,IF(OR(AH152=4,AH152=2),(F150*(AN151))/(360)*100,(F150*(AN151))/(365)*100),FLOOR(F148/K150*AN151/(D152-D151)*100,0.000001))))</f>
        <v>1.561369</v>
      </c>
      <c r="AQ151" s="454"/>
      <c r="AR151" s="422">
        <f>AL151*G148/100</f>
        <v>0</v>
      </c>
      <c r="AS151" s="422">
        <f>IF(AS150&lt;0,0,AS150*(100-F153)/100)</f>
        <v>1.1463140000000265</v>
      </c>
      <c r="AT151" s="419"/>
      <c r="AU151" s="420"/>
      <c r="AV151" s="223"/>
      <c r="AW151" s="420"/>
      <c r="AX151" s="417"/>
      <c r="AY151" s="420"/>
      <c r="AZ151" s="223"/>
      <c r="BA151" s="419"/>
      <c r="BB151" s="223"/>
      <c r="BC151" s="223"/>
      <c r="BD151" s="223"/>
      <c r="BE151" s="223"/>
      <c r="BF151" s="416"/>
      <c r="BG151" s="418"/>
      <c r="BH151" s="416"/>
      <c r="BI151" s="416"/>
      <c r="BJ151" s="416"/>
      <c r="BK151" s="418"/>
      <c r="BL151" s="417"/>
      <c r="BM151" s="416"/>
      <c r="BN151" s="416"/>
      <c r="BO151" s="416"/>
      <c r="BP151" s="416"/>
      <c r="BQ151" s="416"/>
      <c r="BR151" s="416"/>
      <c r="BS151" s="416"/>
      <c r="BT151" s="389"/>
      <c r="BU151" s="389"/>
      <c r="BV151" s="389"/>
      <c r="BW151" s="389"/>
      <c r="BX151" s="415"/>
      <c r="BY151" s="389"/>
      <c r="BZ151" s="389"/>
      <c r="CA151" s="389"/>
      <c r="CB151" s="389"/>
      <c r="CC151" s="389"/>
      <c r="CD151" s="389"/>
      <c r="CE151" s="389"/>
      <c r="CF151" s="389"/>
      <c r="CG151" s="389"/>
      <c r="CH151" s="389"/>
      <c r="CI151" s="389"/>
      <c r="CJ151" s="389"/>
      <c r="CK151" s="389"/>
      <c r="CL151" s="389"/>
      <c r="CM151" s="389"/>
      <c r="CN151" s="389"/>
      <c r="CO151" s="389"/>
      <c r="CP151" s="389"/>
      <c r="CQ151" s="389"/>
      <c r="CR151" s="389"/>
      <c r="CS151" s="415"/>
      <c r="CT151" s="389"/>
      <c r="CU151" s="389"/>
      <c r="CV151" s="389"/>
      <c r="CW151" s="389"/>
      <c r="CX151" s="389"/>
      <c r="CY151" s="389"/>
      <c r="CZ151" s="389"/>
      <c r="DA151" s="389"/>
      <c r="DB151" s="389"/>
      <c r="DC151" s="389"/>
      <c r="DD151" s="389"/>
      <c r="DE151" s="389"/>
      <c r="DF151" s="389"/>
      <c r="DG151" s="389"/>
      <c r="DH151" s="389"/>
      <c r="DI151" s="389"/>
      <c r="DJ151" s="389"/>
      <c r="DK151" s="389"/>
      <c r="DL151" s="389"/>
      <c r="DM151" s="389"/>
      <c r="DN151" s="389"/>
      <c r="DO151" s="414"/>
      <c r="DP151" s="39"/>
      <c r="DQ151" s="39"/>
      <c r="DR151" s="39"/>
      <c r="DS151" s="39"/>
      <c r="DT151" s="39"/>
      <c r="DU151" s="39"/>
      <c r="DV151" s="39"/>
      <c r="DW151" s="39"/>
      <c r="DX151" s="39"/>
      <c r="DY151" s="39"/>
      <c r="DZ151" s="39"/>
      <c r="EA151" s="39"/>
      <c r="EB151" s="39"/>
      <c r="EC151" s="39"/>
      <c r="ED151" s="136"/>
      <c r="EE151" s="136"/>
      <c r="EF151" s="136"/>
      <c r="EG151" s="136"/>
      <c r="EH151" s="136"/>
      <c r="EI151" s="136"/>
      <c r="EJ151" s="136"/>
      <c r="EK151" s="136"/>
      <c r="EL151" s="136"/>
      <c r="EM151" s="136"/>
      <c r="EN151" s="136"/>
      <c r="EO151" s="136"/>
      <c r="EP151" s="136"/>
      <c r="EQ151" s="136"/>
      <c r="ER151" s="136"/>
      <c r="ES151" s="136"/>
      <c r="ET151" s="136"/>
      <c r="EU151" s="136"/>
      <c r="EV151" s="136"/>
      <c r="EW151" s="136"/>
      <c r="EX151" s="136"/>
      <c r="EY151" s="136"/>
      <c r="EZ151" s="136"/>
      <c r="FA151" s="136"/>
      <c r="FB151" s="136"/>
      <c r="FC151" s="136"/>
      <c r="FD151" s="136"/>
      <c r="FE151" s="136"/>
      <c r="FF151" s="136"/>
      <c r="FG151" s="136"/>
      <c r="FH151" s="136"/>
      <c r="FI151" s="136"/>
      <c r="FJ151" s="136"/>
      <c r="FK151" s="136"/>
      <c r="FL151" s="136"/>
      <c r="FM151" s="136"/>
      <c r="FN151" s="136"/>
      <c r="FO151" s="39"/>
      <c r="FP151" s="39"/>
      <c r="FQ151" s="39"/>
      <c r="FR151" s="412"/>
      <c r="FS151" s="412"/>
      <c r="FT151" s="412"/>
      <c r="FU151" s="412"/>
      <c r="FV151" s="412"/>
      <c r="FW151" s="412"/>
      <c r="FX151" s="412"/>
      <c r="FY151" s="412"/>
      <c r="FZ151" s="412"/>
      <c r="GA151" s="412"/>
      <c r="GB151" s="412"/>
      <c r="GC151" s="412"/>
      <c r="GD151" s="412"/>
      <c r="GE151" s="412"/>
      <c r="GF151" s="412"/>
      <c r="GG151" s="412"/>
      <c r="GH151" s="412"/>
      <c r="GI151" s="412"/>
      <c r="GJ151" s="412"/>
      <c r="GK151" s="412"/>
      <c r="GL151" s="412"/>
      <c r="GM151" s="412"/>
      <c r="GN151" s="412"/>
      <c r="GO151" s="278"/>
      <c r="GP151" s="277"/>
      <c r="GQ151" s="277"/>
      <c r="GR151" s="277"/>
      <c r="GS151" s="277"/>
      <c r="GT151" s="277"/>
      <c r="GU151" s="277"/>
      <c r="GV151" s="277"/>
      <c r="GW151" s="277"/>
      <c r="GX151" s="412"/>
      <c r="GY151" s="412"/>
      <c r="GZ151" s="412"/>
      <c r="HA151" s="412"/>
      <c r="HB151" s="412"/>
      <c r="HC151" s="412"/>
      <c r="HD151" s="412"/>
      <c r="HE151" s="412"/>
      <c r="HF151" s="412"/>
      <c r="HG151" s="412"/>
      <c r="HH151" s="412"/>
      <c r="HI151" s="412"/>
      <c r="HJ151" s="412"/>
      <c r="HK151" s="412"/>
      <c r="HL151" s="412"/>
      <c r="HM151" s="412"/>
      <c r="HN151" s="412"/>
      <c r="HO151" s="412"/>
      <c r="HP151" s="412"/>
      <c r="HQ151" s="412"/>
      <c r="HR151" s="412"/>
      <c r="HS151" s="412"/>
      <c r="HT151" s="412"/>
      <c r="HU151" s="412"/>
      <c r="HV151" s="412"/>
      <c r="HW151" s="413"/>
      <c r="HX151" s="412"/>
      <c r="HY151" s="389"/>
      <c r="HZ151" s="389"/>
      <c r="IA151" s="389"/>
      <c r="IB151" s="389"/>
      <c r="IC151" s="389"/>
      <c r="ID151" s="389"/>
      <c r="IE151" s="389"/>
      <c r="IF151" s="389"/>
      <c r="IG151" s="389"/>
      <c r="IH151" s="389"/>
      <c r="II151" s="389"/>
      <c r="IJ151" s="389"/>
      <c r="IK151" s="389"/>
      <c r="IL151" s="389"/>
      <c r="IM151" s="389"/>
      <c r="IN151" s="389"/>
      <c r="IO151" s="389"/>
      <c r="IP151" s="389"/>
      <c r="IQ151" s="389"/>
      <c r="IR151" s="389"/>
      <c r="IS151" s="389"/>
      <c r="IT151" s="389"/>
      <c r="IU151" s="389"/>
      <c r="IV151" s="389"/>
      <c r="IW151" s="389"/>
      <c r="IX151" s="389"/>
      <c r="IY151" s="389"/>
      <c r="IZ151" s="389"/>
      <c r="JA151" s="389"/>
      <c r="JB151" s="389"/>
      <c r="JC151" s="389"/>
      <c r="JD151" s="389"/>
      <c r="JE151" s="389"/>
      <c r="JF151" s="389"/>
      <c r="JG151" s="389"/>
      <c r="JH151" s="389"/>
      <c r="JI151" s="389"/>
      <c r="JJ151" s="389"/>
      <c r="JK151" s="389"/>
      <c r="JL151" s="389"/>
      <c r="JM151" s="389"/>
      <c r="JN151" s="389"/>
      <c r="JO151" s="389"/>
      <c r="JP151" s="389"/>
      <c r="JQ151" s="389"/>
      <c r="JR151" s="389"/>
      <c r="JS151" s="389"/>
      <c r="JT151" s="389"/>
      <c r="JU151" s="389"/>
      <c r="JV151" s="389"/>
      <c r="JW151" s="389"/>
      <c r="JX151" s="389"/>
      <c r="JY151" s="389"/>
      <c r="JZ151" s="389"/>
      <c r="KA151" s="389"/>
      <c r="KB151" s="389"/>
      <c r="KC151" s="389"/>
      <c r="KD151" s="389"/>
      <c r="KE151" s="389"/>
      <c r="KF151" s="389"/>
      <c r="KG151" s="389"/>
      <c r="KH151" s="389"/>
      <c r="KI151" s="389"/>
      <c r="KJ151" s="389"/>
      <c r="KK151" s="389"/>
      <c r="KL151" s="389"/>
      <c r="KM151" s="389"/>
      <c r="KN151" s="389"/>
      <c r="KO151" s="389"/>
      <c r="KP151" s="389"/>
    </row>
    <row r="152" spans="1:302" s="6" customFormat="1" ht="11.1" hidden="1" customHeight="1" outlineLevel="1">
      <c r="A152" s="232"/>
      <c r="B152" s="990"/>
      <c r="C152" s="990"/>
      <c r="D152" s="452">
        <f>COUPNCD(D149,C148,K150,AH152)</f>
        <v>45785</v>
      </c>
      <c r="E152" s="932" t="s">
        <v>182</v>
      </c>
      <c r="F152" s="451" t="str">
        <f>IF(E153=1,"87,5",IF(D148&lt;40908,87.5,IF(D148&lt;41820,"80","74")))</f>
        <v>74</v>
      </c>
      <c r="G152" s="1084"/>
      <c r="H152" s="56"/>
      <c r="I152" s="385"/>
      <c r="J152" s="385"/>
      <c r="K152" s="987"/>
      <c r="L152" s="833"/>
      <c r="M152" s="720"/>
      <c r="N152" s="720"/>
      <c r="O152" s="223"/>
      <c r="P152" s="738"/>
      <c r="Q152" s="280"/>
      <c r="R152" s="280"/>
      <c r="S152" s="15"/>
      <c r="T152" s="431"/>
      <c r="U152" s="15"/>
      <c r="V152" s="15"/>
      <c r="W152" s="15"/>
      <c r="X152" s="442"/>
      <c r="Y152" s="157"/>
      <c r="Z152" s="157"/>
      <c r="AA152" s="15"/>
      <c r="AB152" s="78"/>
      <c r="AC152" s="385"/>
      <c r="AD152" s="15"/>
      <c r="AE152" s="385"/>
      <c r="AF152" s="15"/>
      <c r="AG152" s="75"/>
      <c r="AH152" s="419">
        <f>VLOOKUP(AH149,'[2]IBAN CONTI'!A:B,2,FALSE)</f>
        <v>1</v>
      </c>
      <c r="AI152" s="419"/>
      <c r="AJ152" s="989">
        <f>VLOOKUP(AJ150,'[2]IBAN CONTI'!A$67:B$77,2,FALSE)</f>
        <v>4</v>
      </c>
      <c r="AK152" s="992"/>
      <c r="AL152" s="965">
        <f>AL149</f>
        <v>100</v>
      </c>
      <c r="AM152" s="577">
        <f>IF(B153=1,YEARFRAC(D149,C148,AH152),IF(B153=2,YEARFRAC(AL148,D149,AH152)))</f>
        <v>9.6119960179193633</v>
      </c>
      <c r="AN152" s="530">
        <f>IF(B153=2,0,C148-D149-(365-AN151))</f>
        <v>3285</v>
      </c>
      <c r="AO152" s="424">
        <f>E148-AO151</f>
        <v>99.11</v>
      </c>
      <c r="AP152" s="447">
        <f>E148+AO153+AP151+0.1</f>
        <v>100.77136899999999</v>
      </c>
      <c r="AQ152" s="446"/>
      <c r="AR152" s="179">
        <f>IF(B153=3,F150*G148,F148*G148)</f>
        <v>41</v>
      </c>
      <c r="AS152" s="421">
        <f>AR148-AS151</f>
        <v>1029.1936859999998</v>
      </c>
      <c r="AT152" s="419"/>
      <c r="AU152" s="420"/>
      <c r="AV152" s="223"/>
      <c r="AW152" s="420"/>
      <c r="AX152" s="417"/>
      <c r="AY152" s="420"/>
      <c r="AZ152" s="223"/>
      <c r="BA152" s="419"/>
      <c r="BB152" s="223"/>
      <c r="BC152" s="223"/>
      <c r="BD152" s="223"/>
      <c r="BE152" s="223"/>
      <c r="BF152" s="416"/>
      <c r="BG152" s="418"/>
      <c r="BH152" s="416"/>
      <c r="BI152" s="416"/>
      <c r="BJ152" s="416"/>
      <c r="BK152" s="418"/>
      <c r="BL152" s="417"/>
      <c r="BM152" s="416"/>
      <c r="BN152" s="416"/>
      <c r="BO152" s="416"/>
      <c r="BP152" s="416"/>
      <c r="BQ152" s="416"/>
      <c r="BR152" s="416"/>
      <c r="BS152" s="416"/>
      <c r="BT152" s="389"/>
      <c r="BU152" s="389"/>
      <c r="BV152" s="389"/>
      <c r="BW152" s="389"/>
      <c r="BX152" s="415"/>
      <c r="BY152" s="389"/>
      <c r="BZ152" s="389"/>
      <c r="CA152" s="389"/>
      <c r="CB152" s="389"/>
      <c r="CC152" s="389"/>
      <c r="CD152" s="389"/>
      <c r="CE152" s="389"/>
      <c r="CF152" s="389"/>
      <c r="CG152" s="389"/>
      <c r="CH152" s="389"/>
      <c r="CI152" s="389"/>
      <c r="CJ152" s="389"/>
      <c r="CK152" s="389"/>
      <c r="CL152" s="389"/>
      <c r="CM152" s="389"/>
      <c r="CN152" s="389"/>
      <c r="CO152" s="389"/>
      <c r="CP152" s="389"/>
      <c r="CQ152" s="389"/>
      <c r="CR152" s="389"/>
      <c r="CS152" s="415"/>
      <c r="CT152" s="389"/>
      <c r="CU152" s="389"/>
      <c r="CV152" s="389"/>
      <c r="CW152" s="389"/>
      <c r="CX152" s="389"/>
      <c r="CY152" s="389"/>
      <c r="CZ152" s="389"/>
      <c r="DA152" s="389"/>
      <c r="DB152" s="389"/>
      <c r="DC152" s="389"/>
      <c r="DD152" s="389"/>
      <c r="DE152" s="389"/>
      <c r="DF152" s="389"/>
      <c r="DG152" s="389"/>
      <c r="DH152" s="389"/>
      <c r="DI152" s="389"/>
      <c r="DJ152" s="389"/>
      <c r="DK152" s="389"/>
      <c r="DL152" s="389"/>
      <c r="DM152" s="389"/>
      <c r="DN152" s="389"/>
      <c r="DO152" s="414"/>
      <c r="DP152" s="39"/>
      <c r="DQ152" s="39"/>
      <c r="DR152" s="39"/>
      <c r="DS152" s="136"/>
      <c r="DT152" s="136"/>
      <c r="DU152" s="136"/>
      <c r="DV152" s="136"/>
      <c r="DW152" s="136"/>
      <c r="DX152" s="136"/>
      <c r="DY152" s="136"/>
      <c r="DZ152" s="136"/>
      <c r="EA152" s="136"/>
      <c r="EB152" s="136"/>
      <c r="EC152" s="136"/>
      <c r="ED152" s="136"/>
      <c r="EE152" s="136"/>
      <c r="EF152" s="136"/>
      <c r="EG152" s="136"/>
      <c r="EH152" s="136"/>
      <c r="EI152" s="136"/>
      <c r="EJ152" s="136"/>
      <c r="EK152" s="136"/>
      <c r="EL152" s="136"/>
      <c r="EM152" s="136"/>
      <c r="EN152" s="136"/>
      <c r="EO152" s="136"/>
      <c r="EP152" s="136"/>
      <c r="EQ152" s="136"/>
      <c r="ER152" s="136"/>
      <c r="ES152" s="136"/>
      <c r="ET152" s="136"/>
      <c r="EU152" s="136"/>
      <c r="EV152" s="136"/>
      <c r="EW152" s="136"/>
      <c r="EX152" s="136"/>
      <c r="EY152" s="136"/>
      <c r="EZ152" s="136"/>
      <c r="FA152" s="136"/>
      <c r="FB152" s="136"/>
      <c r="FC152" s="136"/>
      <c r="FD152" s="136"/>
      <c r="FE152" s="136"/>
      <c r="FF152" s="136"/>
      <c r="FG152" s="136"/>
      <c r="FH152" s="136"/>
      <c r="FI152" s="136"/>
      <c r="FJ152" s="136"/>
      <c r="FK152" s="136"/>
      <c r="FL152" s="136"/>
      <c r="FM152" s="136"/>
      <c r="FN152" s="136"/>
      <c r="FO152" s="136"/>
      <c r="FP152" s="136"/>
      <c r="FQ152" s="136"/>
      <c r="FR152" s="412"/>
      <c r="FS152" s="412"/>
      <c r="FT152" s="412"/>
      <c r="FU152" s="412"/>
      <c r="FV152" s="412"/>
      <c r="FW152" s="412"/>
      <c r="FX152" s="412"/>
      <c r="FY152" s="412"/>
      <c r="FZ152" s="412"/>
      <c r="GA152" s="412"/>
      <c r="GB152" s="412"/>
      <c r="GC152" s="412"/>
      <c r="GD152" s="412"/>
      <c r="GE152" s="412"/>
      <c r="GF152" s="412"/>
      <c r="GG152" s="412"/>
      <c r="GH152" s="412"/>
      <c r="GI152" s="412"/>
      <c r="GJ152" s="412"/>
      <c r="GK152" s="412"/>
      <c r="GL152" s="412"/>
      <c r="GM152" s="412"/>
      <c r="GN152" s="412"/>
      <c r="GO152" s="278"/>
      <c r="GP152" s="277"/>
      <c r="GQ152" s="277"/>
      <c r="GR152" s="277"/>
      <c r="GS152" s="277"/>
      <c r="GT152" s="277"/>
      <c r="GU152" s="277"/>
      <c r="GV152" s="277"/>
      <c r="GW152" s="277"/>
      <c r="GX152" s="412"/>
      <c r="GY152" s="412"/>
      <c r="GZ152" s="412"/>
      <c r="HA152" s="412"/>
      <c r="HB152" s="412"/>
      <c r="HC152" s="412"/>
      <c r="HD152" s="412"/>
      <c r="HE152" s="412"/>
      <c r="HF152" s="412"/>
      <c r="HG152" s="412"/>
      <c r="HH152" s="412"/>
      <c r="HI152" s="412"/>
      <c r="HJ152" s="412"/>
      <c r="HK152" s="412"/>
      <c r="HL152" s="412"/>
      <c r="HM152" s="412"/>
      <c r="HN152" s="412"/>
      <c r="HO152" s="412"/>
      <c r="HP152" s="412"/>
      <c r="HQ152" s="412"/>
      <c r="HR152" s="412"/>
      <c r="HS152" s="412"/>
      <c r="HT152" s="412"/>
      <c r="HU152" s="412"/>
      <c r="HV152" s="412"/>
      <c r="HW152" s="413"/>
      <c r="HX152" s="412"/>
      <c r="HY152" s="389"/>
      <c r="HZ152" s="389"/>
      <c r="IA152" s="389"/>
      <c r="IB152" s="389"/>
      <c r="IC152" s="389"/>
      <c r="ID152" s="389"/>
      <c r="IE152" s="389"/>
      <c r="IF152" s="389"/>
      <c r="IG152" s="389"/>
      <c r="IH152" s="389"/>
      <c r="II152" s="389"/>
      <c r="IJ152" s="389"/>
      <c r="IK152" s="389"/>
      <c r="IL152" s="389"/>
      <c r="IM152" s="389"/>
      <c r="IN152" s="389"/>
      <c r="IO152" s="389"/>
      <c r="IP152" s="389"/>
      <c r="IQ152" s="389"/>
      <c r="IR152" s="389"/>
      <c r="IS152" s="389"/>
      <c r="IT152" s="389"/>
      <c r="IU152" s="389"/>
      <c r="IV152" s="389"/>
      <c r="IW152" s="389"/>
      <c r="IX152" s="389"/>
      <c r="IY152" s="389"/>
      <c r="IZ152" s="389"/>
      <c r="JA152" s="389"/>
      <c r="JB152" s="389"/>
      <c r="JC152" s="389"/>
      <c r="JD152" s="389"/>
      <c r="JE152" s="389"/>
      <c r="JF152" s="389"/>
      <c r="JG152" s="389"/>
      <c r="JH152" s="389"/>
      <c r="JI152" s="389"/>
      <c r="JJ152" s="389"/>
      <c r="JK152" s="389"/>
      <c r="JL152" s="389"/>
      <c r="JM152" s="389"/>
      <c r="JN152" s="389"/>
      <c r="JO152" s="389"/>
      <c r="JP152" s="389"/>
      <c r="JQ152" s="389"/>
      <c r="JR152" s="389"/>
      <c r="JS152" s="389"/>
      <c r="JT152" s="389"/>
      <c r="JU152" s="389"/>
      <c r="JV152" s="389"/>
      <c r="JW152" s="389"/>
      <c r="JX152" s="389"/>
      <c r="JY152" s="389"/>
      <c r="JZ152" s="389"/>
      <c r="KA152" s="389"/>
      <c r="KB152" s="389"/>
      <c r="KC152" s="389"/>
      <c r="KD152" s="389"/>
      <c r="KE152" s="389"/>
      <c r="KF152" s="389"/>
      <c r="KG152" s="389"/>
      <c r="KH152" s="389"/>
      <c r="KI152" s="389"/>
      <c r="KJ152" s="389"/>
      <c r="KK152" s="389"/>
      <c r="KL152" s="389"/>
      <c r="KM152" s="389"/>
      <c r="KN152" s="389"/>
      <c r="KO152" s="389"/>
      <c r="KP152" s="389"/>
    </row>
    <row r="153" spans="1:302" s="6" customFormat="1" ht="11.1" hidden="1" customHeight="1" outlineLevel="1">
      <c r="A153" s="461">
        <v>1</v>
      </c>
      <c r="B153" s="989">
        <f>VLOOKUP(B151,'[2]IBAN CONTI'!A$1:B$65562,2,FALSE)</f>
        <v>1</v>
      </c>
      <c r="C153" s="989"/>
      <c r="D153" s="436">
        <f>COUPNCD(AL148,C148,K150,AH152)</f>
        <v>45785</v>
      </c>
      <c r="E153" s="932">
        <f>VLOOKUP(E152,'[2]IBAN CONTI'!A:B,2,FALSE)</f>
        <v>2</v>
      </c>
      <c r="F153" s="444" t="str">
        <f>IF(E153=1,"87,5","74")</f>
        <v>74</v>
      </c>
      <c r="G153" s="433">
        <f>VLOOKUP(G151,'[2]IBAN CONTI'!A$244:B$273,2,FALSE)</f>
        <v>23</v>
      </c>
      <c r="H153" s="383"/>
      <c r="I153" s="385"/>
      <c r="J153" s="385"/>
      <c r="K153" s="433">
        <f>VLOOKUP(K151,'[2]IBAN CONTI'!A$80:B$101,2,FALSE)</f>
        <v>5</v>
      </c>
      <c r="L153" s="833"/>
      <c r="M153" s="720"/>
      <c r="N153" s="720"/>
      <c r="O153" s="223"/>
      <c r="P153" s="738"/>
      <c r="Q153" s="280"/>
      <c r="R153" s="280"/>
      <c r="S153" s="15"/>
      <c r="T153" s="431"/>
      <c r="U153" s="15"/>
      <c r="V153" s="15"/>
      <c r="W153" s="15"/>
      <c r="X153" s="594">
        <f ca="1">X148-$AF$2</f>
        <v>-4514</v>
      </c>
      <c r="Y153" s="739"/>
      <c r="Z153" s="739"/>
      <c r="AA153" s="4"/>
      <c r="AB153" s="78"/>
      <c r="AC153" s="385"/>
      <c r="AD153" s="728"/>
      <c r="AE153" s="385"/>
      <c r="AF153" s="1011">
        <v>50181.15</v>
      </c>
      <c r="AG153" s="1011"/>
      <c r="AH153" s="511"/>
      <c r="AI153" s="54"/>
      <c r="AJ153" s="441" t="s">
        <v>172</v>
      </c>
      <c r="AK153" s="428">
        <f>VLOOKUP(AJ153,'[2]IBAN CONTI'!A$61:B$64,2,FALSE)</f>
        <v>1</v>
      </c>
      <c r="AL153" s="427">
        <f>AL150-AL151*(100-F153)/100</f>
        <v>100</v>
      </c>
      <c r="AM153" s="426" t="str">
        <f>IF(B153=2,10^((LOG(AL150/AL149))/AM150)-1,"")</f>
        <v/>
      </c>
      <c r="AN153" s="422">
        <f>IF(B153=4,A150*E148/100,IF(AF150=1,G148*E148/100,A149/E149*E148/100))</f>
        <v>991.1</v>
      </c>
      <c r="AO153" s="425">
        <f>-AO151*(100-F152)/100</f>
        <v>0</v>
      </c>
      <c r="AP153" s="438">
        <f>IF(B153=2,(AN153-AP150+AN148+AN149)/G148*100,(AN153-AP149+AN148+AN149)/G148*100)</f>
        <v>99.55910999999999</v>
      </c>
      <c r="AQ153" s="423"/>
      <c r="AR153" s="422">
        <f>AL149</f>
        <v>100</v>
      </c>
      <c r="AS153" s="421"/>
      <c r="AT153" s="419"/>
      <c r="AU153" s="420"/>
      <c r="AV153" s="223"/>
      <c r="AW153" s="420"/>
      <c r="AX153" s="417"/>
      <c r="AY153" s="420"/>
      <c r="AZ153" s="223"/>
      <c r="BA153" s="419"/>
      <c r="BB153" s="223"/>
      <c r="BC153" s="223"/>
      <c r="BD153" s="223"/>
      <c r="BE153" s="223"/>
      <c r="BF153" s="416"/>
      <c r="BG153" s="418"/>
      <c r="BH153" s="416"/>
      <c r="BI153" s="416"/>
      <c r="BJ153" s="416"/>
      <c r="BK153" s="418"/>
      <c r="BL153" s="417"/>
      <c r="BM153" s="416"/>
      <c r="BN153" s="416"/>
      <c r="BO153" s="416"/>
      <c r="BP153" s="416"/>
      <c r="BQ153" s="416"/>
      <c r="BR153" s="416"/>
      <c r="BS153" s="416"/>
      <c r="BT153" s="389"/>
      <c r="BU153" s="389"/>
      <c r="BV153" s="389"/>
      <c r="BW153" s="389"/>
      <c r="BX153" s="415"/>
      <c r="BY153" s="389"/>
      <c r="BZ153" s="389"/>
      <c r="CA153" s="389"/>
      <c r="CB153" s="389"/>
      <c r="CC153" s="389"/>
      <c r="CD153" s="389"/>
      <c r="CE153" s="389"/>
      <c r="CF153" s="389"/>
      <c r="CG153" s="389"/>
      <c r="CH153" s="389"/>
      <c r="CI153" s="389"/>
      <c r="CJ153" s="389"/>
      <c r="CK153" s="389"/>
      <c r="CL153" s="389"/>
      <c r="CM153" s="389"/>
      <c r="CN153" s="389"/>
      <c r="CO153" s="389"/>
      <c r="CP153" s="389"/>
      <c r="CQ153" s="389"/>
      <c r="CR153" s="389"/>
      <c r="CS153" s="415"/>
      <c r="CT153" s="389"/>
      <c r="CU153" s="389"/>
      <c r="CV153" s="389"/>
      <c r="CW153" s="389"/>
      <c r="CX153" s="389"/>
      <c r="CY153" s="389"/>
      <c r="CZ153" s="389"/>
      <c r="DA153" s="389"/>
      <c r="DB153" s="389"/>
      <c r="DC153" s="389"/>
      <c r="DD153" s="389"/>
      <c r="DE153" s="389"/>
      <c r="DF153" s="389"/>
      <c r="DG153" s="389"/>
      <c r="DH153" s="389"/>
      <c r="DI153" s="389"/>
      <c r="DJ153" s="389"/>
      <c r="DK153" s="389"/>
      <c r="DL153" s="389"/>
      <c r="DM153" s="389"/>
      <c r="DN153" s="389"/>
      <c r="DO153" s="414"/>
      <c r="DP153" s="39"/>
      <c r="DQ153" s="39"/>
      <c r="DR153" s="39"/>
      <c r="DS153" s="136"/>
      <c r="DT153" s="136"/>
      <c r="DU153" s="136"/>
      <c r="DV153" s="136"/>
      <c r="DW153" s="136"/>
      <c r="DX153" s="136"/>
      <c r="DY153" s="136"/>
      <c r="DZ153" s="136"/>
      <c r="EA153" s="136"/>
      <c r="EB153" s="136"/>
      <c r="EC153" s="136"/>
      <c r="ED153" s="136"/>
      <c r="EE153" s="136"/>
      <c r="EF153" s="136"/>
      <c r="EG153" s="136"/>
      <c r="EH153" s="136"/>
      <c r="EI153" s="136"/>
      <c r="EJ153" s="136"/>
      <c r="EK153" s="136"/>
      <c r="EL153" s="136"/>
      <c r="EM153" s="136"/>
      <c r="EN153" s="136"/>
      <c r="EO153" s="136"/>
      <c r="EP153" s="136"/>
      <c r="EQ153" s="136"/>
      <c r="ER153" s="136"/>
      <c r="ES153" s="136"/>
      <c r="ET153" s="136"/>
      <c r="EU153" s="136"/>
      <c r="EV153" s="136"/>
      <c r="EW153" s="136"/>
      <c r="EX153" s="136"/>
      <c r="EY153" s="136"/>
      <c r="EZ153" s="136"/>
      <c r="FA153" s="136"/>
      <c r="FB153" s="136"/>
      <c r="FC153" s="136"/>
      <c r="FD153" s="136"/>
      <c r="FE153" s="136"/>
      <c r="FF153" s="136"/>
      <c r="FG153" s="136"/>
      <c r="FH153" s="136"/>
      <c r="FI153" s="136"/>
      <c r="FJ153" s="136"/>
      <c r="FK153" s="136"/>
      <c r="FL153" s="136"/>
      <c r="FM153" s="136"/>
      <c r="FN153" s="136"/>
      <c r="FO153" s="136"/>
      <c r="FP153" s="136"/>
      <c r="FQ153" s="136"/>
      <c r="FR153" s="412"/>
      <c r="FS153" s="412"/>
      <c r="FT153" s="412"/>
      <c r="FU153" s="412"/>
      <c r="FV153" s="412"/>
      <c r="FW153" s="412"/>
      <c r="FX153" s="412"/>
      <c r="FY153" s="412"/>
      <c r="FZ153" s="412"/>
      <c r="GA153" s="412"/>
      <c r="GB153" s="412"/>
      <c r="GC153" s="412"/>
      <c r="GD153" s="412"/>
      <c r="GE153" s="412"/>
      <c r="GF153" s="412"/>
      <c r="GG153" s="412"/>
      <c r="GH153" s="412"/>
      <c r="GI153" s="412"/>
      <c r="GJ153" s="412"/>
      <c r="GK153" s="412"/>
      <c r="GL153" s="412"/>
      <c r="GM153" s="412"/>
      <c r="GN153" s="412"/>
      <c r="GO153" s="278"/>
      <c r="GP153" s="277"/>
      <c r="GQ153" s="277"/>
      <c r="GR153" s="277"/>
      <c r="GS153" s="277"/>
      <c r="GT153" s="277"/>
      <c r="GU153" s="277"/>
      <c r="GV153" s="277"/>
      <c r="GW153" s="277"/>
      <c r="GX153" s="412"/>
      <c r="GY153" s="412"/>
      <c r="GZ153" s="412"/>
      <c r="HA153" s="412"/>
      <c r="HB153" s="412"/>
      <c r="HC153" s="412"/>
      <c r="HD153" s="412"/>
      <c r="HE153" s="412"/>
      <c r="HF153" s="412"/>
      <c r="HG153" s="412"/>
      <c r="HH153" s="412"/>
      <c r="HI153" s="412"/>
      <c r="HJ153" s="412"/>
      <c r="HK153" s="412"/>
      <c r="HL153" s="412"/>
      <c r="HM153" s="412"/>
      <c r="HN153" s="412"/>
      <c r="HO153" s="412"/>
      <c r="HP153" s="412"/>
      <c r="HQ153" s="412"/>
      <c r="HR153" s="412"/>
      <c r="HS153" s="412"/>
      <c r="HT153" s="412"/>
      <c r="HU153" s="412"/>
      <c r="HV153" s="412"/>
      <c r="HW153" s="413"/>
      <c r="HX153" s="412"/>
      <c r="HY153" s="389"/>
      <c r="HZ153" s="389"/>
      <c r="IA153" s="389"/>
      <c r="IB153" s="389"/>
      <c r="IC153" s="389"/>
      <c r="ID153" s="389"/>
      <c r="IE153" s="389"/>
      <c r="IF153" s="389"/>
      <c r="IG153" s="389"/>
      <c r="IH153" s="389"/>
      <c r="II153" s="389"/>
      <c r="IJ153" s="389"/>
      <c r="IK153" s="389"/>
      <c r="IL153" s="389"/>
      <c r="IM153" s="389"/>
      <c r="IN153" s="389"/>
      <c r="IO153" s="389"/>
      <c r="IP153" s="389"/>
      <c r="IQ153" s="389"/>
      <c r="IR153" s="389"/>
      <c r="IS153" s="389"/>
      <c r="IT153" s="389"/>
      <c r="IU153" s="389"/>
      <c r="IV153" s="389"/>
      <c r="IW153" s="389"/>
      <c r="IX153" s="389"/>
      <c r="IY153" s="389"/>
      <c r="IZ153" s="389"/>
      <c r="JA153" s="389"/>
      <c r="JB153" s="389"/>
      <c r="JC153" s="389"/>
      <c r="JD153" s="389"/>
      <c r="JE153" s="389"/>
      <c r="JF153" s="389"/>
      <c r="JG153" s="389"/>
      <c r="JH153" s="389"/>
      <c r="JI153" s="389"/>
      <c r="JJ153" s="389"/>
      <c r="JK153" s="389"/>
      <c r="JL153" s="389"/>
      <c r="JM153" s="389"/>
      <c r="JN153" s="389"/>
      <c r="JO153" s="389"/>
      <c r="JP153" s="389"/>
      <c r="JQ153" s="389"/>
      <c r="JR153" s="389"/>
      <c r="JS153" s="389"/>
      <c r="JT153" s="389"/>
      <c r="JU153" s="389"/>
      <c r="JV153" s="389"/>
      <c r="JW153" s="389"/>
      <c r="JX153" s="389"/>
      <c r="JY153" s="389"/>
      <c r="JZ153" s="389"/>
      <c r="KA153" s="389"/>
      <c r="KB153" s="389"/>
      <c r="KC153" s="389"/>
      <c r="KD153" s="389"/>
      <c r="KE153" s="389"/>
      <c r="KF153" s="389"/>
      <c r="KG153" s="389"/>
      <c r="KH153" s="389"/>
      <c r="KI153" s="389"/>
      <c r="KJ153" s="389"/>
      <c r="KK153" s="389"/>
      <c r="KL153" s="389"/>
      <c r="KM153" s="389"/>
      <c r="KN153" s="389"/>
      <c r="KO153" s="389"/>
      <c r="KP153" s="389"/>
    </row>
    <row r="154" spans="1:302" ht="15" hidden="1" customHeight="1" outlineLevel="1">
      <c r="A154" s="14"/>
      <c r="B154" s="14"/>
      <c r="D154" s="23"/>
      <c r="E154" s="672"/>
      <c r="F154" s="15"/>
      <c r="G154" s="15"/>
      <c r="H154" s="15"/>
      <c r="I154" s="15"/>
      <c r="J154" s="15"/>
      <c r="K154" s="18"/>
      <c r="L154" s="839"/>
      <c r="M154" s="720"/>
      <c r="N154" s="720"/>
      <c r="O154" s="223"/>
      <c r="P154" s="738"/>
      <c r="Q154" s="280"/>
      <c r="R154" s="280"/>
      <c r="S154" s="15"/>
      <c r="T154" s="383"/>
      <c r="U154" s="15"/>
      <c r="V154" s="15"/>
      <c r="W154" s="15"/>
      <c r="X154" s="442"/>
      <c r="Y154" s="14"/>
      <c r="Z154" s="14"/>
      <c r="AB154" s="23"/>
      <c r="AC154" s="23"/>
      <c r="AE154" s="23"/>
      <c r="AG154" s="44"/>
      <c r="AH154" s="608"/>
      <c r="AI154" s="410"/>
      <c r="AJ154" s="608"/>
      <c r="AK154" s="737"/>
      <c r="AN154" s="23"/>
      <c r="AQ154" s="23"/>
      <c r="AR154" s="18"/>
      <c r="AS154" s="18"/>
      <c r="AU154" s="18"/>
      <c r="AV154" s="18"/>
      <c r="AW154" s="18"/>
      <c r="AX154" s="18"/>
      <c r="AY154" s="18"/>
      <c r="AZ154" s="18"/>
      <c r="BB154" s="18"/>
      <c r="BC154" s="18"/>
      <c r="BD154" s="18"/>
      <c r="BE154" s="18"/>
      <c r="BF154" s="18"/>
      <c r="BH154" s="18"/>
      <c r="BI154" s="18"/>
      <c r="BJ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393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  <c r="FR154" s="18"/>
      <c r="FS154" s="18"/>
      <c r="FT154" s="18"/>
      <c r="FU154" s="18"/>
      <c r="FV154" s="18"/>
      <c r="FW154" s="18"/>
      <c r="FX154" s="18"/>
      <c r="FY154" s="18"/>
      <c r="FZ154" s="18"/>
      <c r="GA154" s="18"/>
      <c r="GB154" s="18"/>
      <c r="GC154" s="18"/>
      <c r="GD154" s="18"/>
      <c r="GE154" s="18"/>
      <c r="GF154" s="18"/>
      <c r="GG154" s="18"/>
      <c r="GH154" s="18"/>
      <c r="GI154" s="18"/>
      <c r="GJ154" s="18"/>
      <c r="GK154" s="18"/>
      <c r="GL154" s="18"/>
      <c r="GM154" s="18"/>
      <c r="GN154" s="18"/>
      <c r="GO154" s="32"/>
      <c r="GP154" s="18"/>
      <c r="GQ154" s="18"/>
      <c r="GR154" s="18"/>
      <c r="GS154" s="18"/>
      <c r="GT154" s="18"/>
      <c r="GU154" s="18"/>
      <c r="GV154" s="18"/>
      <c r="GW154" s="18"/>
      <c r="GX154" s="18"/>
      <c r="GY154" s="18"/>
      <c r="GZ154" s="18"/>
      <c r="HA154" s="18"/>
      <c r="HB154" s="18"/>
      <c r="HC154" s="18"/>
      <c r="HD154" s="18"/>
      <c r="HE154" s="18"/>
      <c r="HF154" s="18"/>
      <c r="HG154" s="18"/>
      <c r="HH154" s="18"/>
      <c r="HI154" s="18"/>
      <c r="HJ154" s="18"/>
      <c r="HK154" s="18"/>
      <c r="HL154" s="18"/>
      <c r="HM154" s="18"/>
      <c r="HN154" s="18"/>
      <c r="HO154" s="18"/>
      <c r="HP154" s="18"/>
      <c r="HQ154" s="18"/>
      <c r="HR154" s="18"/>
      <c r="HS154" s="18"/>
      <c r="HT154" s="18"/>
      <c r="HU154" s="18"/>
      <c r="HV154" s="606"/>
      <c r="HX154" s="32"/>
      <c r="IY154" s="6"/>
      <c r="IZ154" s="6"/>
      <c r="JA154" s="6"/>
      <c r="JB154" s="6"/>
      <c r="JC154" s="6"/>
      <c r="JD154" s="6"/>
      <c r="JE154" s="6"/>
      <c r="JF154" s="6"/>
      <c r="JG154" s="6"/>
      <c r="JH154" s="6"/>
      <c r="JI154" s="6"/>
      <c r="JJ154" s="6"/>
      <c r="JK154" s="6"/>
      <c r="JL154" s="6"/>
      <c r="JM154" s="6"/>
      <c r="JN154" s="6"/>
      <c r="JO154" s="6"/>
      <c r="JP154" s="6"/>
      <c r="JQ154" s="6"/>
      <c r="JR154" s="6"/>
      <c r="JS154" s="6"/>
      <c r="JT154" s="6"/>
      <c r="JU154" s="6"/>
      <c r="JV154" s="6"/>
      <c r="JW154" s="6"/>
      <c r="JX154" s="6"/>
      <c r="JY154" s="6"/>
      <c r="JZ154" s="6"/>
      <c r="KA154" s="6"/>
      <c r="KB154" s="6"/>
      <c r="KC154" s="6"/>
      <c r="KD154" s="6"/>
      <c r="KE154" s="6"/>
      <c r="KF154" s="6"/>
      <c r="KG154" s="6"/>
      <c r="KH154" s="6"/>
      <c r="KI154" s="6"/>
      <c r="KJ154" s="6"/>
      <c r="KK154" s="6"/>
      <c r="KL154" s="6"/>
      <c r="KM154" s="6"/>
      <c r="KN154" s="6"/>
      <c r="KO154" s="6"/>
      <c r="KP154" s="6"/>
    </row>
    <row r="155" spans="1:302" s="128" customFormat="1" ht="10.5" customHeight="1" collapsed="1">
      <c r="A155" s="522">
        <v>2039</v>
      </c>
      <c r="B155" s="626"/>
      <c r="C155" s="620"/>
      <c r="D155" s="625">
        <f ca="1">NOW()</f>
        <v>45609.685054745372</v>
      </c>
      <c r="E155" s="624"/>
      <c r="F155" s="620"/>
      <c r="G155" s="620"/>
      <c r="H155" s="620"/>
      <c r="I155" s="519"/>
      <c r="J155" s="519"/>
      <c r="K155" s="620"/>
      <c r="L155" s="830"/>
      <c r="M155" s="847"/>
      <c r="N155" s="847"/>
      <c r="O155" s="260"/>
      <c r="P155" s="250"/>
      <c r="Q155" s="623"/>
      <c r="R155" s="623"/>
      <c r="S155" s="646"/>
      <c r="T155" s="646"/>
      <c r="U155" s="646"/>
      <c r="V155" s="646"/>
      <c r="W155" s="646"/>
      <c r="X155" s="622"/>
      <c r="Y155" s="622"/>
      <c r="Z155" s="622"/>
      <c r="AA155" s="622"/>
      <c r="AB155" s="621"/>
      <c r="AC155" s="621"/>
      <c r="AD155" s="515"/>
      <c r="AE155" s="515"/>
      <c r="AF155" s="619"/>
      <c r="AG155" s="618"/>
      <c r="AH155" s="719"/>
      <c r="AI155" s="719"/>
      <c r="AJ155" s="719"/>
      <c r="AK155" s="718"/>
      <c r="AL155" s="614"/>
      <c r="AM155" s="612"/>
      <c r="AN155" s="717"/>
      <c r="AO155" s="716"/>
      <c r="AP155" s="715"/>
      <c r="AQ155" s="715"/>
      <c r="AR155" s="714"/>
      <c r="AS155" s="713"/>
      <c r="AT155" s="54"/>
      <c r="AU155" s="22"/>
      <c r="AV155" s="22"/>
      <c r="AW155" s="22"/>
      <c r="AX155" s="22"/>
      <c r="AY155" s="940"/>
      <c r="AZ155" s="940"/>
      <c r="BA155" s="54"/>
      <c r="BB155" s="940"/>
      <c r="BC155" s="940"/>
      <c r="BD155" s="23"/>
      <c r="BE155" s="23"/>
      <c r="BF155" s="23"/>
      <c r="BG155" s="51"/>
      <c r="BH155" s="23"/>
      <c r="BI155" s="23"/>
      <c r="BJ155" s="23"/>
      <c r="BK155" s="51"/>
      <c r="BL155" s="15"/>
      <c r="BM155" s="23"/>
      <c r="BN155" s="23"/>
      <c r="BO155" s="23"/>
      <c r="BP155" s="23"/>
      <c r="BQ155" s="23"/>
      <c r="BR155" s="23"/>
      <c r="BS155" s="23"/>
      <c r="BT155" s="14"/>
      <c r="BU155" s="14"/>
      <c r="BV155" s="14"/>
      <c r="BW155" s="14"/>
      <c r="BX155" s="32"/>
      <c r="BY155" s="14"/>
      <c r="BZ155" s="14"/>
      <c r="CA155" s="14"/>
      <c r="CB155" s="14"/>
      <c r="CC155" s="14"/>
      <c r="CD155" s="14"/>
      <c r="CE155" s="14"/>
      <c r="CF155" s="14"/>
      <c r="CG155" s="14"/>
      <c r="CH155" s="14"/>
      <c r="CI155" s="14"/>
      <c r="CJ155" s="14"/>
      <c r="CK155" s="14"/>
      <c r="CL155" s="14"/>
      <c r="CM155" s="14"/>
      <c r="CN155" s="14"/>
      <c r="CO155" s="14"/>
      <c r="CP155" s="14"/>
      <c r="CQ155" s="14"/>
      <c r="CR155" s="14"/>
      <c r="CS155" s="32"/>
      <c r="CT155" s="14"/>
      <c r="CU155" s="14"/>
      <c r="CV155" s="14"/>
      <c r="CW155" s="14"/>
      <c r="CX155" s="14"/>
      <c r="CY155" s="14"/>
      <c r="CZ155" s="14"/>
      <c r="DA155" s="14"/>
      <c r="DB155" s="14"/>
      <c r="DC155" s="14"/>
      <c r="DD155" s="14"/>
      <c r="DE155" s="14"/>
      <c r="DF155" s="14"/>
      <c r="DG155" s="14"/>
      <c r="DH155" s="14"/>
      <c r="DI155" s="14"/>
      <c r="DJ155" s="14"/>
      <c r="DK155" s="14"/>
      <c r="DL155" s="14"/>
      <c r="DM155" s="14"/>
      <c r="DN155" s="14"/>
      <c r="DO155" s="31"/>
      <c r="DP155" s="3"/>
      <c r="DQ155" s="3"/>
      <c r="DR155" s="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8"/>
      <c r="FS155" s="18"/>
      <c r="FT155" s="18"/>
      <c r="FU155" s="18"/>
      <c r="FV155" s="18"/>
      <c r="FW155" s="18"/>
      <c r="FX155" s="18"/>
      <c r="FY155" s="18"/>
      <c r="FZ155" s="18"/>
      <c r="GA155" s="18"/>
      <c r="GB155" s="18"/>
      <c r="GC155" s="18"/>
      <c r="GD155" s="18"/>
      <c r="GE155" s="18"/>
      <c r="GF155" s="18"/>
      <c r="GG155" s="18"/>
      <c r="GH155" s="18"/>
      <c r="GI155" s="18"/>
      <c r="GJ155" s="18"/>
      <c r="GK155" s="18"/>
      <c r="GL155" s="18"/>
      <c r="GM155" s="18"/>
      <c r="GN155" s="18"/>
      <c r="GO155" s="18"/>
      <c r="GP155" s="18"/>
      <c r="GQ155" s="18"/>
      <c r="GR155" s="18"/>
      <c r="GS155" s="18"/>
      <c r="GT155" s="18"/>
      <c r="GU155" s="18"/>
      <c r="GV155" s="18"/>
      <c r="GW155" s="18"/>
      <c r="GX155" s="18"/>
      <c r="GY155" s="18"/>
      <c r="GZ155" s="18"/>
      <c r="HA155" s="18"/>
      <c r="HB155" s="18"/>
      <c r="HC155" s="18"/>
      <c r="HD155" s="18"/>
      <c r="HE155" s="18"/>
      <c r="HF155" s="18"/>
      <c r="HG155" s="18"/>
      <c r="HH155" s="18"/>
      <c r="HI155" s="18"/>
      <c r="HJ155" s="18"/>
      <c r="HK155" s="18"/>
      <c r="HL155" s="18"/>
      <c r="HM155" s="18"/>
      <c r="HN155" s="18"/>
      <c r="HO155" s="18"/>
      <c r="HP155" s="18"/>
      <c r="HQ155" s="18"/>
      <c r="HR155" s="18"/>
      <c r="HS155" s="18"/>
      <c r="HT155" s="18"/>
      <c r="HU155" s="712"/>
      <c r="HV155" s="711"/>
      <c r="HW155" s="711"/>
      <c r="HX155" s="711"/>
      <c r="HY155" s="711"/>
      <c r="HZ155" s="711"/>
      <c r="IA155" s="711"/>
      <c r="IB155" s="711"/>
      <c r="IC155" s="711"/>
      <c r="ID155" s="18"/>
      <c r="IE155" s="18"/>
      <c r="IF155" s="18"/>
      <c r="IG155" s="18"/>
      <c r="IH155" s="18"/>
      <c r="II155" s="18"/>
      <c r="IJ155" s="18"/>
      <c r="IK155" s="18"/>
      <c r="IL155" s="18"/>
      <c r="IM155" s="18"/>
      <c r="IN155" s="18"/>
      <c r="IO155" s="18"/>
      <c r="IP155" s="606"/>
      <c r="IQ155" s="14"/>
      <c r="IR155" s="14"/>
      <c r="IS155" s="14"/>
      <c r="IT155" s="14"/>
      <c r="IU155" s="14"/>
      <c r="IV155" s="14"/>
      <c r="IW155" s="14"/>
      <c r="IX155" s="14"/>
      <c r="IY155" s="14"/>
      <c r="IZ155" s="14"/>
      <c r="JA155" s="14"/>
      <c r="JB155" s="14"/>
      <c r="JC155" s="14"/>
      <c r="JD155" s="14"/>
      <c r="JE155" s="14"/>
      <c r="JF155" s="14"/>
      <c r="JG155" s="14"/>
      <c r="JH155" s="14"/>
      <c r="JI155" s="14"/>
      <c r="JJ155" s="14"/>
      <c r="JK155" s="14"/>
      <c r="JL155" s="14"/>
      <c r="JM155" s="14"/>
      <c r="JN155" s="14"/>
      <c r="JO155" s="14"/>
      <c r="JQ155" s="14"/>
      <c r="JR155" s="14"/>
      <c r="JS155" s="14"/>
      <c r="JT155" s="14"/>
      <c r="JU155" s="14"/>
      <c r="JV155" s="14"/>
      <c r="JW155" s="14"/>
      <c r="JX155" s="14"/>
      <c r="JY155" s="14"/>
      <c r="JZ155" s="14"/>
      <c r="KA155" s="14"/>
      <c r="KB155" s="14"/>
      <c r="KC155" s="14"/>
      <c r="KD155" s="14"/>
      <c r="KE155" s="14"/>
      <c r="KF155" s="14"/>
      <c r="KG155" s="14"/>
      <c r="KH155" s="14"/>
      <c r="KI155" s="14"/>
      <c r="KJ155" s="14"/>
      <c r="KK155" s="14"/>
      <c r="KL155" s="14"/>
    </row>
    <row r="156" spans="1:302" s="14" customFormat="1" ht="5.0999999999999996" customHeight="1" collapsed="1">
      <c r="A156" s="3"/>
      <c r="B156" s="41"/>
      <c r="D156" s="23"/>
      <c r="E156" s="23"/>
      <c r="F156" s="7"/>
      <c r="K156" s="40"/>
      <c r="L156" s="836"/>
      <c r="M156" s="848"/>
      <c r="N156" s="848"/>
      <c r="O156" s="609"/>
      <c r="P156" s="3"/>
      <c r="Q156" s="7"/>
      <c r="R156" s="22"/>
      <c r="S156" s="23"/>
      <c r="X156" s="778"/>
      <c r="AB156" s="23"/>
      <c r="AG156" s="34"/>
      <c r="AH156" s="409"/>
      <c r="AI156" s="608"/>
      <c r="AJ156" s="80"/>
      <c r="AK156" s="607"/>
      <c r="AL156" s="18"/>
      <c r="AM156" s="606"/>
      <c r="AN156" s="18"/>
      <c r="AQ156" s="23"/>
      <c r="IP156" s="3"/>
      <c r="JT156" s="553"/>
    </row>
    <row r="157" spans="1:302" s="14" customFormat="1" ht="11.1" customHeight="1">
      <c r="A157" s="497" t="s">
        <v>453</v>
      </c>
      <c r="B157" s="590" t="s">
        <v>199</v>
      </c>
      <c r="C157" s="387">
        <v>50840</v>
      </c>
      <c r="D157" s="946">
        <v>45139</v>
      </c>
      <c r="E157" s="773">
        <v>79.974999999999994</v>
      </c>
      <c r="F157" s="561">
        <v>4.1250000000000002E-2</v>
      </c>
      <c r="G157" s="383">
        <v>1000</v>
      </c>
      <c r="H157" s="383">
        <f>G157</f>
        <v>1000</v>
      </c>
      <c r="I157" s="385">
        <f>G157*F157/100*F162</f>
        <v>36.09375</v>
      </c>
      <c r="J157" s="383">
        <f>I157</f>
        <v>36.09375</v>
      </c>
      <c r="K157" s="384" t="s">
        <v>204</v>
      </c>
      <c r="L157" s="833">
        <f>MONTH(C157)</f>
        <v>3</v>
      </c>
      <c r="M157" s="842" t="str">
        <f>IFERROR(IF(N157&gt;12,N157-12,N157),"")</f>
        <v/>
      </c>
      <c r="N157" s="594" t="str">
        <f>IF(K159=1,"",MONTH(C157)+6)</f>
        <v/>
      </c>
      <c r="O157" s="832">
        <f>IF(K159=1,I157,I157/2)</f>
        <v>36.09375</v>
      </c>
      <c r="P157" s="215">
        <f>VLOOKUP(B158,[2]Prezzi!$A$2:$R$125,18,FALSE)</f>
        <v>82.709999084472656</v>
      </c>
      <c r="Q157" s="15"/>
      <c r="R157" s="22"/>
      <c r="S157" s="493">
        <f ca="1">MAX(0,IF(B162=5,I157/AM159*X157,(((((F157)*AF$2)/365)*G157*F162/100)+((((F157)*X162)/365)*G157*F162/100))))</f>
        <v>24.42508561643848</v>
      </c>
      <c r="T157" s="492">
        <f ca="1">S157</f>
        <v>24.42508561643848</v>
      </c>
      <c r="U157" s="469"/>
      <c r="V157" s="4"/>
      <c r="W157" s="469"/>
      <c r="X157" s="491">
        <f ca="1">IF(B162=4,COUPDAYBS($AB$2,C157,K159,AH161),IF($AB$2-AL157&lt;365,IF(K159&gt;1,FLOOR(365/K159-(E159-AB$2),1),IF(B162=2,0,IF(AL157&gt;$AB$2,0,IF(AND(E159-AL157&lt;365,$AB$2&lt;E159),$AB$2-AL157,COUPDAYBS($AB$2,C157,K159,AH161))))),COUPDAYBS($AB$2,C157,K159,AH161)))</f>
        <v>247</v>
      </c>
      <c r="Y157" s="456">
        <f ca="1">G157*AF157</f>
        <v>10032.007756976682</v>
      </c>
      <c r="Z157" s="456">
        <f ca="1">IF(G157=0,"0",G157*AG157)</f>
        <v>52.057326362336369</v>
      </c>
      <c r="AA157" s="22"/>
      <c r="AB157" s="979">
        <f ca="1">IF(B162=5,(((I157/AM160)*X157)+(G157)),(G157*P157*A162/100)+(S157*A162))</f>
        <v>851.5250764611651</v>
      </c>
      <c r="AC157" s="383">
        <f ca="1">AB157</f>
        <v>851.5250764611651</v>
      </c>
      <c r="AD157" s="156">
        <f>IF(E158="",((P157-E157)/100)*G157,((((P157-E157)/100)*A158)/F158)+((A158/F158)-(A158/E158)))</f>
        <v>27.349990844726619</v>
      </c>
      <c r="AE157" s="383">
        <f>AD157</f>
        <v>27.349990844726619</v>
      </c>
      <c r="AF157" s="446">
        <f ca="1">IF(B162=1,MDURATION($AB$2,C157,F157,AG157,K159,AH161),IF(B162=2,YEARFRAC(C157,$AB$2,AH161)))</f>
        <v>10.032007756976682</v>
      </c>
      <c r="AG157" s="824">
        <f ca="1">YIELD(AB$2,C157,F157,P157,AL159,K159,AH161)*F162/100</f>
        <v>5.205732636233637E-2</v>
      </c>
      <c r="AH157" s="489">
        <f ca="1">(((F157)*X157)/365)*F162</f>
        <v>2.4425085616438356</v>
      </c>
      <c r="AI157" s="573"/>
      <c r="AJ157" s="180"/>
      <c r="AK157" s="546"/>
      <c r="AL157" s="201">
        <v>43384</v>
      </c>
      <c r="AM157" s="545" t="s">
        <v>479</v>
      </c>
      <c r="AN157" s="179">
        <f>IF(B162=4,MIN(G157*E157*A160*AV$3/100,AV$4),IF(AF159=1,MIN(G157*E157*AV$3/100,AV$4),MIN((A158*E157/E158*AV$3/100),AV$4)+(((A158/E158*E157/100)+(A158/E158*E157*AV$3/100)+AN158+AO157)*AZ$3)))</f>
        <v>0.79975000000000007</v>
      </c>
      <c r="AO157" s="179">
        <f>IF(B162=4,AP160*A159/100,IF(AF159=1,G157*AP160/100,A158/E158/100*AP160))</f>
        <v>16.342210000000001</v>
      </c>
      <c r="AP157" s="188">
        <f>IF(B162=2,AN162+AN157+AN158+AP158,AN162+AN157+AN158+AO157+AO158+AP158)</f>
        <v>817.92206968079404</v>
      </c>
      <c r="AQ157" s="326">
        <f>AP157</f>
        <v>817.92206968079404</v>
      </c>
      <c r="AR157" s="569">
        <f>AR159+AR161+AR158</f>
        <v>1034.28125</v>
      </c>
      <c r="AS157" s="825">
        <f ca="1">AG157</f>
        <v>5.205732636233637E-2</v>
      </c>
      <c r="AT157" s="419">
        <f>IF(B162=1,G157,"")</f>
        <v>1000</v>
      </c>
      <c r="AU157" s="420" t="str">
        <f>IF(B162=2,G157,"")</f>
        <v/>
      </c>
      <c r="AV157" s="223" t="str">
        <f>IF(B162=3,G157,"")</f>
        <v/>
      </c>
      <c r="AW157" s="420" t="str">
        <f>IF(B162=4,G157,"")</f>
        <v/>
      </c>
      <c r="AX157" s="417" t="str">
        <f>IF(B162=5,G157,"")</f>
        <v/>
      </c>
      <c r="AY157" s="420" t="str">
        <f>IF(B162=6,G157,"")</f>
        <v/>
      </c>
      <c r="AZ157" s="223" t="str">
        <f>IF(B162=7,G157,"")</f>
        <v/>
      </c>
      <c r="BA157" s="419" t="str">
        <f>IF(B159=1,G157,"")</f>
        <v/>
      </c>
      <c r="BB157" s="223" t="str">
        <f>IF(B159=2,G157,"")</f>
        <v/>
      </c>
      <c r="BC157" s="223" t="str">
        <f>IF(B159=3,G157,"")</f>
        <v/>
      </c>
      <c r="BD157" s="223" t="str">
        <f>IF(B159=4,G157,"")</f>
        <v/>
      </c>
      <c r="BE157" s="223">
        <f>IF(B159=5,G157,"")</f>
        <v>1000</v>
      </c>
      <c r="BF157" s="417" t="str">
        <f>IF(B159=6,G157,"")</f>
        <v/>
      </c>
      <c r="BG157" s="419">
        <f>IF(AK162=1,G157,"")</f>
        <v>1000</v>
      </c>
      <c r="BH157" s="223" t="str">
        <f>IF(AK162=2,G157,"")</f>
        <v/>
      </c>
      <c r="BI157" s="223" t="str">
        <f>IF(AK162=3,G157,"")</f>
        <v/>
      </c>
      <c r="BJ157" s="223" t="str">
        <f>IF(AK162=4,G157,"")</f>
        <v/>
      </c>
      <c r="BK157" s="419">
        <f>IF(AJ161=1,G157,"")</f>
        <v>1000</v>
      </c>
      <c r="BL157" s="482">
        <f ca="1">IF(BK157&lt;&gt;"",AB157,"")</f>
        <v>851.5250764611651</v>
      </c>
      <c r="BM157" s="223" t="str">
        <f>IF(AJ161=2,G157,"")</f>
        <v/>
      </c>
      <c r="BN157" s="223" t="str">
        <f>IF(BM157&lt;&gt;"",AB157,"")</f>
        <v/>
      </c>
      <c r="BO157" s="223" t="str">
        <f>IF(AJ161=3,G157,"")</f>
        <v/>
      </c>
      <c r="BP157" s="223" t="str">
        <f>IF(AJ161=4,G157,"")</f>
        <v/>
      </c>
      <c r="BQ157" s="223" t="str">
        <f>IF(AJ161=5,G157,"")</f>
        <v/>
      </c>
      <c r="BR157" s="223" t="str">
        <f>IF(AJ161=6,G157,"")</f>
        <v/>
      </c>
      <c r="BS157" s="223" t="str">
        <f>IF(AJ161=7,G157,"")</f>
        <v/>
      </c>
      <c r="BT157" s="223" t="str">
        <f>IF(AJ161=8,G157,"")</f>
        <v/>
      </c>
      <c r="BU157" s="223" t="str">
        <f>IF(AJ161=9,G157,"")</f>
        <v/>
      </c>
      <c r="BV157" s="223" t="str">
        <f>IF(AJ161=10,G157,"")</f>
        <v/>
      </c>
      <c r="BW157" s="223" t="str">
        <f>IF(AJ161=11,G157,"")</f>
        <v/>
      </c>
      <c r="BX157" s="419">
        <f>IF(AF159=1,G157,"")</f>
        <v>1000</v>
      </c>
      <c r="BY157" s="223" t="str">
        <f>IF(AF159=2,G157,"")</f>
        <v/>
      </c>
      <c r="BZ157" s="223" t="str">
        <f>IF(AF159=3,G157,"")</f>
        <v/>
      </c>
      <c r="CA157" s="223" t="str">
        <f>IF(AF159=4,G157,"")</f>
        <v/>
      </c>
      <c r="CB157" s="223" t="str">
        <f>IF(AF159=5,G157,"")</f>
        <v/>
      </c>
      <c r="CC157" s="223" t="str">
        <f>IF(AF159=6,G157,"")</f>
        <v/>
      </c>
      <c r="CD157" s="223" t="str">
        <f>IF(AF159=7,G157,"")</f>
        <v/>
      </c>
      <c r="CE157" s="223" t="str">
        <f>IF(AF159=8,G157,"")</f>
        <v/>
      </c>
      <c r="CF157" s="223" t="str">
        <f>IF(AF159=9,G157,"")</f>
        <v/>
      </c>
      <c r="CG157" s="223" t="str">
        <f>IF(AF159=10,G157,"")</f>
        <v/>
      </c>
      <c r="CH157" s="223" t="str">
        <f>IF(AF159=11,G157,"")</f>
        <v/>
      </c>
      <c r="CI157" s="223" t="str">
        <f>IF(AF159=12,G157,"")</f>
        <v/>
      </c>
      <c r="CJ157" s="223" t="str">
        <f>IF(AF159=13,G157,"")</f>
        <v/>
      </c>
      <c r="CK157" s="223" t="str">
        <f>IF(AF159=14,G157,"")</f>
        <v/>
      </c>
      <c r="CL157" s="223" t="str">
        <f>IF(AF159=15,G157,"")</f>
        <v/>
      </c>
      <c r="CM157" s="223" t="str">
        <f>IF(AF159=16,G157,"")</f>
        <v/>
      </c>
      <c r="CN157" s="223" t="str">
        <f>IF(AF159=17,G157,"")</f>
        <v/>
      </c>
      <c r="CO157" s="223" t="str">
        <f>IF(AF159=18,G157,"")</f>
        <v/>
      </c>
      <c r="CP157" s="223" t="str">
        <f>IF(AF159=19,G157,"")</f>
        <v/>
      </c>
      <c r="CQ157" s="223" t="str">
        <f>IF(AF159=20,G157,"")</f>
        <v/>
      </c>
      <c r="CR157" s="223" t="str">
        <f>IF(AF159=21,G157,"")</f>
        <v/>
      </c>
      <c r="CS157" s="419" t="str">
        <f>IF(K162=1,G157,"")</f>
        <v/>
      </c>
      <c r="CT157" s="223" t="str">
        <f>IF(K162=2,G157,"")</f>
        <v/>
      </c>
      <c r="CU157" s="223" t="str">
        <f>IF(K162=3,G157,"")</f>
        <v/>
      </c>
      <c r="CV157" s="223" t="str">
        <f>IF(K162=4,G157,"")</f>
        <v/>
      </c>
      <c r="CW157" s="223" t="str">
        <f>IF(K162=5,G157,"")</f>
        <v/>
      </c>
      <c r="CX157" s="223" t="str">
        <f>IF(K162=6,G157,"")</f>
        <v/>
      </c>
      <c r="CY157" s="223" t="str">
        <f>IF(K162=7,G157,"")</f>
        <v/>
      </c>
      <c r="CZ157" s="223" t="str">
        <f>IF(K162=8,G157,"")</f>
        <v/>
      </c>
      <c r="DA157" s="223" t="str">
        <f>IF(K162=9,G157,"")</f>
        <v/>
      </c>
      <c r="DB157" s="223" t="str">
        <f>IF(K162=10,G157,"")</f>
        <v/>
      </c>
      <c r="DC157" s="223" t="str">
        <f>IF(K162=11,G157,"")</f>
        <v/>
      </c>
      <c r="DD157" s="223" t="str">
        <f>IF(K162=12,G157,"")</f>
        <v/>
      </c>
      <c r="DE157" s="223" t="str">
        <f>IF(K162=13,G157,"")</f>
        <v/>
      </c>
      <c r="DF157" s="223" t="str">
        <f>IF(K162=14,G157,"")</f>
        <v/>
      </c>
      <c r="DG157" s="223" t="str">
        <f>IF(K162=15,G157,"")</f>
        <v/>
      </c>
      <c r="DH157" s="223" t="str">
        <f>IF(K162=16,G157,"")</f>
        <v/>
      </c>
      <c r="DI157" s="223" t="str">
        <f>IF(K162=17,G157,"")</f>
        <v/>
      </c>
      <c r="DJ157" s="223" t="str">
        <f>IF(K162=18,G157,"")</f>
        <v/>
      </c>
      <c r="DK157" s="223">
        <f>IF(K162=19,G157,"")</f>
        <v>1000</v>
      </c>
      <c r="DL157" s="223" t="str">
        <f>IF(K162=20,G157,"")</f>
        <v/>
      </c>
      <c r="DM157" s="223"/>
      <c r="DN157" s="223"/>
      <c r="DO157" s="419" t="str">
        <f>IF(AG159=1,G157,"")</f>
        <v/>
      </c>
      <c r="DP157" s="223" t="str">
        <f>IF(AG159=2,G157,"")</f>
        <v/>
      </c>
      <c r="DQ157" s="223" t="str">
        <f>IF(AG159=3,G157,"")</f>
        <v/>
      </c>
      <c r="DR157" s="223" t="str">
        <f>IF(AG159=4,G157,"")</f>
        <v/>
      </c>
      <c r="DS157" s="223" t="str">
        <f>IF(AG159=5,G157,"")</f>
        <v/>
      </c>
      <c r="DT157" s="223" t="str">
        <f>IF(AG159=6,G157,"")</f>
        <v/>
      </c>
      <c r="DU157" s="223" t="str">
        <f>IF(AG159=7,G157,"")</f>
        <v/>
      </c>
      <c r="DV157" s="223" t="str">
        <f>IF(AG159=8,G157,"")</f>
        <v/>
      </c>
      <c r="DW157" s="136" t="str">
        <f>IF(AG159=9,G157,"")</f>
        <v/>
      </c>
      <c r="DX157" s="136" t="str">
        <f>IF(AG159=10,G157,"")</f>
        <v/>
      </c>
      <c r="DY157" s="136" t="str">
        <f>IF(AG159=11,G157,"")</f>
        <v/>
      </c>
      <c r="DZ157" s="136" t="str">
        <f>IF(AG159=12,G157,"")</f>
        <v/>
      </c>
      <c r="EA157" s="136" t="str">
        <f>IF(AG159=13,G157,"")</f>
        <v/>
      </c>
      <c r="EB157" s="136" t="str">
        <f>IF(AG159=14,G157,"")</f>
        <v/>
      </c>
      <c r="EC157" s="317" t="str">
        <f>IF(AG159=15,G157,"")</f>
        <v/>
      </c>
      <c r="ED157" s="136" t="str">
        <f>IF(AG159=16,G157,"")</f>
        <v/>
      </c>
      <c r="EE157" s="136" t="str">
        <f>IF(AG159=17,G157,"")</f>
        <v/>
      </c>
      <c r="EF157" s="136" t="str">
        <f>IF(AG159=18,G157,"")</f>
        <v/>
      </c>
      <c r="EG157" s="136" t="str">
        <f>IF(AG159=19,G157,"")</f>
        <v/>
      </c>
      <c r="EH157" s="136" t="str">
        <f>IF(AG159=20,G157,"")</f>
        <v/>
      </c>
      <c r="EI157" s="136" t="str">
        <f>IF(AG159=21,G157,"")</f>
        <v/>
      </c>
      <c r="EJ157" s="136" t="str">
        <f>IF(AG159=22,G157,"")</f>
        <v/>
      </c>
      <c r="EK157" s="136" t="str">
        <f>IF(AG159=23,G157,"")</f>
        <v/>
      </c>
      <c r="EL157" s="136" t="str">
        <f>IF(AG159=24,G157,"")</f>
        <v/>
      </c>
      <c r="EM157" s="136" t="str">
        <f>IF(AG159=25,G157,"")</f>
        <v/>
      </c>
      <c r="EN157" s="136">
        <f>IF(AG159=26,G157,"")</f>
        <v>1000</v>
      </c>
      <c r="EO157" s="136" t="str">
        <f>IF(AG159=27,G157,"")</f>
        <v/>
      </c>
      <c r="EP157" s="136" t="str">
        <f>IF(AG159=28,G157,"")</f>
        <v/>
      </c>
      <c r="EQ157" s="136" t="str">
        <f>IF(AG159=29,G157,"")</f>
        <v/>
      </c>
      <c r="ER157" s="136" t="str">
        <f>IF(AG159=30,G157,"")</f>
        <v/>
      </c>
      <c r="ES157" s="136" t="str">
        <f>IF(AG159=31,G157,"")</f>
        <v/>
      </c>
      <c r="ET157" s="136" t="str">
        <f>IF(AG159=32,G157,"")</f>
        <v/>
      </c>
      <c r="EU157" s="136" t="str">
        <f>IF(AG159=33,G157,"")</f>
        <v/>
      </c>
      <c r="EV157" s="136" t="str">
        <f>IF(AG159=34,G157,"")</f>
        <v/>
      </c>
      <c r="EW157" s="136" t="str">
        <f>IF(AG159=35,G157,"")</f>
        <v/>
      </c>
      <c r="EX157" s="136" t="str">
        <f>IF(AG159=36,G157,"")</f>
        <v/>
      </c>
      <c r="EY157" s="136" t="str">
        <f>IF(AG159=37,G157,"")</f>
        <v/>
      </c>
      <c r="EZ157" s="136" t="str">
        <f>IF(AG159=38,G157,"")</f>
        <v/>
      </c>
      <c r="FA157" s="136" t="str">
        <f>IF(AG159=39,G157,"")</f>
        <v/>
      </c>
      <c r="FB157" s="136" t="str">
        <f>IF(AG159=40,G157,"")</f>
        <v/>
      </c>
      <c r="FC157" s="136" t="str">
        <f>IF(AG159=41,G157,"")</f>
        <v/>
      </c>
      <c r="FD157" s="136" t="str">
        <f>IF(AG159=42,G157,"")</f>
        <v/>
      </c>
      <c r="FE157" s="136" t="str">
        <f>IF(AG159=43,G157,"")</f>
        <v/>
      </c>
      <c r="FF157" s="136" t="str">
        <f>IF(AG159=44,G157,"")</f>
        <v/>
      </c>
      <c r="FG157" s="136" t="str">
        <f>IF(AG159=45,G157,"")</f>
        <v/>
      </c>
      <c r="FH157" s="136" t="str">
        <f>IF(AG159=46,G157,"")</f>
        <v/>
      </c>
      <c r="FI157" s="136" t="str">
        <f>IF(AG159=47,G157,"")</f>
        <v/>
      </c>
      <c r="FJ157" s="136" t="str">
        <f>IF(AG159=48,G157,"")</f>
        <v/>
      </c>
      <c r="FK157" s="136" t="str">
        <f>IF(AG159=49,G157,"")</f>
        <v/>
      </c>
      <c r="FL157" s="136" t="str">
        <f>IF(AG159=50,G157,"")</f>
        <v/>
      </c>
      <c r="FM157" s="136" t="str">
        <f>IF(AG159=51,G157,"")</f>
        <v/>
      </c>
      <c r="FN157" s="136" t="str">
        <f>IF(AG159=52,G157,"")</f>
        <v/>
      </c>
      <c r="FO157" s="136" t="str">
        <f>IF(AG159=53,G157,"")</f>
        <v/>
      </c>
      <c r="FP157" s="136" t="str">
        <f>IF(AG159=54,G157,"")</f>
        <v/>
      </c>
      <c r="FQ157" s="136" t="str">
        <f>IF(AG159=55,G157,"")</f>
        <v/>
      </c>
      <c r="FR157" s="412" t="str">
        <f>IF(AG159=56,G157,"")</f>
        <v/>
      </c>
      <c r="FS157" s="412" t="str">
        <f>IF(AG159=57,G157,"")</f>
        <v/>
      </c>
      <c r="FT157" s="412" t="str">
        <f>IF(AG159=58,G157,"")</f>
        <v/>
      </c>
      <c r="FU157" s="412" t="str">
        <f>IF(AG159=59,G157,"")</f>
        <v/>
      </c>
      <c r="FV157" s="412" t="str">
        <f>IF(AG159=60,G157,"")</f>
        <v/>
      </c>
      <c r="FW157" s="412" t="str">
        <f>IF(AG159=61,G157,"")</f>
        <v/>
      </c>
      <c r="FX157" s="412" t="str">
        <f>IF(AG159=62,G157,"")</f>
        <v/>
      </c>
      <c r="FY157" s="412" t="str">
        <f>IF(AG159=63,G157,"")</f>
        <v/>
      </c>
      <c r="FZ157" s="412" t="str">
        <f>IF(AG159=64,G157,"")</f>
        <v/>
      </c>
      <c r="GA157" s="412" t="str">
        <f>IF(AG159=65,G157,"")</f>
        <v/>
      </c>
      <c r="GB157" s="412" t="str">
        <f>IF(AG159=66,G157,"")</f>
        <v/>
      </c>
      <c r="GC157" s="412" t="str">
        <f>IF(AG159=67,G157,"")</f>
        <v/>
      </c>
      <c r="GD157" s="412" t="str">
        <f>IF(AG159=68,G157,"")</f>
        <v/>
      </c>
      <c r="GE157" s="412" t="str">
        <f>IF(AG159=69,G157,"")</f>
        <v/>
      </c>
      <c r="GF157" s="412" t="str">
        <f>IF(AG159=70,G157,"")</f>
        <v/>
      </c>
      <c r="GG157" s="412" t="str">
        <f>IF(AG159=71,G157,"")</f>
        <v/>
      </c>
      <c r="GH157" s="412" t="str">
        <f>IF(AG159=72,G157,"")</f>
        <v/>
      </c>
      <c r="GI157" s="412" t="str">
        <f>IF(AG159=73,G157,"")</f>
        <v/>
      </c>
      <c r="GJ157" s="412" t="str">
        <f>IF(AG159=74,G157,"")</f>
        <v/>
      </c>
      <c r="GK157" s="412" t="str">
        <f>IF(AG159=75,G157,"")</f>
        <v/>
      </c>
      <c r="GL157" s="412" t="str">
        <f>IF(AG159=76,G157,"")</f>
        <v/>
      </c>
      <c r="GM157" s="412" t="str">
        <f>IF(AG159=77,G157,"")</f>
        <v/>
      </c>
      <c r="GN157" s="412" t="str">
        <f>IF(AG159=78,G157,"")</f>
        <v/>
      </c>
      <c r="GO157" s="412" t="str">
        <f>IF(AG159=79,G157,"")</f>
        <v/>
      </c>
      <c r="GP157" s="412" t="str">
        <f>IF(AG159=80,G157,"")</f>
        <v/>
      </c>
      <c r="GQ157" s="412" t="str">
        <f>IF(AG159=81,G157,"")</f>
        <v/>
      </c>
      <c r="GR157" s="412" t="str">
        <f>IF(AG159=82,G157,"")</f>
        <v/>
      </c>
      <c r="GS157" s="412" t="str">
        <f>IF(AG159=83,G157,"")</f>
        <v/>
      </c>
      <c r="GT157" s="412" t="str">
        <f>IF(AG159=84,G157,"")</f>
        <v/>
      </c>
      <c r="GU157" s="412" t="str">
        <f>IF(AG159=85,G157,"")</f>
        <v/>
      </c>
      <c r="GV157" s="412" t="str">
        <f>IF(AG159=86,G157,"")</f>
        <v/>
      </c>
      <c r="GW157" s="412" t="str">
        <f>IF(AG159=87,G157,"")</f>
        <v/>
      </c>
      <c r="GX157" s="412" t="str">
        <f>IF(AG159=88,G157,"")</f>
        <v/>
      </c>
      <c r="GY157" s="412" t="str">
        <f>IF(AG159=89,G157,"")</f>
        <v/>
      </c>
      <c r="GZ157" s="412" t="str">
        <f>IF(AG159=90,G157,"")</f>
        <v/>
      </c>
      <c r="HA157" s="412" t="str">
        <f>IF(AG159=91,G157,"")</f>
        <v/>
      </c>
      <c r="HB157" s="412" t="str">
        <f>IF(AG159=92,G157,"")</f>
        <v/>
      </c>
      <c r="HC157" s="412" t="str">
        <f>IF(AG159=93,G157,"")</f>
        <v/>
      </c>
      <c r="HD157" s="412"/>
      <c r="HE157" s="412"/>
      <c r="HF157" s="412"/>
      <c r="HG157" s="412"/>
      <c r="HH157" s="412"/>
      <c r="HI157" s="412"/>
      <c r="HJ157" s="412"/>
      <c r="HK157" s="412"/>
      <c r="HL157" s="412"/>
      <c r="HM157" s="412"/>
      <c r="HN157" s="412"/>
      <c r="HO157" s="412"/>
      <c r="HP157" s="412"/>
      <c r="HQ157" s="412"/>
      <c r="HR157" s="412"/>
      <c r="HS157" s="412"/>
      <c r="HT157" s="412"/>
      <c r="HU157" s="278">
        <f ca="1">IF(AF159=1,AB157,"")</f>
        <v>851.5250764611651</v>
      </c>
      <c r="HV157" s="277" t="str">
        <f>IF(AF159=2,AB157,"")</f>
        <v/>
      </c>
      <c r="HW157" s="277" t="str">
        <f>IF(AF159=3,AB157,"")</f>
        <v/>
      </c>
      <c r="HX157" s="277" t="str">
        <f>IF(AF159=4,AB157,"")</f>
        <v/>
      </c>
      <c r="HY157" s="277" t="str">
        <f>IF(AF159=5,AB157,"")</f>
        <v/>
      </c>
      <c r="HZ157" s="277" t="str">
        <f>IF(AF159=6,AB157,"")</f>
        <v/>
      </c>
      <c r="IA157" s="277" t="str">
        <f>IF(AF159=7,AB157,"")</f>
        <v/>
      </c>
      <c r="IB157" s="277" t="str">
        <f>IF(AF159=8,AB157,"")</f>
        <v/>
      </c>
      <c r="IC157" s="277" t="str">
        <f>IF(AF159=9,AB157,"")</f>
        <v/>
      </c>
      <c r="ID157" s="412" t="str">
        <f>IF(AF159=10,AB157,"")</f>
        <v/>
      </c>
      <c r="IE157" s="223" t="str">
        <f>IF(AF159=11,AB157,"")</f>
        <v/>
      </c>
      <c r="IF157" s="223" t="str">
        <f>IF(AF159=12,AB157,"")</f>
        <v/>
      </c>
      <c r="IG157" s="223" t="str">
        <f>IF(AF159=13,AB157,"")</f>
        <v/>
      </c>
      <c r="IH157" s="223" t="str">
        <f>IF(AF159=14,AB157,"")</f>
        <v/>
      </c>
      <c r="II157" s="223" t="str">
        <f>IF(AF159=15,AB157,"")</f>
        <v/>
      </c>
      <c r="IJ157" s="223" t="str">
        <f>IF(AF159=16,AB157,"")</f>
        <v/>
      </c>
      <c r="IK157" s="223" t="str">
        <f>IF(AF159=17,AB157,"")</f>
        <v/>
      </c>
      <c r="IL157" s="223" t="str">
        <f>IF(AF159=18,AB157,"")</f>
        <v/>
      </c>
      <c r="IM157" s="223" t="str">
        <f>IF(AF159=19,AB157,"")</f>
        <v/>
      </c>
      <c r="IN157" s="223" t="str">
        <f>IF(AF159=20,AB157,"")</f>
        <v/>
      </c>
      <c r="IO157" s="223" t="str">
        <f>IF(AF159=21,AB157,"")</f>
        <v/>
      </c>
      <c r="IP157" s="413"/>
      <c r="IQ157" s="478" t="str">
        <f>IF(G162=6,G157,"")</f>
        <v/>
      </c>
      <c r="IR157" s="317" t="str">
        <f>IF(G162=7,G157,"")</f>
        <v/>
      </c>
      <c r="IS157" s="478" t="str">
        <f>IF(G162=8,G157,"")</f>
        <v/>
      </c>
      <c r="IT157" s="317" t="str">
        <f>IF(G162=9,G157,"")</f>
        <v/>
      </c>
      <c r="IU157" s="478" t="str">
        <f>IF(G162=10,G157,"")</f>
        <v/>
      </c>
      <c r="IV157" s="478" t="str">
        <f>IF(G162=11,G157,"")</f>
        <v/>
      </c>
      <c r="IW157" s="478" t="str">
        <f>IF(G162=12,G157,"")</f>
        <v/>
      </c>
      <c r="IX157" s="478" t="str">
        <f>IF(G162=13,G157,"")</f>
        <v/>
      </c>
      <c r="IY157" s="478" t="str">
        <f>IF(G162=14,G157,"")</f>
        <v/>
      </c>
      <c r="IZ157" s="478" t="str">
        <f>IF(G162=15,G157,"")</f>
        <v/>
      </c>
      <c r="JA157" s="478" t="str">
        <f>IF(G162=16,G157,"")</f>
        <v/>
      </c>
      <c r="JB157" s="478" t="str">
        <f>IF(G162=17,G157,"")</f>
        <v/>
      </c>
      <c r="JC157" s="478" t="str">
        <f>IF(G162=18,G157,"")</f>
        <v/>
      </c>
      <c r="JD157" s="478" t="str">
        <f>IF(G162=19,G157,"")</f>
        <v/>
      </c>
      <c r="JE157" s="478" t="str">
        <f>IF(G162=20,G157,"")</f>
        <v/>
      </c>
      <c r="JF157" s="478" t="str">
        <f>IF(G162=21,G157,"")</f>
        <v/>
      </c>
      <c r="JG157" s="478" t="str">
        <f>IF(G162=22,G157,"")</f>
        <v/>
      </c>
      <c r="JH157" s="478" t="str">
        <f>IF(G162=23,G157,"")</f>
        <v/>
      </c>
      <c r="JI157" s="478" t="str">
        <f>IF(G162=24,G157,"")</f>
        <v/>
      </c>
      <c r="JJ157" s="478" t="str">
        <f>IF(G162=25,G157,"")</f>
        <v/>
      </c>
      <c r="JK157" s="478" t="str">
        <f>IF(G162=26,G157,"")</f>
        <v/>
      </c>
      <c r="JL157" s="478" t="str">
        <f>IF(G162=27,G157,"")</f>
        <v/>
      </c>
      <c r="JM157" s="478">
        <f>IF(G162=28,G157,"")</f>
        <v>1000</v>
      </c>
      <c r="JN157" s="478" t="str">
        <f>IF(G162=29,G157,"")</f>
        <v/>
      </c>
      <c r="JO157" s="478" t="str">
        <f>IF(G162=30,G157,"")</f>
        <v/>
      </c>
      <c r="JP157" s="445"/>
      <c r="JQ157" s="481">
        <f>IF(AND(AJ161=4,K162=1,G162&lt;=3),G157,0)</f>
        <v>0</v>
      </c>
      <c r="JR157" s="445"/>
      <c r="JS157" s="445"/>
      <c r="JT157" s="480" t="str">
        <f>IF(AF159&gt;1,((A158/F158)-(A158/E158)),"")</f>
        <v/>
      </c>
      <c r="JU157" s="479" t="str">
        <f>IF(AF159=2,((A158/F158)-(A158/E158)),"")</f>
        <v/>
      </c>
      <c r="JV157" s="479" t="str">
        <f>IF(AF159=3,((A158/F158)-(A158/E158)),"")</f>
        <v/>
      </c>
      <c r="JW157" s="479" t="str">
        <f>IF(AF159=4,((A158/F158)-(A158/E158)),"")</f>
        <v/>
      </c>
      <c r="JX157" s="479" t="str">
        <f>IF(AF159=5,((A158/F158)-(A158/E158)),"")</f>
        <v/>
      </c>
      <c r="JY157" s="479" t="str">
        <f>IF(AF159=6,((A158/F158)-(A158/E158)),"")</f>
        <v/>
      </c>
      <c r="JZ157" s="479" t="str">
        <f>IF(AF159=7,((A158/F158)-(A158/E158)),"")</f>
        <v/>
      </c>
      <c r="KA157" s="478" t="str">
        <f>IF(AF159=8,((A158/F158)-(A158/E158)),"")</f>
        <v/>
      </c>
      <c r="KB157" s="478" t="str">
        <f>IF(AF159=9,((A158/F158)-(A158/E158)),"")</f>
        <v/>
      </c>
      <c r="KC157" s="478" t="str">
        <f>IF(AF159=10,((A158/F158)-(A158/E158)),"")</f>
        <v/>
      </c>
      <c r="KD157" s="478" t="str">
        <f>IF(AF159=11,((A158/F158)-(A158/E158)),"")</f>
        <v/>
      </c>
      <c r="KE157" s="478" t="str">
        <f>IF(AF159=12,((A158/F158)-(A158/E158)),"")</f>
        <v/>
      </c>
      <c r="KF157" s="478" t="str">
        <f>IF(AF159=13,((A158/F158)-(A158/E158)),"")</f>
        <v/>
      </c>
      <c r="KG157" s="478" t="str">
        <f>IF(AF159=14,((A158/F158)-(A158/E158)),"")</f>
        <v/>
      </c>
      <c r="KH157" s="478" t="str">
        <f>IF(AF159=15,((A158/F158)-(A158/E158)),"")</f>
        <v/>
      </c>
      <c r="KI157" s="478" t="str">
        <f>IF(AF159=16,((A158/F158)-(A158/E158)),"")</f>
        <v/>
      </c>
      <c r="KJ157" s="478" t="str">
        <f>IF(AF159=17,((A158/F158)-(A158/E158)),"")</f>
        <v/>
      </c>
      <c r="KK157" s="478" t="str">
        <f>IF(AF159=18,((A158/F158)-(A158/E158)),"")</f>
        <v/>
      </c>
      <c r="KL157" s="478" t="str">
        <f>IF(AF159=19,((A158/F158)-(A158/E158)),"")</f>
        <v/>
      </c>
      <c r="KM157" s="478" t="str">
        <f>IF(AF159=20,((A158/F158)-(A158/E158)),"")</f>
        <v/>
      </c>
      <c r="KN157" s="445"/>
      <c r="KO157" s="445"/>
      <c r="KP157" s="445"/>
    </row>
    <row r="158" spans="1:302" s="23" customFormat="1" ht="11.1" customHeight="1">
      <c r="A158" s="8"/>
      <c r="B158" s="541" t="s">
        <v>478</v>
      </c>
      <c r="C158" s="15"/>
      <c r="D158" s="828">
        <f>IF(WEEKDAY(D157,2)=4,D157+4,IF(WEEKDAY(D157,2)=5,D157+4,D157+2))</f>
        <v>45141</v>
      </c>
      <c r="E158" s="475"/>
      <c r="F158" s="482"/>
      <c r="G158" s="223"/>
      <c r="H158" s="223"/>
      <c r="I158" s="586"/>
      <c r="J158" s="223"/>
      <c r="K158" s="585">
        <v>1</v>
      </c>
      <c r="L158" s="1"/>
      <c r="M158" s="223"/>
      <c r="N158" s="223"/>
      <c r="O158" s="223"/>
      <c r="P158" s="216"/>
      <c r="Q158" s="974"/>
      <c r="R158" s="974"/>
      <c r="S158" s="4"/>
      <c r="T158" s="431"/>
      <c r="U158" s="469"/>
      <c r="V158" s="4"/>
      <c r="W158" s="469"/>
      <c r="X158" s="442"/>
      <c r="Y158" s="456"/>
      <c r="Z158" s="456"/>
      <c r="AA158" s="22"/>
      <c r="AB158" s="360"/>
      <c r="AC158" s="431"/>
      <c r="AD158" s="825">
        <f>IF(E158="",((P157-E157)/E157),((P157-E157)/E157)+(((1/F158)-(1/E158))/(1/E158)))</f>
        <v>3.4198175485747571E-2</v>
      </c>
      <c r="AE158" s="431"/>
      <c r="AF158" s="279" t="s">
        <v>65</v>
      </c>
      <c r="AG158" s="824"/>
      <c r="AH158" s="993" t="s">
        <v>177</v>
      </c>
      <c r="AI158" s="564"/>
      <c r="AJ158" s="824"/>
      <c r="AK158" s="538"/>
      <c r="AL158" s="967">
        <v>98.55</v>
      </c>
      <c r="AM158" s="537" t="s">
        <v>176</v>
      </c>
      <c r="AN158" s="179">
        <v>3.5</v>
      </c>
      <c r="AO158" s="179">
        <f>IF(B162=2,"0",AO157*-(100-F161)/100)</f>
        <v>-2.0427762500000002</v>
      </c>
      <c r="AP158" s="463">
        <f>IF(AP159&lt;0,0,AP159*-(100-F161)/100)</f>
        <v>-0.42711406920600942</v>
      </c>
      <c r="AQ158" s="179"/>
      <c r="AR158" s="463">
        <f>AR161*-(100-F162)/100</f>
        <v>-5.15625</v>
      </c>
      <c r="AS158" s="471">
        <f>-AP157+AS161+(F157/365*AN161*F162/100)*G157</f>
        <v>735.53308627306217</v>
      </c>
      <c r="AT158" s="419"/>
      <c r="AU158" s="420"/>
      <c r="AV158" s="223"/>
      <c r="AW158" s="420"/>
      <c r="AX158" s="417"/>
      <c r="AY158" s="420"/>
      <c r="AZ158" s="223"/>
      <c r="BA158" s="419"/>
      <c r="BB158" s="223"/>
      <c r="BC158" s="223"/>
      <c r="BD158" s="223"/>
      <c r="BE158" s="223"/>
      <c r="BF158" s="416"/>
      <c r="BG158" s="418"/>
      <c r="BH158" s="416"/>
      <c r="BI158" s="416"/>
      <c r="BJ158" s="416"/>
      <c r="BK158" s="418"/>
      <c r="BL158" s="417"/>
      <c r="BM158" s="417"/>
      <c r="BN158" s="417"/>
      <c r="BO158" s="417"/>
      <c r="BP158" s="417"/>
      <c r="BQ158" s="417"/>
      <c r="BR158" s="417"/>
      <c r="BS158" s="417"/>
      <c r="BT158" s="412"/>
      <c r="BU158" s="412"/>
      <c r="BV158" s="412"/>
      <c r="BW158" s="412"/>
      <c r="BX158" s="415"/>
      <c r="BY158" s="389"/>
      <c r="BZ158" s="389"/>
      <c r="CA158" s="389"/>
      <c r="CB158" s="389"/>
      <c r="CC158" s="389"/>
      <c r="CD158" s="389"/>
      <c r="CE158" s="389"/>
      <c r="CF158" s="389"/>
      <c r="CG158" s="389"/>
      <c r="CH158" s="389"/>
      <c r="CI158" s="389"/>
      <c r="CJ158" s="389"/>
      <c r="CK158" s="389"/>
      <c r="CL158" s="389"/>
      <c r="CM158" s="389"/>
      <c r="CN158" s="389"/>
      <c r="CO158" s="389"/>
      <c r="CP158" s="389"/>
      <c r="CQ158" s="389"/>
      <c r="CR158" s="389"/>
      <c r="CS158" s="415"/>
      <c r="CT158" s="389"/>
      <c r="CU158" s="389"/>
      <c r="CV158" s="389"/>
      <c r="CW158" s="389"/>
      <c r="CX158" s="389"/>
      <c r="CY158" s="389"/>
      <c r="CZ158" s="389"/>
      <c r="DA158" s="389"/>
      <c r="DB158" s="389"/>
      <c r="DC158" s="389"/>
      <c r="DD158" s="389"/>
      <c r="DE158" s="389"/>
      <c r="DF158" s="389"/>
      <c r="DG158" s="389"/>
      <c r="DH158" s="389"/>
      <c r="DI158" s="389"/>
      <c r="DJ158" s="389"/>
      <c r="DK158" s="389"/>
      <c r="DL158" s="389"/>
      <c r="DM158" s="389"/>
      <c r="DN158" s="389"/>
      <c r="DO158" s="414"/>
      <c r="DP158" s="39"/>
      <c r="DQ158" s="39"/>
      <c r="DR158" s="39"/>
      <c r="DS158" s="39"/>
      <c r="DT158" s="39"/>
      <c r="DU158" s="39"/>
      <c r="DV158" s="39"/>
      <c r="DW158" s="39"/>
      <c r="DX158" s="39"/>
      <c r="DY158" s="39"/>
      <c r="DZ158" s="39"/>
      <c r="EA158" s="39"/>
      <c r="EB158" s="39"/>
      <c r="EC158" s="39"/>
      <c r="ED158" s="136"/>
      <c r="EE158" s="136"/>
      <c r="EF158" s="136"/>
      <c r="EG158" s="136"/>
      <c r="EH158" s="136"/>
      <c r="EI158" s="136"/>
      <c r="EJ158" s="136"/>
      <c r="EK158" s="136"/>
      <c r="EL158" s="136"/>
      <c r="EM158" s="136"/>
      <c r="EN158" s="136"/>
      <c r="EO158" s="136"/>
      <c r="EP158" s="136"/>
      <c r="EQ158" s="136"/>
      <c r="ER158" s="136"/>
      <c r="ES158" s="136"/>
      <c r="ET158" s="136"/>
      <c r="EU158" s="136"/>
      <c r="EV158" s="136"/>
      <c r="EW158" s="136"/>
      <c r="EX158" s="136"/>
      <c r="EY158" s="136"/>
      <c r="EZ158" s="136"/>
      <c r="FA158" s="136"/>
      <c r="FB158" s="136"/>
      <c r="FC158" s="136"/>
      <c r="FD158" s="136"/>
      <c r="FE158" s="136"/>
      <c r="FF158" s="136"/>
      <c r="FG158" s="136"/>
      <c r="FH158" s="136"/>
      <c r="FI158" s="136"/>
      <c r="FJ158" s="136"/>
      <c r="FK158" s="136"/>
      <c r="FL158" s="136"/>
      <c r="FM158" s="136"/>
      <c r="FN158" s="136"/>
      <c r="FO158" s="39"/>
      <c r="FP158" s="39"/>
      <c r="FQ158" s="39"/>
      <c r="FR158" s="412"/>
      <c r="FS158" s="412"/>
      <c r="FT158" s="412"/>
      <c r="FU158" s="412"/>
      <c r="FV158" s="412"/>
      <c r="FW158" s="412"/>
      <c r="FX158" s="412"/>
      <c r="FY158" s="412"/>
      <c r="FZ158" s="412"/>
      <c r="GA158" s="412"/>
      <c r="GB158" s="412"/>
      <c r="GC158" s="412"/>
      <c r="GD158" s="412"/>
      <c r="GE158" s="412"/>
      <c r="GF158" s="412"/>
      <c r="GG158" s="412"/>
      <c r="GH158" s="412"/>
      <c r="GI158" s="412"/>
      <c r="GJ158" s="412"/>
      <c r="GK158" s="412"/>
      <c r="GL158" s="412"/>
      <c r="GM158" s="412"/>
      <c r="GN158" s="412"/>
      <c r="GO158" s="412"/>
      <c r="GP158" s="412"/>
      <c r="GQ158" s="412"/>
      <c r="GR158" s="412"/>
      <c r="GS158" s="412"/>
      <c r="GT158" s="412"/>
      <c r="GU158" s="412"/>
      <c r="GV158" s="412"/>
      <c r="GW158" s="412"/>
      <c r="GX158" s="412"/>
      <c r="GY158" s="412"/>
      <c r="GZ158" s="412"/>
      <c r="HA158" s="412"/>
      <c r="HB158" s="412"/>
      <c r="HC158" s="412"/>
      <c r="HD158" s="412"/>
      <c r="HE158" s="412"/>
      <c r="HF158" s="412"/>
      <c r="HG158" s="412"/>
      <c r="HH158" s="412"/>
      <c r="HI158" s="412"/>
      <c r="HJ158" s="412"/>
      <c r="HK158" s="412"/>
      <c r="HL158" s="412"/>
      <c r="HM158" s="412"/>
      <c r="HN158" s="412"/>
      <c r="HO158" s="412"/>
      <c r="HP158" s="412"/>
      <c r="HQ158" s="412"/>
      <c r="HR158" s="412"/>
      <c r="HS158" s="412"/>
      <c r="HT158" s="412"/>
      <c r="HU158" s="278"/>
      <c r="HV158" s="277"/>
      <c r="HW158" s="277"/>
      <c r="HX158" s="277"/>
      <c r="HY158" s="277"/>
      <c r="HZ158" s="277"/>
      <c r="IA158" s="277"/>
      <c r="IB158" s="277"/>
      <c r="IC158" s="277"/>
      <c r="ID158" s="412"/>
      <c r="IE158" s="412"/>
      <c r="IF158" s="412"/>
      <c r="IG158" s="412"/>
      <c r="IH158" s="412"/>
      <c r="II158" s="412"/>
      <c r="IJ158" s="412"/>
      <c r="IK158" s="412"/>
      <c r="IL158" s="412"/>
      <c r="IM158" s="412"/>
      <c r="IN158" s="412"/>
      <c r="IO158" s="412"/>
      <c r="IP158" s="413"/>
      <c r="IQ158" s="389"/>
      <c r="IR158" s="389"/>
      <c r="IS158" s="389"/>
      <c r="IT158" s="389"/>
      <c r="IU158" s="389"/>
      <c r="IV158" s="389"/>
      <c r="IW158" s="389"/>
      <c r="IX158" s="389"/>
      <c r="IY158" s="389"/>
      <c r="IZ158" s="389"/>
      <c r="JA158" s="389"/>
      <c r="JB158" s="389"/>
      <c r="JC158" s="389"/>
      <c r="JD158" s="389"/>
      <c r="JE158" s="389"/>
      <c r="JF158" s="389"/>
      <c r="JG158" s="389"/>
      <c r="JH158" s="389"/>
      <c r="JI158" s="389"/>
      <c r="JJ158" s="389"/>
      <c r="JK158" s="389"/>
      <c r="JL158" s="389"/>
      <c r="JM158" s="389"/>
      <c r="JN158" s="389"/>
      <c r="JO158" s="389"/>
      <c r="JP158" s="14"/>
      <c r="JQ158" s="14"/>
      <c r="JR158" s="14"/>
      <c r="JS158" s="14"/>
      <c r="JT158" s="553"/>
      <c r="JU158" s="14"/>
      <c r="JV158" s="14"/>
      <c r="JW158" s="14"/>
      <c r="JX158" s="14"/>
      <c r="JY158" s="14"/>
      <c r="JZ158" s="14"/>
      <c r="KA158" s="14"/>
      <c r="KB158" s="14"/>
      <c r="KC158" s="14"/>
      <c r="KD158" s="14"/>
      <c r="KE158" s="14"/>
      <c r="KF158" s="14"/>
      <c r="KG158" s="14"/>
      <c r="KH158" s="14"/>
      <c r="KI158" s="14"/>
      <c r="KJ158" s="14"/>
      <c r="KK158" s="14"/>
      <c r="KL158" s="14"/>
      <c r="KM158" s="14"/>
      <c r="KN158" s="14"/>
      <c r="KO158" s="14"/>
      <c r="KP158" s="14"/>
    </row>
    <row r="159" spans="1:302" s="14" customFormat="1" ht="11.1" hidden="1" customHeight="1" outlineLevel="1">
      <c r="A159" s="8"/>
      <c r="B159" s="468">
        <f>VLOOKUP(B157,'[2]IBAN CONTI'!A$53:B$58,2,FALSE)</f>
        <v>5</v>
      </c>
      <c r="C159" s="536"/>
      <c r="D159" s="536"/>
      <c r="E159" s="766">
        <f ca="1">IF(B162=2,C157,COUPNCD($AB$2,C157,K159,AH161))</f>
        <v>45727</v>
      </c>
      <c r="F159" s="431"/>
      <c r="G159" s="431"/>
      <c r="H159" s="431"/>
      <c r="I159" s="528"/>
      <c r="J159" s="431"/>
      <c r="K159" s="223">
        <v>1</v>
      </c>
      <c r="L159" s="223"/>
      <c r="M159" s="223"/>
      <c r="N159" s="223"/>
      <c r="O159" s="223"/>
      <c r="P159" s="470"/>
      <c r="Q159" s="15"/>
      <c r="R159" s="15"/>
      <c r="S159" s="4"/>
      <c r="T159" s="431"/>
      <c r="U159" s="469"/>
      <c r="V159" s="4"/>
      <c r="W159" s="469"/>
      <c r="X159" s="442"/>
      <c r="Y159" s="456"/>
      <c r="Z159" s="456"/>
      <c r="AA159" s="22"/>
      <c r="AB159" s="979"/>
      <c r="AC159" s="979"/>
      <c r="AD159" s="219"/>
      <c r="AE159" s="219"/>
      <c r="AF159" s="468">
        <f>VLOOKUP(AF158,'[2]IBAN CONTI'!A$106:B$122,2,FALSE)</f>
        <v>1</v>
      </c>
      <c r="AG159" s="467">
        <f>VLOOKUP(A157,'[2]IBAN CONTI'!A$134:B$232,2,FALSE)</f>
        <v>26</v>
      </c>
      <c r="AH159" s="993"/>
      <c r="AI159" s="580"/>
      <c r="AJ159" s="990" t="s">
        <v>175</v>
      </c>
      <c r="AK159" s="991"/>
      <c r="AL159" s="22">
        <v>100</v>
      </c>
      <c r="AM159" s="535">
        <f>YEARFRAC(C157,AL157,AH161)</f>
        <v>20.414685749844431</v>
      </c>
      <c r="AN159" s="456">
        <f>IF(B162=2,0,D158-AL157)</f>
        <v>1757</v>
      </c>
      <c r="AO159" s="464">
        <f>IF(B162=2,AL158*(1+AM162)^AM161,AO160+AL158)</f>
        <v>98.891691255364805</v>
      </c>
      <c r="AP159" s="463">
        <f>IF(AF159=1,G157*AO160/100,A158/E158/100*AO160)</f>
        <v>3.4169125536480753</v>
      </c>
      <c r="AQ159" s="179"/>
      <c r="AR159" s="463">
        <f>AL162*G157/100</f>
        <v>998.1875</v>
      </c>
      <c r="AS159" s="462">
        <f>(AR162-AP162)*G157/100</f>
        <v>181.02313593079387</v>
      </c>
      <c r="AT159" s="419"/>
      <c r="AU159" s="420"/>
      <c r="AV159" s="223"/>
      <c r="AW159" s="420"/>
      <c r="AX159" s="417"/>
      <c r="AY159" s="420"/>
      <c r="AZ159" s="223"/>
      <c r="BA159" s="419"/>
      <c r="BB159" s="223"/>
      <c r="BC159" s="223"/>
      <c r="BD159" s="223"/>
      <c r="BE159" s="223"/>
      <c r="BF159" s="416"/>
      <c r="BG159" s="418"/>
      <c r="BH159" s="416"/>
      <c r="BI159" s="416"/>
      <c r="BJ159" s="416"/>
      <c r="BK159" s="418"/>
      <c r="BL159" s="417"/>
      <c r="BM159" s="416"/>
      <c r="BN159" s="416"/>
      <c r="BO159" s="416"/>
      <c r="BP159" s="416"/>
      <c r="BQ159" s="416"/>
      <c r="BR159" s="416"/>
      <c r="BS159" s="416"/>
      <c r="BT159" s="389"/>
      <c r="BU159" s="389"/>
      <c r="BV159" s="389"/>
      <c r="BW159" s="389"/>
      <c r="BX159" s="415"/>
      <c r="BY159" s="389"/>
      <c r="BZ159" s="389"/>
      <c r="CA159" s="389"/>
      <c r="CB159" s="389"/>
      <c r="CC159" s="389"/>
      <c r="CD159" s="389"/>
      <c r="CE159" s="389"/>
      <c r="CF159" s="389"/>
      <c r="CG159" s="389"/>
      <c r="CH159" s="389"/>
      <c r="CI159" s="389"/>
      <c r="CJ159" s="389"/>
      <c r="CK159" s="389"/>
      <c r="CL159" s="389"/>
      <c r="CM159" s="389"/>
      <c r="CN159" s="389"/>
      <c r="CO159" s="389"/>
      <c r="CP159" s="389"/>
      <c r="CQ159" s="389"/>
      <c r="CR159" s="389"/>
      <c r="CS159" s="415"/>
      <c r="CT159" s="389"/>
      <c r="CU159" s="389"/>
      <c r="CV159" s="389"/>
      <c r="CW159" s="389"/>
      <c r="CX159" s="389"/>
      <c r="CY159" s="389"/>
      <c r="CZ159" s="389"/>
      <c r="DA159" s="389"/>
      <c r="DB159" s="389"/>
      <c r="DC159" s="389"/>
      <c r="DD159" s="389"/>
      <c r="DE159" s="389"/>
      <c r="DF159" s="389"/>
      <c r="DG159" s="389"/>
      <c r="DH159" s="389"/>
      <c r="DI159" s="389"/>
      <c r="DJ159" s="389"/>
      <c r="DK159" s="389"/>
      <c r="DL159" s="389"/>
      <c r="DM159" s="389"/>
      <c r="DN159" s="389"/>
      <c r="DO159" s="414"/>
      <c r="DP159" s="39"/>
      <c r="DQ159" s="39"/>
      <c r="DR159" s="39"/>
      <c r="DS159" s="39"/>
      <c r="DT159" s="39"/>
      <c r="DU159" s="39"/>
      <c r="DV159" s="39"/>
      <c r="DW159" s="39"/>
      <c r="DX159" s="39"/>
      <c r="DY159" s="39"/>
      <c r="DZ159" s="39"/>
      <c r="EA159" s="39"/>
      <c r="EB159" s="39"/>
      <c r="EC159" s="39"/>
      <c r="ED159" s="136"/>
      <c r="EE159" s="136"/>
      <c r="EF159" s="136"/>
      <c r="EG159" s="136"/>
      <c r="EH159" s="136"/>
      <c r="EI159" s="136"/>
      <c r="EJ159" s="136"/>
      <c r="EK159" s="136"/>
      <c r="EL159" s="136"/>
      <c r="EM159" s="136"/>
      <c r="EN159" s="136"/>
      <c r="EO159" s="136"/>
      <c r="EP159" s="136"/>
      <c r="EQ159" s="136"/>
      <c r="ER159" s="136"/>
      <c r="ES159" s="136"/>
      <c r="ET159" s="136"/>
      <c r="EU159" s="136"/>
      <c r="EV159" s="136"/>
      <c r="EW159" s="136"/>
      <c r="EX159" s="136"/>
      <c r="EY159" s="136"/>
      <c r="EZ159" s="136"/>
      <c r="FA159" s="136"/>
      <c r="FB159" s="136"/>
      <c r="FC159" s="136"/>
      <c r="FD159" s="136"/>
      <c r="FE159" s="136"/>
      <c r="FF159" s="136"/>
      <c r="FG159" s="136"/>
      <c r="FH159" s="136"/>
      <c r="FI159" s="136"/>
      <c r="FJ159" s="136"/>
      <c r="FK159" s="136"/>
      <c r="FL159" s="136"/>
      <c r="FM159" s="136"/>
      <c r="FN159" s="136"/>
      <c r="FO159" s="39"/>
      <c r="FP159" s="39"/>
      <c r="FQ159" s="39"/>
      <c r="FR159" s="412"/>
      <c r="FS159" s="412"/>
      <c r="FT159" s="412"/>
      <c r="FU159" s="412"/>
      <c r="FV159" s="412"/>
      <c r="FW159" s="412"/>
      <c r="FX159" s="412"/>
      <c r="FY159" s="412"/>
      <c r="FZ159" s="412"/>
      <c r="GA159" s="412"/>
      <c r="GB159" s="412"/>
      <c r="GC159" s="412"/>
      <c r="GD159" s="412"/>
      <c r="GE159" s="412"/>
      <c r="GF159" s="412"/>
      <c r="GG159" s="412"/>
      <c r="GH159" s="412"/>
      <c r="GI159" s="412"/>
      <c r="GJ159" s="412"/>
      <c r="GK159" s="412"/>
      <c r="GL159" s="412"/>
      <c r="GM159" s="412"/>
      <c r="GN159" s="412"/>
      <c r="GO159" s="412"/>
      <c r="GP159" s="412"/>
      <c r="GQ159" s="412"/>
      <c r="GR159" s="412"/>
      <c r="GS159" s="412"/>
      <c r="GT159" s="412"/>
      <c r="GU159" s="412"/>
      <c r="GV159" s="412"/>
      <c r="GW159" s="412"/>
      <c r="GX159" s="412"/>
      <c r="GY159" s="412"/>
      <c r="GZ159" s="412"/>
      <c r="HA159" s="412"/>
      <c r="HB159" s="412"/>
      <c r="HC159" s="412"/>
      <c r="HD159" s="412"/>
      <c r="HE159" s="412"/>
      <c r="HF159" s="412"/>
      <c r="HG159" s="412"/>
      <c r="HH159" s="412"/>
      <c r="HI159" s="412"/>
      <c r="HJ159" s="412"/>
      <c r="HK159" s="412"/>
      <c r="HL159" s="412"/>
      <c r="HM159" s="412"/>
      <c r="HN159" s="412"/>
      <c r="HO159" s="412"/>
      <c r="HP159" s="412"/>
      <c r="HQ159" s="412"/>
      <c r="HR159" s="412"/>
      <c r="HS159" s="412"/>
      <c r="HT159" s="412"/>
      <c r="HU159" s="278"/>
      <c r="HV159" s="277"/>
      <c r="HW159" s="277"/>
      <c r="HX159" s="277"/>
      <c r="HY159" s="277"/>
      <c r="HZ159" s="277"/>
      <c r="IA159" s="277"/>
      <c r="IB159" s="277"/>
      <c r="IC159" s="277"/>
      <c r="ID159" s="412"/>
      <c r="IE159" s="412"/>
      <c r="IF159" s="412"/>
      <c r="IG159" s="412"/>
      <c r="IH159" s="412"/>
      <c r="II159" s="412"/>
      <c r="IJ159" s="412"/>
      <c r="IK159" s="412"/>
      <c r="IL159" s="412"/>
      <c r="IM159" s="412"/>
      <c r="IN159" s="412"/>
      <c r="IO159" s="412"/>
      <c r="IP159" s="413"/>
      <c r="IQ159" s="389"/>
      <c r="IR159" s="389"/>
      <c r="IS159" s="389"/>
      <c r="IT159" s="389"/>
      <c r="IU159" s="389"/>
      <c r="IV159" s="389"/>
      <c r="IW159" s="389"/>
      <c r="IX159" s="389"/>
      <c r="IY159" s="389"/>
      <c r="IZ159" s="389"/>
      <c r="JA159" s="389"/>
      <c r="JB159" s="389"/>
      <c r="JC159" s="389"/>
      <c r="JD159" s="389"/>
      <c r="JE159" s="389"/>
      <c r="JF159" s="389"/>
      <c r="JG159" s="389"/>
      <c r="JH159" s="389"/>
      <c r="JI159" s="389"/>
      <c r="JJ159" s="389"/>
      <c r="JK159" s="389"/>
      <c r="JL159" s="389"/>
      <c r="JM159" s="389"/>
      <c r="JN159" s="389"/>
      <c r="JO159" s="389"/>
      <c r="JT159" s="553"/>
    </row>
    <row r="160" spans="1:302" s="14" customFormat="1" ht="11.1" hidden="1" customHeight="1" outlineLevel="1">
      <c r="A160" s="559">
        <v>1</v>
      </c>
      <c r="B160" s="990" t="s">
        <v>183</v>
      </c>
      <c r="C160" s="990"/>
      <c r="D160" s="452">
        <f>COUPPCD(D158,C157,K159,AH161)</f>
        <v>44996</v>
      </c>
      <c r="E160" s="534"/>
      <c r="F160" s="431"/>
      <c r="G160" s="985">
        <v>2039</v>
      </c>
      <c r="H160" s="431"/>
      <c r="I160" s="528"/>
      <c r="J160" s="431"/>
      <c r="K160" s="987" t="s">
        <v>455</v>
      </c>
      <c r="L160" s="931"/>
      <c r="M160" s="223"/>
      <c r="N160" s="223"/>
      <c r="O160" s="223"/>
      <c r="P160" s="527"/>
      <c r="Q160" s="526"/>
      <c r="R160" s="526"/>
      <c r="S160" s="15"/>
      <c r="T160" s="431"/>
      <c r="U160" s="15"/>
      <c r="V160" s="15"/>
      <c r="W160" s="15"/>
      <c r="X160" s="442"/>
      <c r="Y160" s="430"/>
      <c r="Z160" s="430"/>
      <c r="AA160" s="430"/>
      <c r="AB160" s="533"/>
      <c r="AC160" s="431"/>
      <c r="AD160" s="117"/>
      <c r="AE160" s="431"/>
      <c r="AH160" s="457"/>
      <c r="AI160" s="457"/>
      <c r="AJ160" s="990"/>
      <c r="AK160" s="991"/>
      <c r="AL160" s="967">
        <f>AL159-AL158</f>
        <v>1.4500000000000028</v>
      </c>
      <c r="AM160" s="532">
        <f>C157-AL157</f>
        <v>7456</v>
      </c>
      <c r="AN160" s="530">
        <f>IF(OR(K159&lt;&gt;1,AN159&gt;365),COUPDAYBS(D158,C157,K159,AH161),AN159)</f>
        <v>145</v>
      </c>
      <c r="AO160" s="424">
        <f>IF(B162=2,AO159-AL158,AL160/AM160*AN159)</f>
        <v>0.34169125536480754</v>
      </c>
      <c r="AP160" s="455">
        <f>IF(B162=4,FLOOR(F157/K159*AN160/(D161-D160)*100,0.000001),IF(AH161=4,YEARFRAC(D160,D158,0)*F157*100,IF(B162=3,IF(OR(AH161=4,AH161=2),(F159*(AN160))/(360)*100,(F159*(AN160))/(365)*100),FLOOR(F157/K159*AN160/(D161-D160)*100,0.000001))))</f>
        <v>1.6342209999999999</v>
      </c>
      <c r="AQ160" s="454"/>
      <c r="AR160" s="555">
        <f>AL160*G157/100</f>
        <v>14.500000000000027</v>
      </c>
      <c r="AS160" s="422">
        <f>IF(AS159&lt;0,0,AS159*(100-F162)/100)</f>
        <v>22.627891991349234</v>
      </c>
      <c r="AT160" s="419"/>
      <c r="AU160" s="420"/>
      <c r="AV160" s="223"/>
      <c r="AW160" s="420"/>
      <c r="AX160" s="417"/>
      <c r="AY160" s="420"/>
      <c r="AZ160" s="223"/>
      <c r="BA160" s="419"/>
      <c r="BB160" s="223"/>
      <c r="BC160" s="223"/>
      <c r="BD160" s="223"/>
      <c r="BE160" s="223"/>
      <c r="BF160" s="416"/>
      <c r="BG160" s="418"/>
      <c r="BH160" s="416"/>
      <c r="BI160" s="416"/>
      <c r="BJ160" s="416"/>
      <c r="BK160" s="418"/>
      <c r="BL160" s="417"/>
      <c r="BM160" s="416"/>
      <c r="BN160" s="416"/>
      <c r="BO160" s="416"/>
      <c r="BP160" s="416"/>
      <c r="BQ160" s="416"/>
      <c r="BR160" s="416"/>
      <c r="BS160" s="416"/>
      <c r="BT160" s="389"/>
      <c r="BU160" s="389"/>
      <c r="BV160" s="389"/>
      <c r="BW160" s="389"/>
      <c r="BX160" s="415"/>
      <c r="BY160" s="389"/>
      <c r="BZ160" s="389"/>
      <c r="CA160" s="389"/>
      <c r="CB160" s="389"/>
      <c r="CC160" s="389"/>
      <c r="CD160" s="389"/>
      <c r="CE160" s="389"/>
      <c r="CF160" s="389"/>
      <c r="CG160" s="389"/>
      <c r="CH160" s="389"/>
      <c r="CI160" s="389"/>
      <c r="CJ160" s="389"/>
      <c r="CK160" s="389"/>
      <c r="CL160" s="389"/>
      <c r="CM160" s="389"/>
      <c r="CN160" s="389"/>
      <c r="CO160" s="389"/>
      <c r="CP160" s="389"/>
      <c r="CQ160" s="389"/>
      <c r="CR160" s="389"/>
      <c r="CS160" s="415"/>
      <c r="CT160" s="389"/>
      <c r="CU160" s="389"/>
      <c r="CV160" s="389"/>
      <c r="CW160" s="389"/>
      <c r="CX160" s="389"/>
      <c r="CY160" s="389"/>
      <c r="CZ160" s="389"/>
      <c r="DA160" s="389"/>
      <c r="DB160" s="389"/>
      <c r="DC160" s="389"/>
      <c r="DD160" s="389"/>
      <c r="DE160" s="389"/>
      <c r="DF160" s="389"/>
      <c r="DG160" s="389"/>
      <c r="DH160" s="389"/>
      <c r="DI160" s="389"/>
      <c r="DJ160" s="389"/>
      <c r="DK160" s="389"/>
      <c r="DL160" s="389"/>
      <c r="DM160" s="389"/>
      <c r="DN160" s="389"/>
      <c r="DO160" s="414"/>
      <c r="DP160" s="39"/>
      <c r="DQ160" s="39"/>
      <c r="DR160" s="39"/>
      <c r="DS160" s="39"/>
      <c r="DT160" s="39"/>
      <c r="DU160" s="39"/>
      <c r="DV160" s="39"/>
      <c r="DW160" s="39"/>
      <c r="DX160" s="39"/>
      <c r="DY160" s="39"/>
      <c r="DZ160" s="39"/>
      <c r="EA160" s="39"/>
      <c r="EB160" s="39"/>
      <c r="EC160" s="39"/>
      <c r="ED160" s="136"/>
      <c r="EE160" s="136"/>
      <c r="EF160" s="136"/>
      <c r="EG160" s="136"/>
      <c r="EH160" s="136"/>
      <c r="EI160" s="136"/>
      <c r="EJ160" s="136"/>
      <c r="EK160" s="136"/>
      <c r="EL160" s="136"/>
      <c r="EM160" s="136"/>
      <c r="EN160" s="136"/>
      <c r="EO160" s="136"/>
      <c r="EP160" s="136"/>
      <c r="EQ160" s="136"/>
      <c r="ER160" s="136"/>
      <c r="ES160" s="136"/>
      <c r="ET160" s="136"/>
      <c r="EU160" s="136"/>
      <c r="EV160" s="136"/>
      <c r="EW160" s="136"/>
      <c r="EX160" s="136"/>
      <c r="EY160" s="136"/>
      <c r="EZ160" s="136"/>
      <c r="FA160" s="136"/>
      <c r="FB160" s="136"/>
      <c r="FC160" s="136"/>
      <c r="FD160" s="136"/>
      <c r="FE160" s="136"/>
      <c r="FF160" s="136"/>
      <c r="FG160" s="136"/>
      <c r="FH160" s="136"/>
      <c r="FI160" s="136"/>
      <c r="FJ160" s="136"/>
      <c r="FK160" s="136"/>
      <c r="FL160" s="136"/>
      <c r="FM160" s="136"/>
      <c r="FN160" s="136"/>
      <c r="FO160" s="39"/>
      <c r="FP160" s="39"/>
      <c r="FQ160" s="39"/>
      <c r="FR160" s="412"/>
      <c r="FS160" s="412"/>
      <c r="FT160" s="412"/>
      <c r="FU160" s="412"/>
      <c r="FV160" s="412"/>
      <c r="FW160" s="412"/>
      <c r="FX160" s="412"/>
      <c r="FY160" s="412"/>
      <c r="FZ160" s="412"/>
      <c r="GA160" s="412"/>
      <c r="GB160" s="412"/>
      <c r="GC160" s="412"/>
      <c r="GD160" s="412"/>
      <c r="GE160" s="412"/>
      <c r="GF160" s="412"/>
      <c r="GG160" s="412"/>
      <c r="GH160" s="412"/>
      <c r="GI160" s="412"/>
      <c r="GJ160" s="412"/>
      <c r="GK160" s="412"/>
      <c r="GL160" s="412"/>
      <c r="GM160" s="412"/>
      <c r="GN160" s="412"/>
      <c r="GO160" s="412"/>
      <c r="GP160" s="412"/>
      <c r="GQ160" s="412"/>
      <c r="GR160" s="412"/>
      <c r="GS160" s="412"/>
      <c r="GT160" s="412"/>
      <c r="GU160" s="412"/>
      <c r="GV160" s="412"/>
      <c r="GW160" s="412"/>
      <c r="GX160" s="412"/>
      <c r="GY160" s="412"/>
      <c r="GZ160" s="412"/>
      <c r="HA160" s="412"/>
      <c r="HB160" s="412"/>
      <c r="HC160" s="412"/>
      <c r="HD160" s="412"/>
      <c r="HE160" s="412"/>
      <c r="HF160" s="412"/>
      <c r="HG160" s="412"/>
      <c r="HH160" s="412"/>
      <c r="HI160" s="412"/>
      <c r="HJ160" s="412"/>
      <c r="HK160" s="412"/>
      <c r="HL160" s="412"/>
      <c r="HM160" s="412"/>
      <c r="HN160" s="412"/>
      <c r="HO160" s="412"/>
      <c r="HP160" s="412"/>
      <c r="HQ160" s="412"/>
      <c r="HR160" s="412"/>
      <c r="HS160" s="412"/>
      <c r="HT160" s="412"/>
      <c r="HU160" s="278"/>
      <c r="HV160" s="277"/>
      <c r="HW160" s="277"/>
      <c r="HX160" s="277"/>
      <c r="HY160" s="277"/>
      <c r="HZ160" s="277"/>
      <c r="IA160" s="277"/>
      <c r="IB160" s="277"/>
      <c r="IC160" s="277"/>
      <c r="ID160" s="412"/>
      <c r="IE160" s="412"/>
      <c r="IF160" s="412"/>
      <c r="IG160" s="412"/>
      <c r="IH160" s="412"/>
      <c r="II160" s="412"/>
      <c r="IJ160" s="412"/>
      <c r="IK160" s="412"/>
      <c r="IL160" s="412"/>
      <c r="IM160" s="412"/>
      <c r="IN160" s="412"/>
      <c r="IO160" s="412"/>
      <c r="IP160" s="413"/>
      <c r="IQ160" s="389"/>
      <c r="IR160" s="389"/>
      <c r="IS160" s="389"/>
      <c r="IT160" s="389"/>
      <c r="IU160" s="389"/>
      <c r="IV160" s="389"/>
      <c r="IW160" s="389"/>
      <c r="IX160" s="389"/>
      <c r="IY160" s="389"/>
      <c r="IZ160" s="389"/>
      <c r="JA160" s="389"/>
      <c r="JB160" s="389"/>
      <c r="JC160" s="389"/>
      <c r="JD160" s="389"/>
      <c r="JE160" s="389"/>
      <c r="JF160" s="389"/>
      <c r="JG160" s="389"/>
      <c r="JH160" s="389"/>
      <c r="JI160" s="389"/>
      <c r="JJ160" s="389"/>
      <c r="JK160" s="389"/>
      <c r="JL160" s="389"/>
      <c r="JM160" s="389"/>
      <c r="JN160" s="389"/>
      <c r="JO160" s="389"/>
      <c r="JT160" s="553"/>
    </row>
    <row r="161" spans="1:302" s="14" customFormat="1" ht="11.1" hidden="1" customHeight="1" outlineLevel="1">
      <c r="A161" s="18"/>
      <c r="B161" s="990"/>
      <c r="C161" s="990"/>
      <c r="D161" s="452">
        <f>COUPNCD(D158,C157,K159,AH161)</f>
        <v>45362</v>
      </c>
      <c r="E161" s="932" t="s">
        <v>173</v>
      </c>
      <c r="F161" s="451" t="str">
        <f>IF(E162=1,"87,5",IF(D157&lt;40908,87.5,IF(D157&lt;41820,"80","74")))</f>
        <v>87,5</v>
      </c>
      <c r="G161" s="986"/>
      <c r="H161" s="431"/>
      <c r="I161" s="528"/>
      <c r="J161" s="431"/>
      <c r="K161" s="987"/>
      <c r="L161" s="931"/>
      <c r="M161" s="223"/>
      <c r="N161" s="223"/>
      <c r="O161" s="223"/>
      <c r="P161" s="527"/>
      <c r="Q161" s="526"/>
      <c r="R161" s="526"/>
      <c r="S161" s="15"/>
      <c r="T161" s="431"/>
      <c r="U161" s="15"/>
      <c r="V161" s="15"/>
      <c r="W161" s="15"/>
      <c r="X161" s="442"/>
      <c r="Y161" s="430"/>
      <c r="Z161" s="430"/>
      <c r="AA161" s="430"/>
      <c r="AB161" s="78"/>
      <c r="AC161" s="431"/>
      <c r="AD161" s="117"/>
      <c r="AE161" s="431"/>
      <c r="AF161" s="1011"/>
      <c r="AG161" s="1011"/>
      <c r="AH161" s="419">
        <f>VLOOKUP(AH158,'[2]IBAN CONTI'!A:B,2,FALSE)</f>
        <v>1</v>
      </c>
      <c r="AI161" s="419"/>
      <c r="AJ161" s="989">
        <f>VLOOKUP(AJ159,'[2]IBAN CONTI'!A$67:B$77,2,FALSE)</f>
        <v>1</v>
      </c>
      <c r="AK161" s="992"/>
      <c r="AL161" s="965">
        <f>AL158</f>
        <v>98.55</v>
      </c>
      <c r="AM161" s="449">
        <f>IF(B162=1,YEARFRAC(D158,C157,AH161),IF(B162=2,YEARFRAC(AL157,D158,AH161)))</f>
        <v>15.603639877597036</v>
      </c>
      <c r="AN161" s="530">
        <f>IF(B162=2,0,C157-D158-(365-AN160))</f>
        <v>5479</v>
      </c>
      <c r="AO161" s="424">
        <f>E157-AO160</f>
        <v>79.633308744635187</v>
      </c>
      <c r="AP161" s="447">
        <f>E157+AO162+AP160+0.1</f>
        <v>81.666509593079383</v>
      </c>
      <c r="AQ161" s="446"/>
      <c r="AR161" s="463">
        <f>IF(B162=3,F159*G157,F157*G157)</f>
        <v>41.25</v>
      </c>
      <c r="AS161" s="421">
        <f>AR157-AS160</f>
        <v>1011.6533580086508</v>
      </c>
      <c r="AT161" s="419"/>
      <c r="AU161" s="420"/>
      <c r="AV161" s="223"/>
      <c r="AW161" s="420"/>
      <c r="AX161" s="417"/>
      <c r="AY161" s="420"/>
      <c r="AZ161" s="223"/>
      <c r="BA161" s="419"/>
      <c r="BB161" s="223"/>
      <c r="BC161" s="223"/>
      <c r="BD161" s="223"/>
      <c r="BE161" s="223"/>
      <c r="BF161" s="416"/>
      <c r="BG161" s="418"/>
      <c r="BH161" s="416"/>
      <c r="BI161" s="416"/>
      <c r="BJ161" s="416"/>
      <c r="BK161" s="418"/>
      <c r="BL161" s="417"/>
      <c r="BM161" s="416"/>
      <c r="BN161" s="416"/>
      <c r="BO161" s="416"/>
      <c r="BP161" s="416"/>
      <c r="BQ161" s="416"/>
      <c r="BR161" s="416"/>
      <c r="BS161" s="416"/>
      <c r="BT161" s="389"/>
      <c r="BU161" s="389"/>
      <c r="BV161" s="389"/>
      <c r="BW161" s="389"/>
      <c r="BX161" s="415"/>
      <c r="BY161" s="389"/>
      <c r="BZ161" s="389"/>
      <c r="CA161" s="389"/>
      <c r="CB161" s="389"/>
      <c r="CC161" s="389"/>
      <c r="CD161" s="389"/>
      <c r="CE161" s="389"/>
      <c r="CF161" s="389"/>
      <c r="CG161" s="389"/>
      <c r="CH161" s="389"/>
      <c r="CI161" s="389"/>
      <c r="CJ161" s="389"/>
      <c r="CK161" s="389"/>
      <c r="CL161" s="389"/>
      <c r="CM161" s="389"/>
      <c r="CN161" s="389"/>
      <c r="CO161" s="389"/>
      <c r="CP161" s="389"/>
      <c r="CQ161" s="389"/>
      <c r="CR161" s="389"/>
      <c r="CS161" s="415"/>
      <c r="CT161" s="389"/>
      <c r="CU161" s="389"/>
      <c r="CV161" s="389"/>
      <c r="CW161" s="389"/>
      <c r="CX161" s="389"/>
      <c r="CY161" s="389"/>
      <c r="CZ161" s="389"/>
      <c r="DA161" s="389"/>
      <c r="DB161" s="389"/>
      <c r="DC161" s="389"/>
      <c r="DD161" s="389"/>
      <c r="DE161" s="389"/>
      <c r="DF161" s="389"/>
      <c r="DG161" s="389"/>
      <c r="DH161" s="389"/>
      <c r="DI161" s="389"/>
      <c r="DJ161" s="389"/>
      <c r="DK161" s="389"/>
      <c r="DL161" s="389"/>
      <c r="DM161" s="389"/>
      <c r="DN161" s="389"/>
      <c r="DO161" s="414"/>
      <c r="DP161" s="39"/>
      <c r="DQ161" s="39"/>
      <c r="DR161" s="39"/>
      <c r="DS161" s="136"/>
      <c r="DT161" s="136"/>
      <c r="DU161" s="136"/>
      <c r="DV161" s="136"/>
      <c r="DW161" s="136"/>
      <c r="DX161" s="136"/>
      <c r="DY161" s="136"/>
      <c r="DZ161" s="136"/>
      <c r="EA161" s="136"/>
      <c r="EB161" s="136"/>
      <c r="EC161" s="136"/>
      <c r="ED161" s="136"/>
      <c r="EE161" s="136"/>
      <c r="EF161" s="136"/>
      <c r="EG161" s="136"/>
      <c r="EH161" s="136"/>
      <c r="EI161" s="136"/>
      <c r="EJ161" s="136"/>
      <c r="EK161" s="136"/>
      <c r="EL161" s="136"/>
      <c r="EM161" s="136"/>
      <c r="EN161" s="136"/>
      <c r="EO161" s="136"/>
      <c r="EP161" s="136"/>
      <c r="EQ161" s="136"/>
      <c r="ER161" s="136"/>
      <c r="ES161" s="136"/>
      <c r="ET161" s="136"/>
      <c r="EU161" s="136"/>
      <c r="EV161" s="136"/>
      <c r="EW161" s="136"/>
      <c r="EX161" s="136"/>
      <c r="EY161" s="136"/>
      <c r="EZ161" s="136"/>
      <c r="FA161" s="136"/>
      <c r="FB161" s="136"/>
      <c r="FC161" s="136"/>
      <c r="FD161" s="136"/>
      <c r="FE161" s="136"/>
      <c r="FF161" s="136"/>
      <c r="FG161" s="136"/>
      <c r="FH161" s="136"/>
      <c r="FI161" s="136"/>
      <c r="FJ161" s="136"/>
      <c r="FK161" s="136"/>
      <c r="FL161" s="136"/>
      <c r="FM161" s="136"/>
      <c r="FN161" s="136"/>
      <c r="FO161" s="136"/>
      <c r="FP161" s="136"/>
      <c r="FQ161" s="136"/>
      <c r="FR161" s="412"/>
      <c r="FS161" s="412"/>
      <c r="FT161" s="412"/>
      <c r="FU161" s="412"/>
      <c r="FV161" s="412"/>
      <c r="FW161" s="412"/>
      <c r="FX161" s="412"/>
      <c r="FY161" s="412"/>
      <c r="FZ161" s="412"/>
      <c r="GA161" s="412"/>
      <c r="GB161" s="412"/>
      <c r="GC161" s="412"/>
      <c r="GD161" s="412"/>
      <c r="GE161" s="412"/>
      <c r="GF161" s="412"/>
      <c r="GG161" s="412"/>
      <c r="GH161" s="412"/>
      <c r="GI161" s="412"/>
      <c r="GJ161" s="412"/>
      <c r="GK161" s="412"/>
      <c r="GL161" s="412"/>
      <c r="GM161" s="412"/>
      <c r="GN161" s="412"/>
      <c r="GO161" s="412"/>
      <c r="GP161" s="412"/>
      <c r="GQ161" s="412"/>
      <c r="GR161" s="412"/>
      <c r="GS161" s="412"/>
      <c r="GT161" s="412"/>
      <c r="GU161" s="412"/>
      <c r="GV161" s="412"/>
      <c r="GW161" s="412"/>
      <c r="GX161" s="412"/>
      <c r="GY161" s="412"/>
      <c r="GZ161" s="412"/>
      <c r="HA161" s="412"/>
      <c r="HB161" s="412"/>
      <c r="HC161" s="412"/>
      <c r="HD161" s="412"/>
      <c r="HE161" s="412"/>
      <c r="HF161" s="412"/>
      <c r="HG161" s="412"/>
      <c r="HH161" s="412"/>
      <c r="HI161" s="412"/>
      <c r="HJ161" s="412"/>
      <c r="HK161" s="412"/>
      <c r="HL161" s="412"/>
      <c r="HM161" s="412"/>
      <c r="HN161" s="412"/>
      <c r="HO161" s="412"/>
      <c r="HP161" s="412"/>
      <c r="HQ161" s="412"/>
      <c r="HR161" s="412"/>
      <c r="HS161" s="412"/>
      <c r="HT161" s="412"/>
      <c r="HU161" s="278"/>
      <c r="HV161" s="277"/>
      <c r="HW161" s="277"/>
      <c r="HX161" s="277"/>
      <c r="HY161" s="277"/>
      <c r="HZ161" s="277"/>
      <c r="IA161" s="277"/>
      <c r="IB161" s="277"/>
      <c r="IC161" s="277"/>
      <c r="ID161" s="412"/>
      <c r="IE161" s="412"/>
      <c r="IF161" s="412"/>
      <c r="IG161" s="412"/>
      <c r="IH161" s="412"/>
      <c r="II161" s="412"/>
      <c r="IJ161" s="412"/>
      <c r="IK161" s="412"/>
      <c r="IL161" s="412"/>
      <c r="IM161" s="412"/>
      <c r="IN161" s="412"/>
      <c r="IO161" s="412"/>
      <c r="IP161" s="413"/>
      <c r="IQ161" s="389"/>
      <c r="IR161" s="389"/>
      <c r="IS161" s="389"/>
      <c r="IT161" s="389"/>
      <c r="IU161" s="389"/>
      <c r="IV161" s="389"/>
      <c r="IW161" s="389"/>
      <c r="IX161" s="389"/>
      <c r="IY161" s="389"/>
      <c r="IZ161" s="389"/>
      <c r="JA161" s="389"/>
      <c r="JB161" s="389"/>
      <c r="JC161" s="389"/>
      <c r="JD161" s="389"/>
      <c r="JE161" s="389"/>
      <c r="JF161" s="389"/>
      <c r="JG161" s="389"/>
      <c r="JH161" s="389"/>
      <c r="JI161" s="389"/>
      <c r="JJ161" s="389"/>
      <c r="JK161" s="389"/>
      <c r="JL161" s="389"/>
      <c r="JM161" s="389"/>
      <c r="JN161" s="389"/>
      <c r="JO161" s="389"/>
      <c r="JT161" s="553"/>
    </row>
    <row r="162" spans="1:302" s="14" customFormat="1" ht="11.1" hidden="1" customHeight="1" outlineLevel="1">
      <c r="A162" s="461">
        <v>1</v>
      </c>
      <c r="B162" s="989">
        <f>VLOOKUP(B160,'[2]IBAN CONTI'!A$1:B$65562,2,FALSE)</f>
        <v>1</v>
      </c>
      <c r="C162" s="989"/>
      <c r="D162" s="436">
        <f>COUPNCD(AL157,C157,K159,AH161)</f>
        <v>43535</v>
      </c>
      <c r="E162" s="933">
        <f>VLOOKUP(E161,'[2]IBAN CONTI'!A:B,2,FALSE)</f>
        <v>1</v>
      </c>
      <c r="F162" s="444" t="str">
        <f>IF(E162=1,"87,5","74")</f>
        <v>87,5</v>
      </c>
      <c r="G162" s="443">
        <f>VLOOKUP(G160,'[2]IBAN CONTI'!A$244:B$273,2,FALSE)</f>
        <v>28</v>
      </c>
      <c r="H162" s="431"/>
      <c r="I162" s="528"/>
      <c r="J162" s="431"/>
      <c r="K162" s="443">
        <f>VLOOKUP(K160,'[2]IBAN CONTI'!A$80:B$101,2,FALSE)</f>
        <v>19</v>
      </c>
      <c r="L162" s="433"/>
      <c r="M162" s="223"/>
      <c r="N162" s="223"/>
      <c r="O162" s="223"/>
      <c r="P162" s="527"/>
      <c r="Q162" s="526"/>
      <c r="R162" s="526"/>
      <c r="S162" s="15"/>
      <c r="T162" s="431"/>
      <c r="U162" s="15"/>
      <c r="V162" s="15"/>
      <c r="W162" s="15"/>
      <c r="X162" s="594">
        <f ca="1">X157-$AF$2</f>
        <v>-4454.6850547453723</v>
      </c>
      <c r="Y162" s="430"/>
      <c r="Z162" s="430"/>
      <c r="AA162" s="430"/>
      <c r="AB162" s="78"/>
      <c r="AC162" s="431"/>
      <c r="AD162" s="117"/>
      <c r="AE162" s="431"/>
      <c r="AF162" s="1011">
        <v>5777.95</v>
      </c>
      <c r="AG162" s="1011"/>
      <c r="AH162" s="552"/>
      <c r="AI162" s="551"/>
      <c r="AJ162" s="441" t="s">
        <v>172</v>
      </c>
      <c r="AK162" s="525">
        <f>VLOOKUP(AJ162,'[2]IBAN CONTI'!A$61:B$64,2,FALSE)</f>
        <v>1</v>
      </c>
      <c r="AL162" s="967">
        <f>AL159-AL160*(100-F162)/100</f>
        <v>99.818749999999994</v>
      </c>
      <c r="AM162" s="524" t="str">
        <f>IF(B162=2,10^((LOG(AL159/AL158))/AM159)-1,"")</f>
        <v/>
      </c>
      <c r="AN162" s="422">
        <f>IF(B162=4,A159*E157/100,IF(AF159=1,G157*E157/100,A158/E158*E157/100))</f>
        <v>799.75</v>
      </c>
      <c r="AO162" s="425">
        <f>-AO160*(100-F161)/100</f>
        <v>-4.2711406920600943E-2</v>
      </c>
      <c r="AP162" s="438">
        <f>IF(B162=2,(AN162-AP159+AN157+AN158)/G157*100,(AN162-AP158+AN157+AN158)/G157*100)</f>
        <v>80.44768640692061</v>
      </c>
      <c r="AQ162" s="423"/>
      <c r="AR162" s="555">
        <f>AL158</f>
        <v>98.55</v>
      </c>
      <c r="AS162" s="421"/>
      <c r="AT162" s="419"/>
      <c r="AU162" s="420"/>
      <c r="AV162" s="223"/>
      <c r="AW162" s="420"/>
      <c r="AX162" s="417"/>
      <c r="AY162" s="420"/>
      <c r="AZ162" s="223"/>
      <c r="BA162" s="419"/>
      <c r="BB162" s="223"/>
      <c r="BC162" s="223"/>
      <c r="BD162" s="223"/>
      <c r="BE162" s="223"/>
      <c r="BF162" s="416"/>
      <c r="BG162" s="418"/>
      <c r="BH162" s="416"/>
      <c r="BI162" s="416"/>
      <c r="BJ162" s="416"/>
      <c r="BK162" s="418"/>
      <c r="BL162" s="417"/>
      <c r="BM162" s="416"/>
      <c r="BN162" s="416"/>
      <c r="BO162" s="416"/>
      <c r="BP162" s="416"/>
      <c r="BQ162" s="416"/>
      <c r="BR162" s="416"/>
      <c r="BS162" s="416"/>
      <c r="BT162" s="389"/>
      <c r="BU162" s="389"/>
      <c r="BV162" s="389"/>
      <c r="BW162" s="389"/>
      <c r="BX162" s="415"/>
      <c r="BY162" s="389"/>
      <c r="BZ162" s="389"/>
      <c r="CA162" s="389"/>
      <c r="CB162" s="389"/>
      <c r="CC162" s="389"/>
      <c r="CD162" s="389"/>
      <c r="CE162" s="389"/>
      <c r="CF162" s="389"/>
      <c r="CG162" s="389"/>
      <c r="CH162" s="389"/>
      <c r="CI162" s="389"/>
      <c r="CJ162" s="389"/>
      <c r="CK162" s="389"/>
      <c r="CL162" s="389"/>
      <c r="CM162" s="389"/>
      <c r="CN162" s="389"/>
      <c r="CO162" s="389"/>
      <c r="CP162" s="389"/>
      <c r="CQ162" s="389"/>
      <c r="CR162" s="389"/>
      <c r="CS162" s="415"/>
      <c r="CT162" s="389"/>
      <c r="CU162" s="389"/>
      <c r="CV162" s="389"/>
      <c r="CW162" s="389"/>
      <c r="CX162" s="389"/>
      <c r="CY162" s="389"/>
      <c r="CZ162" s="389"/>
      <c r="DA162" s="389"/>
      <c r="DB162" s="389"/>
      <c r="DC162" s="389"/>
      <c r="DD162" s="389"/>
      <c r="DE162" s="389"/>
      <c r="DF162" s="389"/>
      <c r="DG162" s="389"/>
      <c r="DH162" s="389"/>
      <c r="DI162" s="389"/>
      <c r="DJ162" s="389"/>
      <c r="DK162" s="389"/>
      <c r="DL162" s="389"/>
      <c r="DM162" s="389"/>
      <c r="DN162" s="389"/>
      <c r="DO162" s="414"/>
      <c r="DP162" s="39"/>
      <c r="DQ162" s="39"/>
      <c r="DR162" s="39"/>
      <c r="DS162" s="136"/>
      <c r="DT162" s="136"/>
      <c r="DU162" s="136"/>
      <c r="DV162" s="136"/>
      <c r="DW162" s="136"/>
      <c r="DX162" s="136"/>
      <c r="DY162" s="136"/>
      <c r="DZ162" s="136"/>
      <c r="EA162" s="136"/>
      <c r="EB162" s="136"/>
      <c r="EC162" s="136"/>
      <c r="ED162" s="136"/>
      <c r="EE162" s="136"/>
      <c r="EF162" s="136"/>
      <c r="EG162" s="136"/>
      <c r="EH162" s="136"/>
      <c r="EI162" s="136"/>
      <c r="EJ162" s="136"/>
      <c r="EK162" s="136"/>
      <c r="EL162" s="136"/>
      <c r="EM162" s="136"/>
      <c r="EN162" s="136"/>
      <c r="EO162" s="136"/>
      <c r="EP162" s="136"/>
      <c r="EQ162" s="136"/>
      <c r="ER162" s="136"/>
      <c r="ES162" s="136"/>
      <c r="ET162" s="136"/>
      <c r="EU162" s="136"/>
      <c r="EV162" s="136"/>
      <c r="EW162" s="136"/>
      <c r="EX162" s="136"/>
      <c r="EY162" s="136"/>
      <c r="EZ162" s="136"/>
      <c r="FA162" s="136"/>
      <c r="FB162" s="136"/>
      <c r="FC162" s="136"/>
      <c r="FD162" s="136"/>
      <c r="FE162" s="136"/>
      <c r="FF162" s="136"/>
      <c r="FG162" s="136"/>
      <c r="FH162" s="136"/>
      <c r="FI162" s="136"/>
      <c r="FJ162" s="136"/>
      <c r="FK162" s="136"/>
      <c r="FL162" s="136"/>
      <c r="FM162" s="136"/>
      <c r="FN162" s="136"/>
      <c r="FO162" s="136"/>
      <c r="FP162" s="136"/>
      <c r="FQ162" s="136"/>
      <c r="FR162" s="412"/>
      <c r="FS162" s="412"/>
      <c r="FT162" s="412"/>
      <c r="FU162" s="412"/>
      <c r="FV162" s="412"/>
      <c r="FW162" s="412"/>
      <c r="FX162" s="412"/>
      <c r="FY162" s="412"/>
      <c r="FZ162" s="412"/>
      <c r="GA162" s="412"/>
      <c r="GB162" s="412"/>
      <c r="GC162" s="412"/>
      <c r="GD162" s="412"/>
      <c r="GE162" s="412"/>
      <c r="GF162" s="412"/>
      <c r="GG162" s="412"/>
      <c r="GH162" s="412"/>
      <c r="GI162" s="412"/>
      <c r="GJ162" s="412"/>
      <c r="GK162" s="412"/>
      <c r="GL162" s="412"/>
      <c r="GM162" s="412"/>
      <c r="GN162" s="412"/>
      <c r="GO162" s="412"/>
      <c r="GP162" s="412"/>
      <c r="GQ162" s="412"/>
      <c r="GR162" s="412"/>
      <c r="GS162" s="412"/>
      <c r="GT162" s="412"/>
      <c r="GU162" s="412"/>
      <c r="GV162" s="412"/>
      <c r="GW162" s="412"/>
      <c r="GX162" s="412"/>
      <c r="GY162" s="412"/>
      <c r="GZ162" s="412"/>
      <c r="HA162" s="412"/>
      <c r="HB162" s="412"/>
      <c r="HC162" s="412"/>
      <c r="HD162" s="412"/>
      <c r="HE162" s="412"/>
      <c r="HF162" s="412"/>
      <c r="HG162" s="412"/>
      <c r="HH162" s="412"/>
      <c r="HI162" s="412"/>
      <c r="HJ162" s="412"/>
      <c r="HK162" s="412"/>
      <c r="HL162" s="412"/>
      <c r="HM162" s="412"/>
      <c r="HN162" s="412"/>
      <c r="HO162" s="412"/>
      <c r="HP162" s="412"/>
      <c r="HQ162" s="412"/>
      <c r="HR162" s="412"/>
      <c r="HS162" s="412"/>
      <c r="HT162" s="412"/>
      <c r="HU162" s="278"/>
      <c r="HV162" s="277"/>
      <c r="HW162" s="277"/>
      <c r="HX162" s="277"/>
      <c r="HY162" s="277"/>
      <c r="HZ162" s="277"/>
      <c r="IA162" s="277"/>
      <c r="IB162" s="277"/>
      <c r="IC162" s="277"/>
      <c r="ID162" s="412"/>
      <c r="IE162" s="412"/>
      <c r="IF162" s="412"/>
      <c r="IG162" s="412"/>
      <c r="IH162" s="412"/>
      <c r="II162" s="412"/>
      <c r="IJ162" s="412"/>
      <c r="IK162" s="412"/>
      <c r="IL162" s="412"/>
      <c r="IM162" s="412"/>
      <c r="IN162" s="412"/>
      <c r="IO162" s="412"/>
      <c r="IP162" s="413"/>
      <c r="IQ162" s="389"/>
      <c r="IR162" s="389"/>
      <c r="IS162" s="389"/>
      <c r="IT162" s="389"/>
      <c r="IU162" s="389"/>
      <c r="IV162" s="389"/>
      <c r="IW162" s="389"/>
      <c r="IX162" s="389"/>
      <c r="IY162" s="389"/>
      <c r="IZ162" s="389"/>
      <c r="JA162" s="389"/>
      <c r="JB162" s="389"/>
      <c r="JC162" s="389"/>
      <c r="JD162" s="389"/>
      <c r="JE162" s="389"/>
      <c r="JF162" s="389"/>
      <c r="JG162" s="389"/>
      <c r="JH162" s="389"/>
      <c r="JI162" s="389"/>
      <c r="JJ162" s="389"/>
      <c r="JK162" s="389"/>
      <c r="JL162" s="389"/>
      <c r="JM162" s="389"/>
      <c r="JN162" s="389"/>
      <c r="JO162" s="389"/>
      <c r="JT162" s="553"/>
    </row>
    <row r="163" spans="1:302" s="14" customFormat="1" ht="11.1" hidden="1" customHeight="1" outlineLevel="1">
      <c r="A163" s="18"/>
      <c r="B163" s="933"/>
      <c r="C163" s="933"/>
      <c r="D163" s="436"/>
      <c r="E163" s="933"/>
      <c r="F163" s="435"/>
      <c r="G163" s="443"/>
      <c r="H163" s="431"/>
      <c r="I163" s="528"/>
      <c r="J163" s="431"/>
      <c r="K163" s="443"/>
      <c r="L163" s="433"/>
      <c r="M163" s="223"/>
      <c r="N163" s="223"/>
      <c r="O163" s="223"/>
      <c r="P163" s="527"/>
      <c r="Q163" s="526"/>
      <c r="R163" s="526"/>
      <c r="S163" s="15"/>
      <c r="T163" s="431"/>
      <c r="U163" s="15"/>
      <c r="V163" s="15"/>
      <c r="W163" s="15"/>
      <c r="X163" s="442"/>
      <c r="Y163" s="430"/>
      <c r="Z163" s="430"/>
      <c r="AA163" s="430"/>
      <c r="AB163" s="78"/>
      <c r="AC163" s="431"/>
      <c r="AD163" s="117"/>
      <c r="AE163" s="431"/>
      <c r="AF163" s="934"/>
      <c r="AG163" s="934"/>
      <c r="AH163" s="552"/>
      <c r="AI163" s="551"/>
      <c r="AJ163" s="441"/>
      <c r="AK163" s="595"/>
      <c r="AL163" s="967"/>
      <c r="AM163" s="524"/>
      <c r="AN163" s="422"/>
      <c r="AO163" s="425"/>
      <c r="AP163" s="438"/>
      <c r="AQ163" s="423"/>
      <c r="AR163" s="422"/>
      <c r="AS163" s="421"/>
      <c r="AT163" s="419"/>
      <c r="AU163" s="420"/>
      <c r="AV163" s="223"/>
      <c r="AW163" s="420"/>
      <c r="AX163" s="417"/>
      <c r="AY163" s="420"/>
      <c r="AZ163" s="223"/>
      <c r="BA163" s="419"/>
      <c r="BB163" s="223"/>
      <c r="BC163" s="223"/>
      <c r="BD163" s="223"/>
      <c r="BE163" s="223"/>
      <c r="BF163" s="416"/>
      <c r="BG163" s="418"/>
      <c r="BH163" s="416"/>
      <c r="BI163" s="416"/>
      <c r="BJ163" s="416"/>
      <c r="BK163" s="418"/>
      <c r="BL163" s="417"/>
      <c r="BM163" s="416"/>
      <c r="BN163" s="416"/>
      <c r="BO163" s="416"/>
      <c r="BP163" s="416"/>
      <c r="BQ163" s="416"/>
      <c r="BR163" s="416"/>
      <c r="BS163" s="416"/>
      <c r="BT163" s="389"/>
      <c r="BU163" s="389"/>
      <c r="BV163" s="389"/>
      <c r="BW163" s="389"/>
      <c r="BX163" s="415"/>
      <c r="BY163" s="389"/>
      <c r="BZ163" s="389"/>
      <c r="CA163" s="389"/>
      <c r="CB163" s="389"/>
      <c r="CC163" s="389"/>
      <c r="CD163" s="389"/>
      <c r="CE163" s="389"/>
      <c r="CF163" s="389"/>
      <c r="CG163" s="389"/>
      <c r="CH163" s="389"/>
      <c r="CI163" s="389"/>
      <c r="CJ163" s="389"/>
      <c r="CK163" s="389"/>
      <c r="CL163" s="389"/>
      <c r="CM163" s="389"/>
      <c r="CN163" s="389"/>
      <c r="CO163" s="389"/>
      <c r="CP163" s="389"/>
      <c r="CQ163" s="389"/>
      <c r="CR163" s="389"/>
      <c r="CS163" s="415"/>
      <c r="CT163" s="389"/>
      <c r="CU163" s="389"/>
      <c r="CV163" s="389"/>
      <c r="CW163" s="389"/>
      <c r="CX163" s="389"/>
      <c r="CY163" s="389"/>
      <c r="CZ163" s="389"/>
      <c r="DA163" s="389"/>
      <c r="DB163" s="389"/>
      <c r="DC163" s="389"/>
      <c r="DD163" s="389"/>
      <c r="DE163" s="389"/>
      <c r="DF163" s="389"/>
      <c r="DG163" s="389"/>
      <c r="DH163" s="389"/>
      <c r="DI163" s="389"/>
      <c r="DJ163" s="389"/>
      <c r="DK163" s="389"/>
      <c r="DL163" s="389"/>
      <c r="DM163" s="389"/>
      <c r="DN163" s="389"/>
      <c r="DO163" s="414"/>
      <c r="DP163" s="39"/>
      <c r="DQ163" s="39"/>
      <c r="DR163" s="39"/>
      <c r="DS163" s="136"/>
      <c r="DT163" s="136"/>
      <c r="DU163" s="136"/>
      <c r="DV163" s="136"/>
      <c r="DW163" s="136"/>
      <c r="DX163" s="136"/>
      <c r="DY163" s="136"/>
      <c r="DZ163" s="136"/>
      <c r="EA163" s="136"/>
      <c r="EB163" s="136"/>
      <c r="EC163" s="136"/>
      <c r="ED163" s="136"/>
      <c r="EE163" s="136"/>
      <c r="EF163" s="136"/>
      <c r="EG163" s="136"/>
      <c r="EH163" s="136"/>
      <c r="EI163" s="136"/>
      <c r="EJ163" s="136"/>
      <c r="EK163" s="136"/>
      <c r="EL163" s="136"/>
      <c r="EM163" s="136"/>
      <c r="EN163" s="136"/>
      <c r="EO163" s="136"/>
      <c r="EP163" s="136"/>
      <c r="EQ163" s="136"/>
      <c r="ER163" s="136"/>
      <c r="ES163" s="136"/>
      <c r="ET163" s="136"/>
      <c r="EU163" s="136"/>
      <c r="EV163" s="136"/>
      <c r="EW163" s="136"/>
      <c r="EX163" s="136"/>
      <c r="EY163" s="136"/>
      <c r="EZ163" s="136"/>
      <c r="FA163" s="136"/>
      <c r="FB163" s="136"/>
      <c r="FC163" s="136"/>
      <c r="FD163" s="136"/>
      <c r="FE163" s="136"/>
      <c r="FF163" s="136"/>
      <c r="FG163" s="136"/>
      <c r="FH163" s="136"/>
      <c r="FI163" s="136"/>
      <c r="FJ163" s="136"/>
      <c r="FK163" s="136"/>
      <c r="FL163" s="136"/>
      <c r="FM163" s="136"/>
      <c r="FN163" s="136"/>
      <c r="FO163" s="136"/>
      <c r="FP163" s="136"/>
      <c r="FQ163" s="136"/>
      <c r="FR163" s="412"/>
      <c r="FS163" s="412"/>
      <c r="FT163" s="412"/>
      <c r="FU163" s="412"/>
      <c r="FV163" s="412"/>
      <c r="FW163" s="412"/>
      <c r="FX163" s="412"/>
      <c r="FY163" s="412"/>
      <c r="FZ163" s="412"/>
      <c r="GA163" s="412"/>
      <c r="GB163" s="412"/>
      <c r="GC163" s="412"/>
      <c r="GD163" s="412"/>
      <c r="GE163" s="412"/>
      <c r="GF163" s="412"/>
      <c r="GG163" s="412"/>
      <c r="GH163" s="412"/>
      <c r="GI163" s="412"/>
      <c r="GJ163" s="412"/>
      <c r="GK163" s="412"/>
      <c r="GL163" s="412"/>
      <c r="GM163" s="412"/>
      <c r="GN163" s="412"/>
      <c r="GO163" s="412"/>
      <c r="GP163" s="412"/>
      <c r="GQ163" s="412"/>
      <c r="GR163" s="412"/>
      <c r="GS163" s="412"/>
      <c r="GT163" s="412"/>
      <c r="GU163" s="412"/>
      <c r="GV163" s="412"/>
      <c r="GW163" s="412"/>
      <c r="GX163" s="412"/>
      <c r="GY163" s="412"/>
      <c r="GZ163" s="412"/>
      <c r="HA163" s="412"/>
      <c r="HB163" s="412"/>
      <c r="HC163" s="412"/>
      <c r="HD163" s="412"/>
      <c r="HE163" s="412"/>
      <c r="HF163" s="412"/>
      <c r="HG163" s="412"/>
      <c r="HH163" s="412"/>
      <c r="HI163" s="412"/>
      <c r="HJ163" s="412"/>
      <c r="HK163" s="412"/>
      <c r="HL163" s="412"/>
      <c r="HM163" s="412"/>
      <c r="HN163" s="412"/>
      <c r="HO163" s="412"/>
      <c r="HP163" s="412"/>
      <c r="HQ163" s="412"/>
      <c r="HR163" s="412"/>
      <c r="HS163" s="412"/>
      <c r="HT163" s="412"/>
      <c r="HU163" s="278"/>
      <c r="HV163" s="277"/>
      <c r="HW163" s="277"/>
      <c r="HX163" s="277"/>
      <c r="HY163" s="277"/>
      <c r="HZ163" s="277"/>
      <c r="IA163" s="277"/>
      <c r="IB163" s="277"/>
      <c r="IC163" s="277"/>
      <c r="ID163" s="412"/>
      <c r="IE163" s="412"/>
      <c r="IF163" s="412"/>
      <c r="IG163" s="412"/>
      <c r="IH163" s="412"/>
      <c r="II163" s="412"/>
      <c r="IJ163" s="412"/>
      <c r="IK163" s="412"/>
      <c r="IL163" s="412"/>
      <c r="IM163" s="412"/>
      <c r="IN163" s="412"/>
      <c r="IO163" s="412"/>
      <c r="IP163" s="412"/>
      <c r="IQ163" s="389"/>
      <c r="IR163" s="389"/>
      <c r="IS163" s="389"/>
      <c r="IT163" s="389"/>
      <c r="IU163" s="389"/>
      <c r="IV163" s="389"/>
      <c r="IW163" s="389"/>
      <c r="IX163" s="389"/>
      <c r="IY163" s="389"/>
      <c r="IZ163" s="389"/>
      <c r="JA163" s="389"/>
      <c r="JB163" s="389"/>
      <c r="JC163" s="389"/>
      <c r="JD163" s="389"/>
      <c r="JE163" s="389"/>
      <c r="JF163" s="389"/>
      <c r="JG163" s="389"/>
      <c r="JH163" s="389"/>
      <c r="JI163" s="389"/>
      <c r="JJ163" s="389"/>
      <c r="JK163" s="389"/>
      <c r="JL163" s="389"/>
      <c r="JM163" s="389"/>
      <c r="JN163" s="389"/>
      <c r="JO163" s="389"/>
      <c r="JT163" s="553"/>
    </row>
    <row r="164" spans="1:302" s="14" customFormat="1" ht="11.1" customHeight="1" collapsed="1">
      <c r="D164" s="23"/>
      <c r="G164" s="23"/>
      <c r="H164" s="23"/>
      <c r="I164" s="23"/>
      <c r="J164" s="23"/>
      <c r="M164" s="18"/>
      <c r="N164" s="18"/>
      <c r="O164" s="18"/>
      <c r="Y164" s="37"/>
      <c r="Z164" s="37"/>
      <c r="AG164" s="44"/>
      <c r="AH164" s="44"/>
      <c r="AI164" s="44"/>
      <c r="AJ164" s="44"/>
      <c r="AK164" s="44"/>
      <c r="AT164" s="32"/>
    </row>
    <row r="165" spans="1:302" ht="15" hidden="1" customHeight="1" outlineLevel="1">
      <c r="A165" s="411"/>
      <c r="D165" s="23"/>
      <c r="M165" s="223"/>
      <c r="N165" s="223"/>
      <c r="O165" s="223"/>
      <c r="P165" s="21"/>
      <c r="Q165" s="280"/>
      <c r="S165" s="23"/>
      <c r="AI165" s="410"/>
      <c r="AJ165" s="80"/>
      <c r="AK165" s="79"/>
      <c r="AL165" s="18"/>
      <c r="AN165" s="32"/>
      <c r="AO165" s="18"/>
      <c r="AP165" s="18"/>
      <c r="AT165" s="18"/>
      <c r="BA165" s="18"/>
      <c r="BG165" s="18"/>
      <c r="BK165" s="18"/>
      <c r="BX165" s="18"/>
      <c r="CS165" s="18"/>
      <c r="DO165" s="18"/>
      <c r="GN165" s="18"/>
      <c r="GO165" s="18"/>
      <c r="GP165" s="18"/>
      <c r="GQ165" s="18"/>
      <c r="GR165" s="18"/>
      <c r="GS165" s="18"/>
      <c r="GT165" s="18"/>
      <c r="GU165" s="18"/>
      <c r="GV165" s="18"/>
      <c r="GW165" s="18"/>
      <c r="GX165" s="18"/>
      <c r="GY165" s="18"/>
      <c r="GZ165" s="18"/>
      <c r="HA165" s="18"/>
      <c r="HB165" s="18"/>
      <c r="HC165" s="18"/>
      <c r="HD165" s="18"/>
      <c r="HE165" s="18"/>
      <c r="HG165" s="14"/>
      <c r="HH165" s="14"/>
      <c r="HI165" s="14"/>
      <c r="HJ165" s="14"/>
      <c r="HK165" s="14"/>
      <c r="HL165" s="14"/>
      <c r="HM165" s="14"/>
      <c r="HN165" s="14"/>
      <c r="HO165" s="14"/>
      <c r="HP165" s="14"/>
      <c r="HQ165" s="14"/>
      <c r="HR165" s="14"/>
      <c r="HS165" s="14"/>
      <c r="HT165" s="14"/>
      <c r="HU165" s="14"/>
      <c r="IO165" s="18"/>
    </row>
    <row r="166" spans="1:302" s="19" customFormat="1" ht="11.1" customHeight="1" collapsed="1">
      <c r="A166" s="408"/>
      <c r="B166" s="407"/>
      <c r="C166" s="372"/>
      <c r="D166" s="29"/>
      <c r="E166" s="406"/>
      <c r="F166" s="1085">
        <f>SUM(H9:H166)</f>
        <v>18000</v>
      </c>
      <c r="G166" s="1085"/>
      <c r="H166" s="930"/>
      <c r="I166" s="405">
        <f>SUM(J9:J166)</f>
        <v>571.05124999999998</v>
      </c>
      <c r="J166" s="405"/>
      <c r="K166" s="378"/>
      <c r="L166" s="404"/>
      <c r="M166" s="136"/>
      <c r="N166" s="136"/>
      <c r="O166" s="136"/>
      <c r="P166" s="394"/>
      <c r="Q166" s="280"/>
      <c r="R166" s="280"/>
      <c r="S166" s="401" t="s">
        <v>171</v>
      </c>
      <c r="T166" s="401"/>
      <c r="U166" s="401"/>
      <c r="V166" s="401"/>
      <c r="W166" s="401"/>
      <c r="X166" s="401"/>
      <c r="Y166" s="403"/>
      <c r="Z166" s="403"/>
      <c r="AA166" s="401"/>
      <c r="AB166" s="402" t="s">
        <v>161</v>
      </c>
      <c r="AC166" s="402"/>
      <c r="AD166" s="401" t="s">
        <v>170</v>
      </c>
      <c r="AE166" s="401"/>
      <c r="AF166" s="69"/>
      <c r="AH166" s="400"/>
      <c r="AI166" s="398"/>
      <c r="AJ166" s="400"/>
      <c r="AK166" s="399"/>
      <c r="AL166" s="398"/>
      <c r="AM166" s="21"/>
      <c r="AN166" s="54"/>
      <c r="AO166" s="397"/>
      <c r="AP166" s="396"/>
      <c r="AQ166" s="326"/>
      <c r="AR166" s="18"/>
      <c r="AS166" s="18"/>
      <c r="AT166" s="54"/>
      <c r="AU166" s="22"/>
      <c r="AV166" s="22"/>
      <c r="AW166" s="22"/>
      <c r="AX166" s="22"/>
      <c r="AY166" s="22"/>
      <c r="AZ166" s="22"/>
      <c r="BA166" s="54"/>
      <c r="BB166" s="22"/>
      <c r="BC166" s="394"/>
      <c r="BD166" s="394"/>
      <c r="BE166" s="394"/>
      <c r="BF166" s="394"/>
      <c r="BG166" s="395"/>
      <c r="BH166" s="394"/>
      <c r="BI166" s="394"/>
      <c r="BJ166" s="394"/>
      <c r="BK166" s="395"/>
      <c r="BL166" s="394"/>
      <c r="BM166" s="394"/>
      <c r="BN166" s="394"/>
      <c r="BO166" s="394"/>
      <c r="BP166" s="394"/>
      <c r="BQ166" s="20"/>
      <c r="BR166" s="20"/>
      <c r="BS166" s="20"/>
      <c r="BT166" s="20"/>
      <c r="BU166" s="20"/>
      <c r="BV166" s="20"/>
      <c r="BW166" s="20"/>
      <c r="BX166" s="391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391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393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  <c r="FI166" s="20"/>
      <c r="FJ166" s="20"/>
      <c r="FK166" s="20"/>
      <c r="FL166" s="20"/>
      <c r="FM166" s="20"/>
      <c r="FN166" s="20"/>
      <c r="FO166" s="20"/>
      <c r="FP166" s="20"/>
      <c r="FQ166" s="20"/>
      <c r="FR166" s="20"/>
      <c r="FS166" s="20"/>
      <c r="FT166" s="20"/>
      <c r="FU166" s="20"/>
      <c r="FV166" s="20"/>
      <c r="FW166" s="20"/>
      <c r="FX166" s="20"/>
      <c r="FY166" s="20"/>
      <c r="FZ166" s="20"/>
      <c r="GA166" s="20"/>
      <c r="GB166" s="20"/>
      <c r="GC166" s="20"/>
      <c r="GD166" s="20"/>
      <c r="GE166" s="20"/>
      <c r="GF166" s="20"/>
      <c r="GG166" s="20"/>
      <c r="GH166" s="20"/>
      <c r="GI166" s="20"/>
      <c r="GJ166" s="20"/>
      <c r="GK166" s="20"/>
      <c r="GL166" s="20"/>
      <c r="GM166" s="20"/>
      <c r="GN166" s="20"/>
      <c r="GO166" s="20"/>
      <c r="GP166" s="20"/>
      <c r="GQ166" s="20"/>
      <c r="GR166" s="20"/>
      <c r="GS166" s="20"/>
      <c r="GT166" s="20"/>
      <c r="GU166" s="20"/>
      <c r="GV166" s="20"/>
      <c r="GW166" s="20"/>
      <c r="GX166" s="20"/>
      <c r="GY166" s="20"/>
      <c r="GZ166" s="20"/>
      <c r="HA166" s="20"/>
      <c r="HB166" s="20"/>
      <c r="HC166" s="20"/>
      <c r="HD166" s="20"/>
      <c r="HE166" s="20"/>
      <c r="HF166" s="20"/>
      <c r="HG166" s="392"/>
      <c r="HH166" s="392"/>
      <c r="HI166" s="392"/>
      <c r="HJ166" s="392"/>
      <c r="HK166" s="392"/>
      <c r="HL166" s="392"/>
      <c r="HM166" s="392"/>
      <c r="HN166" s="392"/>
      <c r="HO166" s="392"/>
      <c r="HP166" s="392"/>
      <c r="HQ166" s="392"/>
      <c r="HR166" s="392"/>
      <c r="HS166" s="392"/>
      <c r="HT166" s="392"/>
      <c r="HU166" s="391"/>
      <c r="HV166" s="20"/>
      <c r="HW166" s="20"/>
      <c r="HX166" s="20"/>
      <c r="HY166" s="20"/>
      <c r="HZ166" s="20"/>
      <c r="IA166" s="20"/>
      <c r="IB166" s="20"/>
      <c r="IC166" s="20"/>
      <c r="ID166" s="20"/>
      <c r="IE166" s="20"/>
      <c r="IF166" s="20"/>
      <c r="IG166" s="20"/>
      <c r="IH166" s="20"/>
      <c r="II166" s="20"/>
      <c r="IJ166" s="20"/>
      <c r="IK166" s="20"/>
      <c r="IL166" s="20"/>
      <c r="IM166" s="20"/>
      <c r="IN166" s="20"/>
      <c r="IO166" s="390"/>
      <c r="JR166" s="14"/>
      <c r="JS166" s="14"/>
      <c r="JT166" s="14"/>
      <c r="JU166" s="14"/>
      <c r="JV166" s="14"/>
      <c r="JW166" s="14"/>
      <c r="JX166" s="14"/>
      <c r="JY166" s="14"/>
      <c r="JZ166" s="14"/>
      <c r="KA166" s="14"/>
      <c r="KB166" s="14"/>
      <c r="KC166" s="14"/>
      <c r="KD166" s="14"/>
      <c r="KE166" s="14"/>
      <c r="KF166" s="14"/>
      <c r="KG166" s="14"/>
      <c r="KH166" s="14"/>
      <c r="KI166" s="14"/>
      <c r="KJ166" s="14"/>
      <c r="KK166" s="14"/>
      <c r="KL166" s="14"/>
      <c r="KM166" s="14"/>
      <c r="KN166" s="14"/>
      <c r="KO166" s="14"/>
      <c r="KP166" s="14"/>
    </row>
    <row r="167" spans="1:302" s="1" customFormat="1" ht="5.0999999999999996" hidden="1" customHeight="1" outlineLevel="1" collapsed="1">
      <c r="A167" s="388"/>
      <c r="B167" s="944"/>
      <c r="C167" s="387"/>
      <c r="D167" s="22"/>
      <c r="E167" s="386"/>
      <c r="F167" s="385"/>
      <c r="G167" s="383"/>
      <c r="H167" s="383"/>
      <c r="I167" s="385"/>
      <c r="J167" s="383"/>
      <c r="K167" s="384"/>
      <c r="L167" s="384"/>
      <c r="M167" s="223"/>
      <c r="N167" s="223"/>
      <c r="O167" s="223"/>
      <c r="P167" s="318" t="s">
        <v>30</v>
      </c>
      <c r="Q167" s="280"/>
      <c r="R167" s="384"/>
      <c r="S167" s="6"/>
      <c r="T167" s="383"/>
      <c r="AB167" s="9"/>
      <c r="AC167" s="383"/>
      <c r="AD167" s="9"/>
      <c r="AE167" s="383"/>
      <c r="AF167" s="382"/>
      <c r="AG167" s="382"/>
      <c r="AH167" s="54"/>
      <c r="AI167" s="54"/>
      <c r="AJ167" s="22"/>
      <c r="AK167" s="22"/>
      <c r="AL167" s="54"/>
      <c r="AM167" s="374"/>
      <c r="AN167" s="381"/>
      <c r="AO167" s="381"/>
      <c r="AP167" s="381"/>
      <c r="AQ167" s="381"/>
      <c r="AR167" s="18"/>
      <c r="AS167" s="15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10"/>
      <c r="JT167" s="380"/>
    </row>
    <row r="168" spans="1:302" ht="5.0999999999999996" customHeight="1" collapsed="1">
      <c r="A168" s="29"/>
      <c r="B168" s="379"/>
      <c r="C168" s="29"/>
      <c r="D168" s="29"/>
      <c r="E168" s="38"/>
      <c r="F168" s="27"/>
      <c r="K168" s="225"/>
      <c r="L168" s="879"/>
      <c r="M168" s="223"/>
      <c r="N168" s="223"/>
      <c r="O168" s="223"/>
      <c r="P168" s="378"/>
      <c r="Q168" s="280"/>
      <c r="AF168" s="69"/>
      <c r="AH168" s="377"/>
      <c r="AI168" s="377"/>
      <c r="AJ168" s="377"/>
      <c r="AK168" s="376"/>
      <c r="AL168" s="375"/>
      <c r="AM168" s="21"/>
      <c r="AN168" s="54"/>
      <c r="AO168" s="22"/>
      <c r="AP168" s="374"/>
      <c r="AQ168" s="22"/>
      <c r="AR168" s="21"/>
      <c r="AS168" s="22"/>
      <c r="AT168" s="54"/>
      <c r="AU168" s="22"/>
      <c r="AV168" s="22"/>
      <c r="AW168" s="22"/>
      <c r="AX168" s="22"/>
      <c r="AY168" s="22"/>
      <c r="AZ168" s="22"/>
      <c r="BA168" s="54"/>
      <c r="BB168" s="22"/>
      <c r="BC168" s="15"/>
      <c r="BD168" s="15"/>
      <c r="BE168" s="15"/>
      <c r="BF168" s="15"/>
      <c r="BG168" s="51"/>
      <c r="BH168" s="15"/>
      <c r="BI168" s="15"/>
      <c r="BJ168" s="15"/>
      <c r="BK168" s="51"/>
      <c r="BL168" s="15"/>
      <c r="BM168" s="15"/>
      <c r="BN168" s="15"/>
      <c r="BO168" s="15"/>
      <c r="BP168" s="15"/>
      <c r="BQ168" s="18"/>
      <c r="BR168" s="18"/>
      <c r="BS168" s="18"/>
      <c r="BT168" s="18"/>
      <c r="BU168" s="18"/>
      <c r="BV168" s="18"/>
      <c r="BW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  <c r="FR168" s="18"/>
      <c r="FS168" s="18"/>
      <c r="FT168" s="18"/>
      <c r="FU168" s="18"/>
      <c r="FV168" s="18"/>
      <c r="FW168" s="18"/>
      <c r="FX168" s="18"/>
      <c r="FY168" s="18"/>
      <c r="FZ168" s="18"/>
      <c r="GA168" s="18"/>
      <c r="GB168" s="18"/>
      <c r="GC168" s="18"/>
      <c r="GD168" s="18"/>
      <c r="GE168" s="18"/>
      <c r="GF168" s="18"/>
      <c r="GG168" s="18"/>
      <c r="GH168" s="18"/>
      <c r="GI168" s="18"/>
      <c r="GJ168" s="18"/>
      <c r="GK168" s="18"/>
      <c r="GL168" s="18"/>
      <c r="GM168" s="18"/>
      <c r="GN168" s="18"/>
      <c r="GO168" s="18"/>
      <c r="GP168" s="18"/>
      <c r="GQ168" s="18"/>
      <c r="GR168" s="18"/>
      <c r="GS168" s="18"/>
      <c r="GT168" s="18"/>
      <c r="GU168" s="18"/>
      <c r="GV168" s="18"/>
      <c r="GW168" s="18"/>
      <c r="GX168" s="18"/>
      <c r="GY168" s="18"/>
      <c r="GZ168" s="18"/>
      <c r="HA168" s="18"/>
      <c r="HB168" s="18"/>
      <c r="HC168" s="18"/>
      <c r="HD168" s="18"/>
      <c r="HE168" s="18"/>
      <c r="HF168" s="18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V168" s="18"/>
      <c r="HW168" s="18"/>
      <c r="HX168" s="18"/>
      <c r="HY168" s="18"/>
      <c r="HZ168" s="18"/>
      <c r="IA168" s="18"/>
      <c r="IB168" s="18"/>
      <c r="IC168" s="18"/>
      <c r="ID168" s="18"/>
      <c r="IE168" s="18"/>
      <c r="IF168" s="18"/>
      <c r="IG168" s="18"/>
      <c r="IH168" s="18"/>
      <c r="II168" s="18"/>
      <c r="IJ168" s="18"/>
      <c r="IK168" s="18"/>
      <c r="IL168" s="18"/>
      <c r="IM168" s="18"/>
      <c r="IN168" s="18"/>
      <c r="IO168" s="18"/>
    </row>
    <row r="169" spans="1:302" ht="11.1" customHeight="1">
      <c r="A169" s="373" t="s">
        <v>169</v>
      </c>
      <c r="B169" s="372">
        <f ca="1">Y169/F166</f>
        <v>4.8996904429198294</v>
      </c>
      <c r="C169" s="26"/>
      <c r="E169" s="371" t="s">
        <v>168</v>
      </c>
      <c r="F169" s="364">
        <f>(100+(((I166-F166)/F166)*100))/100</f>
        <v>3.1725069444444358E-2</v>
      </c>
      <c r="K169" s="370"/>
      <c r="L169" s="11"/>
      <c r="M169" s="136"/>
      <c r="N169" s="136"/>
      <c r="O169" s="136"/>
      <c r="P169" s="336"/>
      <c r="Q169" s="18"/>
      <c r="R169" s="18"/>
      <c r="S169" s="368">
        <f ca="1">SUM(T9:T167)</f>
        <v>153.53731386568396</v>
      </c>
      <c r="T169" s="368"/>
      <c r="U169" s="368"/>
      <c r="V169" s="368"/>
      <c r="W169" s="368"/>
      <c r="X169" s="368"/>
      <c r="Y169" s="369">
        <f ca="1">SUM(Y10:Y168)</f>
        <v>88194.427972556936</v>
      </c>
      <c r="Z169" s="369">
        <f ca="1">SUM(Z10:Z168)</f>
        <v>577.25618916022108</v>
      </c>
      <c r="AA169" s="368"/>
      <c r="AB169" s="367">
        <f ca="1">SUM(AC9:AC167)+F3</f>
        <v>18222.03733675387</v>
      </c>
      <c r="AC169" s="366"/>
      <c r="AD169" s="365">
        <f>SUM(AE9:AE167)</f>
        <v>673.64644688818362</v>
      </c>
      <c r="AE169" s="365"/>
      <c r="AF169" s="69"/>
      <c r="AG169" s="364"/>
      <c r="AH169" s="363"/>
      <c r="AI169" s="363"/>
      <c r="AJ169" s="363"/>
      <c r="AK169" s="362"/>
      <c r="AL169" s="361"/>
      <c r="AM169" s="21"/>
      <c r="AN169" s="54"/>
      <c r="AO169" s="179"/>
      <c r="AP169" s="360">
        <f>SUM(AQ9:AQ9)</f>
        <v>0</v>
      </c>
      <c r="AQ169" s="22"/>
      <c r="AR169" s="21"/>
      <c r="AS169" s="22"/>
      <c r="AT169" s="359">
        <f t="shared" ref="AT169:DE169" si="0">SUM(AT9:AT168)</f>
        <v>18000</v>
      </c>
      <c r="AU169" s="336">
        <f t="shared" si="0"/>
        <v>0</v>
      </c>
      <c r="AV169" s="336">
        <f t="shared" si="0"/>
        <v>0</v>
      </c>
      <c r="AW169" s="336">
        <f t="shared" si="0"/>
        <v>0</v>
      </c>
      <c r="AX169" s="336">
        <f t="shared" si="0"/>
        <v>0</v>
      </c>
      <c r="AY169" s="336">
        <f t="shared" si="0"/>
        <v>0</v>
      </c>
      <c r="AZ169" s="336">
        <f t="shared" si="0"/>
        <v>0</v>
      </c>
      <c r="BA169" s="359">
        <f t="shared" si="0"/>
        <v>0</v>
      </c>
      <c r="BB169" s="336">
        <f t="shared" si="0"/>
        <v>0</v>
      </c>
      <c r="BC169" s="336">
        <f t="shared" si="0"/>
        <v>2000</v>
      </c>
      <c r="BD169" s="336">
        <f t="shared" si="0"/>
        <v>8000</v>
      </c>
      <c r="BE169" s="336">
        <f t="shared" si="0"/>
        <v>1000</v>
      </c>
      <c r="BF169" s="336">
        <f t="shared" si="0"/>
        <v>7000</v>
      </c>
      <c r="BG169" s="359">
        <f t="shared" si="0"/>
        <v>18000</v>
      </c>
      <c r="BH169" s="336">
        <f t="shared" si="0"/>
        <v>0</v>
      </c>
      <c r="BI169" s="336">
        <f t="shared" si="0"/>
        <v>0</v>
      </c>
      <c r="BJ169" s="336">
        <f t="shared" si="0"/>
        <v>0</v>
      </c>
      <c r="BK169" s="359">
        <f t="shared" si="0"/>
        <v>5000</v>
      </c>
      <c r="BL169" s="336">
        <f t="shared" ca="1" si="0"/>
        <v>5013.8941841857068</v>
      </c>
      <c r="BM169" s="336">
        <f t="shared" si="0"/>
        <v>0</v>
      </c>
      <c r="BN169" s="336">
        <f t="shared" si="0"/>
        <v>0</v>
      </c>
      <c r="BO169" s="336">
        <f t="shared" si="0"/>
        <v>1000</v>
      </c>
      <c r="BP169" s="336">
        <f t="shared" si="0"/>
        <v>2000</v>
      </c>
      <c r="BQ169" s="336">
        <f t="shared" si="0"/>
        <v>0</v>
      </c>
      <c r="BR169" s="336">
        <f t="shared" si="0"/>
        <v>3000</v>
      </c>
      <c r="BS169" s="336">
        <f t="shared" si="0"/>
        <v>0</v>
      </c>
      <c r="BT169" s="336">
        <f t="shared" si="0"/>
        <v>1000</v>
      </c>
      <c r="BU169" s="336">
        <f t="shared" si="0"/>
        <v>3000</v>
      </c>
      <c r="BV169" s="336">
        <f t="shared" si="0"/>
        <v>0</v>
      </c>
      <c r="BW169" s="336">
        <f t="shared" si="0"/>
        <v>3000</v>
      </c>
      <c r="BX169" s="359">
        <f t="shared" si="0"/>
        <v>18000</v>
      </c>
      <c r="BY169" s="336">
        <f t="shared" si="0"/>
        <v>0</v>
      </c>
      <c r="BZ169" s="336">
        <f t="shared" si="0"/>
        <v>0</v>
      </c>
      <c r="CA169" s="336">
        <f t="shared" si="0"/>
        <v>0</v>
      </c>
      <c r="CB169" s="336">
        <f t="shared" si="0"/>
        <v>0</v>
      </c>
      <c r="CC169" s="336">
        <f t="shared" si="0"/>
        <v>0</v>
      </c>
      <c r="CD169" s="336">
        <f t="shared" si="0"/>
        <v>0</v>
      </c>
      <c r="CE169" s="336">
        <f t="shared" si="0"/>
        <v>0</v>
      </c>
      <c r="CF169" s="336">
        <f t="shared" si="0"/>
        <v>0</v>
      </c>
      <c r="CG169" s="336">
        <f t="shared" si="0"/>
        <v>0</v>
      </c>
      <c r="CH169" s="336">
        <f t="shared" si="0"/>
        <v>0</v>
      </c>
      <c r="CI169" s="336">
        <f t="shared" si="0"/>
        <v>0</v>
      </c>
      <c r="CJ169" s="336">
        <f t="shared" si="0"/>
        <v>0</v>
      </c>
      <c r="CK169" s="336">
        <f t="shared" si="0"/>
        <v>0</v>
      </c>
      <c r="CL169" s="336">
        <f t="shared" si="0"/>
        <v>0</v>
      </c>
      <c r="CM169" s="336">
        <f t="shared" si="0"/>
        <v>0</v>
      </c>
      <c r="CN169" s="336">
        <f t="shared" si="0"/>
        <v>0</v>
      </c>
      <c r="CO169" s="336">
        <f t="shared" si="0"/>
        <v>0</v>
      </c>
      <c r="CP169" s="336">
        <f t="shared" si="0"/>
        <v>0</v>
      </c>
      <c r="CQ169" s="336">
        <f t="shared" si="0"/>
        <v>0</v>
      </c>
      <c r="CR169" s="336">
        <f t="shared" si="0"/>
        <v>0</v>
      </c>
      <c r="CS169" s="359">
        <f t="shared" si="0"/>
        <v>9000</v>
      </c>
      <c r="CT169" s="336">
        <f t="shared" si="0"/>
        <v>0</v>
      </c>
      <c r="CU169" s="336">
        <f t="shared" si="0"/>
        <v>0</v>
      </c>
      <c r="CV169" s="336">
        <f t="shared" si="0"/>
        <v>2000</v>
      </c>
      <c r="CW169" s="336">
        <f t="shared" si="0"/>
        <v>3000</v>
      </c>
      <c r="CX169" s="336">
        <f t="shared" si="0"/>
        <v>0</v>
      </c>
      <c r="CY169" s="336">
        <f t="shared" si="0"/>
        <v>0</v>
      </c>
      <c r="CZ169" s="336">
        <f t="shared" si="0"/>
        <v>0</v>
      </c>
      <c r="DA169" s="336">
        <f t="shared" si="0"/>
        <v>0</v>
      </c>
      <c r="DB169" s="336">
        <f t="shared" si="0"/>
        <v>1000</v>
      </c>
      <c r="DC169" s="336">
        <f t="shared" si="0"/>
        <v>0</v>
      </c>
      <c r="DD169" s="336">
        <f t="shared" si="0"/>
        <v>0</v>
      </c>
      <c r="DE169" s="336">
        <f t="shared" si="0"/>
        <v>0</v>
      </c>
      <c r="DF169" s="336">
        <f t="shared" ref="DF169:FQ169" si="1">SUM(DF9:DF168)</f>
        <v>0</v>
      </c>
      <c r="DG169" s="336">
        <f t="shared" si="1"/>
        <v>0</v>
      </c>
      <c r="DH169" s="336">
        <f t="shared" si="1"/>
        <v>0</v>
      </c>
      <c r="DI169" s="336">
        <f t="shared" si="1"/>
        <v>0</v>
      </c>
      <c r="DJ169" s="336">
        <f t="shared" si="1"/>
        <v>0</v>
      </c>
      <c r="DK169" s="336">
        <f t="shared" si="1"/>
        <v>2000</v>
      </c>
      <c r="DL169" s="336">
        <f t="shared" si="1"/>
        <v>0</v>
      </c>
      <c r="DM169" s="336">
        <f t="shared" si="1"/>
        <v>0</v>
      </c>
      <c r="DN169" s="336">
        <f t="shared" si="1"/>
        <v>1000</v>
      </c>
      <c r="DO169" s="359">
        <f t="shared" si="1"/>
        <v>2000</v>
      </c>
      <c r="DP169" s="336">
        <f t="shared" si="1"/>
        <v>0</v>
      </c>
      <c r="DQ169" s="336">
        <f t="shared" si="1"/>
        <v>0</v>
      </c>
      <c r="DR169" s="336">
        <f t="shared" si="1"/>
        <v>0</v>
      </c>
      <c r="DS169" s="336">
        <f t="shared" si="1"/>
        <v>0</v>
      </c>
      <c r="DT169" s="336">
        <f t="shared" si="1"/>
        <v>0</v>
      </c>
      <c r="DU169" s="336">
        <f t="shared" si="1"/>
        <v>0</v>
      </c>
      <c r="DV169" s="336">
        <f t="shared" si="1"/>
        <v>0</v>
      </c>
      <c r="DW169" s="336">
        <f t="shared" si="1"/>
        <v>0</v>
      </c>
      <c r="DX169" s="336">
        <f t="shared" si="1"/>
        <v>0</v>
      </c>
      <c r="DY169" s="336">
        <f t="shared" si="1"/>
        <v>0</v>
      </c>
      <c r="DZ169" s="336">
        <f t="shared" si="1"/>
        <v>0</v>
      </c>
      <c r="EA169" s="336">
        <f t="shared" si="1"/>
        <v>0</v>
      </c>
      <c r="EB169" s="336">
        <f t="shared" si="1"/>
        <v>0</v>
      </c>
      <c r="EC169" s="336">
        <f t="shared" si="1"/>
        <v>0</v>
      </c>
      <c r="ED169" s="336">
        <f t="shared" si="1"/>
        <v>0</v>
      </c>
      <c r="EE169" s="336">
        <f t="shared" si="1"/>
        <v>0</v>
      </c>
      <c r="EF169" s="336">
        <f t="shared" si="1"/>
        <v>0</v>
      </c>
      <c r="EG169" s="336">
        <f t="shared" si="1"/>
        <v>0</v>
      </c>
      <c r="EH169" s="336">
        <f t="shared" si="1"/>
        <v>0</v>
      </c>
      <c r="EI169" s="336">
        <f t="shared" si="1"/>
        <v>1000</v>
      </c>
      <c r="EJ169" s="336">
        <f t="shared" si="1"/>
        <v>0</v>
      </c>
      <c r="EK169" s="336">
        <f t="shared" si="1"/>
        <v>0</v>
      </c>
      <c r="EL169" s="336">
        <f t="shared" si="1"/>
        <v>0</v>
      </c>
      <c r="EM169" s="336">
        <f t="shared" si="1"/>
        <v>0</v>
      </c>
      <c r="EN169" s="336">
        <f t="shared" si="1"/>
        <v>2000</v>
      </c>
      <c r="EO169" s="336">
        <f t="shared" si="1"/>
        <v>1000</v>
      </c>
      <c r="EP169" s="336">
        <f t="shared" si="1"/>
        <v>0</v>
      </c>
      <c r="EQ169" s="336">
        <f t="shared" si="1"/>
        <v>1000</v>
      </c>
      <c r="ER169" s="336">
        <f t="shared" si="1"/>
        <v>1000</v>
      </c>
      <c r="ES169" s="336">
        <f t="shared" si="1"/>
        <v>1000</v>
      </c>
      <c r="ET169" s="336">
        <f t="shared" si="1"/>
        <v>0</v>
      </c>
      <c r="EU169" s="336">
        <f t="shared" si="1"/>
        <v>2000</v>
      </c>
      <c r="EV169" s="336">
        <f t="shared" si="1"/>
        <v>0</v>
      </c>
      <c r="EW169" s="336">
        <f t="shared" si="1"/>
        <v>0</v>
      </c>
      <c r="EX169" s="336">
        <f t="shared" si="1"/>
        <v>1000</v>
      </c>
      <c r="EY169" s="336">
        <f t="shared" si="1"/>
        <v>0</v>
      </c>
      <c r="EZ169" s="336">
        <f t="shared" si="1"/>
        <v>0</v>
      </c>
      <c r="FA169" s="336">
        <f t="shared" si="1"/>
        <v>0</v>
      </c>
      <c r="FB169" s="336">
        <f t="shared" si="1"/>
        <v>0</v>
      </c>
      <c r="FC169" s="336">
        <f t="shared" si="1"/>
        <v>0</v>
      </c>
      <c r="FD169" s="336">
        <f t="shared" si="1"/>
        <v>0</v>
      </c>
      <c r="FE169" s="336">
        <f t="shared" si="1"/>
        <v>1000</v>
      </c>
      <c r="FF169" s="336">
        <f t="shared" si="1"/>
        <v>0</v>
      </c>
      <c r="FG169" s="336">
        <f t="shared" si="1"/>
        <v>1000</v>
      </c>
      <c r="FH169" s="336">
        <f t="shared" si="1"/>
        <v>0</v>
      </c>
      <c r="FI169" s="336">
        <f t="shared" si="1"/>
        <v>0</v>
      </c>
      <c r="FJ169" s="336">
        <f t="shared" si="1"/>
        <v>0</v>
      </c>
      <c r="FK169" s="336">
        <f t="shared" si="1"/>
        <v>0</v>
      </c>
      <c r="FL169" s="336">
        <f t="shared" si="1"/>
        <v>0</v>
      </c>
      <c r="FM169" s="336">
        <f t="shared" si="1"/>
        <v>0</v>
      </c>
      <c r="FN169" s="336">
        <f t="shared" si="1"/>
        <v>0</v>
      </c>
      <c r="FO169" s="336">
        <f t="shared" si="1"/>
        <v>0</v>
      </c>
      <c r="FP169" s="336">
        <f t="shared" si="1"/>
        <v>0</v>
      </c>
      <c r="FQ169" s="336">
        <f t="shared" si="1"/>
        <v>0</v>
      </c>
      <c r="FR169" s="336">
        <f t="shared" ref="FR169:IC169" si="2">SUM(FR9:FR168)</f>
        <v>0</v>
      </c>
      <c r="FS169" s="336">
        <f t="shared" si="2"/>
        <v>0</v>
      </c>
      <c r="FT169" s="336">
        <f t="shared" si="2"/>
        <v>0</v>
      </c>
      <c r="FU169" s="336">
        <f t="shared" si="2"/>
        <v>0</v>
      </c>
      <c r="FV169" s="336">
        <f t="shared" si="2"/>
        <v>0</v>
      </c>
      <c r="FW169" s="336">
        <f t="shared" si="2"/>
        <v>0</v>
      </c>
      <c r="FX169" s="336">
        <f t="shared" si="2"/>
        <v>0</v>
      </c>
      <c r="FY169" s="336">
        <f t="shared" si="2"/>
        <v>0</v>
      </c>
      <c r="FZ169" s="336">
        <f t="shared" si="2"/>
        <v>0</v>
      </c>
      <c r="GA169" s="336">
        <f t="shared" si="2"/>
        <v>0</v>
      </c>
      <c r="GB169" s="336">
        <f t="shared" si="2"/>
        <v>0</v>
      </c>
      <c r="GC169" s="336">
        <f t="shared" si="2"/>
        <v>0</v>
      </c>
      <c r="GD169" s="336">
        <f t="shared" si="2"/>
        <v>0</v>
      </c>
      <c r="GE169" s="336">
        <f t="shared" si="2"/>
        <v>0</v>
      </c>
      <c r="GF169" s="336">
        <f t="shared" si="2"/>
        <v>0</v>
      </c>
      <c r="GG169" s="336">
        <f t="shared" si="2"/>
        <v>0</v>
      </c>
      <c r="GH169" s="336">
        <f t="shared" si="2"/>
        <v>0</v>
      </c>
      <c r="GI169" s="336">
        <f t="shared" si="2"/>
        <v>0</v>
      </c>
      <c r="GJ169" s="336">
        <f t="shared" si="2"/>
        <v>0</v>
      </c>
      <c r="GK169" s="336">
        <f t="shared" si="2"/>
        <v>0</v>
      </c>
      <c r="GL169" s="336">
        <f t="shared" si="2"/>
        <v>0</v>
      </c>
      <c r="GM169" s="336">
        <f t="shared" si="2"/>
        <v>0</v>
      </c>
      <c r="GN169" s="336">
        <f t="shared" si="2"/>
        <v>0</v>
      </c>
      <c r="GO169" s="336">
        <f t="shared" si="2"/>
        <v>0</v>
      </c>
      <c r="GP169" s="336">
        <f t="shared" si="2"/>
        <v>0</v>
      </c>
      <c r="GQ169" s="336">
        <f t="shared" si="2"/>
        <v>0</v>
      </c>
      <c r="GR169" s="336">
        <f t="shared" si="2"/>
        <v>0</v>
      </c>
      <c r="GS169" s="336">
        <f t="shared" si="2"/>
        <v>0</v>
      </c>
      <c r="GT169" s="336">
        <f t="shared" si="2"/>
        <v>0</v>
      </c>
      <c r="GU169" s="336">
        <f t="shared" si="2"/>
        <v>0</v>
      </c>
      <c r="GV169" s="336">
        <f t="shared" si="2"/>
        <v>0</v>
      </c>
      <c r="GW169" s="336">
        <f t="shared" si="2"/>
        <v>0</v>
      </c>
      <c r="GX169" s="336">
        <f t="shared" si="2"/>
        <v>0</v>
      </c>
      <c r="GY169" s="336">
        <f t="shared" si="2"/>
        <v>0</v>
      </c>
      <c r="GZ169" s="336">
        <f t="shared" si="2"/>
        <v>0</v>
      </c>
      <c r="HA169" s="336">
        <f t="shared" si="2"/>
        <v>0</v>
      </c>
      <c r="HB169" s="336">
        <f t="shared" si="2"/>
        <v>0</v>
      </c>
      <c r="HC169" s="336">
        <f t="shared" si="2"/>
        <v>1000</v>
      </c>
      <c r="HD169" s="336">
        <f t="shared" si="2"/>
        <v>1000</v>
      </c>
      <c r="HE169" s="336">
        <f t="shared" si="2"/>
        <v>1000</v>
      </c>
      <c r="HF169" s="336">
        <f t="shared" si="2"/>
        <v>0</v>
      </c>
      <c r="HG169" s="336">
        <f t="shared" si="2"/>
        <v>0</v>
      </c>
      <c r="HH169" s="336">
        <f t="shared" si="2"/>
        <v>0</v>
      </c>
      <c r="HI169" s="336">
        <f t="shared" si="2"/>
        <v>0</v>
      </c>
      <c r="HJ169" s="336">
        <f t="shared" si="2"/>
        <v>0</v>
      </c>
      <c r="HK169" s="336">
        <f t="shared" si="2"/>
        <v>1000</v>
      </c>
      <c r="HL169" s="336">
        <f t="shared" si="2"/>
        <v>0</v>
      </c>
      <c r="HM169" s="336">
        <f t="shared" si="2"/>
        <v>0</v>
      </c>
      <c r="HN169" s="336">
        <f t="shared" si="2"/>
        <v>0</v>
      </c>
      <c r="HO169" s="336">
        <f t="shared" si="2"/>
        <v>0</v>
      </c>
      <c r="HP169" s="336">
        <f t="shared" si="2"/>
        <v>0</v>
      </c>
      <c r="HQ169" s="336">
        <f t="shared" si="2"/>
        <v>0</v>
      </c>
      <c r="HR169" s="336">
        <f t="shared" si="2"/>
        <v>0</v>
      </c>
      <c r="HS169" s="336">
        <f t="shared" si="2"/>
        <v>0</v>
      </c>
      <c r="HT169" s="336">
        <f t="shared" si="2"/>
        <v>0</v>
      </c>
      <c r="HU169" s="359">
        <f t="shared" ca="1" si="2"/>
        <v>18222.03733675387</v>
      </c>
      <c r="HV169" s="336">
        <f t="shared" si="2"/>
        <v>0</v>
      </c>
      <c r="HW169" s="336">
        <f t="shared" si="2"/>
        <v>0</v>
      </c>
      <c r="HX169" s="336">
        <f t="shared" si="2"/>
        <v>0</v>
      </c>
      <c r="HY169" s="336">
        <f t="shared" si="2"/>
        <v>0</v>
      </c>
      <c r="HZ169" s="336">
        <f t="shared" si="2"/>
        <v>0</v>
      </c>
      <c r="IA169" s="336">
        <f t="shared" si="2"/>
        <v>0</v>
      </c>
      <c r="IB169" s="336">
        <f t="shared" si="2"/>
        <v>0</v>
      </c>
      <c r="IC169" s="336">
        <f t="shared" si="2"/>
        <v>0</v>
      </c>
      <c r="ID169" s="336">
        <f t="shared" ref="ID169:JO169" si="3">SUM(ID9:ID168)</f>
        <v>0</v>
      </c>
      <c r="IE169" s="336">
        <f t="shared" si="3"/>
        <v>0</v>
      </c>
      <c r="IF169" s="336">
        <f t="shared" si="3"/>
        <v>0</v>
      </c>
      <c r="IG169" s="336">
        <f t="shared" si="3"/>
        <v>0</v>
      </c>
      <c r="IH169" s="336">
        <f t="shared" si="3"/>
        <v>0</v>
      </c>
      <c r="II169" s="336">
        <f t="shared" si="3"/>
        <v>0</v>
      </c>
      <c r="IJ169" s="336">
        <f t="shared" si="3"/>
        <v>0</v>
      </c>
      <c r="IK169" s="336">
        <f t="shared" si="3"/>
        <v>0</v>
      </c>
      <c r="IL169" s="336">
        <f t="shared" si="3"/>
        <v>0</v>
      </c>
      <c r="IM169" s="336">
        <f t="shared" si="3"/>
        <v>0</v>
      </c>
      <c r="IN169" s="336">
        <f t="shared" si="3"/>
        <v>0</v>
      </c>
      <c r="IO169" s="336">
        <f t="shared" si="3"/>
        <v>0</v>
      </c>
      <c r="IP169" s="359">
        <f t="shared" si="3"/>
        <v>0</v>
      </c>
      <c r="IQ169" s="336">
        <f t="shared" si="3"/>
        <v>0</v>
      </c>
      <c r="IR169" s="336">
        <f t="shared" si="3"/>
        <v>0</v>
      </c>
      <c r="IS169" s="336">
        <f t="shared" si="3"/>
        <v>0</v>
      </c>
      <c r="IT169" s="336">
        <f t="shared" si="3"/>
        <v>0</v>
      </c>
      <c r="IU169" s="336">
        <f t="shared" si="3"/>
        <v>0</v>
      </c>
      <c r="IV169" s="336">
        <f t="shared" si="3"/>
        <v>0</v>
      </c>
      <c r="IW169" s="336">
        <f t="shared" si="3"/>
        <v>0</v>
      </c>
      <c r="IX169" s="336">
        <f t="shared" si="3"/>
        <v>0</v>
      </c>
      <c r="IY169" s="336">
        <f t="shared" si="3"/>
        <v>0</v>
      </c>
      <c r="IZ169" s="336">
        <f t="shared" si="3"/>
        <v>0</v>
      </c>
      <c r="JA169" s="336">
        <f t="shared" si="3"/>
        <v>4000</v>
      </c>
      <c r="JB169" s="336">
        <f t="shared" si="3"/>
        <v>4000</v>
      </c>
      <c r="JC169" s="336">
        <f t="shared" si="3"/>
        <v>2000</v>
      </c>
      <c r="JD169" s="336">
        <f t="shared" si="3"/>
        <v>1000</v>
      </c>
      <c r="JE169" s="336">
        <f t="shared" si="3"/>
        <v>1000</v>
      </c>
      <c r="JF169" s="359">
        <f t="shared" si="3"/>
        <v>2000</v>
      </c>
      <c r="JG169" s="336">
        <f t="shared" si="3"/>
        <v>2000</v>
      </c>
      <c r="JH169" s="336">
        <f t="shared" si="3"/>
        <v>1000</v>
      </c>
      <c r="JI169" s="336">
        <f t="shared" si="3"/>
        <v>0</v>
      </c>
      <c r="JJ169" s="336">
        <f t="shared" si="3"/>
        <v>0</v>
      </c>
      <c r="JK169" s="336">
        <f t="shared" si="3"/>
        <v>0</v>
      </c>
      <c r="JL169" s="336">
        <f t="shared" si="3"/>
        <v>0</v>
      </c>
      <c r="JM169" s="336">
        <f t="shared" si="3"/>
        <v>1000</v>
      </c>
      <c r="JN169" s="336">
        <f t="shared" si="3"/>
        <v>0</v>
      </c>
      <c r="JO169" s="336">
        <f t="shared" si="3"/>
        <v>0</v>
      </c>
      <c r="JP169" s="336"/>
      <c r="JQ169" s="358">
        <f t="shared" ref="JQ169:KM169" si="4">SUM(JQ9:JQ168)</f>
        <v>0</v>
      </c>
      <c r="JR169" s="358">
        <f t="shared" si="4"/>
        <v>0</v>
      </c>
      <c r="JS169" s="357">
        <f t="shared" si="4"/>
        <v>0</v>
      </c>
      <c r="JT169" s="357">
        <f t="shared" si="4"/>
        <v>0</v>
      </c>
      <c r="JU169" s="357">
        <f t="shared" si="4"/>
        <v>0</v>
      </c>
      <c r="JV169" s="357">
        <f t="shared" si="4"/>
        <v>0</v>
      </c>
      <c r="JW169" s="357">
        <f t="shared" si="4"/>
        <v>0</v>
      </c>
      <c r="JX169" s="357">
        <f t="shared" si="4"/>
        <v>0</v>
      </c>
      <c r="JY169" s="357">
        <f t="shared" si="4"/>
        <v>0</v>
      </c>
      <c r="JZ169" s="357">
        <f t="shared" si="4"/>
        <v>0</v>
      </c>
      <c r="KA169" s="357">
        <f t="shared" si="4"/>
        <v>0</v>
      </c>
      <c r="KB169" s="357">
        <f t="shared" si="4"/>
        <v>0</v>
      </c>
      <c r="KC169" s="357">
        <f t="shared" si="4"/>
        <v>0</v>
      </c>
      <c r="KD169" s="357">
        <f t="shared" si="4"/>
        <v>0</v>
      </c>
      <c r="KE169" s="357">
        <f t="shared" si="4"/>
        <v>0</v>
      </c>
      <c r="KF169" s="357">
        <f t="shared" si="4"/>
        <v>0</v>
      </c>
      <c r="KG169" s="357">
        <f t="shared" si="4"/>
        <v>0</v>
      </c>
      <c r="KH169" s="357">
        <f t="shared" si="4"/>
        <v>0</v>
      </c>
      <c r="KI169" s="357">
        <f t="shared" si="4"/>
        <v>0</v>
      </c>
      <c r="KJ169" s="357">
        <f t="shared" si="4"/>
        <v>0</v>
      </c>
      <c r="KK169" s="357">
        <f t="shared" si="4"/>
        <v>0</v>
      </c>
      <c r="KL169" s="357">
        <f t="shared" si="4"/>
        <v>0</v>
      </c>
      <c r="KM169" s="357">
        <f t="shared" si="4"/>
        <v>0</v>
      </c>
      <c r="KN169" s="19"/>
      <c r="KO169" s="19"/>
      <c r="KP169" s="19"/>
    </row>
    <row r="170" spans="1:302" ht="4.5" customHeight="1" thickBot="1">
      <c r="A170" s="356"/>
      <c r="B170" s="355"/>
      <c r="C170" s="353"/>
      <c r="D170" s="353"/>
      <c r="E170" s="353"/>
      <c r="F170" s="353"/>
      <c r="G170" s="148"/>
      <c r="H170" s="148"/>
      <c r="I170" s="354"/>
      <c r="J170" s="354"/>
      <c r="K170" s="353"/>
      <c r="L170" s="353"/>
      <c r="M170" s="353"/>
      <c r="N170" s="353"/>
      <c r="O170" s="353"/>
      <c r="P170" s="151"/>
      <c r="Q170" s="161"/>
      <c r="R170" s="161"/>
      <c r="S170" s="161"/>
      <c r="T170" s="161"/>
      <c r="U170" s="161"/>
      <c r="V170" s="161"/>
      <c r="W170" s="161"/>
      <c r="X170" s="161"/>
      <c r="Y170" s="352"/>
      <c r="Z170" s="352"/>
      <c r="AA170" s="161"/>
      <c r="AB170" s="351"/>
      <c r="AC170" s="351"/>
      <c r="AD170" s="161"/>
      <c r="AE170" s="161"/>
      <c r="AF170" s="350"/>
      <c r="AG170" s="349"/>
      <c r="AH170" s="348"/>
      <c r="AI170" s="348"/>
      <c r="AJ170" s="348"/>
      <c r="AK170" s="347"/>
      <c r="AL170" s="346"/>
      <c r="AM170" s="151"/>
      <c r="AN170" s="346"/>
      <c r="AO170" s="151"/>
      <c r="AP170" s="151"/>
      <c r="AQ170" s="160"/>
      <c r="AR170" s="151"/>
      <c r="AS170" s="160"/>
      <c r="AT170" s="54"/>
      <c r="AU170" s="22"/>
      <c r="AV170" s="22"/>
      <c r="AW170" s="22"/>
      <c r="AX170" s="22"/>
      <c r="AY170" s="22"/>
      <c r="AZ170" s="22"/>
      <c r="BA170" s="54"/>
      <c r="BB170" s="22"/>
      <c r="BC170" s="15"/>
      <c r="BD170" s="15"/>
      <c r="BE170" s="15"/>
      <c r="BF170" s="15"/>
      <c r="BG170" s="51"/>
      <c r="BH170" s="15"/>
      <c r="BI170" s="15"/>
      <c r="BJ170" s="15"/>
      <c r="BK170" s="51"/>
      <c r="BL170" s="15"/>
      <c r="BM170" s="15"/>
      <c r="BN170" s="15"/>
      <c r="BO170" s="15"/>
      <c r="BP170" s="15"/>
      <c r="BQ170" s="18"/>
      <c r="BR170" s="18"/>
      <c r="BS170" s="18"/>
      <c r="BT170" s="18"/>
      <c r="BU170" s="18"/>
      <c r="BV170" s="18"/>
      <c r="BW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  <c r="FR170" s="18"/>
      <c r="FS170" s="18"/>
      <c r="FT170" s="18"/>
      <c r="FU170" s="18"/>
      <c r="FV170" s="18"/>
      <c r="FW170" s="18"/>
      <c r="FX170" s="18"/>
      <c r="FY170" s="18"/>
      <c r="FZ170" s="18"/>
      <c r="GA170" s="18"/>
      <c r="GB170" s="18"/>
      <c r="GC170" s="18"/>
      <c r="GD170" s="18"/>
      <c r="GE170" s="18"/>
      <c r="GF170" s="18"/>
      <c r="GG170" s="18"/>
      <c r="GH170" s="18"/>
      <c r="GI170" s="18"/>
      <c r="GJ170" s="18"/>
      <c r="GK170" s="18"/>
      <c r="GL170" s="18"/>
      <c r="GM170" s="18"/>
      <c r="GN170" s="18"/>
      <c r="GO170" s="18"/>
      <c r="GP170" s="18"/>
      <c r="GQ170" s="18"/>
      <c r="GR170" s="18"/>
      <c r="GS170" s="18"/>
      <c r="GT170" s="18"/>
      <c r="GU170" s="18"/>
      <c r="GV170" s="18"/>
      <c r="GW170" s="18"/>
      <c r="GX170" s="18"/>
      <c r="GY170" s="18"/>
      <c r="GZ170" s="18"/>
      <c r="HA170" s="18"/>
      <c r="HB170" s="18"/>
      <c r="HC170" s="18"/>
      <c r="HD170" s="18"/>
      <c r="HE170" s="18"/>
      <c r="HF170" s="18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V170" s="18"/>
      <c r="HW170" s="18"/>
      <c r="HX170" s="18"/>
      <c r="HY170" s="18"/>
      <c r="HZ170" s="18"/>
      <c r="IA170" s="18"/>
      <c r="IB170" s="18"/>
      <c r="IC170" s="18"/>
      <c r="ID170" s="18"/>
      <c r="IE170" s="18"/>
      <c r="IF170" s="18"/>
      <c r="IG170" s="18"/>
      <c r="IH170" s="18"/>
      <c r="II170" s="18"/>
      <c r="IJ170" s="18"/>
      <c r="IK170" s="18"/>
      <c r="IL170" s="18"/>
      <c r="IM170" s="18"/>
      <c r="IN170" s="18"/>
      <c r="IO170" s="18"/>
    </row>
    <row r="171" spans="1:302" ht="13.5" hidden="1" customHeight="1" outlineLevel="1" thickTop="1">
      <c r="A171" s="1078" t="s">
        <v>167</v>
      </c>
      <c r="C171" s="345"/>
      <c r="D171" s="1075" t="s">
        <v>166</v>
      </c>
      <c r="E171" s="345"/>
      <c r="F171" s="1075" t="s">
        <v>165</v>
      </c>
      <c r="G171" s="1032" t="s">
        <v>164</v>
      </c>
      <c r="H171" s="937"/>
      <c r="I171" s="1032" t="s">
        <v>163</v>
      </c>
      <c r="J171" s="1032"/>
      <c r="K171" s="1032"/>
      <c r="L171" s="938"/>
      <c r="M171" s="344"/>
      <c r="N171" s="344"/>
      <c r="O171" s="344"/>
      <c r="P171" s="1032" t="s">
        <v>162</v>
      </c>
      <c r="Q171" s="950"/>
      <c r="R171" s="950"/>
      <c r="S171" s="937"/>
      <c r="T171" s="343"/>
      <c r="U171" s="343"/>
      <c r="V171" s="343"/>
      <c r="W171" s="343"/>
      <c r="X171" s="343"/>
      <c r="Y171" s="342"/>
      <c r="Z171" s="342"/>
      <c r="AA171" s="937"/>
      <c r="AB171" s="1072" t="s">
        <v>161</v>
      </c>
      <c r="AC171" s="950"/>
      <c r="AD171" s="1032" t="s">
        <v>160</v>
      </c>
      <c r="AE171" s="951"/>
      <c r="AF171" s="1007" t="s">
        <v>159</v>
      </c>
      <c r="AL171" s="940"/>
      <c r="AM171" s="38"/>
      <c r="AN171" s="940"/>
      <c r="AO171" s="38"/>
      <c r="AP171" s="38"/>
      <c r="AQ171" s="940"/>
      <c r="AR171" s="38"/>
      <c r="AS171" s="940"/>
      <c r="AT171" s="54"/>
      <c r="AU171" s="22"/>
      <c r="AV171" s="22"/>
      <c r="AW171" s="22"/>
      <c r="AX171" s="22"/>
      <c r="AY171" s="22"/>
      <c r="AZ171" s="22"/>
      <c r="BA171" s="54"/>
      <c r="BB171" s="22"/>
      <c r="BC171" s="15"/>
      <c r="BD171" s="15"/>
      <c r="BE171" s="15"/>
      <c r="BF171" s="15"/>
      <c r="BG171" s="51"/>
      <c r="BH171" s="15"/>
      <c r="BI171" s="15"/>
      <c r="BJ171" s="15"/>
      <c r="BK171" s="51"/>
      <c r="BL171" s="15"/>
      <c r="BM171" s="15"/>
      <c r="BN171" s="15"/>
      <c r="BO171" s="15"/>
      <c r="BP171" s="15"/>
      <c r="BQ171" s="18"/>
      <c r="BR171" s="18"/>
      <c r="BS171" s="18"/>
      <c r="BT171" s="18"/>
      <c r="BU171" s="18"/>
      <c r="BV171" s="18"/>
      <c r="BW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  <c r="FR171" s="18"/>
      <c r="FS171" s="18"/>
      <c r="FT171" s="18"/>
      <c r="FU171" s="18"/>
      <c r="FV171" s="18"/>
      <c r="FW171" s="18"/>
      <c r="FX171" s="18"/>
      <c r="FY171" s="18"/>
      <c r="FZ171" s="18"/>
      <c r="GA171" s="18"/>
      <c r="GB171" s="18"/>
      <c r="GC171" s="18"/>
      <c r="GD171" s="18"/>
      <c r="GE171" s="18"/>
      <c r="GF171" s="18"/>
      <c r="GG171" s="18"/>
      <c r="GH171" s="18"/>
      <c r="GI171" s="18"/>
      <c r="GJ171" s="18"/>
      <c r="GK171" s="18"/>
      <c r="GL171" s="18"/>
      <c r="GM171" s="18"/>
      <c r="GN171" s="18"/>
      <c r="GO171" s="18"/>
      <c r="GP171" s="18"/>
      <c r="GQ171" s="18"/>
      <c r="GR171" s="18"/>
      <c r="GS171" s="18"/>
      <c r="GT171" s="18"/>
      <c r="GU171" s="18"/>
      <c r="GV171" s="18"/>
      <c r="GW171" s="18"/>
      <c r="GX171" s="18"/>
      <c r="GY171" s="18"/>
      <c r="GZ171" s="18"/>
      <c r="HA171" s="18"/>
      <c r="HB171" s="18"/>
      <c r="HC171" s="18"/>
      <c r="HD171" s="18"/>
      <c r="HE171" s="18"/>
      <c r="HF171" s="18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V171" s="18"/>
      <c r="HW171" s="18"/>
      <c r="HX171" s="18"/>
      <c r="HY171" s="18"/>
      <c r="HZ171" s="18"/>
      <c r="IA171" s="18"/>
      <c r="IB171" s="18"/>
      <c r="IC171" s="18"/>
      <c r="ID171" s="18"/>
      <c r="IE171" s="18"/>
      <c r="IF171" s="18"/>
      <c r="IG171" s="18"/>
      <c r="IH171" s="18"/>
      <c r="II171" s="18"/>
      <c r="IJ171" s="18"/>
      <c r="IK171" s="18"/>
      <c r="IL171" s="18"/>
      <c r="IM171" s="18"/>
      <c r="IN171" s="18"/>
      <c r="IO171" s="18"/>
    </row>
    <row r="172" spans="1:302" ht="13.5" hidden="1" customHeight="1" outlineLevel="1">
      <c r="A172" s="1079"/>
      <c r="C172" s="339"/>
      <c r="D172" s="999"/>
      <c r="E172" s="339"/>
      <c r="F172" s="999"/>
      <c r="G172" s="1001"/>
      <c r="H172" s="938"/>
      <c r="I172" s="1001"/>
      <c r="J172" s="1001"/>
      <c r="K172" s="1001"/>
      <c r="L172" s="938"/>
      <c r="M172" s="223"/>
      <c r="N172" s="223"/>
      <c r="O172" s="223"/>
      <c r="P172" s="1001"/>
      <c r="Q172" s="951"/>
      <c r="R172" s="951"/>
      <c r="S172" s="938"/>
      <c r="T172" s="323"/>
      <c r="U172" s="323"/>
      <c r="V172" s="323"/>
      <c r="W172" s="323"/>
      <c r="X172" s="323"/>
      <c r="Y172" s="337"/>
      <c r="Z172" s="337"/>
      <c r="AA172" s="938"/>
      <c r="AB172" s="1002"/>
      <c r="AC172" s="951"/>
      <c r="AD172" s="1001"/>
      <c r="AE172" s="951"/>
      <c r="AF172" s="1008"/>
      <c r="AG172" s="341">
        <v>4</v>
      </c>
      <c r="AL172" s="940"/>
      <c r="AM172" s="38"/>
      <c r="AN172" s="38"/>
      <c r="AO172" s="38"/>
      <c r="AP172" s="38"/>
      <c r="AQ172" s="940"/>
      <c r="AR172" s="38"/>
      <c r="AS172" s="940"/>
      <c r="AT172" s="139">
        <f>SUM(AT169:AZ169)</f>
        <v>18000</v>
      </c>
      <c r="AU172" s="15"/>
      <c r="AV172" s="15"/>
      <c r="AW172" s="15"/>
      <c r="AX172" s="15"/>
      <c r="AY172" s="22"/>
      <c r="AZ172" s="22"/>
      <c r="BA172" s="139">
        <f>SUM(BA169:BF169)</f>
        <v>18000</v>
      </c>
      <c r="BB172" s="22"/>
      <c r="BC172" s="15"/>
      <c r="BD172" s="15"/>
      <c r="BE172" s="15"/>
      <c r="BF172" s="15"/>
      <c r="BG172" s="139">
        <f>SUM(BG169:BJ169)</f>
        <v>18000</v>
      </c>
      <c r="BH172" s="15"/>
      <c r="BI172" s="15"/>
      <c r="BJ172" s="15"/>
      <c r="BK172" s="139">
        <f ca="1">SUM(BK169:BW169)-BL169-BN169</f>
        <v>18000</v>
      </c>
      <c r="BL172" s="15"/>
      <c r="BM172" s="15"/>
      <c r="BN172" s="15"/>
      <c r="BO172" s="15"/>
      <c r="BP172" s="15"/>
      <c r="BQ172" s="18"/>
      <c r="BR172" s="18"/>
      <c r="BS172" s="18"/>
      <c r="BT172" s="18"/>
      <c r="BU172" s="18"/>
      <c r="BV172" s="18"/>
      <c r="BW172" s="18"/>
      <c r="BX172" s="139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39">
        <f>SUM(CS169:DE169)</f>
        <v>15000</v>
      </c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39">
        <f>SUM(DO169:FQ169)</f>
        <v>14000</v>
      </c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  <c r="FR172" s="18"/>
      <c r="FS172" s="18"/>
      <c r="FT172" s="18"/>
      <c r="FU172" s="18"/>
      <c r="FV172" s="18"/>
      <c r="FW172" s="18"/>
      <c r="FX172" s="18"/>
      <c r="FY172" s="18"/>
      <c r="FZ172" s="18"/>
      <c r="GA172" s="18"/>
      <c r="GB172" s="18"/>
      <c r="GC172" s="18"/>
      <c r="GD172" s="18"/>
      <c r="GE172" s="18"/>
      <c r="GF172" s="18"/>
      <c r="GG172" s="18"/>
      <c r="GH172" s="18"/>
      <c r="GI172" s="18"/>
      <c r="GJ172" s="18"/>
      <c r="GK172" s="18"/>
      <c r="GL172" s="18"/>
      <c r="GM172" s="18"/>
      <c r="GN172" s="18"/>
      <c r="GO172" s="18"/>
      <c r="GP172" s="18"/>
      <c r="GQ172" s="18"/>
      <c r="GR172" s="18"/>
      <c r="GS172" s="18"/>
      <c r="GT172" s="18"/>
      <c r="GU172" s="18"/>
      <c r="GV172" s="18"/>
      <c r="GW172" s="18"/>
      <c r="GX172" s="18"/>
      <c r="GY172" s="18"/>
      <c r="GZ172" s="18"/>
      <c r="HA172" s="18"/>
      <c r="HB172" s="18"/>
      <c r="HC172" s="18"/>
      <c r="HD172" s="18"/>
      <c r="HE172" s="18"/>
      <c r="HF172" s="18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V172" s="18"/>
      <c r="HW172" s="18"/>
      <c r="HX172" s="18"/>
      <c r="HY172" s="18"/>
      <c r="HZ172" s="18"/>
      <c r="IA172" s="18"/>
      <c r="IB172" s="18"/>
      <c r="IC172" s="18"/>
      <c r="ID172" s="18"/>
      <c r="IE172" s="18"/>
      <c r="IF172" s="18"/>
      <c r="IG172" s="18"/>
      <c r="IH172" s="18"/>
      <c r="II172" s="18"/>
      <c r="IJ172" s="18"/>
      <c r="IK172" s="18"/>
      <c r="IL172" s="18"/>
      <c r="IM172" s="18"/>
      <c r="IN172" s="18"/>
      <c r="IO172" s="18"/>
    </row>
    <row r="173" spans="1:302" ht="13.5" hidden="1" customHeight="1" outlineLevel="1">
      <c r="A173" s="1080"/>
      <c r="B173" s="340"/>
      <c r="C173" s="339"/>
      <c r="D173" s="1076"/>
      <c r="E173" s="339"/>
      <c r="F173" s="1076"/>
      <c r="G173" s="1068"/>
      <c r="H173" s="938"/>
      <c r="I173" s="1068"/>
      <c r="J173" s="1068"/>
      <c r="K173" s="1068"/>
      <c r="L173" s="938"/>
      <c r="M173" s="338"/>
      <c r="N173" s="338"/>
      <c r="O173" s="338"/>
      <c r="P173" s="1001"/>
      <c r="Q173" s="951"/>
      <c r="R173" s="951"/>
      <c r="S173" s="938"/>
      <c r="T173" s="323"/>
      <c r="U173" s="323"/>
      <c r="V173" s="323"/>
      <c r="W173" s="323"/>
      <c r="X173" s="323"/>
      <c r="Y173" s="337"/>
      <c r="Z173" s="337"/>
      <c r="AA173" s="938"/>
      <c r="AB173" s="1002"/>
      <c r="AC173" s="951"/>
      <c r="AD173" s="1001"/>
      <c r="AE173" s="951"/>
      <c r="AF173" s="1008"/>
      <c r="AG173" s="144"/>
      <c r="AH173" s="144"/>
      <c r="AI173" s="248"/>
      <c r="AJ173" s="144"/>
      <c r="AK173" s="247"/>
      <c r="AL173" s="336"/>
      <c r="AM173" s="21"/>
      <c r="AN173" s="21"/>
      <c r="AO173" s="21"/>
      <c r="AP173" s="21"/>
      <c r="AQ173" s="22"/>
      <c r="AR173" s="21"/>
      <c r="AS173" s="22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  <c r="FR173" s="18"/>
      <c r="FS173" s="18"/>
      <c r="FT173" s="18"/>
      <c r="FU173" s="18"/>
      <c r="FV173" s="18"/>
      <c r="FW173" s="18"/>
      <c r="FX173" s="18"/>
      <c r="FY173" s="18"/>
      <c r="FZ173" s="18"/>
      <c r="GA173" s="18"/>
      <c r="GB173" s="18"/>
      <c r="GC173" s="18"/>
      <c r="GD173" s="18"/>
      <c r="GE173" s="18"/>
      <c r="GF173" s="18"/>
      <c r="GG173" s="18"/>
      <c r="GH173" s="18"/>
      <c r="GI173" s="18"/>
      <c r="GJ173" s="18"/>
      <c r="GK173" s="18"/>
      <c r="GL173" s="18"/>
      <c r="GM173" s="18"/>
      <c r="GN173" s="18"/>
      <c r="GO173" s="18"/>
      <c r="GP173" s="18"/>
      <c r="GQ173" s="18"/>
      <c r="GR173" s="18"/>
      <c r="GS173" s="18"/>
      <c r="GT173" s="18"/>
      <c r="GU173" s="18"/>
      <c r="GV173" s="18"/>
      <c r="GW173" s="18"/>
      <c r="GX173" s="18"/>
      <c r="GY173" s="18"/>
      <c r="GZ173" s="18"/>
      <c r="HA173" s="18"/>
      <c r="HB173" s="18"/>
      <c r="HC173" s="18"/>
      <c r="HD173" s="18"/>
      <c r="HE173" s="18"/>
      <c r="HF173" s="18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8"/>
      <c r="HV173" s="18"/>
      <c r="HW173" s="18"/>
      <c r="HX173" s="18"/>
      <c r="HY173" s="18"/>
      <c r="HZ173" s="18"/>
      <c r="IA173" s="18"/>
      <c r="IB173" s="18"/>
      <c r="IC173" s="18"/>
      <c r="ID173" s="18"/>
      <c r="IE173" s="18"/>
      <c r="IF173" s="18"/>
      <c r="IG173" s="18"/>
      <c r="IH173" s="18"/>
      <c r="II173" s="18"/>
      <c r="IJ173" s="18"/>
      <c r="IK173" s="18"/>
      <c r="IL173" s="18"/>
      <c r="IM173" s="18"/>
      <c r="IN173" s="18"/>
      <c r="IO173" s="18"/>
      <c r="IP173" s="18"/>
      <c r="IQ173" s="18"/>
      <c r="IR173" s="18"/>
      <c r="IS173" s="18"/>
      <c r="IT173" s="18"/>
      <c r="IU173" s="18"/>
      <c r="IV173" s="18"/>
      <c r="IW173" s="18"/>
      <c r="IX173" s="18"/>
      <c r="IY173" s="18"/>
      <c r="IZ173" s="18"/>
      <c r="JA173" s="18"/>
      <c r="JB173" s="18"/>
      <c r="JC173" s="18"/>
      <c r="JD173" s="18"/>
      <c r="JE173" s="18"/>
      <c r="JF173" s="18"/>
      <c r="JG173" s="18"/>
      <c r="JH173" s="18"/>
      <c r="JI173" s="18"/>
      <c r="JJ173" s="18"/>
      <c r="JK173" s="18"/>
      <c r="JL173" s="18"/>
      <c r="JM173" s="18"/>
      <c r="JN173" s="18"/>
      <c r="JO173" s="18"/>
      <c r="JP173" s="18"/>
      <c r="JQ173" s="18"/>
      <c r="JR173" s="18"/>
      <c r="JS173" s="18"/>
      <c r="JT173" s="18"/>
      <c r="JU173" s="18"/>
      <c r="JV173" s="18"/>
      <c r="JW173" s="18"/>
      <c r="JX173" s="18"/>
      <c r="JY173" s="18"/>
      <c r="JZ173" s="18"/>
      <c r="KA173" s="18"/>
      <c r="KB173" s="18"/>
      <c r="KC173" s="18"/>
      <c r="KD173" s="18"/>
      <c r="KE173" s="18"/>
      <c r="KF173" s="18"/>
      <c r="KG173" s="18"/>
      <c r="KH173" s="18"/>
      <c r="KI173" s="18"/>
      <c r="KJ173" s="18"/>
      <c r="KK173" s="18"/>
      <c r="KL173" s="18"/>
      <c r="KM173" s="18"/>
      <c r="KN173" s="18"/>
      <c r="KO173" s="18"/>
      <c r="KP173" s="18"/>
    </row>
    <row r="174" spans="1:302" s="128" customFormat="1" ht="12.95" hidden="1" customHeight="1" outlineLevel="1">
      <c r="A174" s="264" t="s">
        <v>158</v>
      </c>
      <c r="B174" s="263"/>
      <c r="C174" s="261"/>
      <c r="D174" s="177"/>
      <c r="E174" s="262"/>
      <c r="F174" s="261"/>
      <c r="G174" s="261"/>
      <c r="H174" s="261"/>
      <c r="I174" s="1074">
        <f>AP284+AP287</f>
        <v>0</v>
      </c>
      <c r="J174" s="1074"/>
      <c r="K174" s="1074"/>
      <c r="L174" s="260"/>
      <c r="M174" s="334"/>
      <c r="N174" s="334"/>
      <c r="O174" s="334"/>
      <c r="P174" s="972" t="e">
        <f>AD174/AB174</f>
        <v>#DIV/0!</v>
      </c>
      <c r="Q174" s="29"/>
      <c r="R174" s="14"/>
      <c r="T174" s="259"/>
      <c r="U174" s="259"/>
      <c r="V174" s="259"/>
      <c r="W174" s="259"/>
      <c r="X174" s="177"/>
      <c r="Y174" s="258"/>
      <c r="Z174" s="258"/>
      <c r="AA174" s="177"/>
      <c r="AB174" s="257">
        <f>SUM(AB175:AB336)</f>
        <v>0</v>
      </c>
      <c r="AC174" s="256"/>
      <c r="AD174" s="255">
        <f>AB174-I174</f>
        <v>0</v>
      </c>
      <c r="AE174" s="255"/>
      <c r="AF174" s="1009"/>
      <c r="AG174" s="253"/>
      <c r="AH174" s="253"/>
      <c r="AI174" s="253"/>
      <c r="AJ174" s="253"/>
      <c r="AK174" s="252"/>
      <c r="AL174" s="250"/>
      <c r="AM174" s="250"/>
      <c r="AN174" s="250"/>
      <c r="AO174" s="250"/>
      <c r="AP174" s="250"/>
      <c r="AQ174" s="251"/>
      <c r="AS174" s="250"/>
      <c r="AT174" s="335"/>
      <c r="BA174" s="335"/>
      <c r="BG174" s="335"/>
      <c r="BK174" s="335"/>
      <c r="BX174" s="335"/>
      <c r="CS174" s="335"/>
      <c r="DO174" s="335"/>
      <c r="HG174" s="970"/>
      <c r="HH174" s="970"/>
      <c r="HI174" s="970"/>
      <c r="HJ174" s="970"/>
      <c r="HK174" s="970"/>
      <c r="HL174" s="970"/>
      <c r="HM174" s="970"/>
      <c r="HN174" s="970"/>
      <c r="HO174" s="970"/>
      <c r="HP174" s="970"/>
      <c r="HQ174" s="970"/>
      <c r="HR174" s="970"/>
      <c r="HS174" s="970"/>
      <c r="HT174" s="970"/>
      <c r="HU174" s="335"/>
    </row>
    <row r="175" spans="1:302" s="23" customFormat="1" ht="5.0999999999999996" hidden="1" customHeight="1" outlineLevel="1">
      <c r="A175" s="1"/>
      <c r="B175" s="192"/>
      <c r="C175" s="52"/>
      <c r="D175" s="29"/>
      <c r="E175" s="14"/>
      <c r="F175" s="940"/>
      <c r="G175" s="176"/>
      <c r="H175" s="176"/>
      <c r="I175" s="176"/>
      <c r="J175" s="176"/>
      <c r="K175" s="941"/>
      <c r="L175" s="57"/>
      <c r="M175" s="334"/>
      <c r="N175" s="334"/>
      <c r="O175" s="334"/>
      <c r="P175" s="199">
        <v>0.03</v>
      </c>
      <c r="Q175" s="177"/>
      <c r="R175" s="14"/>
      <c r="S175" s="14"/>
      <c r="T175" s="57"/>
      <c r="U175" s="57"/>
      <c r="V175" s="57"/>
      <c r="W175" s="57"/>
      <c r="X175" s="57"/>
      <c r="Y175" s="175"/>
      <c r="Z175" s="175"/>
      <c r="AA175" s="57"/>
      <c r="AB175" s="324"/>
      <c r="AC175" s="174"/>
      <c r="AD175" s="323"/>
      <c r="AE175" s="173"/>
      <c r="AF175" s="69"/>
      <c r="AG175" s="172"/>
      <c r="AH175" s="38"/>
      <c r="AI175" s="38"/>
      <c r="AJ175" s="38"/>
      <c r="AK175" s="172"/>
      <c r="AL175" s="38"/>
      <c r="AM175" s="38"/>
      <c r="AN175" s="38"/>
      <c r="AO175" s="38"/>
      <c r="AP175" s="38"/>
      <c r="AQ175" s="940"/>
      <c r="AR175" s="38"/>
      <c r="AS175" s="67"/>
      <c r="AT175" s="171"/>
      <c r="AU175" s="21"/>
      <c r="AV175" s="21"/>
      <c r="AW175" s="21"/>
      <c r="AX175" s="21"/>
      <c r="AY175" s="21"/>
      <c r="AZ175" s="21"/>
      <c r="BA175" s="171"/>
      <c r="BB175" s="21"/>
      <c r="BC175" s="21"/>
      <c r="BD175" s="21"/>
      <c r="BE175" s="18"/>
      <c r="BF175" s="18"/>
      <c r="BG175" s="32"/>
      <c r="BH175" s="18"/>
      <c r="BI175" s="18"/>
      <c r="BJ175" s="18"/>
      <c r="BK175" s="32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32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32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32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  <c r="FR175" s="18"/>
      <c r="FS175" s="18"/>
      <c r="FT175" s="18"/>
      <c r="FU175" s="18"/>
      <c r="FV175" s="18"/>
      <c r="FW175" s="18"/>
      <c r="FX175" s="18"/>
      <c r="FY175" s="18"/>
      <c r="FZ175" s="18"/>
      <c r="GA175" s="18"/>
      <c r="GB175" s="18"/>
      <c r="GC175" s="18"/>
      <c r="GD175" s="18"/>
      <c r="GE175" s="18"/>
      <c r="GF175" s="18"/>
      <c r="GG175" s="18"/>
      <c r="GH175" s="18"/>
      <c r="GI175" s="18"/>
      <c r="GJ175" s="18"/>
      <c r="GK175" s="18"/>
      <c r="GL175" s="18"/>
      <c r="GM175" s="18"/>
      <c r="GN175" s="18"/>
      <c r="GO175" s="18"/>
      <c r="GP175" s="18"/>
      <c r="GQ175" s="18"/>
      <c r="GR175" s="18"/>
      <c r="GS175" s="18"/>
      <c r="GT175" s="18"/>
      <c r="GU175" s="18"/>
      <c r="GV175" s="18"/>
      <c r="GW175" s="18"/>
      <c r="GX175" s="18"/>
      <c r="GY175" s="18"/>
      <c r="GZ175" s="18"/>
      <c r="HA175" s="18"/>
      <c r="HB175" s="18"/>
      <c r="HC175" s="18"/>
      <c r="HD175" s="18"/>
      <c r="HE175" s="18"/>
      <c r="HF175" s="18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32"/>
      <c r="HV175" s="18"/>
      <c r="HW175" s="18"/>
      <c r="HX175" s="18"/>
      <c r="HY175" s="18"/>
      <c r="HZ175" s="18"/>
      <c r="IA175" s="18"/>
      <c r="IB175" s="18"/>
      <c r="IC175" s="18"/>
      <c r="ID175" s="18"/>
      <c r="IE175" s="18"/>
      <c r="IF175" s="18"/>
      <c r="IG175" s="18"/>
      <c r="IH175" s="18"/>
      <c r="II175" s="18"/>
      <c r="IJ175" s="18"/>
      <c r="IK175" s="18"/>
      <c r="IL175" s="18"/>
      <c r="IM175" s="18"/>
      <c r="IN175" s="18"/>
      <c r="IO175" s="18"/>
      <c r="IP175" s="14"/>
      <c r="IQ175" s="14"/>
      <c r="IR175" s="14"/>
      <c r="IS175" s="14"/>
      <c r="IT175" s="14"/>
      <c r="IU175" s="14"/>
      <c r="IV175" s="14"/>
      <c r="IW175" s="14"/>
      <c r="IX175" s="14"/>
      <c r="IY175" s="14"/>
      <c r="IZ175" s="14"/>
      <c r="JA175" s="14"/>
      <c r="JB175" s="14"/>
      <c r="JC175" s="14"/>
      <c r="JD175" s="14"/>
      <c r="JE175" s="14"/>
      <c r="JF175" s="14"/>
      <c r="JG175" s="14"/>
      <c r="JH175" s="14"/>
      <c r="JI175" s="14"/>
      <c r="JJ175" s="14"/>
      <c r="JK175" s="14"/>
      <c r="JL175" s="14"/>
      <c r="JM175" s="14"/>
      <c r="JN175" s="14"/>
      <c r="JO175" s="14"/>
      <c r="JP175" s="14"/>
      <c r="JQ175" s="14"/>
      <c r="JR175" s="14"/>
      <c r="JS175" s="14"/>
      <c r="JT175" s="14"/>
      <c r="JU175" s="14"/>
      <c r="JV175" s="14"/>
      <c r="JW175" s="14"/>
      <c r="JX175" s="14"/>
      <c r="JY175" s="14"/>
      <c r="JZ175" s="14"/>
      <c r="KA175" s="14"/>
      <c r="KB175" s="14"/>
      <c r="KC175" s="14"/>
      <c r="KD175" s="14"/>
      <c r="KE175" s="14"/>
      <c r="KF175" s="14"/>
      <c r="KG175" s="14"/>
      <c r="KH175" s="14"/>
      <c r="KI175" s="14"/>
      <c r="KJ175" s="14"/>
      <c r="KK175" s="14"/>
      <c r="KL175" s="14"/>
      <c r="KM175" s="14"/>
      <c r="KN175" s="14"/>
      <c r="KO175" s="14"/>
      <c r="KP175" s="14"/>
    </row>
    <row r="176" spans="1:302" ht="11.1" hidden="1" customHeight="1" outlineLevel="1">
      <c r="A176" s="191" t="s">
        <v>157</v>
      </c>
      <c r="B176" s="29"/>
      <c r="C176" s="52"/>
      <c r="D176" s="940" t="s">
        <v>156</v>
      </c>
      <c r="F176" s="940">
        <v>0</v>
      </c>
      <c r="G176" s="187">
        <v>41163</v>
      </c>
      <c r="H176" s="187"/>
      <c r="I176" s="1069">
        <v>3.49E-2</v>
      </c>
      <c r="J176" s="1069"/>
      <c r="K176" s="1069"/>
      <c r="L176" s="57"/>
      <c r="M176" s="334"/>
      <c r="N176" s="334"/>
      <c r="O176" s="334"/>
      <c r="P176" s="333">
        <v>0.03</v>
      </c>
      <c r="Q176" s="29"/>
      <c r="T176" s="57"/>
      <c r="U176" s="57"/>
      <c r="V176" s="57"/>
      <c r="W176" s="57"/>
      <c r="X176" s="57"/>
      <c r="Y176" s="175"/>
      <c r="Z176" s="175"/>
      <c r="AA176" s="57"/>
      <c r="AB176" s="947">
        <f>F176*P176</f>
        <v>0</v>
      </c>
      <c r="AC176" s="947"/>
      <c r="AD176" s="190">
        <f>-((I176*F176)-(P176*F176))</f>
        <v>0</v>
      </c>
      <c r="AE176" s="190"/>
      <c r="AF176" s="239" t="e">
        <f>(#REF!-AP176)*0.8</f>
        <v>#REF!</v>
      </c>
      <c r="AN176" s="179"/>
      <c r="AO176" s="38"/>
      <c r="AP176" s="188">
        <f>F176*I176+AN176+AN177</f>
        <v>0</v>
      </c>
      <c r="AT176" s="51"/>
      <c r="AU176" s="15"/>
      <c r="AV176" s="15"/>
      <c r="AW176" s="15"/>
      <c r="AX176" s="15"/>
      <c r="AY176" s="15"/>
      <c r="AZ176" s="15"/>
      <c r="BA176" s="51"/>
      <c r="BB176" s="15"/>
      <c r="BC176" s="15"/>
      <c r="BD176" s="15"/>
      <c r="BE176" s="15"/>
      <c r="BF176" s="15"/>
      <c r="BG176" s="51"/>
      <c r="BH176" s="15"/>
      <c r="BI176" s="15"/>
      <c r="BJ176" s="15"/>
      <c r="BK176" s="51"/>
      <c r="BL176" s="15"/>
      <c r="BM176" s="15"/>
      <c r="BN176" s="15"/>
      <c r="BO176" s="18"/>
      <c r="BP176" s="18"/>
      <c r="BQ176" s="18"/>
      <c r="BR176" s="18"/>
      <c r="BS176" s="18"/>
      <c r="BT176" s="18"/>
      <c r="BU176" s="18"/>
      <c r="BV176" s="18"/>
      <c r="BW176" s="18"/>
      <c r="BY176" s="139" t="str">
        <f>IF($AB176=0,"",$AB176)</f>
        <v/>
      </c>
      <c r="BZ176" s="139"/>
      <c r="CA176" s="139"/>
      <c r="CB176" s="139"/>
      <c r="CC176" s="139"/>
      <c r="CD176" s="139"/>
      <c r="CE176" s="139"/>
      <c r="CF176" s="139"/>
      <c r="CG176" s="139"/>
      <c r="CH176" s="139"/>
      <c r="CI176" s="139"/>
      <c r="CJ176" s="139"/>
      <c r="CK176" s="139"/>
      <c r="CL176" s="139"/>
      <c r="CM176" s="139"/>
      <c r="CN176" s="139"/>
      <c r="CO176" s="139"/>
      <c r="CP176" s="139"/>
      <c r="CQ176" s="139"/>
      <c r="CR176" s="139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  <c r="FR176" s="18"/>
      <c r="FS176" s="18"/>
      <c r="FT176" s="18"/>
      <c r="FU176" s="18"/>
      <c r="FV176" s="18"/>
      <c r="FW176" s="18"/>
      <c r="FX176" s="18"/>
      <c r="FY176" s="18"/>
      <c r="FZ176" s="18"/>
      <c r="GA176" s="18"/>
      <c r="GB176" s="18"/>
      <c r="GC176" s="18"/>
      <c r="GD176" s="18"/>
      <c r="GE176" s="18"/>
      <c r="GF176" s="18"/>
      <c r="GG176" s="18"/>
      <c r="GH176" s="18"/>
      <c r="GI176" s="18"/>
      <c r="GJ176" s="18"/>
      <c r="GK176" s="18"/>
      <c r="GL176" s="18"/>
      <c r="GM176" s="18"/>
      <c r="GN176" s="18"/>
      <c r="GO176" s="18"/>
      <c r="GP176" s="18"/>
      <c r="GQ176" s="18"/>
      <c r="GR176" s="18"/>
      <c r="GS176" s="18"/>
      <c r="GT176" s="18"/>
      <c r="GU176" s="18"/>
      <c r="GV176" s="18"/>
      <c r="GW176" s="18"/>
      <c r="GX176" s="18"/>
      <c r="GY176" s="18"/>
      <c r="GZ176" s="18"/>
      <c r="HA176" s="18"/>
      <c r="HB176" s="18"/>
      <c r="HC176" s="18"/>
      <c r="HD176" s="18"/>
      <c r="HE176" s="18"/>
      <c r="HF176" s="18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V176" s="332" t="str">
        <f>IF($AB176=0,"",$AB176)</f>
        <v/>
      </c>
      <c r="HW176" s="18"/>
      <c r="HX176" s="18"/>
      <c r="HY176" s="18"/>
      <c r="HZ176" s="18"/>
      <c r="IA176" s="18"/>
      <c r="IB176" s="18"/>
      <c r="IC176" s="18"/>
      <c r="ID176" s="18"/>
      <c r="IE176" s="139"/>
      <c r="IF176" s="139"/>
      <c r="IG176" s="139"/>
      <c r="IH176" s="139"/>
      <c r="II176" s="139"/>
      <c r="IJ176" s="139"/>
      <c r="IK176" s="139"/>
      <c r="IL176" s="139"/>
      <c r="IM176" s="139"/>
      <c r="IN176" s="139"/>
      <c r="IO176" s="139"/>
    </row>
    <row r="177" spans="1:302" ht="11.1" hidden="1" customHeight="1" outlineLevel="1">
      <c r="A177" s="322" t="s">
        <v>155</v>
      </c>
      <c r="B177" s="57"/>
      <c r="C177" s="52" t="s">
        <v>154</v>
      </c>
      <c r="E177" s="57"/>
      <c r="F177" s="940"/>
      <c r="G177" s="187"/>
      <c r="H177" s="187"/>
      <c r="I177" s="186"/>
      <c r="J177" s="186"/>
      <c r="K177" s="185">
        <f>AP176</f>
        <v>0</v>
      </c>
      <c r="L177" s="57"/>
      <c r="M177" s="18"/>
      <c r="N177" s="18"/>
      <c r="O177" s="18"/>
      <c r="P177" s="318">
        <v>0.03</v>
      </c>
      <c r="Q177" s="1"/>
      <c r="T177" s="57"/>
      <c r="U177" s="57"/>
      <c r="V177" s="57"/>
      <c r="W177" s="57"/>
      <c r="X177" s="57"/>
      <c r="Y177" s="175"/>
      <c r="Z177" s="175"/>
      <c r="AA177" s="57"/>
      <c r="AB177" s="947"/>
      <c r="AC177" s="947"/>
      <c r="AD177" s="183">
        <f>((P176-I176)/I176)</f>
        <v>-0.14040114613180521</v>
      </c>
      <c r="AE177" s="183"/>
      <c r="AN177" s="179"/>
      <c r="AO177" s="38"/>
      <c r="AP177" s="38"/>
      <c r="AT177" s="51"/>
      <c r="AU177" s="15"/>
      <c r="AV177" s="15"/>
      <c r="AW177" s="15"/>
      <c r="AX177" s="15"/>
      <c r="AY177" s="15"/>
      <c r="AZ177" s="15"/>
      <c r="BA177" s="51"/>
      <c r="BB177" s="15"/>
      <c r="BC177" s="15"/>
      <c r="BD177" s="15"/>
      <c r="BE177" s="15"/>
      <c r="BF177" s="15"/>
      <c r="BG177" s="51"/>
      <c r="BH177" s="15"/>
      <c r="BI177" s="15"/>
      <c r="BJ177" s="15"/>
      <c r="BK177" s="51"/>
      <c r="BL177" s="15"/>
      <c r="BM177" s="15"/>
      <c r="BN177" s="15"/>
      <c r="BO177" s="18"/>
      <c r="BP177" s="18"/>
      <c r="BQ177" s="18"/>
      <c r="BR177" s="18"/>
      <c r="BS177" s="18"/>
      <c r="BT177" s="18"/>
      <c r="BU177" s="18"/>
      <c r="BV177" s="18"/>
      <c r="BW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  <c r="FR177" s="18"/>
      <c r="FS177" s="18"/>
      <c r="FT177" s="18"/>
      <c r="FU177" s="18"/>
      <c r="FV177" s="18"/>
      <c r="FW177" s="18"/>
      <c r="FX177" s="18"/>
      <c r="FY177" s="18"/>
      <c r="FZ177" s="18"/>
      <c r="GA177" s="18"/>
      <c r="GB177" s="18"/>
      <c r="GC177" s="18"/>
      <c r="GD177" s="18"/>
      <c r="GE177" s="18"/>
      <c r="GF177" s="18"/>
      <c r="GG177" s="18"/>
      <c r="GH177" s="18"/>
      <c r="GI177" s="18"/>
      <c r="GJ177" s="18"/>
      <c r="GK177" s="18"/>
      <c r="GL177" s="18"/>
      <c r="GM177" s="18"/>
      <c r="GN177" s="18"/>
      <c r="GO177" s="18"/>
      <c r="GP177" s="18"/>
      <c r="GQ177" s="18"/>
      <c r="GR177" s="18"/>
      <c r="GS177" s="18"/>
      <c r="GT177" s="18"/>
      <c r="GU177" s="18"/>
      <c r="GV177" s="18"/>
      <c r="GW177" s="18"/>
      <c r="GX177" s="18"/>
      <c r="GY177" s="18"/>
      <c r="GZ177" s="18"/>
      <c r="HA177" s="18"/>
      <c r="HB177" s="18"/>
      <c r="HC177" s="18"/>
      <c r="HD177" s="18"/>
      <c r="HE177" s="18"/>
      <c r="HF177" s="18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V177" s="18"/>
      <c r="HW177" s="18"/>
      <c r="HX177" s="18"/>
      <c r="HY177" s="18"/>
      <c r="HZ177" s="18"/>
      <c r="IA177" s="18"/>
      <c r="IB177" s="18"/>
      <c r="IC177" s="18"/>
      <c r="ID177" s="18"/>
      <c r="IE177" s="18"/>
      <c r="IF177" s="18"/>
      <c r="IG177" s="18"/>
      <c r="IH177" s="18"/>
      <c r="II177" s="18"/>
      <c r="IJ177" s="18"/>
      <c r="IK177" s="18"/>
      <c r="IL177" s="18"/>
      <c r="IM177" s="18"/>
      <c r="IN177" s="18"/>
      <c r="IO177" s="18"/>
    </row>
    <row r="178" spans="1:302" ht="11.1" hidden="1" customHeight="1" outlineLevel="1">
      <c r="A178" s="1"/>
      <c r="B178" s="57"/>
      <c r="C178" s="52"/>
      <c r="E178" s="57"/>
      <c r="F178" s="940"/>
      <c r="G178" s="176"/>
      <c r="H178" s="176"/>
      <c r="I178" s="176"/>
      <c r="J178" s="176"/>
      <c r="K178" s="941"/>
      <c r="L178" s="57"/>
      <c r="M178" s="136" t="s">
        <v>37</v>
      </c>
      <c r="N178" s="136"/>
      <c r="O178" s="136"/>
      <c r="P178" s="199">
        <v>0.03</v>
      </c>
      <c r="Q178" s="1"/>
      <c r="T178" s="57"/>
      <c r="U178" s="57"/>
      <c r="V178" s="57"/>
      <c r="W178" s="57"/>
      <c r="X178" s="57"/>
      <c r="Y178" s="175"/>
      <c r="Z178" s="175"/>
      <c r="AA178" s="57"/>
      <c r="AN178" s="18"/>
      <c r="AT178" s="51"/>
      <c r="AU178" s="15"/>
      <c r="AV178" s="15"/>
      <c r="AW178" s="15"/>
      <c r="AX178" s="15"/>
      <c r="AY178" s="15"/>
      <c r="AZ178" s="15"/>
      <c r="BA178" s="51"/>
      <c r="BB178" s="15"/>
      <c r="BC178" s="15"/>
      <c r="BD178" s="15"/>
      <c r="BE178" s="15"/>
      <c r="BF178" s="15"/>
      <c r="BG178" s="51"/>
      <c r="BH178" s="15"/>
      <c r="BI178" s="15"/>
      <c r="BJ178" s="15"/>
      <c r="BK178" s="51"/>
      <c r="BL178" s="15"/>
      <c r="BM178" s="15"/>
      <c r="BN178" s="15"/>
      <c r="BO178" s="18"/>
      <c r="BP178" s="18"/>
      <c r="BQ178" s="18"/>
      <c r="BR178" s="18"/>
      <c r="BS178" s="18"/>
      <c r="BT178" s="18"/>
      <c r="BU178" s="18"/>
      <c r="BV178" s="18"/>
      <c r="BW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  <c r="FR178" s="18"/>
      <c r="FS178" s="18"/>
      <c r="FT178" s="18"/>
      <c r="FU178" s="18"/>
      <c r="FV178" s="18"/>
      <c r="FW178" s="18"/>
      <c r="FX178" s="18"/>
      <c r="FY178" s="18"/>
      <c r="FZ178" s="18"/>
      <c r="GA178" s="18"/>
      <c r="GB178" s="18"/>
      <c r="GC178" s="18"/>
      <c r="GD178" s="18"/>
      <c r="GE178" s="18"/>
      <c r="GF178" s="18"/>
      <c r="GG178" s="18"/>
      <c r="GH178" s="18"/>
      <c r="GI178" s="18"/>
      <c r="GJ178" s="18"/>
      <c r="GK178" s="18"/>
      <c r="GL178" s="18"/>
      <c r="GM178" s="18"/>
      <c r="GN178" s="18"/>
      <c r="GO178" s="18"/>
      <c r="GP178" s="18"/>
      <c r="GQ178" s="18"/>
      <c r="GR178" s="18"/>
      <c r="GS178" s="18"/>
      <c r="GT178" s="18"/>
      <c r="GU178" s="18"/>
      <c r="GV178" s="18"/>
      <c r="GW178" s="18"/>
      <c r="GX178" s="18"/>
      <c r="GY178" s="18"/>
      <c r="GZ178" s="18"/>
      <c r="HA178" s="18"/>
      <c r="HB178" s="18"/>
      <c r="HC178" s="18"/>
      <c r="HD178" s="18"/>
      <c r="HE178" s="18"/>
      <c r="HF178" s="18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V178" s="18"/>
      <c r="HW178" s="18"/>
      <c r="HX178" s="18"/>
      <c r="HY178" s="18"/>
      <c r="HZ178" s="18"/>
      <c r="IA178" s="18"/>
      <c r="IB178" s="18"/>
      <c r="IC178" s="18"/>
      <c r="ID178" s="18"/>
      <c r="IE178" s="18"/>
      <c r="IF178" s="18"/>
      <c r="IG178" s="18"/>
      <c r="IH178" s="18"/>
      <c r="II178" s="18"/>
      <c r="IJ178" s="18"/>
      <c r="IK178" s="18"/>
      <c r="IL178" s="18"/>
      <c r="IM178" s="18"/>
      <c r="IN178" s="18"/>
      <c r="IO178" s="18"/>
    </row>
    <row r="179" spans="1:302" ht="11.1" hidden="1" customHeight="1" outlineLevel="1">
      <c r="A179" s="1"/>
      <c r="B179" s="57"/>
      <c r="C179" s="52"/>
      <c r="E179" s="57"/>
      <c r="F179" s="940"/>
      <c r="G179" s="176"/>
      <c r="H179" s="176"/>
      <c r="I179" s="176"/>
      <c r="J179" s="176"/>
      <c r="K179" s="941"/>
      <c r="L179" s="57"/>
      <c r="M179" s="136" t="s">
        <v>36</v>
      </c>
      <c r="N179" s="136"/>
      <c r="O179" s="136"/>
      <c r="P179" s="316">
        <v>0.03</v>
      </c>
      <c r="Q179" s="1"/>
      <c r="T179" s="57"/>
      <c r="U179" s="57"/>
      <c r="V179" s="57"/>
      <c r="W179" s="57"/>
      <c r="X179" s="57"/>
      <c r="Y179" s="175"/>
      <c r="Z179" s="175"/>
      <c r="AA179" s="57"/>
      <c r="AB179" s="174"/>
      <c r="AC179" s="174"/>
      <c r="AD179" s="173"/>
      <c r="AE179" s="173"/>
      <c r="AF179" s="69"/>
      <c r="AG179" s="38"/>
      <c r="AH179" s="38"/>
      <c r="AI179" s="38"/>
      <c r="AJ179" s="38"/>
      <c r="AK179" s="172"/>
      <c r="AL179" s="38"/>
      <c r="AM179" s="38"/>
      <c r="AN179" s="38"/>
      <c r="AO179" s="38"/>
      <c r="AP179" s="38"/>
      <c r="AQ179" s="940"/>
      <c r="AR179" s="38"/>
      <c r="AS179" s="67"/>
      <c r="AT179" s="171"/>
      <c r="AU179" s="21"/>
      <c r="AV179" s="21"/>
      <c r="AW179" s="21"/>
      <c r="AX179" s="21"/>
      <c r="AY179" s="21"/>
      <c r="AZ179" s="21"/>
      <c r="BA179" s="171"/>
      <c r="BB179" s="21"/>
      <c r="BC179" s="21"/>
      <c r="BD179" s="21"/>
      <c r="BE179" s="18"/>
      <c r="BF179" s="18"/>
      <c r="BH179" s="18"/>
      <c r="BI179" s="18"/>
      <c r="BJ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  <c r="FR179" s="18"/>
      <c r="FS179" s="18"/>
      <c r="FT179" s="18"/>
      <c r="FU179" s="18"/>
      <c r="FV179" s="18"/>
      <c r="FW179" s="18"/>
      <c r="FX179" s="18"/>
      <c r="FY179" s="18"/>
      <c r="FZ179" s="18"/>
      <c r="GA179" s="18"/>
      <c r="GB179" s="18"/>
      <c r="GC179" s="18"/>
      <c r="GD179" s="18"/>
      <c r="GE179" s="18"/>
      <c r="GF179" s="18"/>
      <c r="GG179" s="18"/>
      <c r="GH179" s="18"/>
      <c r="GI179" s="18"/>
      <c r="GJ179" s="18"/>
      <c r="GK179" s="18"/>
      <c r="GL179" s="18"/>
      <c r="GM179" s="18"/>
      <c r="GN179" s="18"/>
      <c r="GO179" s="18"/>
      <c r="GP179" s="18"/>
      <c r="GQ179" s="18"/>
      <c r="GR179" s="18"/>
      <c r="GS179" s="18"/>
      <c r="GT179" s="18"/>
      <c r="GU179" s="18"/>
      <c r="GV179" s="18"/>
      <c r="GW179" s="18"/>
      <c r="GX179" s="18"/>
      <c r="GY179" s="18"/>
      <c r="GZ179" s="18"/>
      <c r="HA179" s="18"/>
      <c r="HB179" s="18"/>
      <c r="HC179" s="18"/>
      <c r="HD179" s="18"/>
      <c r="HE179" s="18"/>
      <c r="HF179" s="18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V179" s="18"/>
      <c r="HW179" s="18"/>
      <c r="HX179" s="18"/>
      <c r="HY179" s="18"/>
      <c r="HZ179" s="18"/>
      <c r="IA179" s="18"/>
      <c r="IB179" s="18"/>
      <c r="IC179" s="18"/>
      <c r="ID179" s="18"/>
      <c r="IE179" s="18"/>
      <c r="IF179" s="18"/>
      <c r="IG179" s="18"/>
      <c r="IH179" s="18"/>
      <c r="II179" s="18"/>
      <c r="IJ179" s="18"/>
      <c r="IK179" s="18"/>
      <c r="IL179" s="18"/>
      <c r="IM179" s="18"/>
      <c r="IN179" s="18"/>
      <c r="IO179" s="18"/>
    </row>
    <row r="180" spans="1:302" ht="11.1" hidden="1" customHeight="1" outlineLevel="1">
      <c r="A180" s="1"/>
      <c r="B180" s="57"/>
      <c r="C180" s="52"/>
      <c r="E180" s="57"/>
      <c r="F180" s="940"/>
      <c r="G180" s="176"/>
      <c r="H180" s="176"/>
      <c r="I180" s="176"/>
      <c r="J180" s="176"/>
      <c r="K180" s="941"/>
      <c r="L180" s="57"/>
      <c r="M180" s="136" t="s">
        <v>35</v>
      </c>
      <c r="N180" s="136"/>
      <c r="O180" s="136"/>
      <c r="P180" s="316">
        <v>0.03</v>
      </c>
      <c r="Q180" s="951"/>
      <c r="T180" s="57"/>
      <c r="U180" s="57"/>
      <c r="V180" s="57"/>
      <c r="W180" s="57"/>
      <c r="X180" s="57"/>
      <c r="Y180" s="175"/>
      <c r="Z180" s="175"/>
      <c r="AA180" s="57"/>
      <c r="AB180" s="174"/>
      <c r="AC180" s="174"/>
      <c r="AD180" s="173"/>
      <c r="AE180" s="173"/>
      <c r="AF180" s="69"/>
      <c r="AG180" s="38"/>
      <c r="AH180" s="38"/>
      <c r="AI180" s="38"/>
      <c r="AJ180" s="38"/>
      <c r="AK180" s="172"/>
      <c r="AL180" s="38"/>
      <c r="AM180" s="38"/>
      <c r="AN180" s="38"/>
      <c r="AO180" s="38"/>
      <c r="AP180" s="38"/>
      <c r="AQ180" s="940"/>
      <c r="AR180" s="38"/>
      <c r="AS180" s="67"/>
      <c r="AT180" s="171"/>
      <c r="AU180" s="21"/>
      <c r="AV180" s="21"/>
      <c r="AW180" s="21"/>
      <c r="AX180" s="21"/>
      <c r="AY180" s="21"/>
      <c r="AZ180" s="21"/>
      <c r="BA180" s="171"/>
      <c r="BB180" s="21"/>
      <c r="BC180" s="21"/>
      <c r="BD180" s="21"/>
      <c r="BE180" s="18"/>
      <c r="BF180" s="18"/>
      <c r="BH180" s="18"/>
      <c r="BI180" s="18"/>
      <c r="BJ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  <c r="FR180" s="18"/>
      <c r="FS180" s="18"/>
      <c r="FT180" s="18"/>
      <c r="FU180" s="18"/>
      <c r="FV180" s="18"/>
      <c r="FW180" s="18"/>
      <c r="FX180" s="18"/>
      <c r="FY180" s="18"/>
      <c r="FZ180" s="18"/>
      <c r="GA180" s="18"/>
      <c r="GB180" s="18"/>
      <c r="GC180" s="18"/>
      <c r="GD180" s="18"/>
      <c r="GE180" s="18"/>
      <c r="GF180" s="18"/>
      <c r="GG180" s="18"/>
      <c r="GH180" s="18"/>
      <c r="GI180" s="18"/>
      <c r="GJ180" s="18"/>
      <c r="GK180" s="18"/>
      <c r="GL180" s="18"/>
      <c r="GM180" s="18"/>
      <c r="GN180" s="18"/>
      <c r="GO180" s="18"/>
      <c r="GP180" s="18"/>
      <c r="GQ180" s="18"/>
      <c r="GR180" s="18"/>
      <c r="GS180" s="18"/>
      <c r="GT180" s="18"/>
      <c r="GU180" s="18"/>
      <c r="GV180" s="18"/>
      <c r="GW180" s="18"/>
      <c r="GX180" s="18"/>
      <c r="GY180" s="18"/>
      <c r="GZ180" s="18"/>
      <c r="HA180" s="18"/>
      <c r="HB180" s="18"/>
      <c r="HC180" s="18"/>
      <c r="HD180" s="18"/>
      <c r="HE180" s="18"/>
      <c r="HF180" s="18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V180" s="18"/>
      <c r="HW180" s="18"/>
      <c r="HX180" s="18"/>
      <c r="HY180" s="18"/>
      <c r="HZ180" s="18"/>
      <c r="IA180" s="18"/>
      <c r="IB180" s="18"/>
      <c r="IC180" s="18"/>
      <c r="ID180" s="18"/>
      <c r="IE180" s="18"/>
      <c r="IF180" s="18"/>
      <c r="IG180" s="18"/>
      <c r="IH180" s="18"/>
      <c r="II180" s="18"/>
      <c r="IJ180" s="18"/>
      <c r="IK180" s="18"/>
      <c r="IL180" s="18"/>
      <c r="IM180" s="18"/>
      <c r="IN180" s="18"/>
      <c r="IO180" s="18"/>
    </row>
    <row r="181" spans="1:302" ht="11.1" hidden="1" customHeight="1" outlineLevel="1">
      <c r="A181" s="1"/>
      <c r="B181" s="57"/>
      <c r="C181" s="52"/>
      <c r="E181" s="57"/>
      <c r="F181" s="940"/>
      <c r="G181" s="176"/>
      <c r="H181" s="176"/>
      <c r="I181" s="176"/>
      <c r="J181" s="176"/>
      <c r="K181" s="941"/>
      <c r="L181" s="57"/>
      <c r="M181" s="136" t="s">
        <v>34</v>
      </c>
      <c r="N181" s="136"/>
      <c r="O181" s="136"/>
      <c r="P181" s="284">
        <v>0.03</v>
      </c>
      <c r="T181" s="57"/>
      <c r="U181" s="57"/>
      <c r="V181" s="57"/>
      <c r="W181" s="57"/>
      <c r="X181" s="57"/>
      <c r="Y181" s="175"/>
      <c r="Z181" s="175"/>
      <c r="AA181" s="57"/>
      <c r="AB181" s="174"/>
      <c r="AC181" s="174"/>
      <c r="AD181" s="173"/>
      <c r="AE181" s="173"/>
      <c r="AF181" s="69"/>
      <c r="AG181" s="38"/>
      <c r="AH181" s="38"/>
      <c r="AI181" s="38"/>
      <c r="AJ181" s="38"/>
      <c r="AK181" s="172"/>
      <c r="AL181" s="38"/>
      <c r="AM181" s="38"/>
      <c r="AN181" s="38"/>
      <c r="AO181" s="38"/>
      <c r="AP181" s="38"/>
      <c r="AQ181" s="940"/>
      <c r="AR181" s="38"/>
      <c r="AS181" s="67"/>
      <c r="AT181" s="171"/>
      <c r="AU181" s="21"/>
      <c r="AV181" s="21"/>
      <c r="AW181" s="21"/>
      <c r="AX181" s="21"/>
      <c r="AY181" s="21"/>
      <c r="AZ181" s="21"/>
      <c r="BA181" s="171"/>
      <c r="BB181" s="21"/>
      <c r="BC181" s="21"/>
      <c r="BD181" s="21"/>
      <c r="BE181" s="18"/>
      <c r="BF181" s="18"/>
      <c r="BH181" s="18"/>
      <c r="BI181" s="18"/>
      <c r="BJ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  <c r="FR181" s="18"/>
      <c r="FS181" s="18"/>
      <c r="FT181" s="18"/>
      <c r="FU181" s="18"/>
      <c r="FV181" s="18"/>
      <c r="FW181" s="18"/>
      <c r="FX181" s="18"/>
      <c r="FY181" s="18"/>
      <c r="FZ181" s="18"/>
      <c r="GA181" s="18"/>
      <c r="GB181" s="18"/>
      <c r="GC181" s="18"/>
      <c r="GD181" s="18"/>
      <c r="GE181" s="18"/>
      <c r="GF181" s="18"/>
      <c r="GG181" s="18"/>
      <c r="GH181" s="18"/>
      <c r="GI181" s="18"/>
      <c r="GJ181" s="18"/>
      <c r="GK181" s="18"/>
      <c r="GL181" s="18"/>
      <c r="GM181" s="18"/>
      <c r="GN181" s="18"/>
      <c r="GO181" s="18"/>
      <c r="GP181" s="18"/>
      <c r="GQ181" s="18"/>
      <c r="GR181" s="18"/>
      <c r="GS181" s="18"/>
      <c r="GT181" s="18"/>
      <c r="GU181" s="18"/>
      <c r="GV181" s="18"/>
      <c r="GW181" s="18"/>
      <c r="GX181" s="18"/>
      <c r="GY181" s="18"/>
      <c r="GZ181" s="18"/>
      <c r="HA181" s="18"/>
      <c r="HB181" s="18"/>
      <c r="HC181" s="18"/>
      <c r="HD181" s="18"/>
      <c r="HE181" s="18"/>
      <c r="HF181" s="18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V181" s="18"/>
      <c r="HW181" s="18"/>
      <c r="HX181" s="18"/>
      <c r="HY181" s="18"/>
      <c r="HZ181" s="18"/>
      <c r="IA181" s="18"/>
      <c r="IB181" s="18"/>
      <c r="IC181" s="18"/>
      <c r="ID181" s="18"/>
      <c r="IE181" s="18"/>
      <c r="IF181" s="18"/>
      <c r="IG181" s="18"/>
      <c r="IH181" s="18"/>
      <c r="II181" s="18"/>
      <c r="IJ181" s="18"/>
      <c r="IK181" s="18"/>
      <c r="IL181" s="18"/>
      <c r="IM181" s="18"/>
      <c r="IN181" s="18"/>
      <c r="IO181" s="18"/>
    </row>
    <row r="182" spans="1:302" ht="11.1" hidden="1" customHeight="1" outlineLevel="1">
      <c r="A182" s="1"/>
      <c r="B182" s="57"/>
      <c r="C182" s="52"/>
      <c r="E182" s="57"/>
      <c r="F182" s="940"/>
      <c r="G182" s="176"/>
      <c r="H182" s="176"/>
      <c r="I182" s="176"/>
      <c r="J182" s="176"/>
      <c r="K182" s="941"/>
      <c r="L182" s="57"/>
      <c r="M182" s="136" t="s">
        <v>112</v>
      </c>
      <c r="N182" s="136"/>
      <c r="O182" s="136"/>
      <c r="P182" s="38" t="s">
        <v>30</v>
      </c>
      <c r="T182" s="57"/>
      <c r="U182" s="57"/>
      <c r="V182" s="57"/>
      <c r="W182" s="57"/>
      <c r="X182" s="57"/>
      <c r="Y182" s="175"/>
      <c r="Z182" s="175"/>
      <c r="AA182" s="57"/>
      <c r="AB182" s="174"/>
      <c r="AC182" s="174"/>
      <c r="AD182" s="173"/>
      <c r="AE182" s="173"/>
      <c r="AF182" s="69"/>
      <c r="AG182" s="21"/>
      <c r="AH182" s="21"/>
      <c r="AI182" s="21"/>
      <c r="AJ182" s="21"/>
      <c r="AK182" s="217"/>
      <c r="AL182" s="21"/>
      <c r="AM182" s="21"/>
      <c r="AN182" s="21"/>
      <c r="AO182" s="21"/>
      <c r="AP182" s="21"/>
      <c r="AQ182" s="22"/>
      <c r="AR182" s="38"/>
      <c r="AS182" s="67"/>
      <c r="AT182" s="171"/>
      <c r="AU182" s="21"/>
      <c r="AV182" s="21"/>
      <c r="AW182" s="21"/>
      <c r="AX182" s="21"/>
      <c r="AY182" s="21"/>
      <c r="AZ182" s="21"/>
      <c r="BA182" s="171"/>
      <c r="BB182" s="21"/>
      <c r="BC182" s="21"/>
      <c r="BD182" s="21"/>
      <c r="BE182" s="18"/>
      <c r="BF182" s="18"/>
      <c r="BH182" s="18"/>
      <c r="BI182" s="18"/>
      <c r="BJ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  <c r="FR182" s="18"/>
      <c r="FS182" s="18"/>
      <c r="FT182" s="18"/>
      <c r="FU182" s="18"/>
      <c r="FV182" s="18"/>
      <c r="FW182" s="18"/>
      <c r="FX182" s="18"/>
      <c r="FY182" s="18"/>
      <c r="FZ182" s="18"/>
      <c r="GA182" s="18"/>
      <c r="GB182" s="18"/>
      <c r="GC182" s="18"/>
      <c r="GD182" s="18"/>
      <c r="GE182" s="18"/>
      <c r="GF182" s="18"/>
      <c r="GG182" s="18"/>
      <c r="GH182" s="18"/>
      <c r="GI182" s="18"/>
      <c r="GJ182" s="18"/>
      <c r="GK182" s="18"/>
      <c r="GL182" s="18"/>
      <c r="GM182" s="18"/>
      <c r="GN182" s="18"/>
      <c r="GO182" s="18"/>
      <c r="GP182" s="18"/>
      <c r="GQ182" s="18"/>
      <c r="GR182" s="18"/>
      <c r="GS182" s="18"/>
      <c r="GT182" s="18"/>
      <c r="GU182" s="18"/>
      <c r="GV182" s="18"/>
      <c r="GW182" s="18"/>
      <c r="GX182" s="18"/>
      <c r="GY182" s="18"/>
      <c r="GZ182" s="18"/>
      <c r="HA182" s="18"/>
      <c r="HB182" s="18"/>
      <c r="HC182" s="18"/>
      <c r="HD182" s="18"/>
      <c r="HE182" s="18"/>
      <c r="HF182" s="18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V182" s="18"/>
      <c r="HW182" s="18"/>
      <c r="HX182" s="18"/>
      <c r="HY182" s="18"/>
      <c r="HZ182" s="18"/>
      <c r="IA182" s="18"/>
      <c r="IB182" s="18"/>
      <c r="IC182" s="18"/>
      <c r="ID182" s="18"/>
      <c r="IE182" s="18"/>
      <c r="IF182" s="18"/>
      <c r="IG182" s="18"/>
      <c r="IH182" s="18"/>
      <c r="II182" s="18"/>
      <c r="IJ182" s="18"/>
      <c r="IK182" s="18"/>
      <c r="IL182" s="18"/>
      <c r="IM182" s="18"/>
      <c r="IN182" s="18"/>
      <c r="IO182" s="18"/>
    </row>
    <row r="183" spans="1:302" ht="11.1" hidden="1" customHeight="1" outlineLevel="1">
      <c r="A183" s="1"/>
      <c r="B183" s="57"/>
      <c r="C183" s="52"/>
      <c r="E183" s="57"/>
      <c r="F183" s="940"/>
      <c r="G183" s="176"/>
      <c r="H183" s="176"/>
      <c r="I183" s="176"/>
      <c r="J183" s="176"/>
      <c r="K183" s="941"/>
      <c r="L183" s="57"/>
      <c r="M183" s="136" t="s">
        <v>111</v>
      </c>
      <c r="N183" s="136"/>
      <c r="O183" s="136"/>
      <c r="P183" s="38" t="s">
        <v>30</v>
      </c>
      <c r="T183" s="57"/>
      <c r="U183" s="57"/>
      <c r="V183" s="57"/>
      <c r="W183" s="57"/>
      <c r="X183" s="57"/>
      <c r="Y183" s="175"/>
      <c r="Z183" s="175"/>
      <c r="AA183" s="57"/>
      <c r="AB183" s="174"/>
      <c r="AC183" s="174"/>
      <c r="AD183" s="173"/>
      <c r="AE183" s="173"/>
      <c r="AF183" s="69"/>
      <c r="AG183" s="21"/>
      <c r="AH183" s="21"/>
      <c r="AI183" s="21"/>
      <c r="AJ183" s="21"/>
      <c r="AK183" s="217"/>
      <c r="AL183" s="21"/>
      <c r="AM183" s="21"/>
      <c r="AN183" s="21"/>
      <c r="AO183" s="21"/>
      <c r="AP183" s="21"/>
      <c r="AQ183" s="22"/>
      <c r="AR183" s="38"/>
      <c r="AS183" s="67"/>
      <c r="AT183" s="171"/>
      <c r="AU183" s="21"/>
      <c r="AV183" s="21"/>
      <c r="AW183" s="21"/>
      <c r="AX183" s="21"/>
      <c r="AY183" s="21"/>
      <c r="AZ183" s="21"/>
      <c r="BA183" s="171"/>
      <c r="BB183" s="21"/>
      <c r="BC183" s="21"/>
      <c r="BD183" s="21"/>
      <c r="BE183" s="18"/>
      <c r="BF183" s="18"/>
      <c r="BH183" s="18"/>
      <c r="BI183" s="18"/>
      <c r="BJ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  <c r="FR183" s="18"/>
      <c r="FS183" s="18"/>
      <c r="FT183" s="18"/>
      <c r="FU183" s="18"/>
      <c r="FV183" s="18"/>
      <c r="FW183" s="18"/>
      <c r="FX183" s="18"/>
      <c r="FY183" s="18"/>
      <c r="FZ183" s="18"/>
      <c r="GA183" s="18"/>
      <c r="GB183" s="18"/>
      <c r="GC183" s="18"/>
      <c r="GD183" s="18"/>
      <c r="GE183" s="18"/>
      <c r="GF183" s="18"/>
      <c r="GG183" s="18"/>
      <c r="GH183" s="18"/>
      <c r="GI183" s="18"/>
      <c r="GJ183" s="18"/>
      <c r="GK183" s="18"/>
      <c r="GL183" s="18"/>
      <c r="GM183" s="18"/>
      <c r="GN183" s="18"/>
      <c r="GO183" s="18"/>
      <c r="GP183" s="18"/>
      <c r="GQ183" s="18"/>
      <c r="GR183" s="18"/>
      <c r="GS183" s="18"/>
      <c r="GT183" s="18"/>
      <c r="GU183" s="18"/>
      <c r="GV183" s="18"/>
      <c r="GW183" s="18"/>
      <c r="GX183" s="18"/>
      <c r="GY183" s="18"/>
      <c r="GZ183" s="18"/>
      <c r="HA183" s="18"/>
      <c r="HB183" s="18"/>
      <c r="HC183" s="18"/>
      <c r="HD183" s="18"/>
      <c r="HE183" s="18"/>
      <c r="HF183" s="18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V183" s="18"/>
      <c r="HW183" s="18"/>
      <c r="HX183" s="18"/>
      <c r="HY183" s="18"/>
      <c r="HZ183" s="18"/>
      <c r="IA183" s="18"/>
      <c r="IB183" s="18"/>
      <c r="IC183" s="18"/>
      <c r="ID183" s="18"/>
      <c r="IE183" s="18"/>
      <c r="IF183" s="18"/>
      <c r="IG183" s="18"/>
      <c r="IH183" s="18"/>
      <c r="II183" s="18"/>
      <c r="IJ183" s="18"/>
      <c r="IK183" s="18"/>
      <c r="IL183" s="18"/>
      <c r="IM183" s="18"/>
      <c r="IN183" s="18"/>
      <c r="IO183" s="18"/>
    </row>
    <row r="184" spans="1:302" ht="12.95" hidden="1" customHeight="1" outlineLevel="1">
      <c r="A184" s="331"/>
      <c r="B184" s="330"/>
      <c r="C184" s="229"/>
      <c r="D184" s="15"/>
      <c r="E184" s="329"/>
      <c r="F184" s="229"/>
      <c r="G184" s="229"/>
      <c r="H184" s="229"/>
      <c r="I184" s="16"/>
      <c r="J184" s="16"/>
      <c r="K184" s="16"/>
      <c r="L184" s="879"/>
      <c r="M184" s="136" t="s">
        <v>110</v>
      </c>
      <c r="N184" s="136"/>
      <c r="O184" s="136"/>
      <c r="P184" s="321" t="s">
        <v>30</v>
      </c>
      <c r="Q184" s="29"/>
      <c r="T184" s="158"/>
      <c r="U184" s="158"/>
      <c r="V184" s="158"/>
      <c r="W184" s="158"/>
      <c r="X184" s="15"/>
      <c r="Y184" s="157"/>
      <c r="Z184" s="157"/>
      <c r="AA184" s="15"/>
      <c r="AB184" s="328"/>
      <c r="AC184" s="327"/>
      <c r="AD184" s="17"/>
      <c r="AE184" s="140"/>
      <c r="AF184" s="156"/>
      <c r="AG184" s="156"/>
      <c r="AH184" s="156"/>
      <c r="AI184" s="156"/>
      <c r="AJ184" s="156"/>
      <c r="AK184" s="155"/>
      <c r="AL184" s="22"/>
      <c r="AM184" s="22"/>
      <c r="AN184" s="22"/>
      <c r="AO184" s="22"/>
      <c r="AP184" s="22"/>
      <c r="AQ184" s="326"/>
      <c r="AR184" s="18"/>
      <c r="AS184" s="22"/>
      <c r="AU184" s="18"/>
      <c r="AV184" s="18"/>
      <c r="AW184" s="18"/>
      <c r="AX184" s="18"/>
      <c r="AY184" s="18"/>
      <c r="AZ184" s="18"/>
      <c r="BB184" s="18"/>
      <c r="BC184" s="18"/>
      <c r="BD184" s="18"/>
      <c r="BE184" s="18"/>
      <c r="BF184" s="18"/>
      <c r="BH184" s="18"/>
      <c r="BI184" s="18"/>
      <c r="BJ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  <c r="FR184" s="18"/>
      <c r="FS184" s="18"/>
      <c r="FT184" s="18"/>
      <c r="FU184" s="18"/>
      <c r="FV184" s="18"/>
      <c r="FW184" s="18"/>
      <c r="FX184" s="18"/>
      <c r="FY184" s="18"/>
      <c r="FZ184" s="18"/>
      <c r="GA184" s="18"/>
      <c r="GB184" s="18"/>
      <c r="GC184" s="18"/>
      <c r="GD184" s="18"/>
      <c r="GE184" s="18"/>
      <c r="GF184" s="18"/>
      <c r="GG184" s="18"/>
      <c r="GH184" s="18"/>
      <c r="GI184" s="18"/>
      <c r="GJ184" s="18"/>
      <c r="GK184" s="18"/>
      <c r="GL184" s="18"/>
      <c r="GM184" s="18"/>
      <c r="GN184" s="18"/>
      <c r="GO184" s="18"/>
      <c r="GP184" s="18"/>
      <c r="GQ184" s="18"/>
      <c r="GR184" s="18"/>
      <c r="GS184" s="18"/>
      <c r="GT184" s="18"/>
      <c r="GU184" s="18"/>
      <c r="GV184" s="18"/>
      <c r="GW184" s="18"/>
      <c r="GX184" s="18"/>
      <c r="GY184" s="18"/>
      <c r="GZ184" s="18"/>
      <c r="HA184" s="18"/>
      <c r="HB184" s="18"/>
      <c r="HC184" s="18"/>
      <c r="HD184" s="18"/>
      <c r="HE184" s="18"/>
      <c r="HF184" s="18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V184" s="18"/>
      <c r="HW184" s="18"/>
      <c r="HX184" s="18"/>
      <c r="HY184" s="18"/>
      <c r="HZ184" s="18"/>
      <c r="IA184" s="18"/>
      <c r="IB184" s="18"/>
      <c r="IC184" s="18"/>
      <c r="ID184" s="18"/>
      <c r="IE184" s="18"/>
      <c r="IF184" s="18"/>
      <c r="IG184" s="18"/>
      <c r="IH184" s="18"/>
      <c r="II184" s="18"/>
      <c r="IJ184" s="18"/>
      <c r="IK184" s="18"/>
      <c r="IL184" s="18"/>
      <c r="IM184" s="18"/>
      <c r="IN184" s="18"/>
      <c r="IO184" s="18"/>
      <c r="IP184" s="18"/>
      <c r="IQ184" s="18"/>
      <c r="IR184" s="18"/>
      <c r="IS184" s="18"/>
      <c r="IT184" s="18"/>
      <c r="IU184" s="18"/>
      <c r="IV184" s="18"/>
      <c r="IW184" s="18"/>
      <c r="IX184" s="18"/>
      <c r="IY184" s="18"/>
      <c r="IZ184" s="18"/>
      <c r="JA184" s="18"/>
      <c r="JB184" s="18"/>
      <c r="JC184" s="18"/>
      <c r="JD184" s="18"/>
      <c r="JE184" s="18"/>
      <c r="JF184" s="18"/>
      <c r="JG184" s="18"/>
      <c r="JH184" s="18"/>
      <c r="JI184" s="18"/>
      <c r="JJ184" s="18"/>
      <c r="JK184" s="18"/>
      <c r="JL184" s="18"/>
      <c r="JM184" s="18"/>
      <c r="JN184" s="18"/>
      <c r="JO184" s="18"/>
      <c r="JP184" s="18"/>
      <c r="JQ184" s="18"/>
      <c r="JR184" s="18"/>
      <c r="JS184" s="18"/>
      <c r="JT184" s="18"/>
      <c r="JU184" s="18"/>
      <c r="JV184" s="18"/>
      <c r="JW184" s="18"/>
      <c r="JX184" s="18"/>
      <c r="JY184" s="18"/>
      <c r="JZ184" s="18"/>
      <c r="KA184" s="18"/>
      <c r="KB184" s="18"/>
      <c r="KC184" s="18"/>
      <c r="KD184" s="18"/>
      <c r="KE184" s="18"/>
      <c r="KF184" s="18"/>
      <c r="KG184" s="18"/>
      <c r="KH184" s="18"/>
      <c r="KI184" s="18"/>
      <c r="KJ184" s="18"/>
      <c r="KK184" s="18"/>
      <c r="KL184" s="18"/>
      <c r="KM184" s="18"/>
      <c r="KN184" s="18"/>
      <c r="KO184" s="18"/>
      <c r="KP184" s="18"/>
    </row>
    <row r="185" spans="1:302" s="23" customFormat="1" ht="5.0999999999999996" hidden="1" customHeight="1" outlineLevel="1" collapsed="1">
      <c r="A185" s="1"/>
      <c r="B185" s="192"/>
      <c r="C185" s="52"/>
      <c r="D185" s="29"/>
      <c r="E185" s="14"/>
      <c r="F185" s="940"/>
      <c r="G185" s="176"/>
      <c r="H185" s="176"/>
      <c r="I185" s="176"/>
      <c r="J185" s="176"/>
      <c r="K185" s="941"/>
      <c r="L185" s="57"/>
      <c r="M185" s="136"/>
      <c r="N185" s="136"/>
      <c r="O185" s="136"/>
      <c r="P185" s="199">
        <v>22.47</v>
      </c>
      <c r="Q185" s="177"/>
      <c r="R185" s="14"/>
      <c r="S185" s="14"/>
      <c r="T185" s="57"/>
      <c r="U185" s="57"/>
      <c r="V185" s="57"/>
      <c r="W185" s="57"/>
      <c r="X185" s="57"/>
      <c r="Y185" s="175"/>
      <c r="Z185" s="175"/>
      <c r="AA185" s="57"/>
      <c r="AB185" s="324"/>
      <c r="AC185" s="174"/>
      <c r="AD185" s="323"/>
      <c r="AE185" s="173"/>
      <c r="AF185" s="69"/>
      <c r="AG185" s="172"/>
      <c r="AH185" s="38"/>
      <c r="AI185" s="38"/>
      <c r="AJ185" s="38"/>
      <c r="AK185" s="172"/>
      <c r="AL185" s="38"/>
      <c r="AM185" s="38"/>
      <c r="AN185" s="38"/>
      <c r="AO185" s="38"/>
      <c r="AP185" s="38"/>
      <c r="AQ185" s="940"/>
      <c r="AR185" s="38"/>
      <c r="AS185" s="67"/>
      <c r="AT185" s="171"/>
      <c r="AU185" s="21"/>
      <c r="AV185" s="21"/>
      <c r="AW185" s="21"/>
      <c r="AX185" s="21"/>
      <c r="AY185" s="21"/>
      <c r="AZ185" s="21"/>
      <c r="BA185" s="171"/>
      <c r="BB185" s="21"/>
      <c r="BC185" s="21"/>
      <c r="BD185" s="21"/>
      <c r="BE185" s="18"/>
      <c r="BF185" s="18"/>
      <c r="BG185" s="32"/>
      <c r="BH185" s="18"/>
      <c r="BI185" s="18"/>
      <c r="BJ185" s="18"/>
      <c r="BK185" s="32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32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32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32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  <c r="FR185" s="18"/>
      <c r="FS185" s="18"/>
      <c r="FT185" s="18"/>
      <c r="FU185" s="18"/>
      <c r="FV185" s="18"/>
      <c r="FW185" s="18"/>
      <c r="FX185" s="18"/>
      <c r="FY185" s="18"/>
      <c r="FZ185" s="18"/>
      <c r="GA185" s="18"/>
      <c r="GB185" s="18"/>
      <c r="GC185" s="18"/>
      <c r="GD185" s="18"/>
      <c r="GE185" s="18"/>
      <c r="GF185" s="18"/>
      <c r="GG185" s="18"/>
      <c r="GH185" s="18"/>
      <c r="GI185" s="18"/>
      <c r="GJ185" s="18"/>
      <c r="GK185" s="18"/>
      <c r="GL185" s="18"/>
      <c r="GM185" s="18"/>
      <c r="GN185" s="18"/>
      <c r="GO185" s="18"/>
      <c r="GP185" s="18"/>
      <c r="GQ185" s="18"/>
      <c r="GR185" s="18"/>
      <c r="GS185" s="18"/>
      <c r="GT185" s="18"/>
      <c r="GU185" s="18"/>
      <c r="GV185" s="18"/>
      <c r="GW185" s="18"/>
      <c r="GX185" s="18"/>
      <c r="GY185" s="18"/>
      <c r="GZ185" s="18"/>
      <c r="HA185" s="18"/>
      <c r="HB185" s="18"/>
      <c r="HC185" s="18"/>
      <c r="HD185" s="18"/>
      <c r="HE185" s="18"/>
      <c r="HF185" s="18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32"/>
      <c r="HV185" s="18"/>
      <c r="HW185" s="18"/>
      <c r="HX185" s="18"/>
      <c r="HY185" s="18"/>
      <c r="HZ185" s="18"/>
      <c r="IA185" s="18"/>
      <c r="IB185" s="18"/>
      <c r="IC185" s="18"/>
      <c r="ID185" s="18"/>
      <c r="IE185" s="18"/>
      <c r="IF185" s="18"/>
      <c r="IG185" s="18"/>
      <c r="IH185" s="18"/>
      <c r="II185" s="18"/>
      <c r="IJ185" s="18"/>
      <c r="IK185" s="18"/>
      <c r="IL185" s="18"/>
      <c r="IM185" s="18"/>
      <c r="IN185" s="18"/>
      <c r="IO185" s="18"/>
      <c r="IP185" s="14"/>
      <c r="IQ185" s="14"/>
      <c r="IR185" s="14"/>
      <c r="IS185" s="14"/>
      <c r="IT185" s="14"/>
      <c r="IU185" s="14"/>
      <c r="IV185" s="14"/>
      <c r="IW185" s="14"/>
      <c r="IX185" s="14"/>
      <c r="IY185" s="14"/>
      <c r="IZ185" s="14"/>
      <c r="JA185" s="14"/>
      <c r="JB185" s="14"/>
      <c r="JC185" s="14"/>
      <c r="JD185" s="14"/>
      <c r="JE185" s="14"/>
      <c r="JF185" s="14"/>
      <c r="JG185" s="14"/>
      <c r="JH185" s="14"/>
      <c r="JI185" s="14"/>
      <c r="JJ185" s="14"/>
      <c r="JK185" s="14"/>
      <c r="JL185" s="14"/>
      <c r="JM185" s="14"/>
      <c r="JN185" s="14"/>
      <c r="JO185" s="14"/>
      <c r="JP185" s="14"/>
      <c r="JQ185" s="14"/>
      <c r="JR185" s="14"/>
      <c r="JS185" s="14"/>
      <c r="JT185" s="14"/>
      <c r="JU185" s="14"/>
      <c r="JV185" s="14"/>
      <c r="JW185" s="14"/>
      <c r="JX185" s="14"/>
      <c r="JY185" s="14"/>
      <c r="JZ185" s="14"/>
      <c r="KA185" s="14"/>
      <c r="KB185" s="14"/>
      <c r="KC185" s="14"/>
      <c r="KD185" s="14"/>
      <c r="KE185" s="14"/>
      <c r="KF185" s="14"/>
      <c r="KG185" s="14"/>
      <c r="KH185" s="14"/>
      <c r="KI185" s="14"/>
      <c r="KJ185" s="14"/>
      <c r="KK185" s="14"/>
      <c r="KL185" s="14"/>
      <c r="KM185" s="14"/>
      <c r="KN185" s="14"/>
      <c r="KO185" s="14"/>
      <c r="KP185" s="14"/>
    </row>
    <row r="186" spans="1:302" ht="11.1" hidden="1" customHeight="1" outlineLevel="1">
      <c r="A186" s="191" t="s">
        <v>153</v>
      </c>
      <c r="B186" s="29"/>
      <c r="C186" s="52"/>
      <c r="D186" s="940" t="s">
        <v>152</v>
      </c>
      <c r="F186" s="940">
        <v>0</v>
      </c>
      <c r="G186" s="187">
        <v>42179</v>
      </c>
      <c r="H186" s="187"/>
      <c r="I186" s="1069">
        <v>116.1</v>
      </c>
      <c r="J186" s="1069"/>
      <c r="K186" s="1069"/>
      <c r="L186" s="57"/>
      <c r="M186" s="136"/>
      <c r="N186" s="136"/>
      <c r="O186" s="136"/>
      <c r="P186" s="215">
        <v>102.19999694824219</v>
      </c>
      <c r="Q186" s="29"/>
      <c r="T186" s="57"/>
      <c r="U186" s="57"/>
      <c r="V186" s="57"/>
      <c r="W186" s="57"/>
      <c r="X186" s="57"/>
      <c r="Y186" s="175"/>
      <c r="Z186" s="175"/>
      <c r="AA186" s="57"/>
      <c r="AB186" s="947">
        <f>F186*P186</f>
        <v>0</v>
      </c>
      <c r="AC186" s="947"/>
      <c r="AD186" s="190">
        <f>-((I186*F186)-(P186*F186))</f>
        <v>0</v>
      </c>
      <c r="AE186" s="190"/>
      <c r="AF186" s="205" t="e">
        <f>IF(#REF!-AP186&lt;0,#REF!-AP186,(#REF!-AP186)*0.8)</f>
        <v>#REF!</v>
      </c>
      <c r="AN186" s="179"/>
      <c r="AO186" s="38"/>
      <c r="AP186" s="188">
        <f>F186*I186+AN186+AN187</f>
        <v>0</v>
      </c>
      <c r="AT186" s="51"/>
      <c r="AU186" s="15"/>
      <c r="AV186" s="15"/>
      <c r="AW186" s="15"/>
      <c r="AX186" s="15"/>
      <c r="AY186" s="15"/>
      <c r="AZ186" s="15"/>
      <c r="BA186" s="51"/>
      <c r="BB186" s="15"/>
      <c r="BC186" s="15"/>
      <c r="BD186" s="15"/>
      <c r="BE186" s="15"/>
      <c r="BF186" s="15"/>
      <c r="BG186" s="51"/>
      <c r="BH186" s="15"/>
      <c r="BI186" s="15"/>
      <c r="BJ186" s="15"/>
      <c r="BK186" s="51"/>
      <c r="BL186" s="15"/>
      <c r="BM186" s="15"/>
      <c r="BN186" s="15"/>
      <c r="BO186" s="18"/>
      <c r="BP186" s="18"/>
      <c r="BQ186" s="18"/>
      <c r="BR186" s="18"/>
      <c r="BS186" s="18"/>
      <c r="BT186" s="18"/>
      <c r="BU186" s="18"/>
      <c r="BV186" s="18"/>
      <c r="BW186" s="18"/>
      <c r="BX186" s="139" t="str">
        <f>IF($AB186=0,"",$AB186)</f>
        <v/>
      </c>
      <c r="BY186" s="139"/>
      <c r="BZ186" s="139"/>
      <c r="CA186" s="139"/>
      <c r="CB186" s="139"/>
      <c r="CC186" s="139"/>
      <c r="CD186" s="139"/>
      <c r="CE186" s="139"/>
      <c r="CF186" s="139"/>
      <c r="CG186" s="139"/>
      <c r="CH186" s="139"/>
      <c r="CI186" s="139"/>
      <c r="CJ186" s="139"/>
      <c r="CK186" s="139"/>
      <c r="CL186" s="139"/>
      <c r="CM186" s="139"/>
      <c r="CN186" s="139"/>
      <c r="CO186" s="139"/>
      <c r="CP186" s="139"/>
      <c r="CQ186" s="139"/>
      <c r="CR186" s="139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  <c r="FR186" s="18"/>
      <c r="FS186" s="18"/>
      <c r="FT186" s="18"/>
      <c r="FU186" s="18"/>
      <c r="FV186" s="18"/>
      <c r="FW186" s="18"/>
      <c r="FX186" s="18"/>
      <c r="FY186" s="18"/>
      <c r="FZ186" s="18"/>
      <c r="GA186" s="18"/>
      <c r="GB186" s="18"/>
      <c r="GC186" s="18"/>
      <c r="GD186" s="18"/>
      <c r="GE186" s="18"/>
      <c r="GF186" s="18"/>
      <c r="GG186" s="18"/>
      <c r="GH186" s="18"/>
      <c r="GI186" s="18"/>
      <c r="GJ186" s="18"/>
      <c r="GK186" s="18"/>
      <c r="GL186" s="18"/>
      <c r="GM186" s="18"/>
      <c r="GN186" s="18"/>
      <c r="GO186" s="18"/>
      <c r="GP186" s="18"/>
      <c r="GQ186" s="18"/>
      <c r="GR186" s="18"/>
      <c r="GS186" s="18"/>
      <c r="GT186" s="18"/>
      <c r="GU186" s="18"/>
      <c r="GV186" s="18"/>
      <c r="GW186" s="18"/>
      <c r="GX186" s="18"/>
      <c r="GY186" s="18"/>
      <c r="GZ186" s="18"/>
      <c r="HA186" s="18"/>
      <c r="HB186" s="18"/>
      <c r="HC186" s="18"/>
      <c r="HD186" s="18"/>
      <c r="HE186" s="18"/>
      <c r="HF186" s="18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V186" s="18"/>
      <c r="HW186" s="18"/>
      <c r="HX186" s="18"/>
      <c r="HY186" s="18"/>
      <c r="HZ186" s="18"/>
      <c r="IA186" s="18"/>
      <c r="IB186" s="18"/>
      <c r="IC186" s="18"/>
      <c r="ID186" s="18"/>
      <c r="IE186" s="139"/>
      <c r="IF186" s="139"/>
      <c r="IG186" s="139"/>
      <c r="IH186" s="139"/>
      <c r="II186" s="139"/>
      <c r="IJ186" s="139"/>
      <c r="IK186" s="139"/>
      <c r="IL186" s="139"/>
      <c r="IM186" s="139"/>
      <c r="IN186" s="139"/>
      <c r="IO186" s="139"/>
    </row>
    <row r="187" spans="1:302" ht="11.1" hidden="1" customHeight="1" outlineLevel="1">
      <c r="A187" s="322" t="s">
        <v>149</v>
      </c>
      <c r="B187" s="57"/>
      <c r="C187" s="52"/>
      <c r="E187" s="57"/>
      <c r="F187" s="940"/>
      <c r="G187" s="187"/>
      <c r="H187" s="187"/>
      <c r="I187" s="186"/>
      <c r="J187" s="186"/>
      <c r="K187" s="185">
        <f>AP186</f>
        <v>0</v>
      </c>
      <c r="L187" s="57"/>
      <c r="M187" s="136"/>
      <c r="N187" s="136"/>
      <c r="O187" s="136"/>
      <c r="P187" s="318">
        <v>22.13</v>
      </c>
      <c r="Q187" s="1"/>
      <c r="T187" s="57"/>
      <c r="U187" s="57"/>
      <c r="V187" s="57"/>
      <c r="W187" s="57"/>
      <c r="X187" s="57"/>
      <c r="Y187" s="175"/>
      <c r="Z187" s="175"/>
      <c r="AA187" s="57"/>
      <c r="AB187" s="947"/>
      <c r="AC187" s="947"/>
      <c r="AD187" s="183">
        <f>((P186-I186)/I186)</f>
        <v>-0.11972440182392599</v>
      </c>
      <c r="AE187" s="183"/>
      <c r="AN187" s="179"/>
      <c r="AO187" s="38"/>
      <c r="AP187" s="38"/>
      <c r="AT187" s="51"/>
      <c r="AU187" s="15"/>
      <c r="AV187" s="15"/>
      <c r="AW187" s="15"/>
      <c r="AX187" s="15"/>
      <c r="AY187" s="15"/>
      <c r="AZ187" s="15"/>
      <c r="BA187" s="51"/>
      <c r="BB187" s="15"/>
      <c r="BC187" s="15"/>
      <c r="BD187" s="15"/>
      <c r="BE187" s="15"/>
      <c r="BF187" s="15"/>
      <c r="BG187" s="51"/>
      <c r="BH187" s="15"/>
      <c r="BI187" s="15"/>
      <c r="BJ187" s="15"/>
      <c r="BK187" s="51"/>
      <c r="BL187" s="15"/>
      <c r="BM187" s="15"/>
      <c r="BN187" s="15"/>
      <c r="BO187" s="18"/>
      <c r="BP187" s="18"/>
      <c r="BQ187" s="18"/>
      <c r="BR187" s="18"/>
      <c r="BS187" s="18"/>
      <c r="BT187" s="18"/>
      <c r="BU187" s="18"/>
      <c r="BV187" s="18"/>
      <c r="BW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  <c r="FR187" s="18"/>
      <c r="FS187" s="18"/>
      <c r="FT187" s="18"/>
      <c r="FU187" s="18"/>
      <c r="FV187" s="18"/>
      <c r="FW187" s="18"/>
      <c r="FX187" s="18"/>
      <c r="FY187" s="18"/>
      <c r="FZ187" s="18"/>
      <c r="GA187" s="18"/>
      <c r="GB187" s="18"/>
      <c r="GC187" s="18"/>
      <c r="GD187" s="18"/>
      <c r="GE187" s="18"/>
      <c r="GF187" s="18"/>
      <c r="GG187" s="18"/>
      <c r="GH187" s="18"/>
      <c r="GI187" s="18"/>
      <c r="GJ187" s="18"/>
      <c r="GK187" s="18"/>
      <c r="GL187" s="18"/>
      <c r="GM187" s="18"/>
      <c r="GN187" s="18"/>
      <c r="GO187" s="18"/>
      <c r="GP187" s="18"/>
      <c r="GQ187" s="18"/>
      <c r="GR187" s="18"/>
      <c r="GS187" s="18"/>
      <c r="GT187" s="18"/>
      <c r="GU187" s="18"/>
      <c r="GV187" s="18"/>
      <c r="GW187" s="18"/>
      <c r="GX187" s="18"/>
      <c r="GY187" s="18"/>
      <c r="GZ187" s="18"/>
      <c r="HA187" s="18"/>
      <c r="HB187" s="18"/>
      <c r="HC187" s="18"/>
      <c r="HD187" s="18"/>
      <c r="HE187" s="18"/>
      <c r="HF187" s="18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V187" s="18"/>
      <c r="HW187" s="18"/>
      <c r="HX187" s="18"/>
      <c r="HY187" s="18"/>
      <c r="HZ187" s="18"/>
      <c r="IA187" s="18"/>
      <c r="IB187" s="18"/>
      <c r="IC187" s="18"/>
      <c r="ID187" s="18"/>
      <c r="IE187" s="18"/>
      <c r="IF187" s="18"/>
      <c r="IG187" s="18"/>
      <c r="IH187" s="18"/>
      <c r="II187" s="18"/>
      <c r="IJ187" s="18"/>
      <c r="IK187" s="18"/>
      <c r="IL187" s="18"/>
      <c r="IM187" s="18"/>
      <c r="IN187" s="18"/>
      <c r="IO187" s="18"/>
    </row>
    <row r="188" spans="1:302" s="23" customFormat="1" ht="4.5" hidden="1" customHeight="1" outlineLevel="1" collapsed="1">
      <c r="A188" s="1"/>
      <c r="B188" s="192"/>
      <c r="C188" s="52"/>
      <c r="D188" s="29"/>
      <c r="E188" s="14"/>
      <c r="F188" s="940"/>
      <c r="G188" s="176"/>
      <c r="H188" s="176"/>
      <c r="I188" s="176"/>
      <c r="J188" s="176"/>
      <c r="K188" s="941"/>
      <c r="L188" s="57"/>
      <c r="M188" s="136"/>
      <c r="N188" s="136"/>
      <c r="O188" s="136"/>
      <c r="P188" s="199">
        <v>22.47</v>
      </c>
      <c r="Q188" s="177"/>
      <c r="R188" s="14"/>
      <c r="S188" s="14"/>
      <c r="T188" s="57"/>
      <c r="U188" s="57"/>
      <c r="V188" s="57"/>
      <c r="W188" s="57"/>
      <c r="X188" s="57"/>
      <c r="Y188" s="175"/>
      <c r="Z188" s="175"/>
      <c r="AA188" s="57"/>
      <c r="AB188" s="324"/>
      <c r="AC188" s="174"/>
      <c r="AD188" s="323"/>
      <c r="AE188" s="173"/>
      <c r="AF188" s="69"/>
      <c r="AG188" s="172"/>
      <c r="AH188" s="38"/>
      <c r="AI188" s="38"/>
      <c r="AJ188" s="38"/>
      <c r="AK188" s="172"/>
      <c r="AL188" s="38"/>
      <c r="AM188" s="38"/>
      <c r="AN188" s="38"/>
      <c r="AO188" s="38"/>
      <c r="AP188" s="38"/>
      <c r="AQ188" s="940"/>
      <c r="AR188" s="38"/>
      <c r="AS188" s="67"/>
      <c r="AT188" s="171"/>
      <c r="AU188" s="21"/>
      <c r="AV188" s="21"/>
      <c r="AW188" s="21"/>
      <c r="AX188" s="21"/>
      <c r="AY188" s="21"/>
      <c r="AZ188" s="21"/>
      <c r="BA188" s="171"/>
      <c r="BB188" s="21"/>
      <c r="BC188" s="21"/>
      <c r="BD188" s="21"/>
      <c r="BE188" s="18"/>
      <c r="BF188" s="18"/>
      <c r="BG188" s="32"/>
      <c r="BH188" s="18"/>
      <c r="BI188" s="18"/>
      <c r="BJ188" s="18"/>
      <c r="BK188" s="32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32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32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32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  <c r="FR188" s="18"/>
      <c r="FS188" s="18"/>
      <c r="FT188" s="18"/>
      <c r="FU188" s="18"/>
      <c r="FV188" s="18"/>
      <c r="FW188" s="18"/>
      <c r="FX188" s="18"/>
      <c r="FY188" s="18"/>
      <c r="FZ188" s="18"/>
      <c r="GA188" s="18"/>
      <c r="GB188" s="18"/>
      <c r="GC188" s="18"/>
      <c r="GD188" s="18"/>
      <c r="GE188" s="18"/>
      <c r="GF188" s="18"/>
      <c r="GG188" s="18"/>
      <c r="GH188" s="18"/>
      <c r="GI188" s="18"/>
      <c r="GJ188" s="18"/>
      <c r="GK188" s="18"/>
      <c r="GL188" s="18"/>
      <c r="GM188" s="18"/>
      <c r="GN188" s="18"/>
      <c r="GO188" s="18"/>
      <c r="GP188" s="18"/>
      <c r="GQ188" s="18"/>
      <c r="GR188" s="18"/>
      <c r="GS188" s="18"/>
      <c r="GT188" s="18"/>
      <c r="GU188" s="18"/>
      <c r="GV188" s="18"/>
      <c r="GW188" s="18"/>
      <c r="GX188" s="18"/>
      <c r="GY188" s="18"/>
      <c r="GZ188" s="18"/>
      <c r="HA188" s="18"/>
      <c r="HB188" s="18"/>
      <c r="HC188" s="18"/>
      <c r="HD188" s="18"/>
      <c r="HE188" s="18"/>
      <c r="HF188" s="18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32"/>
      <c r="HV188" s="18"/>
      <c r="HW188" s="18"/>
      <c r="HX188" s="18"/>
      <c r="HY188" s="18"/>
      <c r="HZ188" s="18"/>
      <c r="IA188" s="18"/>
      <c r="IB188" s="18"/>
      <c r="IC188" s="18"/>
      <c r="ID188" s="18"/>
      <c r="IE188" s="18"/>
      <c r="IF188" s="18"/>
      <c r="IG188" s="18"/>
      <c r="IH188" s="18"/>
      <c r="II188" s="18"/>
      <c r="IJ188" s="18"/>
      <c r="IK188" s="18"/>
      <c r="IL188" s="18"/>
      <c r="IM188" s="18"/>
      <c r="IN188" s="18"/>
      <c r="IO188" s="18"/>
      <c r="IP188" s="14"/>
      <c r="IQ188" s="14"/>
      <c r="IR188" s="14"/>
      <c r="IS188" s="14"/>
      <c r="IT188" s="14"/>
      <c r="IU188" s="14"/>
      <c r="IV188" s="14"/>
      <c r="IW188" s="14"/>
      <c r="IX188" s="14"/>
      <c r="IY188" s="14"/>
      <c r="IZ188" s="14"/>
      <c r="JA188" s="14"/>
      <c r="JB188" s="14"/>
      <c r="JC188" s="14"/>
      <c r="JD188" s="14"/>
      <c r="JE188" s="14"/>
      <c r="JF188" s="14"/>
      <c r="JG188" s="14"/>
      <c r="JH188" s="14"/>
      <c r="JI188" s="14"/>
      <c r="JJ188" s="14"/>
      <c r="JK188" s="14"/>
      <c r="JL188" s="14"/>
      <c r="JM188" s="14"/>
      <c r="JN188" s="14"/>
      <c r="JO188" s="14"/>
      <c r="JP188" s="14"/>
      <c r="JQ188" s="14"/>
      <c r="JR188" s="14"/>
      <c r="JS188" s="14"/>
      <c r="JT188" s="14"/>
      <c r="JU188" s="14"/>
      <c r="JV188" s="14"/>
      <c r="JW188" s="14"/>
      <c r="JX188" s="14"/>
      <c r="JY188" s="14"/>
      <c r="JZ188" s="14"/>
      <c r="KA188" s="14"/>
      <c r="KB188" s="14"/>
      <c r="KC188" s="14"/>
      <c r="KD188" s="14"/>
      <c r="KE188" s="14"/>
      <c r="KF188" s="14"/>
      <c r="KG188" s="14"/>
      <c r="KH188" s="14"/>
      <c r="KI188" s="14"/>
      <c r="KJ188" s="14"/>
      <c r="KK188" s="14"/>
      <c r="KL188" s="14"/>
      <c r="KM188" s="14"/>
      <c r="KN188" s="14"/>
      <c r="KO188" s="14"/>
      <c r="KP188" s="14"/>
    </row>
    <row r="189" spans="1:302" ht="11.1" hidden="1" customHeight="1" outlineLevel="1">
      <c r="A189" s="191" t="s">
        <v>151</v>
      </c>
      <c r="B189" s="29"/>
      <c r="C189" s="52"/>
      <c r="D189" s="940" t="s">
        <v>150</v>
      </c>
      <c r="F189" s="940">
        <v>0</v>
      </c>
      <c r="G189" s="187">
        <v>42373</v>
      </c>
      <c r="H189" s="187"/>
      <c r="I189" s="1069">
        <v>8.3377770000000009</v>
      </c>
      <c r="J189" s="1069"/>
      <c r="K189" s="1069"/>
      <c r="L189" s="57"/>
      <c r="M189" s="136"/>
      <c r="N189" s="136"/>
      <c r="O189" s="136"/>
      <c r="P189" s="215">
        <v>106.18000030517578</v>
      </c>
      <c r="Q189" s="29"/>
      <c r="T189" s="57"/>
      <c r="U189" s="57"/>
      <c r="V189" s="57"/>
      <c r="W189" s="57"/>
      <c r="X189" s="57"/>
      <c r="Y189" s="175"/>
      <c r="Z189" s="175"/>
      <c r="AA189" s="57"/>
      <c r="AB189" s="947">
        <f>F189*P189</f>
        <v>0</v>
      </c>
      <c r="AC189" s="947"/>
      <c r="AD189" s="190">
        <f>-((I189*F189)-(P189*F189))</f>
        <v>0</v>
      </c>
      <c r="AE189" s="190"/>
      <c r="AF189" s="205" t="e">
        <f>IF(#REF!-AP189&lt;0,#REF!-AP189,(#REF!-AP189)*0.8)</f>
        <v>#REF!</v>
      </c>
      <c r="AN189" s="179"/>
      <c r="AO189" s="38"/>
      <c r="AP189" s="188">
        <f>F189*I189+AN189+AN190</f>
        <v>0</v>
      </c>
      <c r="AT189" s="51"/>
      <c r="AU189" s="15"/>
      <c r="AV189" s="15"/>
      <c r="AW189" s="15"/>
      <c r="AX189" s="15"/>
      <c r="AY189" s="15"/>
      <c r="AZ189" s="15"/>
      <c r="BA189" s="51"/>
      <c r="BB189" s="15"/>
      <c r="BC189" s="15"/>
      <c r="BD189" s="15"/>
      <c r="BE189" s="15"/>
      <c r="BF189" s="15"/>
      <c r="BG189" s="51"/>
      <c r="BH189" s="15"/>
      <c r="BI189" s="15"/>
      <c r="BJ189" s="15"/>
      <c r="BK189" s="51"/>
      <c r="BL189" s="15"/>
      <c r="BM189" s="15"/>
      <c r="BN189" s="15"/>
      <c r="BO189" s="18"/>
      <c r="BP189" s="18"/>
      <c r="BQ189" s="18"/>
      <c r="BR189" s="18"/>
      <c r="BS189" s="18"/>
      <c r="BT189" s="18"/>
      <c r="BU189" s="18"/>
      <c r="BV189" s="18"/>
      <c r="BW189" s="18"/>
      <c r="BX189" s="139" t="str">
        <f>IF($AB189=0,"",$AB189)</f>
        <v/>
      </c>
      <c r="BY189" s="139"/>
      <c r="BZ189" s="139"/>
      <c r="CA189" s="139"/>
      <c r="CB189" s="139"/>
      <c r="CC189" s="139"/>
      <c r="CD189" s="139"/>
      <c r="CE189" s="139"/>
      <c r="CF189" s="139"/>
      <c r="CG189" s="139"/>
      <c r="CH189" s="139"/>
      <c r="CI189" s="139"/>
      <c r="CJ189" s="139"/>
      <c r="CK189" s="139"/>
      <c r="CL189" s="139"/>
      <c r="CM189" s="139"/>
      <c r="CN189" s="139"/>
      <c r="CO189" s="139"/>
      <c r="CP189" s="139"/>
      <c r="CQ189" s="139"/>
      <c r="CR189" s="139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  <c r="FR189" s="18"/>
      <c r="FS189" s="18"/>
      <c r="FT189" s="18"/>
      <c r="FU189" s="18"/>
      <c r="FV189" s="18"/>
      <c r="FW189" s="18"/>
      <c r="FX189" s="18"/>
      <c r="FY189" s="18"/>
      <c r="FZ189" s="18"/>
      <c r="GA189" s="18"/>
      <c r="GB189" s="18"/>
      <c r="GC189" s="18"/>
      <c r="GD189" s="18"/>
      <c r="GE189" s="18"/>
      <c r="GF189" s="18"/>
      <c r="GG189" s="18"/>
      <c r="GH189" s="18"/>
      <c r="GI189" s="18"/>
      <c r="GJ189" s="18"/>
      <c r="GK189" s="18"/>
      <c r="GL189" s="18"/>
      <c r="GM189" s="18"/>
      <c r="GN189" s="18"/>
      <c r="GO189" s="18"/>
      <c r="GP189" s="18"/>
      <c r="GQ189" s="18"/>
      <c r="GR189" s="18"/>
      <c r="GS189" s="18"/>
      <c r="GT189" s="18"/>
      <c r="GU189" s="18"/>
      <c r="GV189" s="18"/>
      <c r="GW189" s="18"/>
      <c r="GX189" s="18"/>
      <c r="GY189" s="18"/>
      <c r="GZ189" s="18"/>
      <c r="HA189" s="18"/>
      <c r="HB189" s="18"/>
      <c r="HC189" s="18"/>
      <c r="HD189" s="18"/>
      <c r="HE189" s="18"/>
      <c r="HF189" s="18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V189" s="18"/>
      <c r="HW189" s="18"/>
      <c r="HX189" s="18"/>
      <c r="HY189" s="18"/>
      <c r="HZ189" s="18"/>
      <c r="IA189" s="18"/>
      <c r="IB189" s="18"/>
      <c r="IC189" s="18"/>
      <c r="ID189" s="18"/>
      <c r="IE189" s="139"/>
      <c r="IF189" s="139"/>
      <c r="IG189" s="139"/>
      <c r="IH189" s="139"/>
      <c r="II189" s="139"/>
      <c r="IJ189" s="139"/>
      <c r="IK189" s="139"/>
      <c r="IL189" s="139"/>
      <c r="IM189" s="139"/>
      <c r="IN189" s="139"/>
      <c r="IO189" s="139"/>
    </row>
    <row r="190" spans="1:302" ht="11.1" hidden="1" customHeight="1" outlineLevel="1">
      <c r="A190" s="325" t="s">
        <v>149</v>
      </c>
      <c r="B190" s="57"/>
      <c r="C190" s="52"/>
      <c r="E190" s="57"/>
      <c r="F190" s="940"/>
      <c r="G190" s="187"/>
      <c r="H190" s="187"/>
      <c r="I190" s="186"/>
      <c r="J190" s="186"/>
      <c r="K190" s="185">
        <f>AP189</f>
        <v>0</v>
      </c>
      <c r="L190" s="57"/>
      <c r="M190" s="136"/>
      <c r="N190" s="136"/>
      <c r="O190" s="136"/>
      <c r="P190" s="318">
        <v>22.13</v>
      </c>
      <c r="Q190" s="1"/>
      <c r="T190" s="57"/>
      <c r="U190" s="57"/>
      <c r="V190" s="57"/>
      <c r="W190" s="57"/>
      <c r="X190" s="57"/>
      <c r="Y190" s="175"/>
      <c r="Z190" s="175"/>
      <c r="AA190" s="57"/>
      <c r="AB190" s="947"/>
      <c r="AC190" s="947"/>
      <c r="AD190" s="183">
        <f>((P189-I189)/I189)</f>
        <v>11.734809326895618</v>
      </c>
      <c r="AE190" s="183"/>
      <c r="AN190" s="179"/>
      <c r="AO190" s="38"/>
      <c r="AP190" s="38"/>
      <c r="AT190" s="51"/>
      <c r="AU190" s="15"/>
      <c r="AV190" s="15"/>
      <c r="AW190" s="15"/>
      <c r="AX190" s="15"/>
      <c r="AY190" s="15"/>
      <c r="AZ190" s="15"/>
      <c r="BA190" s="51"/>
      <c r="BB190" s="15"/>
      <c r="BC190" s="15"/>
      <c r="BD190" s="15"/>
      <c r="BE190" s="15"/>
      <c r="BF190" s="15"/>
      <c r="BG190" s="51"/>
      <c r="BH190" s="15"/>
      <c r="BI190" s="15"/>
      <c r="BJ190" s="15"/>
      <c r="BK190" s="51"/>
      <c r="BL190" s="15"/>
      <c r="BM190" s="15"/>
      <c r="BN190" s="15"/>
      <c r="BO190" s="18"/>
      <c r="BP190" s="18"/>
      <c r="BQ190" s="18"/>
      <c r="BR190" s="18"/>
      <c r="BS190" s="18"/>
      <c r="BT190" s="18"/>
      <c r="BU190" s="18"/>
      <c r="BV190" s="18"/>
      <c r="BW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  <c r="FR190" s="18"/>
      <c r="FS190" s="18"/>
      <c r="FT190" s="18"/>
      <c r="FU190" s="18"/>
      <c r="FV190" s="18"/>
      <c r="FW190" s="18"/>
      <c r="FX190" s="18"/>
      <c r="FY190" s="18"/>
      <c r="FZ190" s="18"/>
      <c r="GA190" s="18"/>
      <c r="GB190" s="18"/>
      <c r="GC190" s="18"/>
      <c r="GD190" s="18"/>
      <c r="GE190" s="18"/>
      <c r="GF190" s="18"/>
      <c r="GG190" s="18"/>
      <c r="GH190" s="18"/>
      <c r="GI190" s="18"/>
      <c r="GJ190" s="18"/>
      <c r="GK190" s="18"/>
      <c r="GL190" s="18"/>
      <c r="GM190" s="18"/>
      <c r="GN190" s="18"/>
      <c r="GO190" s="18"/>
      <c r="GP190" s="18"/>
      <c r="GQ190" s="18"/>
      <c r="GR190" s="18"/>
      <c r="GS190" s="18"/>
      <c r="GT190" s="18"/>
      <c r="GU190" s="18"/>
      <c r="GV190" s="18"/>
      <c r="GW190" s="18"/>
      <c r="GX190" s="18"/>
      <c r="GY190" s="18"/>
      <c r="GZ190" s="18"/>
      <c r="HA190" s="18"/>
      <c r="HB190" s="18"/>
      <c r="HC190" s="18"/>
      <c r="HD190" s="18"/>
      <c r="HE190" s="18"/>
      <c r="HF190" s="18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V190" s="18"/>
      <c r="HW190" s="18"/>
      <c r="HX190" s="18"/>
      <c r="HY190" s="18"/>
      <c r="HZ190" s="18"/>
      <c r="IA190" s="18"/>
      <c r="IB190" s="18"/>
      <c r="IC190" s="18"/>
      <c r="ID190" s="18"/>
      <c r="IE190" s="18"/>
      <c r="IF190" s="18"/>
      <c r="IG190" s="18"/>
      <c r="IH190" s="18"/>
      <c r="II190" s="18"/>
      <c r="IJ190" s="18"/>
      <c r="IK190" s="18"/>
      <c r="IL190" s="18"/>
      <c r="IM190" s="18"/>
      <c r="IN190" s="18"/>
      <c r="IO190" s="18"/>
    </row>
    <row r="191" spans="1:302" ht="11.1" hidden="1" customHeight="1" outlineLevel="1">
      <c r="A191" s="268" t="s">
        <v>148</v>
      </c>
      <c r="B191" s="57"/>
      <c r="C191" s="52"/>
      <c r="E191" s="57"/>
      <c r="F191" s="940"/>
      <c r="G191" s="187"/>
      <c r="H191" s="187"/>
      <c r="I191" s="186"/>
      <c r="J191" s="186"/>
      <c r="K191" s="185"/>
      <c r="L191" s="57"/>
      <c r="M191" s="136"/>
      <c r="N191" s="136"/>
      <c r="O191" s="136"/>
      <c r="P191" s="318"/>
      <c r="Q191" s="1"/>
      <c r="T191" s="57"/>
      <c r="U191" s="57"/>
      <c r="V191" s="57"/>
      <c r="W191" s="57"/>
      <c r="X191" s="57"/>
      <c r="Y191" s="175"/>
      <c r="Z191" s="175"/>
      <c r="AA191" s="57"/>
      <c r="AB191" s="947"/>
      <c r="AC191" s="947"/>
      <c r="AD191" s="183"/>
      <c r="AE191" s="183"/>
      <c r="AN191" s="179"/>
      <c r="AO191" s="38"/>
      <c r="AP191" s="38"/>
      <c r="AT191" s="51"/>
      <c r="AU191" s="15"/>
      <c r="AV191" s="15"/>
      <c r="AW191" s="15"/>
      <c r="AX191" s="15"/>
      <c r="AY191" s="15"/>
      <c r="AZ191" s="15"/>
      <c r="BA191" s="51"/>
      <c r="BB191" s="15"/>
      <c r="BC191" s="15"/>
      <c r="BD191" s="15"/>
      <c r="BE191" s="15"/>
      <c r="BF191" s="15"/>
      <c r="BG191" s="51"/>
      <c r="BH191" s="15"/>
      <c r="BI191" s="15"/>
      <c r="BJ191" s="15"/>
      <c r="BK191" s="51"/>
      <c r="BL191" s="15"/>
      <c r="BM191" s="15"/>
      <c r="BN191" s="15"/>
      <c r="BO191" s="18"/>
      <c r="BP191" s="18"/>
      <c r="BQ191" s="18"/>
      <c r="BR191" s="18"/>
      <c r="BS191" s="18"/>
      <c r="BT191" s="18"/>
      <c r="BU191" s="18"/>
      <c r="BV191" s="18"/>
      <c r="BW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  <c r="FR191" s="18"/>
      <c r="FS191" s="18"/>
      <c r="FT191" s="18"/>
      <c r="FU191" s="18"/>
      <c r="FV191" s="18"/>
      <c r="FW191" s="18"/>
      <c r="FX191" s="18"/>
      <c r="FY191" s="18"/>
      <c r="FZ191" s="18"/>
      <c r="GA191" s="18"/>
      <c r="GB191" s="18"/>
      <c r="GC191" s="18"/>
      <c r="GD191" s="18"/>
      <c r="GE191" s="18"/>
      <c r="GF191" s="18"/>
      <c r="GG191" s="18"/>
      <c r="GH191" s="18"/>
      <c r="GI191" s="18"/>
      <c r="GJ191" s="18"/>
      <c r="GK191" s="18"/>
      <c r="GL191" s="18"/>
      <c r="GM191" s="18"/>
      <c r="GN191" s="18"/>
      <c r="GO191" s="18"/>
      <c r="GP191" s="18"/>
      <c r="GQ191" s="18"/>
      <c r="GR191" s="18"/>
      <c r="GS191" s="18"/>
      <c r="GT191" s="18"/>
      <c r="GU191" s="18"/>
      <c r="GV191" s="18"/>
      <c r="GW191" s="18"/>
      <c r="GX191" s="18"/>
      <c r="GY191" s="18"/>
      <c r="GZ191" s="18"/>
      <c r="HA191" s="18"/>
      <c r="HB191" s="18"/>
      <c r="HC191" s="18"/>
      <c r="HD191" s="18"/>
      <c r="HE191" s="18"/>
      <c r="HF191" s="18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V191" s="18"/>
      <c r="HW191" s="18"/>
      <c r="HX191" s="18"/>
      <c r="HY191" s="18"/>
      <c r="HZ191" s="18"/>
      <c r="IA191" s="18"/>
      <c r="IB191" s="18"/>
      <c r="IC191" s="18"/>
      <c r="ID191" s="18"/>
      <c r="IE191" s="18"/>
      <c r="IF191" s="18"/>
      <c r="IG191" s="18"/>
      <c r="IH191" s="18"/>
      <c r="II191" s="18"/>
      <c r="IJ191" s="18"/>
      <c r="IK191" s="18"/>
      <c r="IL191" s="18"/>
      <c r="IM191" s="18"/>
      <c r="IN191" s="18"/>
      <c r="IO191" s="18"/>
    </row>
    <row r="192" spans="1:302" s="23" customFormat="1" ht="5.0999999999999996" hidden="1" customHeight="1" outlineLevel="1" collapsed="1">
      <c r="A192" s="1"/>
      <c r="B192" s="192"/>
      <c r="C192" s="52"/>
      <c r="D192" s="29"/>
      <c r="E192" s="14"/>
      <c r="F192" s="940"/>
      <c r="G192" s="176"/>
      <c r="H192" s="176"/>
      <c r="I192" s="176"/>
      <c r="J192" s="176"/>
      <c r="K192" s="941"/>
      <c r="L192" s="57"/>
      <c r="M192" s="136"/>
      <c r="N192" s="136"/>
      <c r="O192" s="136"/>
      <c r="P192" s="199">
        <v>22.47</v>
      </c>
      <c r="Q192" s="177"/>
      <c r="R192" s="14"/>
      <c r="S192" s="14"/>
      <c r="T192" s="57"/>
      <c r="U192" s="57"/>
      <c r="V192" s="57"/>
      <c r="W192" s="57"/>
      <c r="X192" s="57"/>
      <c r="Y192" s="175"/>
      <c r="Z192" s="175"/>
      <c r="AA192" s="57"/>
      <c r="AB192" s="324"/>
      <c r="AC192" s="174"/>
      <c r="AD192" s="323"/>
      <c r="AE192" s="173"/>
      <c r="AF192" s="69"/>
      <c r="AG192" s="172"/>
      <c r="AH192" s="38"/>
      <c r="AI192" s="38"/>
      <c r="AJ192" s="38"/>
      <c r="AK192" s="172"/>
      <c r="AL192" s="38"/>
      <c r="AM192" s="38"/>
      <c r="AN192" s="38"/>
      <c r="AO192" s="38"/>
      <c r="AP192" s="38"/>
      <c r="AQ192" s="940"/>
      <c r="AR192" s="38"/>
      <c r="AS192" s="67"/>
      <c r="AT192" s="171"/>
      <c r="AU192" s="21"/>
      <c r="AV192" s="21"/>
      <c r="AW192" s="21"/>
      <c r="AX192" s="21"/>
      <c r="AY192" s="21"/>
      <c r="AZ192" s="21"/>
      <c r="BA192" s="171"/>
      <c r="BB192" s="21"/>
      <c r="BC192" s="21"/>
      <c r="BD192" s="21"/>
      <c r="BE192" s="18"/>
      <c r="BF192" s="18"/>
      <c r="BG192" s="32"/>
      <c r="BH192" s="18"/>
      <c r="BI192" s="18"/>
      <c r="BJ192" s="18"/>
      <c r="BK192" s="32"/>
      <c r="BL192" s="18"/>
      <c r="BM192" s="18"/>
      <c r="BN192" s="18"/>
      <c r="BO192" s="18"/>
      <c r="BP192" s="18"/>
      <c r="BQ192" s="18"/>
      <c r="BR192" s="18"/>
      <c r="BS192" s="18"/>
      <c r="BT192" s="18"/>
      <c r="BU192" s="18"/>
      <c r="BV192" s="18"/>
      <c r="BW192" s="18"/>
      <c r="BX192" s="32"/>
      <c r="BY192" s="18"/>
      <c r="BZ192" s="18"/>
      <c r="CA192" s="18"/>
      <c r="CB192" s="18"/>
      <c r="CC192" s="18"/>
      <c r="CD192" s="18"/>
      <c r="CE192" s="18"/>
      <c r="CF192" s="18"/>
      <c r="CG192" s="18"/>
      <c r="CH192" s="18"/>
      <c r="CI192" s="18"/>
      <c r="CJ192" s="18"/>
      <c r="CK192" s="18"/>
      <c r="CL192" s="18"/>
      <c r="CM192" s="18"/>
      <c r="CN192" s="18"/>
      <c r="CO192" s="18"/>
      <c r="CP192" s="18"/>
      <c r="CQ192" s="18"/>
      <c r="CR192" s="18"/>
      <c r="CS192" s="32"/>
      <c r="CT192" s="18"/>
      <c r="CU192" s="18"/>
      <c r="CV192" s="18"/>
      <c r="CW192" s="18"/>
      <c r="CX192" s="18"/>
      <c r="CY192" s="18"/>
      <c r="CZ192" s="18"/>
      <c r="DA192" s="18"/>
      <c r="DB192" s="18"/>
      <c r="DC192" s="18"/>
      <c r="DD192" s="18"/>
      <c r="DE192" s="18"/>
      <c r="DF192" s="18"/>
      <c r="DG192" s="18"/>
      <c r="DH192" s="18"/>
      <c r="DI192" s="18"/>
      <c r="DJ192" s="18"/>
      <c r="DK192" s="18"/>
      <c r="DL192" s="18"/>
      <c r="DM192" s="18"/>
      <c r="DN192" s="18"/>
      <c r="DO192" s="32"/>
      <c r="DP192" s="18"/>
      <c r="DQ192" s="18"/>
      <c r="DR192" s="18"/>
      <c r="DS192" s="18"/>
      <c r="DT192" s="18"/>
      <c r="DU192" s="18"/>
      <c r="DV192" s="18"/>
      <c r="DW192" s="18"/>
      <c r="DX192" s="18"/>
      <c r="DY192" s="18"/>
      <c r="DZ192" s="18"/>
      <c r="EA192" s="18"/>
      <c r="EB192" s="18"/>
      <c r="EC192" s="18"/>
      <c r="ED192" s="18"/>
      <c r="EE192" s="18"/>
      <c r="EF192" s="18"/>
      <c r="EG192" s="18"/>
      <c r="EH192" s="18"/>
      <c r="EI192" s="18"/>
      <c r="EJ192" s="18"/>
      <c r="EK192" s="18"/>
      <c r="EL192" s="18"/>
      <c r="EM192" s="18"/>
      <c r="EN192" s="18"/>
      <c r="EO192" s="18"/>
      <c r="EP192" s="18"/>
      <c r="EQ192" s="18"/>
      <c r="ER192" s="18"/>
      <c r="ES192" s="18"/>
      <c r="ET192" s="18"/>
      <c r="EU192" s="18"/>
      <c r="EV192" s="18"/>
      <c r="EW192" s="18"/>
      <c r="EX192" s="18"/>
      <c r="EY192" s="18"/>
      <c r="EZ192" s="18"/>
      <c r="FA192" s="18"/>
      <c r="FB192" s="18"/>
      <c r="FC192" s="18"/>
      <c r="FD192" s="18"/>
      <c r="FE192" s="18"/>
      <c r="FF192" s="18"/>
      <c r="FG192" s="18"/>
      <c r="FH192" s="18"/>
      <c r="FI192" s="18"/>
      <c r="FJ192" s="18"/>
      <c r="FK192" s="18"/>
      <c r="FL192" s="18"/>
      <c r="FM192" s="18"/>
      <c r="FN192" s="18"/>
      <c r="FO192" s="18"/>
      <c r="FP192" s="18"/>
      <c r="FQ192" s="18"/>
      <c r="FR192" s="18"/>
      <c r="FS192" s="18"/>
      <c r="FT192" s="18"/>
      <c r="FU192" s="18"/>
      <c r="FV192" s="18"/>
      <c r="FW192" s="18"/>
      <c r="FX192" s="18"/>
      <c r="FY192" s="18"/>
      <c r="FZ192" s="18"/>
      <c r="GA192" s="18"/>
      <c r="GB192" s="18"/>
      <c r="GC192" s="18"/>
      <c r="GD192" s="18"/>
      <c r="GE192" s="18"/>
      <c r="GF192" s="18"/>
      <c r="GG192" s="18"/>
      <c r="GH192" s="18"/>
      <c r="GI192" s="18"/>
      <c r="GJ192" s="18"/>
      <c r="GK192" s="18"/>
      <c r="GL192" s="18"/>
      <c r="GM192" s="18"/>
      <c r="GN192" s="18"/>
      <c r="GO192" s="18"/>
      <c r="GP192" s="18"/>
      <c r="GQ192" s="18"/>
      <c r="GR192" s="18"/>
      <c r="GS192" s="18"/>
      <c r="GT192" s="18"/>
      <c r="GU192" s="18"/>
      <c r="GV192" s="18"/>
      <c r="GW192" s="18"/>
      <c r="GX192" s="18"/>
      <c r="GY192" s="18"/>
      <c r="GZ192" s="18"/>
      <c r="HA192" s="18"/>
      <c r="HB192" s="18"/>
      <c r="HC192" s="18"/>
      <c r="HD192" s="18"/>
      <c r="HE192" s="18"/>
      <c r="HF192" s="18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32"/>
      <c r="HV192" s="18"/>
      <c r="HW192" s="18"/>
      <c r="HX192" s="18"/>
      <c r="HY192" s="18"/>
      <c r="HZ192" s="18"/>
      <c r="IA192" s="18"/>
      <c r="IB192" s="18"/>
      <c r="IC192" s="18"/>
      <c r="ID192" s="18"/>
      <c r="IE192" s="18"/>
      <c r="IF192" s="18"/>
      <c r="IG192" s="18"/>
      <c r="IH192" s="18"/>
      <c r="II192" s="18"/>
      <c r="IJ192" s="18"/>
      <c r="IK192" s="18"/>
      <c r="IL192" s="18"/>
      <c r="IM192" s="18"/>
      <c r="IN192" s="18"/>
      <c r="IO192" s="18"/>
      <c r="IP192" s="14"/>
      <c r="IQ192" s="14"/>
      <c r="IR192" s="14"/>
      <c r="IS192" s="14"/>
      <c r="IT192" s="14"/>
      <c r="IU192" s="14"/>
      <c r="IV192" s="14"/>
      <c r="IW192" s="14"/>
      <c r="IX192" s="14"/>
      <c r="IY192" s="14"/>
      <c r="IZ192" s="14"/>
      <c r="JA192" s="14"/>
      <c r="JB192" s="14"/>
      <c r="JC192" s="14"/>
      <c r="JD192" s="14"/>
      <c r="JE192" s="14"/>
      <c r="JF192" s="14"/>
      <c r="JG192" s="14"/>
      <c r="JH192" s="14"/>
      <c r="JI192" s="14"/>
      <c r="JJ192" s="14"/>
      <c r="JK192" s="14"/>
      <c r="JL192" s="14"/>
      <c r="JM192" s="14"/>
      <c r="JN192" s="14"/>
      <c r="JO192" s="14"/>
      <c r="JP192" s="14"/>
      <c r="JQ192" s="14"/>
      <c r="JR192" s="14"/>
      <c r="JS192" s="14"/>
      <c r="JT192" s="14"/>
      <c r="JU192" s="14"/>
      <c r="JV192" s="14"/>
      <c r="JW192" s="14"/>
      <c r="JX192" s="14"/>
      <c r="JY192" s="14"/>
      <c r="JZ192" s="14"/>
      <c r="KA192" s="14"/>
      <c r="KB192" s="14"/>
      <c r="KC192" s="14"/>
      <c r="KD192" s="14"/>
      <c r="KE192" s="14"/>
      <c r="KF192" s="14"/>
      <c r="KG192" s="14"/>
      <c r="KH192" s="14"/>
      <c r="KI192" s="14"/>
      <c r="KJ192" s="14"/>
      <c r="KK192" s="14"/>
      <c r="KL192" s="14"/>
      <c r="KM192" s="14"/>
      <c r="KN192" s="14"/>
      <c r="KO192" s="14"/>
      <c r="KP192" s="14"/>
    </row>
    <row r="193" spans="1:249" ht="11.1" hidden="1" customHeight="1" outlineLevel="1">
      <c r="A193" s="191" t="s">
        <v>147</v>
      </c>
      <c r="B193" s="29"/>
      <c r="C193" s="52"/>
      <c r="D193" s="940" t="s">
        <v>146</v>
      </c>
      <c r="F193" s="940">
        <v>0</v>
      </c>
      <c r="G193" s="187">
        <v>41250</v>
      </c>
      <c r="H193" s="187"/>
      <c r="I193" s="1069">
        <v>8.0749999999999993</v>
      </c>
      <c r="J193" s="1069"/>
      <c r="K193" s="1069"/>
      <c r="L193" s="57"/>
      <c r="M193" s="136"/>
      <c r="N193" s="136"/>
      <c r="O193" s="136"/>
      <c r="P193" s="280">
        <v>100.34999847412109</v>
      </c>
      <c r="Q193" s="29"/>
      <c r="T193" s="57"/>
      <c r="U193" s="57"/>
      <c r="V193" s="57"/>
      <c r="W193" s="57"/>
      <c r="X193" s="57"/>
      <c r="Y193" s="175"/>
      <c r="Z193" s="175"/>
      <c r="AA193" s="57"/>
      <c r="AB193" s="947">
        <f>F193*P193</f>
        <v>0</v>
      </c>
      <c r="AC193" s="947"/>
      <c r="AD193" s="190">
        <f>-((I193*F193)-(P193*F193))</f>
        <v>0</v>
      </c>
      <c r="AE193" s="190"/>
      <c r="AF193" s="205" t="e">
        <f>IF(#REF!-AP193&lt;0,#REF!-AP193,(#REF!-AP193)*0.8)</f>
        <v>#REF!</v>
      </c>
      <c r="AN193" s="179"/>
      <c r="AO193" s="38"/>
      <c r="AP193" s="188">
        <f>F193*I193+AN193+AN194</f>
        <v>0</v>
      </c>
      <c r="AT193" s="51"/>
      <c r="AU193" s="15"/>
      <c r="AV193" s="15"/>
      <c r="AW193" s="15"/>
      <c r="AX193" s="15"/>
      <c r="AY193" s="15"/>
      <c r="AZ193" s="15"/>
      <c r="BA193" s="51"/>
      <c r="BB193" s="15"/>
      <c r="BC193" s="15"/>
      <c r="BD193" s="15"/>
      <c r="BE193" s="15"/>
      <c r="BF193" s="15"/>
      <c r="BG193" s="51"/>
      <c r="BH193" s="15"/>
      <c r="BI193" s="15"/>
      <c r="BJ193" s="15"/>
      <c r="BK193" s="51"/>
      <c r="BL193" s="15"/>
      <c r="BM193" s="15"/>
      <c r="BN193" s="15"/>
      <c r="BO193" s="18"/>
      <c r="BP193" s="18"/>
      <c r="BQ193" s="18"/>
      <c r="BR193" s="18"/>
      <c r="BS193" s="18"/>
      <c r="BT193" s="18"/>
      <c r="BU193" s="18"/>
      <c r="BV193" s="18"/>
      <c r="BW193" s="18"/>
      <c r="BX193" s="139" t="str">
        <f>IF($AB193=0,"",$AB193)</f>
        <v/>
      </c>
      <c r="BY193" s="139"/>
      <c r="BZ193" s="139"/>
      <c r="CA193" s="139"/>
      <c r="CB193" s="139"/>
      <c r="CC193" s="139"/>
      <c r="CD193" s="139"/>
      <c r="CE193" s="139"/>
      <c r="CF193" s="139"/>
      <c r="CG193" s="139"/>
      <c r="CH193" s="139"/>
      <c r="CI193" s="139"/>
      <c r="CJ193" s="139"/>
      <c r="CK193" s="139"/>
      <c r="CL193" s="139"/>
      <c r="CM193" s="139"/>
      <c r="CN193" s="139"/>
      <c r="CO193" s="139"/>
      <c r="CP193" s="139"/>
      <c r="CQ193" s="139"/>
      <c r="CR193" s="139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  <c r="FR193" s="18"/>
      <c r="FS193" s="18"/>
      <c r="FT193" s="18"/>
      <c r="FU193" s="18"/>
      <c r="FV193" s="18"/>
      <c r="FW193" s="18"/>
      <c r="FX193" s="18"/>
      <c r="FY193" s="18"/>
      <c r="FZ193" s="18"/>
      <c r="GA193" s="18"/>
      <c r="GB193" s="18"/>
      <c r="GC193" s="18"/>
      <c r="GD193" s="18"/>
      <c r="GE193" s="18"/>
      <c r="GF193" s="18"/>
      <c r="GG193" s="18"/>
      <c r="GH193" s="18"/>
      <c r="GI193" s="18"/>
      <c r="GJ193" s="18"/>
      <c r="GK193" s="18"/>
      <c r="GL193" s="18"/>
      <c r="GM193" s="18"/>
      <c r="GN193" s="18"/>
      <c r="GO193" s="18"/>
      <c r="GP193" s="18"/>
      <c r="GQ193" s="18"/>
      <c r="GR193" s="18"/>
      <c r="GS193" s="18"/>
      <c r="GT193" s="18"/>
      <c r="GU193" s="18"/>
      <c r="GV193" s="18"/>
      <c r="GW193" s="18"/>
      <c r="GX193" s="18"/>
      <c r="GY193" s="18"/>
      <c r="GZ193" s="18"/>
      <c r="HA193" s="18"/>
      <c r="HB193" s="18"/>
      <c r="HC193" s="18"/>
      <c r="HD193" s="18"/>
      <c r="HE193" s="18"/>
      <c r="HF193" s="18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V193" s="18"/>
      <c r="HW193" s="18"/>
      <c r="HX193" s="18"/>
      <c r="HY193" s="18"/>
      <c r="HZ193" s="18"/>
      <c r="IA193" s="18"/>
      <c r="IB193" s="18"/>
      <c r="IC193" s="18"/>
      <c r="ID193" s="18"/>
      <c r="IE193" s="139"/>
      <c r="IF193" s="139"/>
      <c r="IG193" s="139"/>
      <c r="IH193" s="139"/>
      <c r="II193" s="139"/>
      <c r="IJ193" s="139"/>
      <c r="IK193" s="139"/>
      <c r="IL193" s="139"/>
      <c r="IM193" s="139"/>
      <c r="IN193" s="139"/>
      <c r="IO193" s="139"/>
    </row>
    <row r="194" spans="1:249" ht="11.1" hidden="1" customHeight="1" outlineLevel="1">
      <c r="A194" s="322" t="s">
        <v>145</v>
      </c>
      <c r="B194" s="57"/>
      <c r="C194" s="52"/>
      <c r="E194" s="57"/>
      <c r="F194" s="940"/>
      <c r="G194" s="187"/>
      <c r="H194" s="187"/>
      <c r="I194" s="186"/>
      <c r="J194" s="186"/>
      <c r="K194" s="185">
        <f>AP193</f>
        <v>0</v>
      </c>
      <c r="L194" s="57"/>
      <c r="M194" s="136"/>
      <c r="N194" s="136"/>
      <c r="O194" s="136"/>
      <c r="P194" s="318">
        <v>22.13</v>
      </c>
      <c r="Q194" s="1"/>
      <c r="T194" s="57"/>
      <c r="U194" s="57"/>
      <c r="V194" s="57"/>
      <c r="W194" s="57"/>
      <c r="X194" s="57"/>
      <c r="Y194" s="175"/>
      <c r="Z194" s="175"/>
      <c r="AA194" s="57"/>
      <c r="AB194" s="947"/>
      <c r="AC194" s="947"/>
      <c r="AD194" s="183">
        <f>((P193-I193)/I193)</f>
        <v>11.427244393080013</v>
      </c>
      <c r="AE194" s="183"/>
      <c r="AN194" s="179"/>
      <c r="AO194" s="38"/>
      <c r="AP194" s="38"/>
      <c r="AT194" s="51"/>
      <c r="AU194" s="15"/>
      <c r="AV194" s="15"/>
      <c r="AW194" s="15"/>
      <c r="AX194" s="15"/>
      <c r="AY194" s="15"/>
      <c r="AZ194" s="15"/>
      <c r="BA194" s="51"/>
      <c r="BB194" s="15"/>
      <c r="BC194" s="15"/>
      <c r="BD194" s="15"/>
      <c r="BE194" s="15"/>
      <c r="BF194" s="15"/>
      <c r="BG194" s="51"/>
      <c r="BH194" s="15"/>
      <c r="BI194" s="15"/>
      <c r="BJ194" s="15"/>
      <c r="BK194" s="51"/>
      <c r="BL194" s="15"/>
      <c r="BM194" s="15"/>
      <c r="BN194" s="15"/>
      <c r="BO194" s="18"/>
      <c r="BP194" s="18"/>
      <c r="BQ194" s="18"/>
      <c r="BR194" s="18"/>
      <c r="BS194" s="18"/>
      <c r="BT194" s="18"/>
      <c r="BU194" s="18"/>
      <c r="BV194" s="18"/>
      <c r="BW194" s="18"/>
      <c r="BY194" s="18"/>
      <c r="BZ194" s="18"/>
      <c r="CA194" s="18"/>
      <c r="CB194" s="18"/>
      <c r="CC194" s="18"/>
      <c r="CD194" s="18"/>
      <c r="CE194" s="18"/>
      <c r="CF194" s="18"/>
      <c r="CG194" s="18"/>
      <c r="CH194" s="18"/>
      <c r="CI194" s="18"/>
      <c r="CJ194" s="18"/>
      <c r="CK194" s="18"/>
      <c r="CL194" s="18"/>
      <c r="CM194" s="18"/>
      <c r="CN194" s="18"/>
      <c r="CO194" s="18"/>
      <c r="CP194" s="18"/>
      <c r="CQ194" s="18"/>
      <c r="CR194" s="18"/>
      <c r="CT194" s="18"/>
      <c r="CU194" s="18"/>
      <c r="CV194" s="18"/>
      <c r="CW194" s="18"/>
      <c r="CX194" s="18"/>
      <c r="CY194" s="18"/>
      <c r="CZ194" s="18"/>
      <c r="DA194" s="18"/>
      <c r="DB194" s="18"/>
      <c r="DC194" s="18"/>
      <c r="DD194" s="18"/>
      <c r="DE194" s="18"/>
      <c r="DF194" s="18"/>
      <c r="DG194" s="18"/>
      <c r="DH194" s="18"/>
      <c r="DI194" s="18"/>
      <c r="DJ194" s="18"/>
      <c r="DK194" s="18"/>
      <c r="DL194" s="18"/>
      <c r="DM194" s="18"/>
      <c r="DN194" s="18"/>
      <c r="DP194" s="18"/>
      <c r="DQ194" s="18"/>
      <c r="DR194" s="18"/>
      <c r="DS194" s="18"/>
      <c r="DT194" s="18"/>
      <c r="DU194" s="18"/>
      <c r="DV194" s="18"/>
      <c r="DW194" s="18"/>
      <c r="DX194" s="18"/>
      <c r="DY194" s="18"/>
      <c r="DZ194" s="18"/>
      <c r="EA194" s="18"/>
      <c r="EB194" s="18"/>
      <c r="EC194" s="18"/>
      <c r="ED194" s="18"/>
      <c r="EE194" s="18"/>
      <c r="EF194" s="18"/>
      <c r="EG194" s="18"/>
      <c r="EH194" s="18"/>
      <c r="EI194" s="18"/>
      <c r="EJ194" s="18"/>
      <c r="EK194" s="18"/>
      <c r="EL194" s="18"/>
      <c r="EM194" s="18"/>
      <c r="EN194" s="18"/>
      <c r="EO194" s="18"/>
      <c r="EP194" s="18"/>
      <c r="EQ194" s="18"/>
      <c r="ER194" s="18"/>
      <c r="ES194" s="18"/>
      <c r="ET194" s="18"/>
      <c r="EU194" s="18"/>
      <c r="EV194" s="18"/>
      <c r="EW194" s="18"/>
      <c r="EX194" s="18"/>
      <c r="EY194" s="18"/>
      <c r="EZ194" s="18"/>
      <c r="FA194" s="18"/>
      <c r="FB194" s="18"/>
      <c r="FC194" s="18"/>
      <c r="FD194" s="18"/>
      <c r="FE194" s="18"/>
      <c r="FF194" s="18"/>
      <c r="FG194" s="18"/>
      <c r="FH194" s="18"/>
      <c r="FI194" s="18"/>
      <c r="FJ194" s="18"/>
      <c r="FK194" s="18"/>
      <c r="FL194" s="18"/>
      <c r="FM194" s="18"/>
      <c r="FN194" s="18"/>
      <c r="FO194" s="18"/>
      <c r="FP194" s="18"/>
      <c r="FQ194" s="18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  <c r="GK194" s="18"/>
      <c r="GL194" s="18"/>
      <c r="GM194" s="18"/>
      <c r="GN194" s="18"/>
      <c r="GO194" s="18"/>
      <c r="GP194" s="18"/>
      <c r="GQ194" s="18"/>
      <c r="GR194" s="18"/>
      <c r="GS194" s="18"/>
      <c r="GT194" s="18"/>
      <c r="GU194" s="18"/>
      <c r="GV194" s="18"/>
      <c r="GW194" s="18"/>
      <c r="GX194" s="18"/>
      <c r="GY194" s="18"/>
      <c r="GZ194" s="18"/>
      <c r="HA194" s="18"/>
      <c r="HB194" s="18"/>
      <c r="HC194" s="18"/>
      <c r="HD194" s="18"/>
      <c r="HE194" s="18"/>
      <c r="HF194" s="18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V194" s="18"/>
      <c r="HW194" s="18"/>
      <c r="HX194" s="18"/>
      <c r="HY194" s="18"/>
      <c r="HZ194" s="18"/>
      <c r="IA194" s="18"/>
      <c r="IB194" s="18"/>
      <c r="IC194" s="18"/>
      <c r="ID194" s="18"/>
      <c r="IE194" s="18"/>
      <c r="IF194" s="18"/>
      <c r="IG194" s="18"/>
      <c r="IH194" s="18"/>
      <c r="II194" s="18"/>
      <c r="IJ194" s="18"/>
      <c r="IK194" s="18"/>
      <c r="IL194" s="18"/>
      <c r="IM194" s="18"/>
      <c r="IN194" s="18"/>
      <c r="IO194" s="18"/>
    </row>
    <row r="195" spans="1:249" ht="11.1" hidden="1" customHeight="1" outlineLevel="1">
      <c r="A195" s="1"/>
      <c r="B195" s="57"/>
      <c r="C195" s="52"/>
      <c r="E195" s="57"/>
      <c r="F195" s="940"/>
      <c r="G195" s="176"/>
      <c r="H195" s="176"/>
      <c r="I195" s="176"/>
      <c r="J195" s="176"/>
      <c r="K195" s="941"/>
      <c r="L195" s="57"/>
      <c r="M195" s="136" t="s">
        <v>37</v>
      </c>
      <c r="N195" s="136"/>
      <c r="O195" s="136"/>
      <c r="P195" s="199">
        <v>10.7</v>
      </c>
      <c r="Q195" s="1"/>
      <c r="T195" s="57"/>
      <c r="U195" s="57"/>
      <c r="V195" s="57"/>
      <c r="W195" s="57"/>
      <c r="X195" s="57"/>
      <c r="Y195" s="175"/>
      <c r="Z195" s="175"/>
      <c r="AA195" s="57"/>
      <c r="AN195" s="18"/>
      <c r="AT195" s="51"/>
      <c r="AU195" s="15"/>
      <c r="AV195" s="15"/>
      <c r="AW195" s="15"/>
      <c r="AX195" s="15"/>
      <c r="AY195" s="15"/>
      <c r="AZ195" s="15"/>
      <c r="BA195" s="51"/>
      <c r="BB195" s="15"/>
      <c r="BC195" s="15"/>
      <c r="BD195" s="15"/>
      <c r="BE195" s="15"/>
      <c r="BF195" s="15"/>
      <c r="BG195" s="51"/>
      <c r="BH195" s="15"/>
      <c r="BI195" s="15"/>
      <c r="BJ195" s="15"/>
      <c r="BK195" s="51"/>
      <c r="BL195" s="15"/>
      <c r="BM195" s="15"/>
      <c r="BN195" s="15"/>
      <c r="BO195" s="18"/>
      <c r="BP195" s="18"/>
      <c r="BQ195" s="18"/>
      <c r="BR195" s="18"/>
      <c r="BS195" s="18"/>
      <c r="BT195" s="18"/>
      <c r="BU195" s="18"/>
      <c r="BV195" s="18"/>
      <c r="BW195" s="18"/>
      <c r="BY195" s="18"/>
      <c r="BZ195" s="18"/>
      <c r="CA195" s="18"/>
      <c r="CB195" s="18"/>
      <c r="CC195" s="18"/>
      <c r="CD195" s="18"/>
      <c r="CE195" s="18"/>
      <c r="CF195" s="18"/>
      <c r="CG195" s="18"/>
      <c r="CH195" s="18"/>
      <c r="CI195" s="18"/>
      <c r="CJ195" s="18"/>
      <c r="CK195" s="18"/>
      <c r="CL195" s="18"/>
      <c r="CM195" s="18"/>
      <c r="CN195" s="18"/>
      <c r="CO195" s="18"/>
      <c r="CP195" s="18"/>
      <c r="CQ195" s="18"/>
      <c r="CR195" s="18"/>
      <c r="CT195" s="18"/>
      <c r="CU195" s="18"/>
      <c r="CV195" s="18"/>
      <c r="CW195" s="18"/>
      <c r="CX195" s="18"/>
      <c r="CY195" s="18"/>
      <c r="CZ195" s="18"/>
      <c r="DA195" s="18"/>
      <c r="DB195" s="18"/>
      <c r="DC195" s="18"/>
      <c r="DD195" s="18"/>
      <c r="DE195" s="18"/>
      <c r="DF195" s="18"/>
      <c r="DG195" s="18"/>
      <c r="DH195" s="18"/>
      <c r="DI195" s="18"/>
      <c r="DJ195" s="18"/>
      <c r="DK195" s="18"/>
      <c r="DL195" s="18"/>
      <c r="DM195" s="18"/>
      <c r="DN195" s="18"/>
      <c r="DP195" s="18"/>
      <c r="DQ195" s="18"/>
      <c r="DR195" s="18"/>
      <c r="DS195" s="18"/>
      <c r="DT195" s="18"/>
      <c r="DU195" s="18"/>
      <c r="DV195" s="18"/>
      <c r="DW195" s="18"/>
      <c r="DX195" s="18"/>
      <c r="DY195" s="18"/>
      <c r="DZ195" s="18"/>
      <c r="EA195" s="18"/>
      <c r="EB195" s="18"/>
      <c r="EC195" s="18"/>
      <c r="ED195" s="18"/>
      <c r="EE195" s="18"/>
      <c r="EF195" s="18"/>
      <c r="EG195" s="18"/>
      <c r="EH195" s="18"/>
      <c r="EI195" s="18"/>
      <c r="EJ195" s="18"/>
      <c r="EK195" s="18"/>
      <c r="EL195" s="18"/>
      <c r="EM195" s="18"/>
      <c r="EN195" s="18"/>
      <c r="EO195" s="18"/>
      <c r="EP195" s="18"/>
      <c r="EQ195" s="18"/>
      <c r="ER195" s="18"/>
      <c r="ES195" s="18"/>
      <c r="ET195" s="18"/>
      <c r="EU195" s="18"/>
      <c r="EV195" s="18"/>
      <c r="EW195" s="18"/>
      <c r="EX195" s="18"/>
      <c r="EY195" s="18"/>
      <c r="EZ195" s="18"/>
      <c r="FA195" s="18"/>
      <c r="FB195" s="18"/>
      <c r="FC195" s="18"/>
      <c r="FD195" s="18"/>
      <c r="FE195" s="18"/>
      <c r="FF195" s="18"/>
      <c r="FG195" s="18"/>
      <c r="FH195" s="18"/>
      <c r="FI195" s="18"/>
      <c r="FJ195" s="18"/>
      <c r="FK195" s="18"/>
      <c r="FL195" s="18"/>
      <c r="FM195" s="18"/>
      <c r="FN195" s="18"/>
      <c r="FO195" s="18"/>
      <c r="FP195" s="18"/>
      <c r="FQ195" s="18"/>
      <c r="FR195" s="18"/>
      <c r="FS195" s="18"/>
      <c r="FT195" s="18"/>
      <c r="FU195" s="18"/>
      <c r="FV195" s="18"/>
      <c r="FW195" s="18"/>
      <c r="FX195" s="18"/>
      <c r="FY195" s="18"/>
      <c r="FZ195" s="18"/>
      <c r="GA195" s="18"/>
      <c r="GB195" s="18"/>
      <c r="GC195" s="18"/>
      <c r="GD195" s="18"/>
      <c r="GE195" s="18"/>
      <c r="GF195" s="18"/>
      <c r="GG195" s="18"/>
      <c r="GH195" s="18"/>
      <c r="GI195" s="18"/>
      <c r="GJ195" s="18"/>
      <c r="GK195" s="18"/>
      <c r="GL195" s="18"/>
      <c r="GM195" s="18"/>
      <c r="GN195" s="18"/>
      <c r="GO195" s="18"/>
      <c r="GP195" s="18"/>
      <c r="GQ195" s="18"/>
      <c r="GR195" s="18"/>
      <c r="GS195" s="18"/>
      <c r="GT195" s="18"/>
      <c r="GU195" s="18"/>
      <c r="GV195" s="18"/>
      <c r="GW195" s="18"/>
      <c r="GX195" s="18"/>
      <c r="GY195" s="18"/>
      <c r="GZ195" s="18"/>
      <c r="HA195" s="18"/>
      <c r="HB195" s="18"/>
      <c r="HC195" s="18"/>
      <c r="HD195" s="18"/>
      <c r="HE195" s="18"/>
      <c r="HF195" s="18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V195" s="18"/>
      <c r="HW195" s="18"/>
      <c r="HX195" s="18"/>
      <c r="HY195" s="18"/>
      <c r="HZ195" s="18"/>
      <c r="IA195" s="18"/>
      <c r="IB195" s="18"/>
      <c r="IC195" s="18"/>
      <c r="ID195" s="18"/>
      <c r="IE195" s="18"/>
      <c r="IF195" s="18"/>
      <c r="IG195" s="18"/>
      <c r="IH195" s="18"/>
      <c r="II195" s="18"/>
      <c r="IJ195" s="18"/>
      <c r="IK195" s="18"/>
      <c r="IL195" s="18"/>
      <c r="IM195" s="18"/>
      <c r="IN195" s="18"/>
      <c r="IO195" s="18"/>
    </row>
    <row r="196" spans="1:249" ht="11.1" hidden="1" customHeight="1" outlineLevel="1">
      <c r="A196" s="1" t="s">
        <v>144</v>
      </c>
      <c r="B196" s="57"/>
      <c r="C196" s="52"/>
      <c r="E196" s="57"/>
      <c r="F196" s="940"/>
      <c r="G196" s="176"/>
      <c r="H196" s="176"/>
      <c r="I196" s="176"/>
      <c r="J196" s="176"/>
      <c r="K196" s="941"/>
      <c r="L196" s="57"/>
      <c r="M196" s="136" t="s">
        <v>36</v>
      </c>
      <c r="N196" s="136"/>
      <c r="O196" s="136"/>
      <c r="P196" s="316">
        <v>10.75</v>
      </c>
      <c r="Q196" s="1"/>
      <c r="T196" s="57"/>
      <c r="U196" s="57"/>
      <c r="V196" s="57"/>
      <c r="W196" s="57"/>
      <c r="X196" s="57"/>
      <c r="Y196" s="175"/>
      <c r="Z196" s="175"/>
      <c r="AA196" s="57"/>
      <c r="AB196" s="174"/>
      <c r="AC196" s="174"/>
      <c r="AD196" s="173"/>
      <c r="AE196" s="173"/>
      <c r="AF196" s="69"/>
      <c r="AG196" s="38"/>
      <c r="AH196" s="38"/>
      <c r="AI196" s="38"/>
      <c r="AJ196" s="38"/>
      <c r="AK196" s="172"/>
      <c r="AL196" s="38"/>
      <c r="AM196" s="38"/>
      <c r="AN196" s="38"/>
      <c r="AO196" s="38"/>
      <c r="AP196" s="38"/>
      <c r="AQ196" s="940"/>
      <c r="AR196" s="38"/>
      <c r="AS196" s="67"/>
      <c r="AT196" s="171"/>
      <c r="AU196" s="21"/>
      <c r="AV196" s="21"/>
      <c r="AW196" s="21"/>
      <c r="AX196" s="21"/>
      <c r="AY196" s="21"/>
      <c r="AZ196" s="21"/>
      <c r="BA196" s="171"/>
      <c r="BB196" s="21"/>
      <c r="BC196" s="21"/>
      <c r="BD196" s="21"/>
      <c r="BE196" s="18"/>
      <c r="BF196" s="18"/>
      <c r="BH196" s="18"/>
      <c r="BI196" s="18"/>
      <c r="BJ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  <c r="FR196" s="18"/>
      <c r="FS196" s="18"/>
      <c r="FT196" s="18"/>
      <c r="FU196" s="18"/>
      <c r="FV196" s="18"/>
      <c r="FW196" s="18"/>
      <c r="FX196" s="18"/>
      <c r="FY196" s="18"/>
      <c r="FZ196" s="18"/>
      <c r="GA196" s="18"/>
      <c r="GB196" s="18"/>
      <c r="GC196" s="18"/>
      <c r="GD196" s="18"/>
      <c r="GE196" s="18"/>
      <c r="GF196" s="18"/>
      <c r="GG196" s="18"/>
      <c r="GH196" s="18"/>
      <c r="GI196" s="18"/>
      <c r="GJ196" s="18"/>
      <c r="GK196" s="18"/>
      <c r="GL196" s="18"/>
      <c r="GM196" s="18"/>
      <c r="GN196" s="18"/>
      <c r="GO196" s="18"/>
      <c r="GP196" s="18"/>
      <c r="GQ196" s="18"/>
      <c r="GR196" s="18"/>
      <c r="GS196" s="18"/>
      <c r="GT196" s="18"/>
      <c r="GU196" s="18"/>
      <c r="GV196" s="18"/>
      <c r="GW196" s="18"/>
      <c r="GX196" s="18"/>
      <c r="GY196" s="18"/>
      <c r="GZ196" s="18"/>
      <c r="HA196" s="18"/>
      <c r="HB196" s="18"/>
      <c r="HC196" s="18"/>
      <c r="HD196" s="18"/>
      <c r="HE196" s="18"/>
      <c r="HF196" s="18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V196" s="18"/>
      <c r="HW196" s="18"/>
      <c r="HX196" s="18"/>
      <c r="HY196" s="18"/>
      <c r="HZ196" s="18"/>
      <c r="IA196" s="18"/>
      <c r="IB196" s="18"/>
      <c r="IC196" s="18"/>
      <c r="ID196" s="18"/>
      <c r="IE196" s="18"/>
      <c r="IF196" s="18"/>
      <c r="IG196" s="18"/>
      <c r="IH196" s="18"/>
      <c r="II196" s="18"/>
      <c r="IJ196" s="18"/>
      <c r="IK196" s="18"/>
      <c r="IL196" s="18"/>
      <c r="IM196" s="18"/>
      <c r="IN196" s="18"/>
      <c r="IO196" s="18"/>
    </row>
    <row r="197" spans="1:249" ht="11.1" hidden="1" customHeight="1" outlineLevel="1">
      <c r="A197" s="1"/>
      <c r="B197" s="57"/>
      <c r="C197" s="52"/>
      <c r="E197" s="57"/>
      <c r="F197" s="940"/>
      <c r="G197" s="176"/>
      <c r="H197" s="176"/>
      <c r="I197" s="176"/>
      <c r="J197" s="176"/>
      <c r="K197" s="941"/>
      <c r="L197" s="57"/>
      <c r="M197" s="136" t="s">
        <v>35</v>
      </c>
      <c r="N197" s="136"/>
      <c r="O197" s="136"/>
      <c r="P197" s="316">
        <v>10.81</v>
      </c>
      <c r="Q197" s="951"/>
      <c r="T197" s="57"/>
      <c r="U197" s="57"/>
      <c r="V197" s="57"/>
      <c r="W197" s="57"/>
      <c r="X197" s="57"/>
      <c r="Y197" s="175"/>
      <c r="Z197" s="175"/>
      <c r="AA197" s="57"/>
      <c r="AB197" s="174"/>
      <c r="AC197" s="174"/>
      <c r="AD197" s="173"/>
      <c r="AE197" s="173"/>
      <c r="AF197" s="69"/>
      <c r="AG197" s="38"/>
      <c r="AH197" s="38"/>
      <c r="AI197" s="38"/>
      <c r="AJ197" s="38"/>
      <c r="AK197" s="172"/>
      <c r="AL197" s="38"/>
      <c r="AM197" s="38"/>
      <c r="AN197" s="38"/>
      <c r="AO197" s="38"/>
      <c r="AP197" s="38"/>
      <c r="AQ197" s="940"/>
      <c r="AR197" s="38"/>
      <c r="AS197" s="67"/>
      <c r="AT197" s="171"/>
      <c r="AU197" s="21"/>
      <c r="AV197" s="21"/>
      <c r="AW197" s="21"/>
      <c r="AX197" s="21"/>
      <c r="AY197" s="21"/>
      <c r="AZ197" s="21"/>
      <c r="BA197" s="171"/>
      <c r="BB197" s="21"/>
      <c r="BC197" s="21"/>
      <c r="BD197" s="21"/>
      <c r="BE197" s="18"/>
      <c r="BF197" s="18"/>
      <c r="BH197" s="18"/>
      <c r="BI197" s="18"/>
      <c r="BJ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  <c r="GK197" s="18"/>
      <c r="GL197" s="18"/>
      <c r="GM197" s="18"/>
      <c r="GN197" s="18"/>
      <c r="GO197" s="18"/>
      <c r="GP197" s="18"/>
      <c r="GQ197" s="18"/>
      <c r="GR197" s="18"/>
      <c r="GS197" s="18"/>
      <c r="GT197" s="18"/>
      <c r="GU197" s="18"/>
      <c r="GV197" s="18"/>
      <c r="GW197" s="18"/>
      <c r="GX197" s="18"/>
      <c r="GY197" s="18"/>
      <c r="GZ197" s="18"/>
      <c r="HA197" s="18"/>
      <c r="HB197" s="18"/>
      <c r="HC197" s="18"/>
      <c r="HD197" s="18"/>
      <c r="HE197" s="18"/>
      <c r="HF197" s="18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V197" s="18"/>
      <c r="HW197" s="18"/>
      <c r="HX197" s="18"/>
      <c r="HY197" s="18"/>
      <c r="HZ197" s="18"/>
      <c r="IA197" s="18"/>
      <c r="IB197" s="18"/>
      <c r="IC197" s="18"/>
      <c r="ID197" s="18"/>
      <c r="IE197" s="18"/>
      <c r="IF197" s="18"/>
      <c r="IG197" s="18"/>
      <c r="IH197" s="18"/>
      <c r="II197" s="18"/>
      <c r="IJ197" s="18"/>
      <c r="IK197" s="18"/>
      <c r="IL197" s="18"/>
      <c r="IM197" s="18"/>
      <c r="IN197" s="18"/>
      <c r="IO197" s="18"/>
    </row>
    <row r="198" spans="1:249" ht="11.1" hidden="1" customHeight="1" outlineLevel="1">
      <c r="A198" s="1"/>
      <c r="B198" s="57"/>
      <c r="C198" s="52"/>
      <c r="E198" s="57"/>
      <c r="F198" s="940"/>
      <c r="G198" s="176"/>
      <c r="H198" s="176"/>
      <c r="I198" s="176"/>
      <c r="J198" s="176"/>
      <c r="K198" s="941"/>
      <c r="L198" s="57"/>
      <c r="M198" s="136" t="s">
        <v>34</v>
      </c>
      <c r="N198" s="136"/>
      <c r="O198" s="136"/>
      <c r="P198" s="284">
        <v>10.82</v>
      </c>
      <c r="T198" s="57"/>
      <c r="U198" s="57"/>
      <c r="V198" s="57"/>
      <c r="W198" s="57"/>
      <c r="X198" s="57"/>
      <c r="Y198" s="175"/>
      <c r="Z198" s="175"/>
      <c r="AA198" s="57"/>
      <c r="AB198" s="174"/>
      <c r="AC198" s="174"/>
      <c r="AD198" s="173"/>
      <c r="AE198" s="173"/>
      <c r="AF198" s="69"/>
      <c r="AG198" s="38"/>
      <c r="AH198" s="38"/>
      <c r="AI198" s="38"/>
      <c r="AJ198" s="38"/>
      <c r="AK198" s="172"/>
      <c r="AL198" s="38"/>
      <c r="AM198" s="38"/>
      <c r="AN198" s="38"/>
      <c r="AO198" s="38"/>
      <c r="AP198" s="38"/>
      <c r="AQ198" s="940"/>
      <c r="AR198" s="38"/>
      <c r="AS198" s="67"/>
      <c r="AT198" s="171"/>
      <c r="AU198" s="21"/>
      <c r="AV198" s="21"/>
      <c r="AW198" s="21"/>
      <c r="AX198" s="21"/>
      <c r="AY198" s="21"/>
      <c r="AZ198" s="21"/>
      <c r="BA198" s="171"/>
      <c r="BB198" s="21"/>
      <c r="BC198" s="21"/>
      <c r="BD198" s="21"/>
      <c r="BE198" s="18"/>
      <c r="BF198" s="18"/>
      <c r="BH198" s="18"/>
      <c r="BI198" s="18"/>
      <c r="BJ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  <c r="FR198" s="18"/>
      <c r="FS198" s="18"/>
      <c r="FT198" s="18"/>
      <c r="FU198" s="18"/>
      <c r="FV198" s="18"/>
      <c r="FW198" s="18"/>
      <c r="FX198" s="18"/>
      <c r="FY198" s="18"/>
      <c r="FZ198" s="18"/>
      <c r="GA198" s="18"/>
      <c r="GB198" s="18"/>
      <c r="GC198" s="18"/>
      <c r="GD198" s="18"/>
      <c r="GE198" s="18"/>
      <c r="GF198" s="18"/>
      <c r="GG198" s="18"/>
      <c r="GH198" s="18"/>
      <c r="GI198" s="18"/>
      <c r="GJ198" s="18"/>
      <c r="GK198" s="18"/>
      <c r="GL198" s="18"/>
      <c r="GM198" s="18"/>
      <c r="GN198" s="18"/>
      <c r="GO198" s="18"/>
      <c r="GP198" s="18"/>
      <c r="GQ198" s="18"/>
      <c r="GR198" s="18"/>
      <c r="GS198" s="18"/>
      <c r="GT198" s="18"/>
      <c r="GU198" s="18"/>
      <c r="GV198" s="18"/>
      <c r="GW198" s="18"/>
      <c r="GX198" s="18"/>
      <c r="GY198" s="18"/>
      <c r="GZ198" s="18"/>
      <c r="HA198" s="18"/>
      <c r="HB198" s="18"/>
      <c r="HC198" s="18"/>
      <c r="HD198" s="18"/>
      <c r="HE198" s="18"/>
      <c r="HF198" s="18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V198" s="18"/>
      <c r="HW198" s="18"/>
      <c r="HX198" s="18"/>
      <c r="HY198" s="18"/>
      <c r="HZ198" s="18"/>
      <c r="IA198" s="18"/>
      <c r="IB198" s="18"/>
      <c r="IC198" s="18"/>
      <c r="ID198" s="18"/>
      <c r="IE198" s="18"/>
      <c r="IF198" s="18"/>
      <c r="IG198" s="18"/>
      <c r="IH198" s="18"/>
      <c r="II198" s="18"/>
      <c r="IJ198" s="18"/>
      <c r="IK198" s="18"/>
      <c r="IL198" s="18"/>
      <c r="IM198" s="18"/>
      <c r="IN198" s="18"/>
      <c r="IO198" s="18"/>
    </row>
    <row r="199" spans="1:249" ht="11.1" hidden="1" customHeight="1" outlineLevel="1">
      <c r="A199" s="1"/>
      <c r="B199" s="57"/>
      <c r="C199" s="52"/>
      <c r="E199" s="57"/>
      <c r="F199" s="940"/>
      <c r="G199" s="176"/>
      <c r="H199" s="176"/>
      <c r="I199" s="176"/>
      <c r="J199" s="176"/>
      <c r="K199" s="941"/>
      <c r="L199" s="57"/>
      <c r="M199" s="136" t="s">
        <v>62</v>
      </c>
      <c r="N199" s="136"/>
      <c r="O199" s="136"/>
      <c r="P199" s="38">
        <v>28.64</v>
      </c>
      <c r="T199" s="57"/>
      <c r="U199" s="57"/>
      <c r="V199" s="57"/>
      <c r="W199" s="57"/>
      <c r="X199" s="57"/>
      <c r="Y199" s="175"/>
      <c r="Z199" s="175"/>
      <c r="AA199" s="57"/>
      <c r="AB199" s="174"/>
      <c r="AC199" s="174"/>
      <c r="AD199" s="173"/>
      <c r="AE199" s="173"/>
      <c r="AF199" s="69"/>
      <c r="AG199" s="21"/>
      <c r="AH199" s="21"/>
      <c r="AI199" s="21"/>
      <c r="AJ199" s="21"/>
      <c r="AK199" s="217"/>
      <c r="AL199" s="21"/>
      <c r="AM199" s="21"/>
      <c r="AN199" s="21"/>
      <c r="AO199" s="21"/>
      <c r="AP199" s="21"/>
      <c r="AQ199" s="22"/>
      <c r="AR199" s="38"/>
      <c r="AS199" s="67"/>
      <c r="AT199" s="171"/>
      <c r="AU199" s="21"/>
      <c r="AV199" s="21"/>
      <c r="AW199" s="21"/>
      <c r="AX199" s="21"/>
      <c r="AY199" s="21"/>
      <c r="AZ199" s="21"/>
      <c r="BA199" s="171"/>
      <c r="BB199" s="21"/>
      <c r="BC199" s="21"/>
      <c r="BD199" s="21"/>
      <c r="BE199" s="18"/>
      <c r="BF199" s="18"/>
      <c r="BH199" s="18"/>
      <c r="BI199" s="18"/>
      <c r="BJ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  <c r="FR199" s="18"/>
      <c r="FS199" s="18"/>
      <c r="FT199" s="18"/>
      <c r="FU199" s="18"/>
      <c r="FV199" s="18"/>
      <c r="FW199" s="18"/>
      <c r="FX199" s="18"/>
      <c r="FY199" s="18"/>
      <c r="FZ199" s="18"/>
      <c r="GA199" s="18"/>
      <c r="GB199" s="18"/>
      <c r="GC199" s="18"/>
      <c r="GD199" s="18"/>
      <c r="GE199" s="18"/>
      <c r="GF199" s="18"/>
      <c r="GG199" s="18"/>
      <c r="GH199" s="18"/>
      <c r="GI199" s="18"/>
      <c r="GJ199" s="18"/>
      <c r="GK199" s="18"/>
      <c r="GL199" s="18"/>
      <c r="GM199" s="18"/>
      <c r="GN199" s="18"/>
      <c r="GO199" s="18"/>
      <c r="GP199" s="18"/>
      <c r="GQ199" s="18"/>
      <c r="GR199" s="18"/>
      <c r="GS199" s="18"/>
      <c r="GT199" s="18"/>
      <c r="GU199" s="18"/>
      <c r="GV199" s="18"/>
      <c r="GW199" s="18"/>
      <c r="GX199" s="18"/>
      <c r="GY199" s="18"/>
      <c r="GZ199" s="18"/>
      <c r="HA199" s="18"/>
      <c r="HB199" s="18"/>
      <c r="HC199" s="18"/>
      <c r="HD199" s="18"/>
      <c r="HE199" s="18"/>
      <c r="HF199" s="18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V199" s="18"/>
      <c r="HW199" s="18"/>
      <c r="HX199" s="18"/>
      <c r="HY199" s="18"/>
      <c r="HZ199" s="18"/>
      <c r="IA199" s="18"/>
      <c r="IB199" s="18"/>
      <c r="IC199" s="18"/>
      <c r="ID199" s="18"/>
      <c r="IE199" s="18"/>
      <c r="IF199" s="18"/>
      <c r="IG199" s="18"/>
      <c r="IH199" s="18"/>
      <c r="II199" s="18"/>
      <c r="IJ199" s="18"/>
      <c r="IK199" s="18"/>
      <c r="IL199" s="18"/>
      <c r="IM199" s="18"/>
      <c r="IN199" s="18"/>
      <c r="IO199" s="18"/>
    </row>
    <row r="200" spans="1:249" ht="11.1" hidden="1" customHeight="1" outlineLevel="1">
      <c r="A200" s="1"/>
      <c r="B200" s="57"/>
      <c r="C200" s="52"/>
      <c r="E200" s="57"/>
      <c r="F200" s="940"/>
      <c r="G200" s="176"/>
      <c r="H200" s="176"/>
      <c r="I200" s="176"/>
      <c r="J200" s="176"/>
      <c r="K200" s="941"/>
      <c r="L200" s="57"/>
      <c r="M200" s="136" t="s">
        <v>61</v>
      </c>
      <c r="N200" s="136"/>
      <c r="O200" s="136"/>
      <c r="P200" s="38" t="s">
        <v>143</v>
      </c>
      <c r="T200" s="57"/>
      <c r="U200" s="57"/>
      <c r="V200" s="57"/>
      <c r="W200" s="57"/>
      <c r="X200" s="57"/>
      <c r="Y200" s="175"/>
      <c r="Z200" s="175"/>
      <c r="AA200" s="57"/>
      <c r="AB200" s="174"/>
      <c r="AC200" s="174"/>
      <c r="AD200" s="173"/>
      <c r="AE200" s="173"/>
      <c r="AF200" s="69"/>
      <c r="AG200" s="21"/>
      <c r="AH200" s="21"/>
      <c r="AI200" s="21"/>
      <c r="AJ200" s="21"/>
      <c r="AK200" s="217"/>
      <c r="AL200" s="21"/>
      <c r="AM200" s="21"/>
      <c r="AN200" s="21"/>
      <c r="AO200" s="21"/>
      <c r="AP200" s="21"/>
      <c r="AQ200" s="22"/>
      <c r="AR200" s="38"/>
      <c r="AS200" s="67"/>
      <c r="AT200" s="171"/>
      <c r="AU200" s="21"/>
      <c r="AV200" s="21"/>
      <c r="AW200" s="21"/>
      <c r="AX200" s="21"/>
      <c r="AY200" s="21"/>
      <c r="AZ200" s="21"/>
      <c r="BA200" s="171"/>
      <c r="BB200" s="21"/>
      <c r="BC200" s="21"/>
      <c r="BD200" s="21"/>
      <c r="BE200" s="18"/>
      <c r="BF200" s="18"/>
      <c r="BH200" s="18"/>
      <c r="BI200" s="18"/>
      <c r="BJ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  <c r="FR200" s="18"/>
      <c r="FS200" s="18"/>
      <c r="FT200" s="18"/>
      <c r="FU200" s="18"/>
      <c r="FV200" s="18"/>
      <c r="FW200" s="18"/>
      <c r="FX200" s="18"/>
      <c r="FY200" s="18"/>
      <c r="FZ200" s="18"/>
      <c r="GA200" s="18"/>
      <c r="GB200" s="18"/>
      <c r="GC200" s="18"/>
      <c r="GD200" s="18"/>
      <c r="GE200" s="18"/>
      <c r="GF200" s="18"/>
      <c r="GG200" s="18"/>
      <c r="GH200" s="18"/>
      <c r="GI200" s="18"/>
      <c r="GJ200" s="18"/>
      <c r="GK200" s="18"/>
      <c r="GL200" s="18"/>
      <c r="GM200" s="18"/>
      <c r="GN200" s="18"/>
      <c r="GO200" s="18"/>
      <c r="GP200" s="18"/>
      <c r="GQ200" s="18"/>
      <c r="GR200" s="18"/>
      <c r="GS200" s="18"/>
      <c r="GT200" s="18"/>
      <c r="GU200" s="18"/>
      <c r="GV200" s="18"/>
      <c r="GW200" s="18"/>
      <c r="GX200" s="18"/>
      <c r="GY200" s="18"/>
      <c r="GZ200" s="18"/>
      <c r="HA200" s="18"/>
      <c r="HB200" s="18"/>
      <c r="HC200" s="18"/>
      <c r="HD200" s="18"/>
      <c r="HE200" s="18"/>
      <c r="HF200" s="18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V200" s="18"/>
      <c r="HW200" s="18"/>
      <c r="HX200" s="18"/>
      <c r="HY200" s="18"/>
      <c r="HZ200" s="18"/>
      <c r="IA200" s="18"/>
      <c r="IB200" s="18"/>
      <c r="IC200" s="18"/>
      <c r="ID200" s="18"/>
      <c r="IE200" s="18"/>
      <c r="IF200" s="18"/>
      <c r="IG200" s="18"/>
      <c r="IH200" s="18"/>
      <c r="II200" s="18"/>
      <c r="IJ200" s="18"/>
      <c r="IK200" s="18"/>
      <c r="IL200" s="18"/>
      <c r="IM200" s="18"/>
      <c r="IN200" s="18"/>
      <c r="IO200" s="18"/>
    </row>
    <row r="201" spans="1:249" ht="5.0999999999999996" hidden="1" customHeight="1" outlineLevel="1">
      <c r="A201" s="320"/>
      <c r="B201" s="942"/>
      <c r="C201" s="942"/>
      <c r="D201" s="942"/>
      <c r="E201" s="942"/>
      <c r="F201" s="943"/>
      <c r="G201" s="938"/>
      <c r="H201" s="938"/>
      <c r="I201" s="938"/>
      <c r="J201" s="938"/>
      <c r="K201" s="938"/>
      <c r="L201" s="938"/>
      <c r="M201" s="136" t="s">
        <v>59</v>
      </c>
      <c r="N201" s="136"/>
      <c r="O201" s="136"/>
      <c r="P201" s="288">
        <v>-0.2399</v>
      </c>
      <c r="T201" s="319"/>
      <c r="U201" s="319"/>
      <c r="V201" s="319"/>
      <c r="W201" s="319"/>
      <c r="X201" s="968"/>
      <c r="Y201" s="968"/>
      <c r="Z201" s="968"/>
      <c r="AA201" s="968"/>
      <c r="AB201" s="951"/>
      <c r="AC201" s="951"/>
      <c r="AD201" s="951"/>
      <c r="AE201" s="951"/>
      <c r="AF201" s="308"/>
      <c r="AG201" s="308"/>
      <c r="AH201" s="308"/>
      <c r="AI201" s="308"/>
      <c r="AJ201" s="308"/>
      <c r="AK201" s="308"/>
      <c r="AL201" s="21"/>
      <c r="AM201" s="21"/>
      <c r="AN201" s="21"/>
      <c r="AO201" s="21"/>
      <c r="AP201" s="21"/>
      <c r="AQ201" s="22"/>
      <c r="AR201" s="15"/>
      <c r="AS201" s="15"/>
      <c r="AT201" s="51"/>
      <c r="AU201" s="15"/>
      <c r="AV201" s="15"/>
      <c r="AW201" s="15"/>
      <c r="AX201" s="15"/>
      <c r="AY201" s="15"/>
      <c r="AZ201" s="15"/>
      <c r="BA201" s="51"/>
      <c r="BB201" s="15"/>
      <c r="BC201" s="15"/>
      <c r="BD201" s="15"/>
      <c r="BE201" s="15"/>
      <c r="BF201" s="15"/>
      <c r="BG201" s="51"/>
      <c r="BH201" s="15"/>
      <c r="BI201" s="15"/>
      <c r="BJ201" s="15"/>
      <c r="BK201" s="51"/>
      <c r="BL201" s="15"/>
      <c r="BM201" s="15"/>
      <c r="BN201" s="15"/>
      <c r="BO201" s="15"/>
      <c r="BP201" s="15"/>
      <c r="BQ201" s="15"/>
      <c r="BR201" s="15"/>
      <c r="BS201" s="15"/>
      <c r="BT201" s="15"/>
      <c r="BU201" s="15"/>
      <c r="BV201" s="15"/>
      <c r="BW201" s="15"/>
      <c r="BX201" s="51"/>
      <c r="BY201" s="15"/>
      <c r="BZ201" s="15"/>
      <c r="CA201" s="15"/>
      <c r="CB201" s="15"/>
      <c r="CC201" s="15"/>
      <c r="CD201" s="15"/>
      <c r="CE201" s="15"/>
      <c r="CF201" s="15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  <c r="FR201" s="18"/>
      <c r="FS201" s="18"/>
      <c r="FT201" s="18"/>
      <c r="FU201" s="18"/>
      <c r="FV201" s="18"/>
      <c r="FW201" s="18"/>
      <c r="FX201" s="18"/>
      <c r="FY201" s="18"/>
      <c r="FZ201" s="18"/>
      <c r="GA201" s="18"/>
      <c r="GB201" s="18"/>
      <c r="GC201" s="18"/>
      <c r="GD201" s="18"/>
      <c r="GE201" s="18"/>
      <c r="GF201" s="18"/>
      <c r="GG201" s="18"/>
      <c r="GH201" s="18"/>
      <c r="GI201" s="18"/>
      <c r="GJ201" s="18"/>
      <c r="GK201" s="18"/>
      <c r="GL201" s="18"/>
      <c r="GM201" s="18"/>
      <c r="GN201" s="18"/>
      <c r="GO201" s="18"/>
      <c r="GP201" s="18"/>
      <c r="GQ201" s="18"/>
      <c r="GR201" s="18"/>
      <c r="GS201" s="18"/>
      <c r="GT201" s="18"/>
      <c r="GU201" s="18"/>
      <c r="GV201" s="18"/>
      <c r="GW201" s="18"/>
      <c r="GX201" s="18"/>
      <c r="GY201" s="18"/>
      <c r="GZ201" s="18"/>
      <c r="HA201" s="18"/>
      <c r="HB201" s="18"/>
      <c r="HC201" s="18"/>
      <c r="HD201" s="18"/>
      <c r="HE201" s="18"/>
      <c r="HF201" s="18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V201" s="18"/>
      <c r="HW201" s="18"/>
      <c r="HX201" s="18"/>
      <c r="HY201" s="18"/>
      <c r="HZ201" s="18"/>
      <c r="IA201" s="18"/>
      <c r="IB201" s="18"/>
      <c r="IC201" s="18"/>
      <c r="ID201" s="18"/>
      <c r="IE201" s="18"/>
      <c r="IF201" s="18"/>
      <c r="IG201" s="18"/>
      <c r="IH201" s="18"/>
      <c r="II201" s="18"/>
      <c r="IJ201" s="18"/>
      <c r="IK201" s="18"/>
      <c r="IL201" s="18"/>
      <c r="IM201" s="18"/>
      <c r="IN201" s="18"/>
      <c r="IO201" s="18"/>
    </row>
    <row r="202" spans="1:249" ht="11.1" hidden="1" customHeight="1" outlineLevel="1">
      <c r="A202" s="30" t="s">
        <v>142</v>
      </c>
      <c r="C202" s="52"/>
      <c r="D202" s="38" t="s">
        <v>141</v>
      </c>
      <c r="E202" s="29"/>
      <c r="F202" s="940">
        <v>0</v>
      </c>
      <c r="G202" s="313">
        <v>40772</v>
      </c>
      <c r="H202" s="313"/>
      <c r="I202" s="1073">
        <v>144.69999999999999</v>
      </c>
      <c r="J202" s="1073"/>
      <c r="K202" s="1073"/>
      <c r="L202" s="312"/>
      <c r="M202" s="136"/>
      <c r="N202" s="136"/>
      <c r="O202" s="136"/>
      <c r="P202" s="939"/>
      <c r="Q202" s="1"/>
      <c r="T202" s="193"/>
      <c r="U202" s="193"/>
      <c r="V202" s="193"/>
      <c r="W202" s="193"/>
      <c r="X202" s="295"/>
      <c r="Y202" s="295"/>
      <c r="Z202" s="295"/>
      <c r="AA202" s="295"/>
      <c r="AB202" s="947"/>
      <c r="AC202" s="947"/>
      <c r="AD202" s="190"/>
      <c r="AE202" s="190"/>
      <c r="AF202" s="308"/>
      <c r="AG202" s="307"/>
      <c r="AH202" s="307"/>
      <c r="AI202" s="307"/>
      <c r="AJ202" s="307"/>
      <c r="AK202" s="307"/>
      <c r="AL202" s="21"/>
      <c r="AM202" s="21"/>
      <c r="AN202" s="179"/>
      <c r="AO202" s="38"/>
      <c r="AP202" s="188">
        <f>F202*I202+AN202+AN203</f>
        <v>0</v>
      </c>
      <c r="AR202" s="15"/>
      <c r="AS202" s="15"/>
      <c r="AT202" s="51"/>
      <c r="AU202" s="15"/>
      <c r="AV202" s="15"/>
      <c r="AW202" s="15"/>
      <c r="AX202" s="15"/>
      <c r="AY202" s="15"/>
      <c r="AZ202" s="15"/>
      <c r="BA202" s="51"/>
      <c r="BB202" s="15"/>
      <c r="BC202" s="15"/>
      <c r="BD202" s="15"/>
      <c r="BE202" s="15"/>
      <c r="BF202" s="15"/>
      <c r="BG202" s="51"/>
      <c r="BH202" s="15"/>
      <c r="BI202" s="15"/>
      <c r="BJ202" s="15"/>
      <c r="BK202" s="51"/>
      <c r="BL202" s="15"/>
      <c r="BM202" s="15"/>
      <c r="BN202" s="15"/>
      <c r="BO202" s="15"/>
      <c r="BP202" s="15"/>
      <c r="BQ202" s="15"/>
      <c r="BR202" s="15"/>
      <c r="BS202" s="15"/>
      <c r="BT202" s="15"/>
      <c r="BU202" s="15"/>
      <c r="BV202" s="15"/>
      <c r="BW202" s="15"/>
      <c r="BX202" s="139"/>
      <c r="BY202" s="139" t="str">
        <f>IF($AB202=0,"",$AB202)</f>
        <v/>
      </c>
      <c r="BZ202" s="139"/>
      <c r="CA202" s="139"/>
      <c r="CB202" s="139"/>
      <c r="CC202" s="139"/>
      <c r="CD202" s="139"/>
      <c r="CE202" s="139"/>
      <c r="CF202" s="139"/>
      <c r="CG202" s="139"/>
      <c r="CH202" s="139"/>
      <c r="CI202" s="139"/>
      <c r="CJ202" s="139"/>
      <c r="CK202" s="139"/>
      <c r="CL202" s="139"/>
      <c r="CM202" s="139"/>
      <c r="CN202" s="139"/>
      <c r="CO202" s="139"/>
      <c r="CP202" s="139"/>
      <c r="CQ202" s="139"/>
      <c r="CR202" s="139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  <c r="FR202" s="18"/>
      <c r="FS202" s="18"/>
      <c r="FT202" s="18"/>
      <c r="FU202" s="18"/>
      <c r="FV202" s="18"/>
      <c r="FW202" s="18"/>
      <c r="FX202" s="18"/>
      <c r="FY202" s="18"/>
      <c r="FZ202" s="18"/>
      <c r="GA202" s="18"/>
      <c r="GB202" s="18"/>
      <c r="GC202" s="18"/>
      <c r="GD202" s="18"/>
      <c r="GE202" s="18"/>
      <c r="GF202" s="18"/>
      <c r="GG202" s="18"/>
      <c r="GH202" s="18"/>
      <c r="GI202" s="18"/>
      <c r="GJ202" s="18"/>
      <c r="GK202" s="18"/>
      <c r="GL202" s="18"/>
      <c r="GM202" s="18"/>
      <c r="GN202" s="18"/>
      <c r="GO202" s="18"/>
      <c r="GP202" s="18"/>
      <c r="GQ202" s="18"/>
      <c r="GR202" s="18"/>
      <c r="GS202" s="18"/>
      <c r="GT202" s="18"/>
      <c r="GU202" s="18"/>
      <c r="GV202" s="18"/>
      <c r="GW202" s="18"/>
      <c r="GX202" s="18"/>
      <c r="GY202" s="18"/>
      <c r="GZ202" s="18"/>
      <c r="HA202" s="18"/>
      <c r="HB202" s="18"/>
      <c r="HC202" s="18"/>
      <c r="HD202" s="18"/>
      <c r="HE202" s="18"/>
      <c r="HF202" s="18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V202" s="18"/>
      <c r="HW202" s="18"/>
      <c r="HX202" s="18"/>
      <c r="HY202" s="18"/>
      <c r="HZ202" s="18"/>
      <c r="IA202" s="18"/>
      <c r="IB202" s="18"/>
      <c r="IC202" s="18"/>
      <c r="ID202" s="18"/>
      <c r="IE202" s="139"/>
      <c r="IF202" s="139"/>
      <c r="IG202" s="139"/>
      <c r="IH202" s="139"/>
      <c r="II202" s="139"/>
      <c r="IJ202" s="139"/>
      <c r="IK202" s="139"/>
      <c r="IL202" s="139"/>
      <c r="IM202" s="139"/>
      <c r="IN202" s="139"/>
      <c r="IO202" s="139"/>
    </row>
    <row r="203" spans="1:249" ht="11.1" hidden="1" customHeight="1" outlineLevel="1">
      <c r="A203" s="195"/>
      <c r="C203" s="52"/>
      <c r="D203" s="38"/>
      <c r="E203" s="29"/>
      <c r="F203" s="940"/>
      <c r="G203" s="310"/>
      <c r="H203" s="310"/>
      <c r="I203" s="309">
        <f>F202*I202</f>
        <v>0</v>
      </c>
      <c r="J203" s="309"/>
      <c r="K203" s="185">
        <f>AP202</f>
        <v>0</v>
      </c>
      <c r="L203" s="58"/>
      <c r="M203" s="136"/>
      <c r="N203" s="136"/>
      <c r="O203" s="136"/>
      <c r="P203" s="321">
        <v>208.7</v>
      </c>
      <c r="Q203" s="1"/>
      <c r="T203" s="293"/>
      <c r="U203" s="293"/>
      <c r="V203" s="293"/>
      <c r="W203" s="293"/>
      <c r="X203" s="292"/>
      <c r="Y203" s="292"/>
      <c r="Z203" s="292"/>
      <c r="AA203" s="292"/>
      <c r="AB203" s="947"/>
      <c r="AC203" s="947"/>
      <c r="AD203" s="183"/>
      <c r="AE203" s="183"/>
      <c r="AF203" s="308"/>
      <c r="AG203" s="307"/>
      <c r="AH203" s="307"/>
      <c r="AI203" s="307"/>
      <c r="AJ203" s="307"/>
      <c r="AK203" s="307"/>
      <c r="AL203" s="21"/>
      <c r="AM203" s="21"/>
      <c r="AN203" s="179"/>
      <c r="AO203" s="38"/>
      <c r="AP203" s="38"/>
      <c r="AR203" s="15"/>
      <c r="AS203" s="15"/>
      <c r="AT203" s="51"/>
      <c r="AU203" s="15"/>
      <c r="AV203" s="15"/>
      <c r="AW203" s="15"/>
      <c r="AX203" s="15"/>
      <c r="AY203" s="15"/>
      <c r="AZ203" s="15"/>
      <c r="BA203" s="51"/>
      <c r="BB203" s="15"/>
      <c r="BC203" s="15"/>
      <c r="BD203" s="15"/>
      <c r="BE203" s="15"/>
      <c r="BF203" s="15"/>
      <c r="BG203" s="51"/>
      <c r="BH203" s="15"/>
      <c r="BI203" s="15"/>
      <c r="BJ203" s="15"/>
      <c r="BK203" s="51"/>
      <c r="BL203" s="15"/>
      <c r="BM203" s="15"/>
      <c r="BN203" s="15"/>
      <c r="BO203" s="15"/>
      <c r="BP203" s="15"/>
      <c r="BQ203" s="15"/>
      <c r="BR203" s="15"/>
      <c r="BS203" s="15"/>
      <c r="BT203" s="15"/>
      <c r="BU203" s="15"/>
      <c r="BV203" s="15"/>
      <c r="BW203" s="15"/>
      <c r="BX203" s="139"/>
      <c r="BY203" s="314" t="str">
        <f>IF(AC$193=0,"",AC$193)</f>
        <v/>
      </c>
      <c r="BZ203" s="314"/>
      <c r="CA203" s="314"/>
      <c r="CB203" s="314"/>
      <c r="CC203" s="314"/>
      <c r="CD203" s="314"/>
      <c r="CE203" s="314"/>
      <c r="CF203" s="314"/>
      <c r="CG203" s="314"/>
      <c r="CH203" s="314"/>
      <c r="CI203" s="314"/>
      <c r="CJ203" s="314"/>
      <c r="CK203" s="314"/>
      <c r="CL203" s="314"/>
      <c r="CM203" s="314"/>
      <c r="CN203" s="314"/>
      <c r="CO203" s="314"/>
      <c r="CP203" s="314"/>
      <c r="CQ203" s="314"/>
      <c r="CR203" s="314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  <c r="FR203" s="18"/>
      <c r="FS203" s="18"/>
      <c r="FT203" s="18"/>
      <c r="FU203" s="18"/>
      <c r="FV203" s="18"/>
      <c r="FW203" s="18"/>
      <c r="FX203" s="18"/>
      <c r="FY203" s="18"/>
      <c r="FZ203" s="18"/>
      <c r="GA203" s="18"/>
      <c r="GB203" s="18"/>
      <c r="GC203" s="18"/>
      <c r="GD203" s="18"/>
      <c r="GE203" s="18"/>
      <c r="GF203" s="18"/>
      <c r="GG203" s="18"/>
      <c r="GH203" s="18"/>
      <c r="GI203" s="18"/>
      <c r="GJ203" s="18"/>
      <c r="GK203" s="18"/>
      <c r="GL203" s="18"/>
      <c r="GM203" s="18"/>
      <c r="GN203" s="18"/>
      <c r="GO203" s="18"/>
      <c r="GP203" s="18"/>
      <c r="GQ203" s="18"/>
      <c r="GR203" s="18"/>
      <c r="GS203" s="18"/>
      <c r="GT203" s="18"/>
      <c r="GU203" s="18"/>
      <c r="GV203" s="18"/>
      <c r="GW203" s="18"/>
      <c r="GX203" s="18"/>
      <c r="GY203" s="18"/>
      <c r="GZ203" s="18"/>
      <c r="HA203" s="18"/>
      <c r="HB203" s="18"/>
      <c r="HC203" s="18"/>
      <c r="HD203" s="18"/>
      <c r="HE203" s="18"/>
      <c r="HF203" s="18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V203" s="18"/>
      <c r="HW203" s="18"/>
      <c r="HX203" s="18"/>
      <c r="HY203" s="18"/>
      <c r="HZ203" s="18"/>
      <c r="IA203" s="18"/>
      <c r="IB203" s="18"/>
      <c r="IC203" s="18"/>
      <c r="ID203" s="18"/>
      <c r="IE203" s="314"/>
      <c r="IF203" s="314"/>
      <c r="IG203" s="314"/>
      <c r="IH203" s="314"/>
      <c r="II203" s="314"/>
      <c r="IJ203" s="314"/>
      <c r="IK203" s="314"/>
      <c r="IL203" s="314"/>
      <c r="IM203" s="314"/>
      <c r="IN203" s="314"/>
      <c r="IO203" s="314"/>
    </row>
    <row r="204" spans="1:249" ht="5.0999999999999996" hidden="1" customHeight="1" outlineLevel="1" collapsed="1">
      <c r="A204" s="320"/>
      <c r="B204" s="942"/>
      <c r="C204" s="942"/>
      <c r="D204" s="942"/>
      <c r="E204" s="942"/>
      <c r="F204" s="943"/>
      <c r="G204" s="938"/>
      <c r="H204" s="938"/>
      <c r="I204" s="938"/>
      <c r="J204" s="938"/>
      <c r="K204" s="938"/>
      <c r="L204" s="938"/>
      <c r="M204" s="136"/>
      <c r="N204" s="136"/>
      <c r="O204" s="136"/>
      <c r="P204" s="199">
        <v>210.5</v>
      </c>
      <c r="T204" s="319"/>
      <c r="U204" s="319"/>
      <c r="V204" s="319"/>
      <c r="W204" s="319"/>
      <c r="X204" s="968"/>
      <c r="Y204" s="968"/>
      <c r="Z204" s="968"/>
      <c r="AA204" s="968"/>
      <c r="AB204" s="951"/>
      <c r="AC204" s="951"/>
      <c r="AD204" s="951"/>
      <c r="AE204" s="951"/>
      <c r="AF204" s="308"/>
      <c r="AG204" s="308"/>
      <c r="AH204" s="308"/>
      <c r="AI204" s="308"/>
      <c r="AJ204" s="308"/>
      <c r="AK204" s="308"/>
      <c r="AL204" s="21"/>
      <c r="AM204" s="21"/>
      <c r="AN204" s="21"/>
      <c r="AO204" s="21"/>
      <c r="AP204" s="21"/>
      <c r="AQ204" s="22"/>
      <c r="AR204" s="15"/>
      <c r="AS204" s="15"/>
      <c r="AT204" s="51"/>
      <c r="AU204" s="15"/>
      <c r="AV204" s="15"/>
      <c r="AW204" s="15"/>
      <c r="AX204" s="15"/>
      <c r="AY204" s="15"/>
      <c r="AZ204" s="15"/>
      <c r="BA204" s="51"/>
      <c r="BB204" s="15"/>
      <c r="BC204" s="15"/>
      <c r="BD204" s="15"/>
      <c r="BE204" s="15"/>
      <c r="BF204" s="15"/>
      <c r="BG204" s="51"/>
      <c r="BH204" s="15"/>
      <c r="BI204" s="15"/>
      <c r="BJ204" s="15"/>
      <c r="BK204" s="51"/>
      <c r="BL204" s="15"/>
      <c r="BM204" s="15"/>
      <c r="BN204" s="15"/>
      <c r="BO204" s="15"/>
      <c r="BP204" s="15"/>
      <c r="BQ204" s="15"/>
      <c r="BR204" s="15"/>
      <c r="BS204" s="15"/>
      <c r="BT204" s="15"/>
      <c r="BU204" s="15"/>
      <c r="BV204" s="15"/>
      <c r="BW204" s="15"/>
      <c r="BX204" s="51"/>
      <c r="BY204" s="15"/>
      <c r="BZ204" s="15"/>
      <c r="CA204" s="15"/>
      <c r="CB204" s="15"/>
      <c r="CC204" s="15"/>
      <c r="CD204" s="15"/>
      <c r="CE204" s="15"/>
      <c r="CF204" s="15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  <c r="FR204" s="18"/>
      <c r="FS204" s="18"/>
      <c r="FT204" s="18"/>
      <c r="FU204" s="18"/>
      <c r="FV204" s="18"/>
      <c r="FW204" s="18"/>
      <c r="FX204" s="18"/>
      <c r="FY204" s="18"/>
      <c r="FZ204" s="18"/>
      <c r="GA204" s="18"/>
      <c r="GB204" s="18"/>
      <c r="GC204" s="18"/>
      <c r="GD204" s="18"/>
      <c r="GE204" s="18"/>
      <c r="GF204" s="18"/>
      <c r="GG204" s="18"/>
      <c r="GH204" s="18"/>
      <c r="GI204" s="18"/>
      <c r="GJ204" s="18"/>
      <c r="GK204" s="18"/>
      <c r="GL204" s="18"/>
      <c r="GM204" s="18"/>
      <c r="GN204" s="18"/>
      <c r="GO204" s="18"/>
      <c r="GP204" s="18"/>
      <c r="GQ204" s="18"/>
      <c r="GR204" s="18"/>
      <c r="GS204" s="18"/>
      <c r="GT204" s="18"/>
      <c r="GU204" s="18"/>
      <c r="GV204" s="18"/>
      <c r="GW204" s="18"/>
      <c r="GX204" s="18"/>
      <c r="GY204" s="18"/>
      <c r="GZ204" s="18"/>
      <c r="HA204" s="18"/>
      <c r="HB204" s="18"/>
      <c r="HC204" s="18"/>
      <c r="HD204" s="18"/>
      <c r="HE204" s="18"/>
      <c r="HF204" s="18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V204" s="18"/>
      <c r="HW204" s="18"/>
      <c r="HX204" s="18"/>
      <c r="HY204" s="18"/>
      <c r="HZ204" s="18"/>
      <c r="IA204" s="18"/>
      <c r="IB204" s="18"/>
      <c r="IC204" s="18"/>
      <c r="ID204" s="18"/>
      <c r="IE204" s="18"/>
      <c r="IF204" s="18"/>
      <c r="IG204" s="18"/>
      <c r="IH204" s="18"/>
      <c r="II204" s="18"/>
      <c r="IJ204" s="18"/>
      <c r="IK204" s="18"/>
      <c r="IL204" s="18"/>
      <c r="IM204" s="18"/>
      <c r="IN204" s="18"/>
      <c r="IO204" s="18"/>
    </row>
    <row r="205" spans="1:249" ht="11.1" hidden="1" customHeight="1" outlineLevel="1">
      <c r="A205" s="30" t="s">
        <v>140</v>
      </c>
      <c r="C205" s="52"/>
      <c r="D205" s="38" t="s">
        <v>139</v>
      </c>
      <c r="E205" s="29"/>
      <c r="F205" s="940">
        <v>0</v>
      </c>
      <c r="G205" s="313">
        <v>42046</v>
      </c>
      <c r="H205" s="313"/>
      <c r="I205" s="1073">
        <v>36.92</v>
      </c>
      <c r="J205" s="1073"/>
      <c r="K205" s="1073"/>
      <c r="L205" s="312"/>
      <c r="M205" s="136"/>
      <c r="N205" s="136"/>
      <c r="O205" s="136"/>
      <c r="P205" s="215">
        <v>107.09999847412109</v>
      </c>
      <c r="Q205" s="1"/>
      <c r="T205" s="193"/>
      <c r="U205" s="193"/>
      <c r="V205" s="193"/>
      <c r="W205" s="193"/>
      <c r="X205" s="295"/>
      <c r="Y205" s="295"/>
      <c r="Z205" s="295"/>
      <c r="AA205" s="295"/>
      <c r="AB205" s="947">
        <f>F205*P205</f>
        <v>0</v>
      </c>
      <c r="AC205" s="947"/>
      <c r="AD205" s="190">
        <f>-((I205*F205)-(P205*F205))</f>
        <v>0</v>
      </c>
      <c r="AE205" s="190"/>
      <c r="AF205" s="205" t="e">
        <f>IF(#REF!-AP205&lt;0,#REF!-AP205,(#REF!-AP205)*0.74)</f>
        <v>#REF!</v>
      </c>
      <c r="AG205" s="307"/>
      <c r="AH205" s="307"/>
      <c r="AI205" s="307"/>
      <c r="AJ205" s="307"/>
      <c r="AK205" s="307"/>
      <c r="AL205" s="21"/>
      <c r="AM205" s="21"/>
      <c r="AN205" s="179"/>
      <c r="AO205" s="38"/>
      <c r="AP205" s="188">
        <f>F205*I205+AN205+AN206</f>
        <v>0</v>
      </c>
      <c r="AR205" s="15"/>
      <c r="AS205" s="15"/>
      <c r="AT205" s="51"/>
      <c r="AU205" s="15"/>
      <c r="AV205" s="15"/>
      <c r="AW205" s="15"/>
      <c r="AX205" s="15"/>
      <c r="AY205" s="15"/>
      <c r="AZ205" s="15"/>
      <c r="BA205" s="51"/>
      <c r="BB205" s="15"/>
      <c r="BC205" s="15"/>
      <c r="BD205" s="15"/>
      <c r="BE205" s="15"/>
      <c r="BF205" s="15"/>
      <c r="BG205" s="51"/>
      <c r="BH205" s="15"/>
      <c r="BI205" s="15"/>
      <c r="BJ205" s="15"/>
      <c r="BK205" s="51"/>
      <c r="BL205" s="15"/>
      <c r="BM205" s="15"/>
      <c r="BN205" s="15"/>
      <c r="BO205" s="15"/>
      <c r="BP205" s="15"/>
      <c r="BQ205" s="15"/>
      <c r="BR205" s="15"/>
      <c r="BS205" s="15"/>
      <c r="BT205" s="15"/>
      <c r="BU205" s="15"/>
      <c r="BV205" s="15"/>
      <c r="BW205" s="15"/>
      <c r="BX205" s="139"/>
      <c r="BY205" s="139" t="str">
        <f>IF($AB205=0,"",$AB205)</f>
        <v/>
      </c>
      <c r="BZ205" s="139"/>
      <c r="CA205" s="139"/>
      <c r="CB205" s="139"/>
      <c r="CC205" s="139"/>
      <c r="CD205" s="139"/>
      <c r="CE205" s="139"/>
      <c r="CF205" s="139"/>
      <c r="CG205" s="139"/>
      <c r="CH205" s="139"/>
      <c r="CI205" s="139"/>
      <c r="CJ205" s="139"/>
      <c r="CK205" s="139"/>
      <c r="CL205" s="139"/>
      <c r="CM205" s="139"/>
      <c r="CN205" s="139"/>
      <c r="CO205" s="139"/>
      <c r="CP205" s="139"/>
      <c r="CQ205" s="139"/>
      <c r="CR205" s="139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  <c r="FR205" s="18"/>
      <c r="FS205" s="18"/>
      <c r="FT205" s="18"/>
      <c r="FU205" s="18"/>
      <c r="FV205" s="18"/>
      <c r="FW205" s="18"/>
      <c r="FX205" s="18"/>
      <c r="FY205" s="18"/>
      <c r="FZ205" s="18"/>
      <c r="GA205" s="18"/>
      <c r="GB205" s="18"/>
      <c r="GC205" s="18"/>
      <c r="GD205" s="18"/>
      <c r="GE205" s="18"/>
      <c r="GF205" s="18"/>
      <c r="GG205" s="18"/>
      <c r="GH205" s="18"/>
      <c r="GI205" s="18"/>
      <c r="GJ205" s="18"/>
      <c r="GK205" s="18"/>
      <c r="GL205" s="18"/>
      <c r="GM205" s="18"/>
      <c r="GN205" s="18"/>
      <c r="GO205" s="18"/>
      <c r="GP205" s="18"/>
      <c r="GQ205" s="18"/>
      <c r="GR205" s="18"/>
      <c r="GS205" s="18"/>
      <c r="GT205" s="18"/>
      <c r="GU205" s="18"/>
      <c r="GV205" s="18"/>
      <c r="GW205" s="18"/>
      <c r="GX205" s="18"/>
      <c r="GY205" s="18"/>
      <c r="GZ205" s="18"/>
      <c r="HA205" s="18"/>
      <c r="HB205" s="18"/>
      <c r="HC205" s="18"/>
      <c r="HD205" s="18"/>
      <c r="HE205" s="18"/>
      <c r="HF205" s="18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V205" s="18"/>
      <c r="HW205" s="18"/>
      <c r="HX205" s="18"/>
      <c r="HY205" s="18"/>
      <c r="HZ205" s="18"/>
      <c r="IA205" s="18"/>
      <c r="IB205" s="18"/>
      <c r="IC205" s="18"/>
      <c r="ID205" s="18"/>
      <c r="IE205" s="139"/>
      <c r="IF205" s="139"/>
      <c r="IG205" s="139"/>
      <c r="IH205" s="139"/>
      <c r="II205" s="139"/>
      <c r="IJ205" s="139"/>
      <c r="IK205" s="139"/>
      <c r="IL205" s="139"/>
      <c r="IM205" s="139"/>
      <c r="IN205" s="139"/>
      <c r="IO205" s="139"/>
    </row>
    <row r="206" spans="1:249" ht="11.1" hidden="1" customHeight="1" outlineLevel="1">
      <c r="A206" s="195" t="s">
        <v>138</v>
      </c>
      <c r="C206" s="52"/>
      <c r="D206" s="38"/>
      <c r="E206" s="29"/>
      <c r="F206" s="940"/>
      <c r="G206" s="310"/>
      <c r="H206" s="310"/>
      <c r="I206" s="309">
        <f>F205*I205</f>
        <v>0</v>
      </c>
      <c r="J206" s="309"/>
      <c r="K206" s="185">
        <f>AP205</f>
        <v>0</v>
      </c>
      <c r="L206" s="58"/>
      <c r="M206" s="311"/>
      <c r="N206" s="311"/>
      <c r="O206" s="311"/>
      <c r="P206" s="318">
        <v>212.65</v>
      </c>
      <c r="Q206" s="1"/>
      <c r="T206" s="293"/>
      <c r="U206" s="293"/>
      <c r="V206" s="293"/>
      <c r="W206" s="293"/>
      <c r="X206" s="292"/>
      <c r="Y206" s="292"/>
      <c r="Z206" s="292"/>
      <c r="AA206" s="292"/>
      <c r="AB206" s="947"/>
      <c r="AC206" s="947"/>
      <c r="AD206" s="183">
        <f>((P205-I205)/I205)</f>
        <v>1.9008666975655766</v>
      </c>
      <c r="AE206" s="183"/>
      <c r="AF206" s="308"/>
      <c r="AG206" s="307"/>
      <c r="AH206" s="307"/>
      <c r="AI206" s="307"/>
      <c r="AJ206" s="307"/>
      <c r="AK206" s="307"/>
      <c r="AL206" s="21"/>
      <c r="AM206" s="21"/>
      <c r="AN206" s="213"/>
      <c r="AO206" s="38"/>
      <c r="AP206" s="38"/>
      <c r="AR206" s="15"/>
      <c r="AS206" s="15"/>
      <c r="AT206" s="51"/>
      <c r="AU206" s="15"/>
      <c r="AV206" s="15"/>
      <c r="AW206" s="15"/>
      <c r="AX206" s="15"/>
      <c r="AY206" s="15"/>
      <c r="AZ206" s="15"/>
      <c r="BA206" s="51"/>
      <c r="BB206" s="15"/>
      <c r="BC206" s="15"/>
      <c r="BD206" s="15"/>
      <c r="BE206" s="15"/>
      <c r="BF206" s="15"/>
      <c r="BG206" s="51"/>
      <c r="BH206" s="15"/>
      <c r="BI206" s="15"/>
      <c r="BJ206" s="15"/>
      <c r="BK206" s="51"/>
      <c r="BL206" s="15"/>
      <c r="BM206" s="15"/>
      <c r="BN206" s="15"/>
      <c r="BO206" s="15"/>
      <c r="BP206" s="15"/>
      <c r="BQ206" s="15"/>
      <c r="BR206" s="15"/>
      <c r="BS206" s="15"/>
      <c r="BT206" s="15"/>
      <c r="BU206" s="15"/>
      <c r="BV206" s="15"/>
      <c r="BW206" s="15"/>
      <c r="BX206" s="139"/>
      <c r="BY206" s="314" t="str">
        <f>IF(AC$193=0,"",AC$193)</f>
        <v/>
      </c>
      <c r="BZ206" s="314"/>
      <c r="CA206" s="314"/>
      <c r="CB206" s="314"/>
      <c r="CC206" s="314"/>
      <c r="CD206" s="314"/>
      <c r="CE206" s="314"/>
      <c r="CF206" s="314"/>
      <c r="CG206" s="314"/>
      <c r="CH206" s="314"/>
      <c r="CI206" s="314"/>
      <c r="CJ206" s="314"/>
      <c r="CK206" s="314"/>
      <c r="CL206" s="314"/>
      <c r="CM206" s="314"/>
      <c r="CN206" s="314"/>
      <c r="CO206" s="314"/>
      <c r="CP206" s="314"/>
      <c r="CQ206" s="314"/>
      <c r="CR206" s="314"/>
      <c r="CT206" s="18"/>
      <c r="CU206" s="18"/>
      <c r="CV206" s="18"/>
      <c r="CW206" s="18"/>
      <c r="CX206" s="18"/>
      <c r="CY206" s="18"/>
      <c r="CZ206" s="18"/>
      <c r="DA206" s="18"/>
      <c r="DB206" s="18"/>
      <c r="DC206" s="18"/>
      <c r="DD206" s="18"/>
      <c r="DE206" s="18"/>
      <c r="DF206" s="18"/>
      <c r="DG206" s="18"/>
      <c r="DH206" s="18"/>
      <c r="DI206" s="18"/>
      <c r="DJ206" s="18"/>
      <c r="DK206" s="18"/>
      <c r="DL206" s="18"/>
      <c r="DM206" s="18"/>
      <c r="DN206" s="18"/>
      <c r="DP206" s="18"/>
      <c r="DQ206" s="18"/>
      <c r="DR206" s="18"/>
      <c r="DS206" s="18"/>
      <c r="DT206" s="18"/>
      <c r="DU206" s="18"/>
      <c r="DV206" s="18"/>
      <c r="DW206" s="18"/>
      <c r="DX206" s="18"/>
      <c r="DY206" s="18"/>
      <c r="DZ206" s="18"/>
      <c r="EA206" s="18"/>
      <c r="EB206" s="18"/>
      <c r="EC206" s="18"/>
      <c r="ED206" s="18"/>
      <c r="EE206" s="18"/>
      <c r="EF206" s="18"/>
      <c r="EG206" s="18"/>
      <c r="EH206" s="18"/>
      <c r="EI206" s="18"/>
      <c r="EJ206" s="18"/>
      <c r="EK206" s="18"/>
      <c r="EL206" s="18"/>
      <c r="EM206" s="18"/>
      <c r="EN206" s="18"/>
      <c r="EO206" s="18"/>
      <c r="EP206" s="18"/>
      <c r="EQ206" s="18"/>
      <c r="ER206" s="18"/>
      <c r="ES206" s="18"/>
      <c r="ET206" s="18"/>
      <c r="EU206" s="18"/>
      <c r="EV206" s="18"/>
      <c r="EW206" s="18"/>
      <c r="EX206" s="18"/>
      <c r="EY206" s="18"/>
      <c r="EZ206" s="18"/>
      <c r="FA206" s="18"/>
      <c r="FB206" s="18"/>
      <c r="FC206" s="18"/>
      <c r="FD206" s="18"/>
      <c r="FE206" s="18"/>
      <c r="FF206" s="18"/>
      <c r="FG206" s="18"/>
      <c r="FH206" s="18"/>
      <c r="FI206" s="18"/>
      <c r="FJ206" s="18"/>
      <c r="FK206" s="18"/>
      <c r="FL206" s="18"/>
      <c r="FM206" s="18"/>
      <c r="FN206" s="18"/>
      <c r="FO206" s="18"/>
      <c r="FP206" s="18"/>
      <c r="FQ206" s="18"/>
      <c r="FR206" s="18"/>
      <c r="FS206" s="18"/>
      <c r="FT206" s="18"/>
      <c r="FU206" s="18"/>
      <c r="FV206" s="18"/>
      <c r="FW206" s="18"/>
      <c r="FX206" s="18"/>
      <c r="FY206" s="18"/>
      <c r="FZ206" s="18"/>
      <c r="GA206" s="18"/>
      <c r="GB206" s="18"/>
      <c r="GC206" s="18"/>
      <c r="GD206" s="18"/>
      <c r="GE206" s="18"/>
      <c r="GF206" s="18"/>
      <c r="GG206" s="18"/>
      <c r="GH206" s="18"/>
      <c r="GI206" s="18"/>
      <c r="GJ206" s="18"/>
      <c r="GK206" s="18"/>
      <c r="GL206" s="18"/>
      <c r="GM206" s="18"/>
      <c r="GN206" s="18"/>
      <c r="GO206" s="18"/>
      <c r="GP206" s="18"/>
      <c r="GQ206" s="18"/>
      <c r="GR206" s="18"/>
      <c r="GS206" s="18"/>
      <c r="GT206" s="18"/>
      <c r="GU206" s="18"/>
      <c r="GV206" s="18"/>
      <c r="GW206" s="18"/>
      <c r="GX206" s="18"/>
      <c r="GY206" s="18"/>
      <c r="GZ206" s="18"/>
      <c r="HA206" s="18"/>
      <c r="HB206" s="18"/>
      <c r="HC206" s="18"/>
      <c r="HD206" s="18"/>
      <c r="HE206" s="18"/>
      <c r="HF206" s="18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V206" s="18"/>
      <c r="HW206" s="18"/>
      <c r="HX206" s="18"/>
      <c r="HY206" s="18"/>
      <c r="HZ206" s="18"/>
      <c r="IA206" s="18"/>
      <c r="IB206" s="18"/>
      <c r="IC206" s="18"/>
      <c r="ID206" s="18"/>
      <c r="IE206" s="314"/>
      <c r="IF206" s="314"/>
      <c r="IG206" s="314"/>
      <c r="IH206" s="314"/>
      <c r="II206" s="314"/>
      <c r="IJ206" s="314"/>
      <c r="IK206" s="314"/>
      <c r="IL206" s="314"/>
      <c r="IM206" s="314"/>
      <c r="IN206" s="314"/>
      <c r="IO206" s="314"/>
    </row>
    <row r="207" spans="1:249" ht="11.1" hidden="1" customHeight="1" outlineLevel="1">
      <c r="A207" s="195"/>
      <c r="C207" s="52"/>
      <c r="D207" s="38"/>
      <c r="E207" s="29"/>
      <c r="F207" s="940"/>
      <c r="G207" s="310"/>
      <c r="H207" s="310"/>
      <c r="I207" s="309"/>
      <c r="J207" s="309"/>
      <c r="K207" s="185"/>
      <c r="L207" s="58"/>
      <c r="M207" s="136" t="s">
        <v>37</v>
      </c>
      <c r="N207" s="136"/>
      <c r="O207" s="136"/>
      <c r="P207" s="199">
        <v>179.91</v>
      </c>
      <c r="Q207" s="1"/>
      <c r="T207" s="293"/>
      <c r="U207" s="293"/>
      <c r="V207" s="293"/>
      <c r="W207" s="293"/>
      <c r="X207" s="292"/>
      <c r="Y207" s="292"/>
      <c r="Z207" s="292"/>
      <c r="AA207" s="292"/>
      <c r="AB207" s="947"/>
      <c r="AC207" s="947"/>
      <c r="AD207" s="183"/>
      <c r="AE207" s="183"/>
      <c r="AF207" s="308"/>
      <c r="AG207" s="307"/>
      <c r="AH207" s="307"/>
      <c r="AI207" s="307"/>
      <c r="AJ207" s="307"/>
      <c r="AK207" s="307"/>
      <c r="AL207" s="21"/>
      <c r="AM207" s="21"/>
      <c r="AN207" s="21"/>
      <c r="AO207" s="21"/>
      <c r="AP207" s="21"/>
      <c r="AQ207" s="22"/>
      <c r="AR207" s="15"/>
      <c r="AS207" s="15"/>
      <c r="AT207" s="51"/>
      <c r="AU207" s="15"/>
      <c r="AV207" s="15"/>
      <c r="AW207" s="15"/>
      <c r="AX207" s="15"/>
      <c r="AY207" s="15"/>
      <c r="AZ207" s="15"/>
      <c r="BA207" s="51"/>
      <c r="BB207" s="15"/>
      <c r="BC207" s="15"/>
      <c r="BD207" s="15"/>
      <c r="BE207" s="15"/>
      <c r="BF207" s="15"/>
      <c r="BG207" s="51"/>
      <c r="BH207" s="15"/>
      <c r="BI207" s="15"/>
      <c r="BJ207" s="15"/>
      <c r="BK207" s="51"/>
      <c r="BL207" s="15"/>
      <c r="BM207" s="15"/>
      <c r="BN207" s="15"/>
      <c r="BO207" s="15"/>
      <c r="BP207" s="15"/>
      <c r="BQ207" s="15"/>
      <c r="BR207" s="15"/>
      <c r="BS207" s="15"/>
      <c r="BT207" s="15"/>
      <c r="BU207" s="15"/>
      <c r="BV207" s="15"/>
      <c r="BW207" s="15"/>
      <c r="BX207" s="139"/>
      <c r="BY207" s="314" t="str">
        <f>IF(AC$193=0,"",AC$193)</f>
        <v/>
      </c>
      <c r="BZ207" s="314"/>
      <c r="CA207" s="314"/>
      <c r="CB207" s="314"/>
      <c r="CC207" s="314"/>
      <c r="CD207" s="314"/>
      <c r="CE207" s="314"/>
      <c r="CF207" s="314"/>
      <c r="CG207" s="314"/>
      <c r="CH207" s="314"/>
      <c r="CI207" s="314"/>
      <c r="CJ207" s="314"/>
      <c r="CK207" s="314"/>
      <c r="CL207" s="314"/>
      <c r="CM207" s="314"/>
      <c r="CN207" s="314"/>
      <c r="CO207" s="314"/>
      <c r="CP207" s="314"/>
      <c r="CQ207" s="314"/>
      <c r="CR207" s="314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  <c r="FR207" s="18"/>
      <c r="FS207" s="18"/>
      <c r="FT207" s="18"/>
      <c r="FU207" s="18"/>
      <c r="FV207" s="18"/>
      <c r="FW207" s="18"/>
      <c r="FX207" s="18"/>
      <c r="FY207" s="18"/>
      <c r="FZ207" s="18"/>
      <c r="GA207" s="18"/>
      <c r="GB207" s="18"/>
      <c r="GC207" s="18"/>
      <c r="GD207" s="18"/>
      <c r="GE207" s="18"/>
      <c r="GF207" s="18"/>
      <c r="GG207" s="18"/>
      <c r="GH207" s="18"/>
      <c r="GI207" s="18"/>
      <c r="GJ207" s="18"/>
      <c r="GK207" s="18"/>
      <c r="GL207" s="18"/>
      <c r="GM207" s="18"/>
      <c r="GN207" s="18"/>
      <c r="GO207" s="18"/>
      <c r="GP207" s="18"/>
      <c r="GQ207" s="18"/>
      <c r="GR207" s="18"/>
      <c r="GS207" s="18"/>
      <c r="GT207" s="18"/>
      <c r="GU207" s="18"/>
      <c r="GV207" s="18"/>
      <c r="GW207" s="18"/>
      <c r="GX207" s="18"/>
      <c r="GY207" s="18"/>
      <c r="GZ207" s="18"/>
      <c r="HA207" s="18"/>
      <c r="HB207" s="18"/>
      <c r="HC207" s="18"/>
      <c r="HD207" s="18"/>
      <c r="HE207" s="18"/>
      <c r="HF207" s="18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V207" s="18"/>
      <c r="HW207" s="18"/>
      <c r="HX207" s="18"/>
      <c r="HY207" s="18"/>
      <c r="HZ207" s="18"/>
      <c r="IA207" s="18"/>
      <c r="IB207" s="18"/>
      <c r="IC207" s="18"/>
      <c r="ID207" s="18"/>
      <c r="IE207" s="314"/>
      <c r="IF207" s="314"/>
      <c r="IG207" s="314"/>
      <c r="IH207" s="314"/>
      <c r="II207" s="314"/>
      <c r="IJ207" s="314"/>
      <c r="IK207" s="314"/>
      <c r="IL207" s="314"/>
      <c r="IM207" s="314"/>
      <c r="IN207" s="314"/>
      <c r="IO207" s="314"/>
    </row>
    <row r="208" spans="1:249" ht="5.0999999999999996" hidden="1" customHeight="1" outlineLevel="1" collapsed="1">
      <c r="A208" s="320"/>
      <c r="B208" s="942"/>
      <c r="C208" s="942"/>
      <c r="D208" s="942"/>
      <c r="E208" s="942"/>
      <c r="F208" s="943"/>
      <c r="G208" s="938"/>
      <c r="H208" s="938"/>
      <c r="I208" s="938"/>
      <c r="J208" s="938"/>
      <c r="K208" s="938"/>
      <c r="L208" s="938"/>
      <c r="M208" s="136"/>
      <c r="N208" s="136"/>
      <c r="O208" s="136"/>
      <c r="P208" s="199">
        <v>210.5</v>
      </c>
      <c r="T208" s="319"/>
      <c r="U208" s="319"/>
      <c r="V208" s="319"/>
      <c r="W208" s="319"/>
      <c r="X208" s="968"/>
      <c r="Y208" s="968"/>
      <c r="Z208" s="968"/>
      <c r="AA208" s="968"/>
      <c r="AB208" s="951"/>
      <c r="AC208" s="951"/>
      <c r="AD208" s="951"/>
      <c r="AE208" s="951"/>
      <c r="AF208" s="308"/>
      <c r="AG208" s="308"/>
      <c r="AH208" s="308"/>
      <c r="AI208" s="308"/>
      <c r="AJ208" s="308"/>
      <c r="AK208" s="308"/>
      <c r="AL208" s="21"/>
      <c r="AM208" s="21"/>
      <c r="AN208" s="21"/>
      <c r="AO208" s="21"/>
      <c r="AP208" s="21"/>
      <c r="AQ208" s="22"/>
      <c r="AR208" s="15"/>
      <c r="AS208" s="15"/>
      <c r="AT208" s="51"/>
      <c r="AU208" s="15"/>
      <c r="AV208" s="15"/>
      <c r="AW208" s="15"/>
      <c r="AX208" s="15"/>
      <c r="AY208" s="15"/>
      <c r="AZ208" s="15"/>
      <c r="BA208" s="51"/>
      <c r="BB208" s="15"/>
      <c r="BC208" s="15"/>
      <c r="BD208" s="15"/>
      <c r="BE208" s="15"/>
      <c r="BF208" s="15"/>
      <c r="BG208" s="51"/>
      <c r="BH208" s="15"/>
      <c r="BI208" s="15"/>
      <c r="BJ208" s="15"/>
      <c r="BK208" s="51"/>
      <c r="BL208" s="15"/>
      <c r="BM208" s="15"/>
      <c r="BN208" s="15"/>
      <c r="BO208" s="15"/>
      <c r="BP208" s="15"/>
      <c r="BQ208" s="15"/>
      <c r="BR208" s="15"/>
      <c r="BS208" s="15"/>
      <c r="BT208" s="15"/>
      <c r="BU208" s="15"/>
      <c r="BV208" s="15"/>
      <c r="BW208" s="15"/>
      <c r="BX208" s="51"/>
      <c r="BY208" s="15"/>
      <c r="BZ208" s="15"/>
      <c r="CA208" s="15"/>
      <c r="CB208" s="15"/>
      <c r="CC208" s="15"/>
      <c r="CD208" s="15"/>
      <c r="CE208" s="15"/>
      <c r="CF208" s="15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  <c r="FR208" s="18"/>
      <c r="FS208" s="18"/>
      <c r="FT208" s="18"/>
      <c r="FU208" s="18"/>
      <c r="FV208" s="18"/>
      <c r="FW208" s="18"/>
      <c r="FX208" s="18"/>
      <c r="FY208" s="18"/>
      <c r="FZ208" s="18"/>
      <c r="GA208" s="18"/>
      <c r="GB208" s="18"/>
      <c r="GC208" s="18"/>
      <c r="GD208" s="18"/>
      <c r="GE208" s="18"/>
      <c r="GF208" s="18"/>
      <c r="GG208" s="18"/>
      <c r="GH208" s="18"/>
      <c r="GI208" s="18"/>
      <c r="GJ208" s="18"/>
      <c r="GK208" s="18"/>
      <c r="GL208" s="18"/>
      <c r="GM208" s="18"/>
      <c r="GN208" s="18"/>
      <c r="GO208" s="18"/>
      <c r="GP208" s="18"/>
      <c r="GQ208" s="18"/>
      <c r="GR208" s="18"/>
      <c r="GS208" s="18"/>
      <c r="GT208" s="18"/>
      <c r="GU208" s="18"/>
      <c r="GV208" s="18"/>
      <c r="GW208" s="18"/>
      <c r="GX208" s="18"/>
      <c r="GY208" s="18"/>
      <c r="GZ208" s="18"/>
      <c r="HA208" s="18"/>
      <c r="HB208" s="18"/>
      <c r="HC208" s="18"/>
      <c r="HD208" s="18"/>
      <c r="HE208" s="18"/>
      <c r="HF208" s="18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V208" s="18"/>
      <c r="HW208" s="18"/>
      <c r="HX208" s="18"/>
      <c r="HY208" s="18"/>
      <c r="HZ208" s="18"/>
      <c r="IA208" s="18"/>
      <c r="IB208" s="18"/>
      <c r="IC208" s="18"/>
      <c r="ID208" s="18"/>
      <c r="IE208" s="18"/>
      <c r="IF208" s="18"/>
      <c r="IG208" s="18"/>
      <c r="IH208" s="18"/>
      <c r="II208" s="18"/>
      <c r="IJ208" s="18"/>
      <c r="IK208" s="18"/>
      <c r="IL208" s="18"/>
      <c r="IM208" s="18"/>
      <c r="IN208" s="18"/>
      <c r="IO208" s="18"/>
    </row>
    <row r="209" spans="1:302" ht="11.1" hidden="1" customHeight="1" outlineLevel="1">
      <c r="A209" s="30" t="s">
        <v>137</v>
      </c>
      <c r="C209" s="52"/>
      <c r="D209" s="38" t="s">
        <v>136</v>
      </c>
      <c r="E209" s="29"/>
      <c r="F209" s="940">
        <v>0</v>
      </c>
      <c r="G209" s="313">
        <v>41240</v>
      </c>
      <c r="H209" s="313"/>
      <c r="I209" s="1073">
        <v>206.23</v>
      </c>
      <c r="J209" s="1073"/>
      <c r="K209" s="1073"/>
      <c r="L209" s="312"/>
      <c r="M209" s="136"/>
      <c r="N209" s="136"/>
      <c r="O209" s="136"/>
      <c r="P209" s="280">
        <v>212.44</v>
      </c>
      <c r="Q209" s="1"/>
      <c r="T209" s="193"/>
      <c r="U209" s="193"/>
      <c r="V209" s="193"/>
      <c r="W209" s="193"/>
      <c r="X209" s="295"/>
      <c r="Y209" s="295"/>
      <c r="Z209" s="295"/>
      <c r="AA209" s="295"/>
      <c r="AB209" s="947">
        <f>F209*P209</f>
        <v>0</v>
      </c>
      <c r="AC209" s="947"/>
      <c r="AD209" s="190">
        <f>-((I209*F209)-(P209*F209))</f>
        <v>0</v>
      </c>
      <c r="AE209" s="190"/>
      <c r="AF209" s="205" t="e">
        <f>IF(#REF!-AP209&lt;0,#REF!-AP209,(#REF!-AP209)*0.8)</f>
        <v>#REF!</v>
      </c>
      <c r="AG209" s="307"/>
      <c r="AH209" s="307"/>
      <c r="AI209" s="307"/>
      <c r="AJ209" s="307"/>
      <c r="AK209" s="307"/>
      <c r="AL209" s="21"/>
      <c r="AM209" s="21"/>
      <c r="AN209" s="179"/>
      <c r="AO209" s="38"/>
      <c r="AP209" s="188">
        <f>F209*I209+AN209+AN210</f>
        <v>0</v>
      </c>
      <c r="AR209" s="15"/>
      <c r="AS209" s="15"/>
      <c r="AT209" s="51"/>
      <c r="AU209" s="15"/>
      <c r="AV209" s="15"/>
      <c r="AW209" s="15"/>
      <c r="AX209" s="15"/>
      <c r="AY209" s="15"/>
      <c r="AZ209" s="15"/>
      <c r="BA209" s="51"/>
      <c r="BB209" s="15"/>
      <c r="BC209" s="15"/>
      <c r="BD209" s="15"/>
      <c r="BE209" s="15"/>
      <c r="BF209" s="15"/>
      <c r="BG209" s="51"/>
      <c r="BH209" s="15"/>
      <c r="BI209" s="15"/>
      <c r="BJ209" s="15"/>
      <c r="BK209" s="51"/>
      <c r="BL209" s="15"/>
      <c r="BM209" s="15"/>
      <c r="BN209" s="15"/>
      <c r="BO209" s="15"/>
      <c r="BP209" s="15"/>
      <c r="BQ209" s="15"/>
      <c r="BR209" s="15"/>
      <c r="BS209" s="15"/>
      <c r="BT209" s="15"/>
      <c r="BU209" s="15"/>
      <c r="BV209" s="15"/>
      <c r="BW209" s="15"/>
      <c r="BX209" s="139"/>
      <c r="BY209" s="139" t="str">
        <f>IF($AB209=0,"",$AB209)</f>
        <v/>
      </c>
      <c r="BZ209" s="139"/>
      <c r="CA209" s="139"/>
      <c r="CB209" s="139"/>
      <c r="CC209" s="139"/>
      <c r="CD209" s="139"/>
      <c r="CE209" s="139"/>
      <c r="CF209" s="139"/>
      <c r="CG209" s="139"/>
      <c r="CH209" s="139"/>
      <c r="CI209" s="139"/>
      <c r="CJ209" s="139"/>
      <c r="CK209" s="139"/>
      <c r="CL209" s="139"/>
      <c r="CM209" s="139"/>
      <c r="CN209" s="139"/>
      <c r="CO209" s="139"/>
      <c r="CP209" s="139"/>
      <c r="CQ209" s="139"/>
      <c r="CR209" s="139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  <c r="FR209" s="18"/>
      <c r="FS209" s="18"/>
      <c r="FT209" s="18"/>
      <c r="FU209" s="18"/>
      <c r="FV209" s="18"/>
      <c r="FW209" s="18"/>
      <c r="FX209" s="18"/>
      <c r="FY209" s="18"/>
      <c r="FZ209" s="18"/>
      <c r="GA209" s="18"/>
      <c r="GB209" s="18"/>
      <c r="GC209" s="18"/>
      <c r="GD209" s="18"/>
      <c r="GE209" s="18"/>
      <c r="GF209" s="18"/>
      <c r="GG209" s="18"/>
      <c r="GH209" s="18"/>
      <c r="GI209" s="18"/>
      <c r="GJ209" s="18"/>
      <c r="GK209" s="18"/>
      <c r="GL209" s="18"/>
      <c r="GM209" s="18"/>
      <c r="GN209" s="18"/>
      <c r="GO209" s="18"/>
      <c r="GP209" s="18"/>
      <c r="GQ209" s="18"/>
      <c r="GR209" s="18"/>
      <c r="GS209" s="18"/>
      <c r="GT209" s="18"/>
      <c r="GU209" s="18"/>
      <c r="GV209" s="18"/>
      <c r="GW209" s="18"/>
      <c r="GX209" s="18"/>
      <c r="GY209" s="18"/>
      <c r="GZ209" s="18"/>
      <c r="HA209" s="18"/>
      <c r="HB209" s="18"/>
      <c r="HC209" s="18"/>
      <c r="HD209" s="18"/>
      <c r="HE209" s="18"/>
      <c r="HF209" s="18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V209" s="18"/>
      <c r="HW209" s="18"/>
      <c r="HX209" s="18"/>
      <c r="HY209" s="18"/>
      <c r="HZ209" s="18"/>
      <c r="IA209" s="18"/>
      <c r="IB209" s="18"/>
      <c r="IC209" s="18"/>
      <c r="ID209" s="18"/>
      <c r="IE209" s="139"/>
      <c r="IF209" s="139"/>
      <c r="IG209" s="139"/>
      <c r="IH209" s="139"/>
      <c r="II209" s="139"/>
      <c r="IJ209" s="139"/>
      <c r="IK209" s="139"/>
      <c r="IL209" s="139"/>
      <c r="IM209" s="139"/>
      <c r="IN209" s="139"/>
      <c r="IO209" s="139"/>
    </row>
    <row r="210" spans="1:302" ht="11.1" hidden="1" customHeight="1" outlineLevel="1">
      <c r="A210" s="195"/>
      <c r="C210" s="52"/>
      <c r="D210" s="38"/>
      <c r="E210" s="29"/>
      <c r="F210" s="940"/>
      <c r="G210" s="310"/>
      <c r="H210" s="310"/>
      <c r="I210" s="309">
        <f>F209*I209</f>
        <v>0</v>
      </c>
      <c r="J210" s="309"/>
      <c r="K210" s="185">
        <f>AP209</f>
        <v>0</v>
      </c>
      <c r="L210" s="58"/>
      <c r="M210" s="311"/>
      <c r="N210" s="311"/>
      <c r="O210" s="311"/>
      <c r="P210" s="318">
        <v>212.65</v>
      </c>
      <c r="Q210" s="1"/>
      <c r="T210" s="293"/>
      <c r="U210" s="293"/>
      <c r="V210" s="293"/>
      <c r="W210" s="293"/>
      <c r="X210" s="292"/>
      <c r="Y210" s="292"/>
      <c r="Z210" s="292"/>
      <c r="AA210" s="292"/>
      <c r="AB210" s="947"/>
      <c r="AC210" s="947"/>
      <c r="AD210" s="183">
        <f>((P209-I209)/I209)</f>
        <v>3.0112010861659353E-2</v>
      </c>
      <c r="AE210" s="183"/>
      <c r="AF210" s="308"/>
      <c r="AG210" s="307"/>
      <c r="AH210" s="307"/>
      <c r="AI210" s="307"/>
      <c r="AJ210" s="307"/>
      <c r="AK210" s="307"/>
      <c r="AL210" s="21"/>
      <c r="AM210" s="21"/>
      <c r="AN210" s="179"/>
      <c r="AO210" s="38"/>
      <c r="AP210" s="38"/>
      <c r="AR210" s="15"/>
      <c r="AS210" s="15"/>
      <c r="AT210" s="51"/>
      <c r="AU210" s="15"/>
      <c r="AV210" s="15"/>
      <c r="AW210" s="15"/>
      <c r="AX210" s="15"/>
      <c r="AY210" s="15"/>
      <c r="AZ210" s="15"/>
      <c r="BA210" s="51"/>
      <c r="BB210" s="15"/>
      <c r="BC210" s="15"/>
      <c r="BD210" s="15"/>
      <c r="BE210" s="15"/>
      <c r="BF210" s="15"/>
      <c r="BG210" s="51"/>
      <c r="BH210" s="15"/>
      <c r="BI210" s="15"/>
      <c r="BJ210" s="15"/>
      <c r="BK210" s="51"/>
      <c r="BL210" s="15"/>
      <c r="BM210" s="15"/>
      <c r="BN210" s="15"/>
      <c r="BO210" s="15"/>
      <c r="BP210" s="15"/>
      <c r="BQ210" s="15"/>
      <c r="BR210" s="15"/>
      <c r="BS210" s="15"/>
      <c r="BT210" s="15"/>
      <c r="BU210" s="15"/>
      <c r="BV210" s="15"/>
      <c r="BW210" s="15"/>
      <c r="BX210" s="139"/>
      <c r="BY210" s="314" t="str">
        <f>IF(AC$193=0,"",AC$193)</f>
        <v/>
      </c>
      <c r="BZ210" s="314"/>
      <c r="CA210" s="314"/>
      <c r="CB210" s="314"/>
      <c r="CC210" s="314"/>
      <c r="CD210" s="314"/>
      <c r="CE210" s="314"/>
      <c r="CF210" s="314"/>
      <c r="CG210" s="314"/>
      <c r="CH210" s="314"/>
      <c r="CI210" s="314"/>
      <c r="CJ210" s="314"/>
      <c r="CK210" s="314"/>
      <c r="CL210" s="314"/>
      <c r="CM210" s="314"/>
      <c r="CN210" s="314"/>
      <c r="CO210" s="314"/>
      <c r="CP210" s="314"/>
      <c r="CQ210" s="314"/>
      <c r="CR210" s="314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  <c r="FR210" s="18"/>
      <c r="FS210" s="18"/>
      <c r="FT210" s="18"/>
      <c r="FU210" s="18"/>
      <c r="FV210" s="18"/>
      <c r="FW210" s="18"/>
      <c r="FX210" s="18"/>
      <c r="FY210" s="18"/>
      <c r="FZ210" s="18"/>
      <c r="GA210" s="18"/>
      <c r="GB210" s="18"/>
      <c r="GC210" s="18"/>
      <c r="GD210" s="18"/>
      <c r="GE210" s="18"/>
      <c r="GF210" s="18"/>
      <c r="GG210" s="18"/>
      <c r="GH210" s="18"/>
      <c r="GI210" s="18"/>
      <c r="GJ210" s="18"/>
      <c r="GK210" s="18"/>
      <c r="GL210" s="18"/>
      <c r="GM210" s="18"/>
      <c r="GN210" s="18"/>
      <c r="GO210" s="18"/>
      <c r="GP210" s="18"/>
      <c r="GQ210" s="18"/>
      <c r="GR210" s="18"/>
      <c r="GS210" s="18"/>
      <c r="GT210" s="18"/>
      <c r="GU210" s="18"/>
      <c r="GV210" s="18"/>
      <c r="GW210" s="18"/>
      <c r="GX210" s="18"/>
      <c r="GY210" s="18"/>
      <c r="GZ210" s="18"/>
      <c r="HA210" s="18"/>
      <c r="HB210" s="18"/>
      <c r="HC210" s="18"/>
      <c r="HD210" s="18"/>
      <c r="HE210" s="18"/>
      <c r="HF210" s="18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V210" s="18"/>
      <c r="HW210" s="18"/>
      <c r="HX210" s="18"/>
      <c r="HY210" s="18"/>
      <c r="HZ210" s="18"/>
      <c r="IA210" s="18"/>
      <c r="IB210" s="18"/>
      <c r="IC210" s="18"/>
      <c r="ID210" s="18"/>
      <c r="IE210" s="314"/>
      <c r="IF210" s="314"/>
      <c r="IG210" s="314"/>
      <c r="IH210" s="314"/>
      <c r="II210" s="314"/>
      <c r="IJ210" s="314"/>
      <c r="IK210" s="314"/>
      <c r="IL210" s="314"/>
      <c r="IM210" s="314"/>
      <c r="IN210" s="314"/>
      <c r="IO210" s="314"/>
    </row>
    <row r="211" spans="1:302" ht="11.1" hidden="1" customHeight="1" outlineLevel="1">
      <c r="A211" s="195"/>
      <c r="C211" s="52"/>
      <c r="D211" s="38"/>
      <c r="E211" s="29"/>
      <c r="F211" s="940"/>
      <c r="G211" s="310"/>
      <c r="H211" s="310"/>
      <c r="I211" s="309"/>
      <c r="J211" s="309"/>
      <c r="K211" s="185"/>
      <c r="L211" s="58"/>
      <c r="M211" s="136" t="s">
        <v>37</v>
      </c>
      <c r="N211" s="136"/>
      <c r="O211" s="136"/>
      <c r="P211" s="199">
        <v>179.91</v>
      </c>
      <c r="Q211" s="1"/>
      <c r="T211" s="293"/>
      <c r="U211" s="293"/>
      <c r="V211" s="293"/>
      <c r="W211" s="293"/>
      <c r="X211" s="292"/>
      <c r="Y211" s="292"/>
      <c r="Z211" s="292"/>
      <c r="AA211" s="292"/>
      <c r="AB211" s="947"/>
      <c r="AC211" s="947"/>
      <c r="AD211" s="183"/>
      <c r="AE211" s="183"/>
      <c r="AF211" s="308"/>
      <c r="AG211" s="307"/>
      <c r="AH211" s="307"/>
      <c r="AI211" s="307"/>
      <c r="AJ211" s="307"/>
      <c r="AK211" s="307"/>
      <c r="AL211" s="21"/>
      <c r="AM211" s="21"/>
      <c r="AN211" s="21"/>
      <c r="AO211" s="21"/>
      <c r="AP211" s="21"/>
      <c r="AQ211" s="22"/>
      <c r="AR211" s="15"/>
      <c r="AS211" s="15"/>
      <c r="AT211" s="51"/>
      <c r="AU211" s="15"/>
      <c r="AV211" s="15"/>
      <c r="AW211" s="15"/>
      <c r="AX211" s="15"/>
      <c r="AY211" s="15"/>
      <c r="AZ211" s="15"/>
      <c r="BA211" s="51"/>
      <c r="BB211" s="15"/>
      <c r="BC211" s="15"/>
      <c r="BD211" s="15"/>
      <c r="BE211" s="15"/>
      <c r="BF211" s="15"/>
      <c r="BG211" s="51"/>
      <c r="BH211" s="15"/>
      <c r="BI211" s="15"/>
      <c r="BJ211" s="15"/>
      <c r="BK211" s="51"/>
      <c r="BL211" s="15"/>
      <c r="BM211" s="15"/>
      <c r="BN211" s="15"/>
      <c r="BO211" s="15"/>
      <c r="BP211" s="15"/>
      <c r="BQ211" s="15"/>
      <c r="BR211" s="15"/>
      <c r="BS211" s="15"/>
      <c r="BT211" s="15"/>
      <c r="BU211" s="15"/>
      <c r="BV211" s="15"/>
      <c r="BW211" s="15"/>
      <c r="BX211" s="139"/>
      <c r="BY211" s="314" t="str">
        <f>IF(AC$193=0,"",AC$193)</f>
        <v/>
      </c>
      <c r="BZ211" s="314"/>
      <c r="CA211" s="314"/>
      <c r="CB211" s="314"/>
      <c r="CC211" s="314"/>
      <c r="CD211" s="314"/>
      <c r="CE211" s="314"/>
      <c r="CF211" s="314"/>
      <c r="CG211" s="314"/>
      <c r="CH211" s="314"/>
      <c r="CI211" s="314"/>
      <c r="CJ211" s="314"/>
      <c r="CK211" s="314"/>
      <c r="CL211" s="314"/>
      <c r="CM211" s="314"/>
      <c r="CN211" s="314"/>
      <c r="CO211" s="314"/>
      <c r="CP211" s="314"/>
      <c r="CQ211" s="314"/>
      <c r="CR211" s="314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  <c r="FR211" s="18"/>
      <c r="FS211" s="18"/>
      <c r="FT211" s="18"/>
      <c r="FU211" s="18"/>
      <c r="FV211" s="18"/>
      <c r="FW211" s="18"/>
      <c r="FX211" s="18"/>
      <c r="FY211" s="18"/>
      <c r="FZ211" s="18"/>
      <c r="GA211" s="18"/>
      <c r="GB211" s="18"/>
      <c r="GC211" s="18"/>
      <c r="GD211" s="18"/>
      <c r="GE211" s="18"/>
      <c r="GF211" s="18"/>
      <c r="GG211" s="18"/>
      <c r="GH211" s="18"/>
      <c r="GI211" s="18"/>
      <c r="GJ211" s="18"/>
      <c r="GK211" s="18"/>
      <c r="GL211" s="18"/>
      <c r="GM211" s="18"/>
      <c r="GN211" s="18"/>
      <c r="GO211" s="18"/>
      <c r="GP211" s="18"/>
      <c r="GQ211" s="18"/>
      <c r="GR211" s="18"/>
      <c r="GS211" s="18"/>
      <c r="GT211" s="18"/>
      <c r="GU211" s="18"/>
      <c r="GV211" s="18"/>
      <c r="GW211" s="18"/>
      <c r="GX211" s="18"/>
      <c r="GY211" s="18"/>
      <c r="GZ211" s="18"/>
      <c r="HA211" s="18"/>
      <c r="HB211" s="18"/>
      <c r="HC211" s="18"/>
      <c r="HD211" s="18"/>
      <c r="HE211" s="18"/>
      <c r="HF211" s="18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V211" s="18"/>
      <c r="HW211" s="18"/>
      <c r="HX211" s="18"/>
      <c r="HY211" s="18"/>
      <c r="HZ211" s="18"/>
      <c r="IA211" s="18"/>
      <c r="IB211" s="18"/>
      <c r="IC211" s="18"/>
      <c r="ID211" s="18"/>
      <c r="IE211" s="314"/>
      <c r="IF211" s="314"/>
      <c r="IG211" s="314"/>
      <c r="IH211" s="314"/>
      <c r="II211" s="314"/>
      <c r="IJ211" s="314"/>
      <c r="IK211" s="314"/>
      <c r="IL211" s="314"/>
      <c r="IM211" s="314"/>
      <c r="IN211" s="314"/>
      <c r="IO211" s="314"/>
    </row>
    <row r="212" spans="1:302" ht="11.1" hidden="1" customHeight="1" outlineLevel="1">
      <c r="A212" s="195"/>
      <c r="C212" s="52"/>
      <c r="D212" s="38"/>
      <c r="E212" s="29"/>
      <c r="F212" s="940"/>
      <c r="G212" s="310"/>
      <c r="H212" s="310"/>
      <c r="I212" s="309"/>
      <c r="J212" s="309"/>
      <c r="K212" s="185"/>
      <c r="L212" s="58"/>
      <c r="M212" s="136" t="s">
        <v>36</v>
      </c>
      <c r="N212" s="136"/>
      <c r="O212" s="136"/>
      <c r="P212" s="316">
        <v>180.96</v>
      </c>
      <c r="Q212" s="1"/>
      <c r="T212" s="293"/>
      <c r="U212" s="293"/>
      <c r="V212" s="293"/>
      <c r="W212" s="293"/>
      <c r="X212" s="292"/>
      <c r="Y212" s="292"/>
      <c r="Z212" s="292"/>
      <c r="AA212" s="292"/>
      <c r="AB212" s="947"/>
      <c r="AC212" s="947"/>
      <c r="AD212" s="183"/>
      <c r="AE212" s="183"/>
      <c r="AF212" s="308"/>
      <c r="AG212" s="307"/>
      <c r="AH212" s="307"/>
      <c r="AI212" s="307"/>
      <c r="AJ212" s="307"/>
      <c r="AK212" s="307"/>
      <c r="AL212" s="21"/>
      <c r="AM212" s="21"/>
      <c r="AN212" s="21"/>
      <c r="AO212" s="21"/>
      <c r="AP212" s="21"/>
      <c r="AQ212" s="22"/>
      <c r="AR212" s="15"/>
      <c r="AS212" s="15"/>
      <c r="AT212" s="51"/>
      <c r="AU212" s="15"/>
      <c r="AV212" s="15"/>
      <c r="AW212" s="15"/>
      <c r="AX212" s="15"/>
      <c r="AY212" s="15"/>
      <c r="AZ212" s="15"/>
      <c r="BA212" s="51"/>
      <c r="BB212" s="15"/>
      <c r="BC212" s="15"/>
      <c r="BD212" s="15"/>
      <c r="BE212" s="15"/>
      <c r="BF212" s="15"/>
      <c r="BG212" s="51"/>
      <c r="BH212" s="15"/>
      <c r="BI212" s="15"/>
      <c r="BJ212" s="15"/>
      <c r="BK212" s="51"/>
      <c r="BL212" s="15"/>
      <c r="BM212" s="15"/>
      <c r="BN212" s="15"/>
      <c r="BO212" s="15"/>
      <c r="BP212" s="15"/>
      <c r="BQ212" s="15"/>
      <c r="BR212" s="15"/>
      <c r="BS212" s="15"/>
      <c r="BT212" s="15"/>
      <c r="BU212" s="15"/>
      <c r="BV212" s="15"/>
      <c r="BW212" s="15"/>
      <c r="BX212" s="139"/>
      <c r="BY212" s="314" t="str">
        <f>IF(AC$193=0,"",AC$193)</f>
        <v/>
      </c>
      <c r="BZ212" s="314"/>
      <c r="CA212" s="314"/>
      <c r="CB212" s="314"/>
      <c r="CC212" s="314"/>
      <c r="CD212" s="314"/>
      <c r="CE212" s="314"/>
      <c r="CF212" s="314"/>
      <c r="CG212" s="314"/>
      <c r="CH212" s="314"/>
      <c r="CI212" s="314"/>
      <c r="CJ212" s="314"/>
      <c r="CK212" s="314"/>
      <c r="CL212" s="314"/>
      <c r="CM212" s="314"/>
      <c r="CN212" s="314"/>
      <c r="CO212" s="314"/>
      <c r="CP212" s="314"/>
      <c r="CQ212" s="314"/>
      <c r="CR212" s="314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  <c r="FR212" s="18"/>
      <c r="FS212" s="18"/>
      <c r="FT212" s="18"/>
      <c r="FU212" s="18"/>
      <c r="FV212" s="18"/>
      <c r="FW212" s="18"/>
      <c r="FX212" s="18"/>
      <c r="FY212" s="18"/>
      <c r="FZ212" s="18"/>
      <c r="GA212" s="18"/>
      <c r="GB212" s="18"/>
      <c r="GC212" s="18"/>
      <c r="GD212" s="18"/>
      <c r="GE212" s="18"/>
      <c r="GF212" s="18"/>
      <c r="GG212" s="18"/>
      <c r="GH212" s="18"/>
      <c r="GI212" s="18"/>
      <c r="GJ212" s="18"/>
      <c r="GK212" s="18"/>
      <c r="GL212" s="18"/>
      <c r="GM212" s="18"/>
      <c r="GN212" s="18"/>
      <c r="GO212" s="18"/>
      <c r="GP212" s="18"/>
      <c r="GQ212" s="18"/>
      <c r="GR212" s="18"/>
      <c r="GS212" s="18"/>
      <c r="GT212" s="18"/>
      <c r="GU212" s="18"/>
      <c r="GV212" s="18"/>
      <c r="GW212" s="18"/>
      <c r="GX212" s="18"/>
      <c r="GY212" s="18"/>
      <c r="GZ212" s="18"/>
      <c r="HA212" s="18"/>
      <c r="HB212" s="18"/>
      <c r="HC212" s="18"/>
      <c r="HD212" s="18"/>
      <c r="HE212" s="18"/>
      <c r="HF212" s="18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V212" s="18"/>
      <c r="HW212" s="18"/>
      <c r="HX212" s="18"/>
      <c r="HY212" s="18"/>
      <c r="HZ212" s="18"/>
      <c r="IA212" s="18"/>
      <c r="IB212" s="18"/>
      <c r="IC212" s="18"/>
      <c r="ID212" s="18"/>
      <c r="IE212" s="314"/>
      <c r="IF212" s="314"/>
      <c r="IG212" s="314"/>
      <c r="IH212" s="314"/>
      <c r="II212" s="314"/>
      <c r="IJ212" s="314"/>
      <c r="IK212" s="314"/>
      <c r="IL212" s="314"/>
      <c r="IM212" s="314"/>
      <c r="IN212" s="314"/>
      <c r="IO212" s="314"/>
    </row>
    <row r="213" spans="1:302" ht="10.5" hidden="1" customHeight="1" outlineLevel="1">
      <c r="A213" s="195"/>
      <c r="C213" s="52"/>
      <c r="D213" s="38"/>
      <c r="E213" s="29"/>
      <c r="F213" s="940"/>
      <c r="G213" s="310"/>
      <c r="H213" s="310"/>
      <c r="I213" s="309"/>
      <c r="J213" s="309"/>
      <c r="K213" s="185"/>
      <c r="L213" s="58"/>
      <c r="M213" s="136" t="s">
        <v>35</v>
      </c>
      <c r="N213" s="136"/>
      <c r="O213" s="136"/>
      <c r="P213" s="316">
        <v>179.51</v>
      </c>
      <c r="Q213" s="1"/>
      <c r="T213" s="293"/>
      <c r="U213" s="293"/>
      <c r="V213" s="293"/>
      <c r="W213" s="293"/>
      <c r="X213" s="292"/>
      <c r="Y213" s="292"/>
      <c r="Z213" s="292"/>
      <c r="AA213" s="292"/>
      <c r="AB213" s="947"/>
      <c r="AC213" s="947"/>
      <c r="AD213" s="183"/>
      <c r="AE213" s="183"/>
      <c r="AF213" s="308"/>
      <c r="AG213" s="307"/>
      <c r="AH213" s="307"/>
      <c r="AI213" s="307"/>
      <c r="AJ213" s="307"/>
      <c r="AK213" s="307"/>
      <c r="AL213" s="21"/>
      <c r="AM213" s="21"/>
      <c r="AN213" s="21"/>
      <c r="AO213" s="21"/>
      <c r="AP213" s="21"/>
      <c r="AQ213" s="22"/>
      <c r="AR213" s="15"/>
      <c r="AS213" s="15"/>
      <c r="AT213" s="51"/>
      <c r="AU213" s="15"/>
      <c r="AV213" s="15"/>
      <c r="AW213" s="15"/>
      <c r="AX213" s="15"/>
      <c r="AY213" s="15"/>
      <c r="AZ213" s="15"/>
      <c r="BA213" s="51"/>
      <c r="BB213" s="15"/>
      <c r="BC213" s="15"/>
      <c r="BD213" s="15"/>
      <c r="BE213" s="15"/>
      <c r="BF213" s="15"/>
      <c r="BG213" s="51"/>
      <c r="BH213" s="15"/>
      <c r="BI213" s="15"/>
      <c r="BJ213" s="15"/>
      <c r="BK213" s="51"/>
      <c r="BL213" s="15"/>
      <c r="BM213" s="15"/>
      <c r="BN213" s="15"/>
      <c r="BO213" s="15"/>
      <c r="BP213" s="15"/>
      <c r="BQ213" s="15"/>
      <c r="BR213" s="15"/>
      <c r="BS213" s="15"/>
      <c r="BT213" s="15"/>
      <c r="BU213" s="15"/>
      <c r="BV213" s="15"/>
      <c r="BW213" s="15"/>
      <c r="BX213" s="139"/>
      <c r="BY213" s="314" t="str">
        <f>IF(AC$193=0,"",AC$193)</f>
        <v/>
      </c>
      <c r="BZ213" s="314"/>
      <c r="CA213" s="314"/>
      <c r="CB213" s="314"/>
      <c r="CC213" s="314"/>
      <c r="CD213" s="314"/>
      <c r="CE213" s="314"/>
      <c r="CF213" s="314"/>
      <c r="CG213" s="314"/>
      <c r="CH213" s="314"/>
      <c r="CI213" s="314"/>
      <c r="CJ213" s="314"/>
      <c r="CK213" s="314"/>
      <c r="CL213" s="314"/>
      <c r="CM213" s="314"/>
      <c r="CN213" s="314"/>
      <c r="CO213" s="314"/>
      <c r="CP213" s="314"/>
      <c r="CQ213" s="314"/>
      <c r="CR213" s="314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  <c r="FR213" s="18"/>
      <c r="FS213" s="18"/>
      <c r="FT213" s="18"/>
      <c r="FU213" s="18"/>
      <c r="FV213" s="18"/>
      <c r="FW213" s="18"/>
      <c r="FX213" s="18"/>
      <c r="FY213" s="18"/>
      <c r="FZ213" s="18"/>
      <c r="GA213" s="18"/>
      <c r="GB213" s="18"/>
      <c r="GC213" s="18"/>
      <c r="GD213" s="18"/>
      <c r="GE213" s="18"/>
      <c r="GF213" s="18"/>
      <c r="GG213" s="18"/>
      <c r="GH213" s="18"/>
      <c r="GI213" s="18"/>
      <c r="GJ213" s="18"/>
      <c r="GK213" s="18"/>
      <c r="GL213" s="18"/>
      <c r="GM213" s="18"/>
      <c r="GN213" s="18"/>
      <c r="GO213" s="18"/>
      <c r="GP213" s="18"/>
      <c r="GQ213" s="18"/>
      <c r="GR213" s="18"/>
      <c r="GS213" s="18"/>
      <c r="GT213" s="18"/>
      <c r="GU213" s="18"/>
      <c r="GV213" s="18"/>
      <c r="GW213" s="18"/>
      <c r="GX213" s="18"/>
      <c r="GY213" s="18"/>
      <c r="GZ213" s="18"/>
      <c r="HA213" s="18"/>
      <c r="HB213" s="18"/>
      <c r="HC213" s="18"/>
      <c r="HD213" s="18"/>
      <c r="HE213" s="18"/>
      <c r="HF213" s="18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V213" s="18"/>
      <c r="HW213" s="18"/>
      <c r="HX213" s="18"/>
      <c r="HY213" s="18"/>
      <c r="HZ213" s="18"/>
      <c r="IA213" s="18"/>
      <c r="IB213" s="18"/>
      <c r="IC213" s="18"/>
      <c r="ID213" s="18"/>
      <c r="IE213" s="314"/>
      <c r="IF213" s="314"/>
      <c r="IG213" s="314"/>
      <c r="IH213" s="314"/>
      <c r="II213" s="314"/>
      <c r="IJ213" s="314"/>
      <c r="IK213" s="314"/>
      <c r="IL213" s="314"/>
      <c r="IM213" s="314"/>
      <c r="IN213" s="314"/>
      <c r="IO213" s="314"/>
    </row>
    <row r="214" spans="1:302" ht="10.5" hidden="1" customHeight="1" outlineLevel="1">
      <c r="A214" s="195"/>
      <c r="C214" s="52"/>
      <c r="D214" s="38"/>
      <c r="E214" s="29"/>
      <c r="F214" s="940"/>
      <c r="G214" s="310"/>
      <c r="H214" s="310"/>
      <c r="I214" s="309"/>
      <c r="J214" s="309"/>
      <c r="K214" s="185"/>
      <c r="L214" s="58"/>
      <c r="M214" s="136" t="s">
        <v>34</v>
      </c>
      <c r="N214" s="136"/>
      <c r="O214" s="136"/>
      <c r="P214" s="184">
        <v>180.27</v>
      </c>
      <c r="Q214" s="1"/>
      <c r="T214" s="293"/>
      <c r="U214" s="293"/>
      <c r="V214" s="293"/>
      <c r="W214" s="293"/>
      <c r="X214" s="292"/>
      <c r="Y214" s="292"/>
      <c r="Z214" s="292"/>
      <c r="AA214" s="292"/>
      <c r="AB214" s="947"/>
      <c r="AC214" s="947"/>
      <c r="AD214" s="183"/>
      <c r="AE214" s="183"/>
      <c r="AF214" s="308"/>
      <c r="AG214" s="307"/>
      <c r="AH214" s="307"/>
      <c r="AI214" s="307"/>
      <c r="AJ214" s="307"/>
      <c r="AK214" s="307"/>
      <c r="AL214" s="21"/>
      <c r="AM214" s="21"/>
      <c r="AN214" s="21"/>
      <c r="AO214" s="21"/>
      <c r="AP214" s="21"/>
      <c r="AQ214" s="22"/>
      <c r="AR214" s="15"/>
      <c r="AS214" s="15"/>
      <c r="AT214" s="51"/>
      <c r="AU214" s="15"/>
      <c r="AV214" s="15"/>
      <c r="AW214" s="15"/>
      <c r="AX214" s="15"/>
      <c r="AY214" s="15"/>
      <c r="AZ214" s="15"/>
      <c r="BA214" s="51"/>
      <c r="BB214" s="15"/>
      <c r="BC214" s="15"/>
      <c r="BD214" s="15"/>
      <c r="BE214" s="15"/>
      <c r="BF214" s="15"/>
      <c r="BG214" s="51"/>
      <c r="BH214" s="15"/>
      <c r="BI214" s="15"/>
      <c r="BJ214" s="15"/>
      <c r="BK214" s="51"/>
      <c r="BL214" s="15"/>
      <c r="BM214" s="15"/>
      <c r="BN214" s="15"/>
      <c r="BO214" s="15"/>
      <c r="BP214" s="15"/>
      <c r="BQ214" s="15"/>
      <c r="BR214" s="15"/>
      <c r="BS214" s="15"/>
      <c r="BT214" s="15"/>
      <c r="BU214" s="15"/>
      <c r="BV214" s="15"/>
      <c r="BW214" s="15"/>
      <c r="BX214" s="139"/>
      <c r="BY214" s="314"/>
      <c r="BZ214" s="314"/>
      <c r="CA214" s="314"/>
      <c r="CB214" s="314"/>
      <c r="CC214" s="314"/>
      <c r="CD214" s="314"/>
      <c r="CE214" s="314"/>
      <c r="CF214" s="314"/>
      <c r="CG214" s="314"/>
      <c r="CH214" s="314"/>
      <c r="CI214" s="314"/>
      <c r="CJ214" s="314"/>
      <c r="CK214" s="314"/>
      <c r="CL214" s="314"/>
      <c r="CM214" s="314"/>
      <c r="CN214" s="314"/>
      <c r="CO214" s="314"/>
      <c r="CP214" s="314"/>
      <c r="CQ214" s="314"/>
      <c r="CR214" s="314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  <c r="FR214" s="18"/>
      <c r="FS214" s="18"/>
      <c r="FT214" s="18"/>
      <c r="FU214" s="18"/>
      <c r="FV214" s="18"/>
      <c r="FW214" s="18"/>
      <c r="FX214" s="18"/>
      <c r="FY214" s="18"/>
      <c r="FZ214" s="18"/>
      <c r="GA214" s="18"/>
      <c r="GB214" s="18"/>
      <c r="GC214" s="18"/>
      <c r="GD214" s="18"/>
      <c r="GE214" s="18"/>
      <c r="GF214" s="18"/>
      <c r="GG214" s="18"/>
      <c r="GH214" s="18"/>
      <c r="GI214" s="18"/>
      <c r="GJ214" s="18"/>
      <c r="GK214" s="18"/>
      <c r="GL214" s="18"/>
      <c r="GM214" s="18"/>
      <c r="GN214" s="18"/>
      <c r="GO214" s="18"/>
      <c r="GP214" s="18"/>
      <c r="GQ214" s="18"/>
      <c r="GR214" s="18"/>
      <c r="GS214" s="18"/>
      <c r="GT214" s="18"/>
      <c r="GU214" s="18"/>
      <c r="GV214" s="18"/>
      <c r="GW214" s="18"/>
      <c r="GX214" s="18"/>
      <c r="GY214" s="18"/>
      <c r="GZ214" s="18"/>
      <c r="HA214" s="18"/>
      <c r="HB214" s="18"/>
      <c r="HC214" s="18"/>
      <c r="HD214" s="18"/>
      <c r="HE214" s="18"/>
      <c r="HF214" s="18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V214" s="18"/>
      <c r="HW214" s="18"/>
      <c r="HX214" s="18"/>
      <c r="HY214" s="18"/>
      <c r="HZ214" s="18"/>
      <c r="IA214" s="18"/>
      <c r="IB214" s="18"/>
      <c r="IC214" s="18"/>
      <c r="ID214" s="18"/>
      <c r="IE214" s="314"/>
      <c r="IF214" s="314"/>
      <c r="IG214" s="314"/>
      <c r="IH214" s="314"/>
      <c r="II214" s="314"/>
      <c r="IJ214" s="314"/>
      <c r="IK214" s="314"/>
      <c r="IL214" s="314"/>
      <c r="IM214" s="314"/>
      <c r="IN214" s="314"/>
      <c r="IO214" s="314"/>
    </row>
    <row r="215" spans="1:302" ht="10.5" hidden="1" customHeight="1" outlineLevel="1">
      <c r="A215" s="195"/>
      <c r="C215" s="52"/>
      <c r="D215" s="38"/>
      <c r="E215" s="29"/>
      <c r="F215" s="940"/>
      <c r="G215" s="310"/>
      <c r="H215" s="310"/>
      <c r="I215" s="309"/>
      <c r="J215" s="309"/>
      <c r="K215" s="185"/>
      <c r="L215" s="58"/>
      <c r="M215" s="136" t="s">
        <v>112</v>
      </c>
      <c r="N215" s="136"/>
      <c r="O215" s="136"/>
      <c r="P215" s="184" t="s">
        <v>30</v>
      </c>
      <c r="Q215" s="1"/>
      <c r="T215" s="293"/>
      <c r="U215" s="293"/>
      <c r="V215" s="293"/>
      <c r="W215" s="293"/>
      <c r="X215" s="292"/>
      <c r="Y215" s="292"/>
      <c r="Z215" s="292"/>
      <c r="AA215" s="292"/>
      <c r="AB215" s="947"/>
      <c r="AC215" s="947"/>
      <c r="AD215" s="183"/>
      <c r="AE215" s="183"/>
      <c r="AF215" s="308"/>
      <c r="AG215" s="307"/>
      <c r="AH215" s="307"/>
      <c r="AI215" s="307"/>
      <c r="AJ215" s="307"/>
      <c r="AK215" s="307"/>
      <c r="AL215" s="21"/>
      <c r="AM215" s="21"/>
      <c r="AN215" s="21"/>
      <c r="AO215" s="21"/>
      <c r="AP215" s="21"/>
      <c r="AQ215" s="22"/>
      <c r="AR215" s="15"/>
      <c r="AS215" s="15"/>
      <c r="AT215" s="51"/>
      <c r="AU215" s="15"/>
      <c r="AV215" s="15"/>
      <c r="AW215" s="15"/>
      <c r="AX215" s="15"/>
      <c r="AY215" s="15"/>
      <c r="AZ215" s="15"/>
      <c r="BA215" s="51"/>
      <c r="BB215" s="15"/>
      <c r="BC215" s="15"/>
      <c r="BD215" s="15"/>
      <c r="BE215" s="15"/>
      <c r="BF215" s="15"/>
      <c r="BG215" s="51"/>
      <c r="BH215" s="15"/>
      <c r="BI215" s="15"/>
      <c r="BJ215" s="15"/>
      <c r="BK215" s="51"/>
      <c r="BL215" s="15"/>
      <c r="BM215" s="15"/>
      <c r="BN215" s="15"/>
      <c r="BO215" s="15"/>
      <c r="BP215" s="15"/>
      <c r="BQ215" s="15"/>
      <c r="BR215" s="15"/>
      <c r="BS215" s="15"/>
      <c r="BT215" s="15"/>
      <c r="BU215" s="15"/>
      <c r="BV215" s="15"/>
      <c r="BW215" s="15"/>
      <c r="BX215" s="139"/>
      <c r="BY215" s="314"/>
      <c r="BZ215" s="314"/>
      <c r="CA215" s="314"/>
      <c r="CB215" s="314"/>
      <c r="CC215" s="314"/>
      <c r="CD215" s="314"/>
      <c r="CE215" s="314"/>
      <c r="CF215" s="314"/>
      <c r="CG215" s="314"/>
      <c r="CH215" s="314"/>
      <c r="CI215" s="314"/>
      <c r="CJ215" s="314"/>
      <c r="CK215" s="314"/>
      <c r="CL215" s="314"/>
      <c r="CM215" s="314"/>
      <c r="CN215" s="314"/>
      <c r="CO215" s="314"/>
      <c r="CP215" s="314"/>
      <c r="CQ215" s="314"/>
      <c r="CR215" s="314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  <c r="FR215" s="18"/>
      <c r="FS215" s="18"/>
      <c r="FT215" s="18"/>
      <c r="FU215" s="18"/>
      <c r="FV215" s="18"/>
      <c r="FW215" s="18"/>
      <c r="FX215" s="18"/>
      <c r="FY215" s="18"/>
      <c r="FZ215" s="18"/>
      <c r="GA215" s="18"/>
      <c r="GB215" s="18"/>
      <c r="GC215" s="18"/>
      <c r="GD215" s="18"/>
      <c r="GE215" s="18"/>
      <c r="GF215" s="18"/>
      <c r="GG215" s="18"/>
      <c r="GH215" s="18"/>
      <c r="GI215" s="18"/>
      <c r="GJ215" s="18"/>
      <c r="GK215" s="18"/>
      <c r="GL215" s="18"/>
      <c r="GM215" s="18"/>
      <c r="GN215" s="18"/>
      <c r="GO215" s="18"/>
      <c r="GP215" s="18"/>
      <c r="GQ215" s="18"/>
      <c r="GR215" s="18"/>
      <c r="GS215" s="18"/>
      <c r="GT215" s="18"/>
      <c r="GU215" s="18"/>
      <c r="GV215" s="18"/>
      <c r="GW215" s="18"/>
      <c r="GX215" s="18"/>
      <c r="GY215" s="18"/>
      <c r="GZ215" s="18"/>
      <c r="HA215" s="18"/>
      <c r="HB215" s="18"/>
      <c r="HC215" s="18"/>
      <c r="HD215" s="18"/>
      <c r="HE215" s="18"/>
      <c r="HF215" s="18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V215" s="18"/>
      <c r="HW215" s="18"/>
      <c r="HX215" s="18"/>
      <c r="HY215" s="18"/>
      <c r="HZ215" s="18"/>
      <c r="IA215" s="18"/>
      <c r="IB215" s="18"/>
      <c r="IC215" s="18"/>
      <c r="ID215" s="18"/>
      <c r="IE215" s="314"/>
      <c r="IF215" s="314"/>
      <c r="IG215" s="314"/>
      <c r="IH215" s="314"/>
      <c r="II215" s="314"/>
      <c r="IJ215" s="314"/>
      <c r="IK215" s="314"/>
      <c r="IL215" s="314"/>
      <c r="IM215" s="314"/>
      <c r="IN215" s="314"/>
      <c r="IO215" s="314"/>
    </row>
    <row r="216" spans="1:302" ht="10.5" hidden="1" customHeight="1" outlineLevel="1">
      <c r="A216" s="195"/>
      <c r="C216" s="52"/>
      <c r="D216" s="38"/>
      <c r="E216" s="29"/>
      <c r="F216" s="940"/>
      <c r="G216" s="310"/>
      <c r="H216" s="310"/>
      <c r="I216" s="309"/>
      <c r="J216" s="309"/>
      <c r="K216" s="185"/>
      <c r="L216" s="58"/>
      <c r="M216" s="136" t="s">
        <v>111</v>
      </c>
      <c r="N216" s="136"/>
      <c r="O216" s="136"/>
      <c r="P216" s="18" t="s">
        <v>30</v>
      </c>
      <c r="Q216" s="1"/>
      <c r="T216" s="293"/>
      <c r="U216" s="293"/>
      <c r="V216" s="293"/>
      <c r="W216" s="293"/>
      <c r="X216" s="292"/>
      <c r="Y216" s="292"/>
      <c r="Z216" s="292"/>
      <c r="AA216" s="292"/>
      <c r="AB216" s="947"/>
      <c r="AC216" s="947"/>
      <c r="AD216" s="183"/>
      <c r="AE216" s="183"/>
      <c r="AF216" s="308"/>
      <c r="AG216" s="307"/>
      <c r="AH216" s="307"/>
      <c r="AI216" s="307"/>
      <c r="AJ216" s="307"/>
      <c r="AK216" s="307"/>
      <c r="AL216" s="21"/>
      <c r="AM216" s="21"/>
      <c r="AN216" s="21"/>
      <c r="AO216" s="21"/>
      <c r="AP216" s="21"/>
      <c r="AQ216" s="22"/>
      <c r="AR216" s="15"/>
      <c r="AS216" s="15"/>
      <c r="AT216" s="51"/>
      <c r="AU216" s="15"/>
      <c r="AV216" s="15"/>
      <c r="AW216" s="15"/>
      <c r="AX216" s="15"/>
      <c r="AY216" s="15"/>
      <c r="AZ216" s="15"/>
      <c r="BA216" s="51"/>
      <c r="BB216" s="15"/>
      <c r="BC216" s="15"/>
      <c r="BD216" s="15"/>
      <c r="BE216" s="15"/>
      <c r="BF216" s="15"/>
      <c r="BG216" s="51"/>
      <c r="BH216" s="15"/>
      <c r="BI216" s="15"/>
      <c r="BJ216" s="15"/>
      <c r="BK216" s="51"/>
      <c r="BL216" s="15"/>
      <c r="BM216" s="15"/>
      <c r="BN216" s="15"/>
      <c r="BO216" s="15"/>
      <c r="BP216" s="15"/>
      <c r="BQ216" s="15"/>
      <c r="BR216" s="15"/>
      <c r="BS216" s="15"/>
      <c r="BT216" s="15"/>
      <c r="BU216" s="15"/>
      <c r="BV216" s="15"/>
      <c r="BW216" s="15"/>
      <c r="BX216" s="139"/>
      <c r="BY216" s="314"/>
      <c r="BZ216" s="314"/>
      <c r="CA216" s="314"/>
      <c r="CB216" s="314"/>
      <c r="CC216" s="314"/>
      <c r="CD216" s="314"/>
      <c r="CE216" s="314"/>
      <c r="CF216" s="314"/>
      <c r="CG216" s="314"/>
      <c r="CH216" s="314"/>
      <c r="CI216" s="314"/>
      <c r="CJ216" s="314"/>
      <c r="CK216" s="314"/>
      <c r="CL216" s="314"/>
      <c r="CM216" s="314"/>
      <c r="CN216" s="314"/>
      <c r="CO216" s="314"/>
      <c r="CP216" s="314"/>
      <c r="CQ216" s="314"/>
      <c r="CR216" s="314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  <c r="FR216" s="18"/>
      <c r="FS216" s="18"/>
      <c r="FT216" s="18"/>
      <c r="FU216" s="18"/>
      <c r="FV216" s="18"/>
      <c r="FW216" s="18"/>
      <c r="FX216" s="18"/>
      <c r="FY216" s="18"/>
      <c r="FZ216" s="18"/>
      <c r="GA216" s="18"/>
      <c r="GB216" s="18"/>
      <c r="GC216" s="18"/>
      <c r="GD216" s="18"/>
      <c r="GE216" s="18"/>
      <c r="GF216" s="18"/>
      <c r="GG216" s="18"/>
      <c r="GH216" s="18"/>
      <c r="GI216" s="18"/>
      <c r="GJ216" s="18"/>
      <c r="GK216" s="18"/>
      <c r="GL216" s="18"/>
      <c r="GM216" s="18"/>
      <c r="GN216" s="18"/>
      <c r="GO216" s="18"/>
      <c r="GP216" s="18"/>
      <c r="GQ216" s="18"/>
      <c r="GR216" s="18"/>
      <c r="GS216" s="18"/>
      <c r="GT216" s="18"/>
      <c r="GU216" s="18"/>
      <c r="GV216" s="18"/>
      <c r="GW216" s="18"/>
      <c r="GX216" s="18"/>
      <c r="GY216" s="18"/>
      <c r="GZ216" s="18"/>
      <c r="HA216" s="18"/>
      <c r="HB216" s="18"/>
      <c r="HC216" s="18"/>
      <c r="HD216" s="18"/>
      <c r="HE216" s="18"/>
      <c r="HF216" s="18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V216" s="18"/>
      <c r="HW216" s="18"/>
      <c r="HX216" s="18"/>
      <c r="HY216" s="18"/>
      <c r="HZ216" s="18"/>
      <c r="IA216" s="18"/>
      <c r="IB216" s="18"/>
      <c r="IC216" s="18"/>
      <c r="ID216" s="18"/>
      <c r="IE216" s="314"/>
      <c r="IF216" s="314"/>
      <c r="IG216" s="314"/>
      <c r="IH216" s="314"/>
      <c r="II216" s="314"/>
      <c r="IJ216" s="314"/>
      <c r="IK216" s="314"/>
      <c r="IL216" s="314"/>
      <c r="IM216" s="314"/>
      <c r="IN216" s="314"/>
      <c r="IO216" s="314"/>
    </row>
    <row r="217" spans="1:302" ht="10.5" hidden="1" customHeight="1" outlineLevel="1">
      <c r="A217" s="195"/>
      <c r="C217" s="52"/>
      <c r="D217" s="38"/>
      <c r="E217" s="29"/>
      <c r="F217" s="940"/>
      <c r="G217" s="310"/>
      <c r="H217" s="310"/>
      <c r="I217" s="309"/>
      <c r="J217" s="309"/>
      <c r="K217" s="185"/>
      <c r="L217" s="58"/>
      <c r="M217" s="136" t="s">
        <v>110</v>
      </c>
      <c r="N217" s="136"/>
      <c r="O217" s="136"/>
      <c r="P217" s="246" t="s">
        <v>30</v>
      </c>
      <c r="Q217" s="1"/>
      <c r="T217" s="293"/>
      <c r="U217" s="293"/>
      <c r="V217" s="293"/>
      <c r="W217" s="293"/>
      <c r="X217" s="292"/>
      <c r="Y217" s="292"/>
      <c r="Z217" s="292"/>
      <c r="AA217" s="292"/>
      <c r="AB217" s="947"/>
      <c r="AC217" s="947"/>
      <c r="AD217" s="183"/>
      <c r="AE217" s="183"/>
      <c r="AF217" s="308"/>
      <c r="AG217" s="307"/>
      <c r="AH217" s="307"/>
      <c r="AI217" s="307"/>
      <c r="AJ217" s="307"/>
      <c r="AK217" s="307"/>
      <c r="AL217" s="21"/>
      <c r="AM217" s="21"/>
      <c r="AN217" s="21"/>
      <c r="AO217" s="21"/>
      <c r="AP217" s="21"/>
      <c r="AQ217" s="22"/>
      <c r="AR217" s="15"/>
      <c r="AS217" s="15"/>
      <c r="AT217" s="51"/>
      <c r="AU217" s="15"/>
      <c r="AV217" s="15"/>
      <c r="AW217" s="15"/>
      <c r="AX217" s="15"/>
      <c r="AY217" s="15"/>
      <c r="AZ217" s="15"/>
      <c r="BA217" s="51"/>
      <c r="BB217" s="15"/>
      <c r="BC217" s="15"/>
      <c r="BD217" s="15"/>
      <c r="BE217" s="15"/>
      <c r="BF217" s="15"/>
      <c r="BG217" s="51"/>
      <c r="BH217" s="15"/>
      <c r="BI217" s="15"/>
      <c r="BJ217" s="15"/>
      <c r="BK217" s="51"/>
      <c r="BL217" s="15"/>
      <c r="BM217" s="15"/>
      <c r="BN217" s="15"/>
      <c r="BO217" s="15"/>
      <c r="BP217" s="15"/>
      <c r="BQ217" s="15"/>
      <c r="BR217" s="15"/>
      <c r="BS217" s="15"/>
      <c r="BT217" s="15"/>
      <c r="BU217" s="15"/>
      <c r="BV217" s="15"/>
      <c r="BW217" s="15"/>
      <c r="BX217" s="139"/>
      <c r="BY217" s="314"/>
      <c r="BZ217" s="314"/>
      <c r="CA217" s="314"/>
      <c r="CB217" s="314"/>
      <c r="CC217" s="314"/>
      <c r="CD217" s="314"/>
      <c r="CE217" s="314"/>
      <c r="CF217" s="314"/>
      <c r="CG217" s="314"/>
      <c r="CH217" s="314"/>
      <c r="CI217" s="314"/>
      <c r="CJ217" s="314"/>
      <c r="CK217" s="314"/>
      <c r="CL217" s="314"/>
      <c r="CM217" s="314"/>
      <c r="CN217" s="314"/>
      <c r="CO217" s="314"/>
      <c r="CP217" s="314"/>
      <c r="CQ217" s="314"/>
      <c r="CR217" s="314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  <c r="FR217" s="18"/>
      <c r="FS217" s="18"/>
      <c r="FT217" s="18"/>
      <c r="FU217" s="18"/>
      <c r="FV217" s="18"/>
      <c r="FW217" s="18"/>
      <c r="FX217" s="18"/>
      <c r="FY217" s="18"/>
      <c r="FZ217" s="18"/>
      <c r="GA217" s="18"/>
      <c r="GB217" s="18"/>
      <c r="GC217" s="18"/>
      <c r="GD217" s="18"/>
      <c r="GE217" s="18"/>
      <c r="GF217" s="18"/>
      <c r="GG217" s="18"/>
      <c r="GH217" s="18"/>
      <c r="GI217" s="18"/>
      <c r="GJ217" s="18"/>
      <c r="GK217" s="18"/>
      <c r="GL217" s="18"/>
      <c r="GM217" s="18"/>
      <c r="GN217" s="18"/>
      <c r="GO217" s="18"/>
      <c r="GP217" s="18"/>
      <c r="GQ217" s="18"/>
      <c r="GR217" s="18"/>
      <c r="GS217" s="18"/>
      <c r="GT217" s="18"/>
      <c r="GU217" s="18"/>
      <c r="GV217" s="18"/>
      <c r="GW217" s="18"/>
      <c r="GX217" s="18"/>
      <c r="GY217" s="18"/>
      <c r="GZ217" s="18"/>
      <c r="HA217" s="18"/>
      <c r="HB217" s="18"/>
      <c r="HC217" s="18"/>
      <c r="HD217" s="18"/>
      <c r="HE217" s="18"/>
      <c r="HF217" s="18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V217" s="18"/>
      <c r="HW217" s="18"/>
      <c r="HX217" s="18"/>
      <c r="HY217" s="18"/>
      <c r="HZ217" s="18"/>
      <c r="IA217" s="18"/>
      <c r="IB217" s="18"/>
      <c r="IC217" s="18"/>
      <c r="ID217" s="18"/>
      <c r="IE217" s="314"/>
      <c r="IF217" s="314"/>
      <c r="IG217" s="314"/>
      <c r="IH217" s="314"/>
      <c r="II217" s="314"/>
      <c r="IJ217" s="314"/>
      <c r="IK217" s="314"/>
      <c r="IL217" s="314"/>
      <c r="IM217" s="314"/>
      <c r="IN217" s="314"/>
      <c r="IO217" s="314"/>
    </row>
    <row r="218" spans="1:302" ht="10.5" hidden="1" customHeight="1" outlineLevel="1">
      <c r="A218" s="195"/>
      <c r="C218" s="52"/>
      <c r="D218" s="38"/>
      <c r="E218" s="29"/>
      <c r="F218" s="940"/>
      <c r="G218" s="310"/>
      <c r="H218" s="310"/>
      <c r="I218" s="309"/>
      <c r="J218" s="309"/>
      <c r="K218" s="185"/>
      <c r="L218" s="58"/>
      <c r="M218" s="831"/>
      <c r="N218" s="831"/>
      <c r="O218" s="831"/>
      <c r="P218" s="315">
        <v>16.29</v>
      </c>
      <c r="Q218" s="1"/>
      <c r="T218" s="293"/>
      <c r="U218" s="293"/>
      <c r="V218" s="293"/>
      <c r="W218" s="293"/>
      <c r="X218" s="292"/>
      <c r="Y218" s="292"/>
      <c r="Z218" s="292"/>
      <c r="AA218" s="292"/>
      <c r="AB218" s="947"/>
      <c r="AC218" s="947"/>
      <c r="AD218" s="183"/>
      <c r="AE218" s="183"/>
      <c r="AF218" s="308"/>
      <c r="AG218" s="307"/>
      <c r="AH218" s="307"/>
      <c r="AI218" s="307"/>
      <c r="AJ218" s="307"/>
      <c r="AK218" s="307"/>
      <c r="AL218" s="21"/>
      <c r="AM218" s="21"/>
      <c r="AN218" s="21"/>
      <c r="AO218" s="21"/>
      <c r="AP218" s="21"/>
      <c r="AQ218" s="22"/>
      <c r="AR218" s="15"/>
      <c r="AS218" s="15"/>
      <c r="AT218" s="51"/>
      <c r="AU218" s="15"/>
      <c r="AV218" s="15"/>
      <c r="AW218" s="15"/>
      <c r="AX218" s="15"/>
      <c r="AY218" s="15"/>
      <c r="AZ218" s="15"/>
      <c r="BA218" s="51"/>
      <c r="BB218" s="15"/>
      <c r="BC218" s="15"/>
      <c r="BD218" s="15"/>
      <c r="BE218" s="15"/>
      <c r="BF218" s="15"/>
      <c r="BG218" s="51"/>
      <c r="BH218" s="15"/>
      <c r="BI218" s="15"/>
      <c r="BJ218" s="15"/>
      <c r="BK218" s="51"/>
      <c r="BL218" s="15"/>
      <c r="BM218" s="15"/>
      <c r="BN218" s="15"/>
      <c r="BO218" s="15"/>
      <c r="BP218" s="15"/>
      <c r="BQ218" s="15"/>
      <c r="BR218" s="15"/>
      <c r="BS218" s="15"/>
      <c r="BT218" s="15"/>
      <c r="BU218" s="15"/>
      <c r="BV218" s="15"/>
      <c r="BW218" s="15"/>
      <c r="BX218" s="139"/>
      <c r="BY218" s="314"/>
      <c r="BZ218" s="314"/>
      <c r="CA218" s="314"/>
      <c r="CB218" s="314"/>
      <c r="CC218" s="314"/>
      <c r="CD218" s="314"/>
      <c r="CE218" s="314"/>
      <c r="CF218" s="314"/>
      <c r="CG218" s="314"/>
      <c r="CH218" s="314"/>
      <c r="CI218" s="314"/>
      <c r="CJ218" s="314"/>
      <c r="CK218" s="314"/>
      <c r="CL218" s="314"/>
      <c r="CM218" s="314"/>
      <c r="CN218" s="314"/>
      <c r="CO218" s="314"/>
      <c r="CP218" s="314"/>
      <c r="CQ218" s="314"/>
      <c r="CR218" s="314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  <c r="FR218" s="18"/>
      <c r="FS218" s="18"/>
      <c r="FT218" s="18"/>
      <c r="FU218" s="18"/>
      <c r="FV218" s="18"/>
      <c r="FW218" s="18"/>
      <c r="FX218" s="18"/>
      <c r="FY218" s="18"/>
      <c r="FZ218" s="18"/>
      <c r="GA218" s="18"/>
      <c r="GB218" s="18"/>
      <c r="GC218" s="18"/>
      <c r="GD218" s="18"/>
      <c r="GE218" s="18"/>
      <c r="GF218" s="18"/>
      <c r="GG218" s="18"/>
      <c r="GH218" s="18"/>
      <c r="GI218" s="18"/>
      <c r="GJ218" s="18"/>
      <c r="GK218" s="18"/>
      <c r="GL218" s="18"/>
      <c r="GM218" s="18"/>
      <c r="GN218" s="18"/>
      <c r="GO218" s="18"/>
      <c r="GP218" s="18"/>
      <c r="GQ218" s="18"/>
      <c r="GR218" s="18"/>
      <c r="GS218" s="18"/>
      <c r="GT218" s="18"/>
      <c r="GU218" s="18"/>
      <c r="GV218" s="18"/>
      <c r="GW218" s="18"/>
      <c r="GX218" s="18"/>
      <c r="GY218" s="18"/>
      <c r="GZ218" s="18"/>
      <c r="HA218" s="18"/>
      <c r="HB218" s="18"/>
      <c r="HC218" s="18"/>
      <c r="HD218" s="18"/>
      <c r="HE218" s="18"/>
      <c r="HF218" s="18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V218" s="18"/>
      <c r="HW218" s="18"/>
      <c r="HX218" s="18"/>
      <c r="HY218" s="18"/>
      <c r="HZ218" s="18"/>
      <c r="IA218" s="18"/>
      <c r="IB218" s="18"/>
      <c r="IC218" s="18"/>
      <c r="ID218" s="18"/>
      <c r="IE218" s="314"/>
      <c r="IF218" s="314"/>
      <c r="IG218" s="314"/>
      <c r="IH218" s="314"/>
      <c r="II218" s="314"/>
      <c r="IJ218" s="314"/>
      <c r="IK218" s="314"/>
      <c r="IL218" s="314"/>
      <c r="IM218" s="314"/>
      <c r="IN218" s="314"/>
      <c r="IO218" s="314"/>
    </row>
    <row r="219" spans="1:302" ht="10.5" hidden="1" customHeight="1" outlineLevel="1">
      <c r="A219" s="195"/>
      <c r="C219" s="52"/>
      <c r="D219" s="38"/>
      <c r="E219" s="29"/>
      <c r="F219" s="940"/>
      <c r="G219" s="310"/>
      <c r="H219" s="310"/>
      <c r="I219" s="309"/>
      <c r="J219" s="309"/>
      <c r="K219" s="185"/>
      <c r="L219" s="58"/>
      <c r="M219" s="831"/>
      <c r="N219" s="831"/>
      <c r="O219" s="831"/>
      <c r="P219" s="293">
        <v>12.53</v>
      </c>
      <c r="Q219" s="1"/>
      <c r="T219" s="293"/>
      <c r="U219" s="293"/>
      <c r="V219" s="293"/>
      <c r="W219" s="293"/>
      <c r="X219" s="292"/>
      <c r="Y219" s="292"/>
      <c r="Z219" s="292"/>
      <c r="AA219" s="292"/>
      <c r="AB219" s="947"/>
      <c r="AC219" s="947"/>
      <c r="AD219" s="183"/>
      <c r="AE219" s="183"/>
      <c r="AF219" s="308"/>
      <c r="AG219" s="307"/>
      <c r="AH219" s="307"/>
      <c r="AI219" s="307"/>
      <c r="AJ219" s="307"/>
      <c r="AK219" s="307"/>
      <c r="AL219" s="21"/>
      <c r="AM219" s="21"/>
      <c r="AN219" s="21"/>
      <c r="AO219" s="21"/>
      <c r="AP219" s="21"/>
      <c r="AQ219" s="22"/>
      <c r="AR219" s="15"/>
      <c r="AS219" s="15"/>
      <c r="AT219" s="51"/>
      <c r="AU219" s="15"/>
      <c r="AV219" s="15"/>
      <c r="AW219" s="15"/>
      <c r="AX219" s="15"/>
      <c r="AY219" s="15"/>
      <c r="AZ219" s="15"/>
      <c r="BA219" s="51"/>
      <c r="BB219" s="15"/>
      <c r="BC219" s="15"/>
      <c r="BD219" s="15"/>
      <c r="BE219" s="15"/>
      <c r="BF219" s="15"/>
      <c r="BG219" s="51"/>
      <c r="BH219" s="15"/>
      <c r="BI219" s="15"/>
      <c r="BJ219" s="15"/>
      <c r="BK219" s="51"/>
      <c r="BL219" s="15"/>
      <c r="BM219" s="15"/>
      <c r="BN219" s="15"/>
      <c r="BO219" s="15"/>
      <c r="BP219" s="15"/>
      <c r="BQ219" s="15"/>
      <c r="BR219" s="15"/>
      <c r="BS219" s="15"/>
      <c r="BT219" s="15"/>
      <c r="BU219" s="15"/>
      <c r="BV219" s="15"/>
      <c r="BW219" s="15"/>
      <c r="BX219" s="139"/>
      <c r="BY219" s="314"/>
      <c r="BZ219" s="314"/>
      <c r="CA219" s="314"/>
      <c r="CB219" s="314"/>
      <c r="CC219" s="314"/>
      <c r="CD219" s="314"/>
      <c r="CE219" s="314"/>
      <c r="CF219" s="314"/>
      <c r="CG219" s="314"/>
      <c r="CH219" s="314"/>
      <c r="CI219" s="314"/>
      <c r="CJ219" s="314"/>
      <c r="CK219" s="314"/>
      <c r="CL219" s="314"/>
      <c r="CM219" s="314"/>
      <c r="CN219" s="314"/>
      <c r="CO219" s="314"/>
      <c r="CP219" s="314"/>
      <c r="CQ219" s="314"/>
      <c r="CR219" s="314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  <c r="FR219" s="18"/>
      <c r="FS219" s="18"/>
      <c r="FT219" s="18"/>
      <c r="FU219" s="18"/>
      <c r="FV219" s="18"/>
      <c r="FW219" s="18"/>
      <c r="FX219" s="18"/>
      <c r="FY219" s="18"/>
      <c r="FZ219" s="18"/>
      <c r="GA219" s="18"/>
      <c r="GB219" s="18"/>
      <c r="GC219" s="18"/>
      <c r="GD219" s="18"/>
      <c r="GE219" s="18"/>
      <c r="GF219" s="18"/>
      <c r="GG219" s="18"/>
      <c r="GH219" s="18"/>
      <c r="GI219" s="18"/>
      <c r="GJ219" s="18"/>
      <c r="GK219" s="18"/>
      <c r="GL219" s="18"/>
      <c r="GM219" s="18"/>
      <c r="GN219" s="18"/>
      <c r="GO219" s="18"/>
      <c r="GP219" s="18"/>
      <c r="GQ219" s="18"/>
      <c r="GR219" s="18"/>
      <c r="GS219" s="18"/>
      <c r="GT219" s="18"/>
      <c r="GU219" s="18"/>
      <c r="GV219" s="18"/>
      <c r="GW219" s="18"/>
      <c r="GX219" s="18"/>
      <c r="GY219" s="18"/>
      <c r="GZ219" s="18"/>
      <c r="HA219" s="18"/>
      <c r="HB219" s="18"/>
      <c r="HC219" s="18"/>
      <c r="HD219" s="18"/>
      <c r="HE219" s="18"/>
      <c r="HF219" s="18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V219" s="18"/>
      <c r="HW219" s="18"/>
      <c r="HX219" s="18"/>
      <c r="HY219" s="18"/>
      <c r="HZ219" s="18"/>
      <c r="IA219" s="18"/>
      <c r="IB219" s="18"/>
      <c r="IC219" s="18"/>
      <c r="ID219" s="18"/>
      <c r="IE219" s="314"/>
      <c r="IF219" s="314"/>
      <c r="IG219" s="314"/>
      <c r="IH219" s="314"/>
      <c r="II219" s="314"/>
      <c r="IJ219" s="314"/>
      <c r="IK219" s="314"/>
      <c r="IL219" s="314"/>
      <c r="IM219" s="314"/>
      <c r="IN219" s="314"/>
      <c r="IO219" s="314"/>
    </row>
    <row r="220" spans="1:302" s="3" customFormat="1" ht="5.0999999999999996" hidden="1" customHeight="1" outlineLevel="1" collapsed="1">
      <c r="B220" s="192"/>
      <c r="K220" s="40"/>
      <c r="L220" s="40"/>
      <c r="M220" s="18"/>
      <c r="N220" s="18"/>
      <c r="O220" s="18"/>
      <c r="P220" s="272">
        <v>12.6</v>
      </c>
      <c r="Y220" s="274"/>
      <c r="Z220" s="274"/>
      <c r="AG220" s="35"/>
      <c r="AH220" s="35"/>
      <c r="AI220" s="35"/>
      <c r="AJ220" s="35"/>
      <c r="AK220" s="296"/>
      <c r="AQ220" s="7"/>
      <c r="AR220" s="7"/>
      <c r="AT220" s="24"/>
      <c r="AU220" s="981"/>
      <c r="AV220" s="981"/>
      <c r="AW220" s="981"/>
      <c r="AX220" s="981"/>
      <c r="AY220" s="981"/>
      <c r="AZ220" s="981"/>
      <c r="BA220" s="24"/>
      <c r="BB220" s="981"/>
      <c r="BC220" s="981"/>
      <c r="BD220" s="981"/>
      <c r="BE220" s="981"/>
      <c r="BF220" s="981"/>
      <c r="BG220" s="24"/>
      <c r="BH220" s="981"/>
      <c r="BI220" s="981"/>
      <c r="BJ220" s="981"/>
      <c r="BK220" s="24"/>
      <c r="BL220" s="981"/>
      <c r="BM220" s="981"/>
      <c r="BN220" s="981"/>
      <c r="BO220" s="981"/>
      <c r="BP220" s="981"/>
      <c r="BQ220" s="13"/>
      <c r="BR220" s="13"/>
      <c r="BS220" s="13"/>
      <c r="BT220" s="13"/>
      <c r="BU220" s="13"/>
      <c r="BV220" s="13"/>
      <c r="BW220" s="13"/>
      <c r="BX220" s="139"/>
      <c r="BY220" s="314" t="str">
        <f>IF(AC$193=0,"",AC$193)</f>
        <v/>
      </c>
      <c r="BZ220" s="314"/>
      <c r="CA220" s="314"/>
      <c r="CB220" s="314"/>
      <c r="CC220" s="314"/>
      <c r="CD220" s="314"/>
      <c r="CE220" s="314"/>
      <c r="CF220" s="314"/>
      <c r="CG220" s="314"/>
      <c r="CH220" s="314"/>
      <c r="CI220" s="314"/>
      <c r="CJ220" s="314"/>
      <c r="CK220" s="314"/>
      <c r="CL220" s="314"/>
      <c r="CM220" s="314"/>
      <c r="CN220" s="314"/>
      <c r="CO220" s="314"/>
      <c r="CP220" s="314"/>
      <c r="CQ220" s="314"/>
      <c r="CR220" s="314"/>
      <c r="CS220" s="31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31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31"/>
      <c r="HV220" s="13"/>
      <c r="HW220" s="13"/>
      <c r="HX220" s="13"/>
      <c r="HY220" s="13"/>
      <c r="HZ220" s="13"/>
      <c r="IA220" s="13"/>
      <c r="IB220" s="13"/>
      <c r="IC220" s="13"/>
      <c r="ID220" s="13"/>
      <c r="IE220" s="314"/>
      <c r="IF220" s="314"/>
      <c r="IG220" s="314"/>
      <c r="IH220" s="314"/>
      <c r="II220" s="314"/>
      <c r="IJ220" s="314"/>
      <c r="IK220" s="314"/>
      <c r="IL220" s="314"/>
      <c r="IM220" s="314"/>
      <c r="IN220" s="314"/>
      <c r="IO220" s="314"/>
      <c r="JR220" s="14"/>
      <c r="JS220" s="14"/>
      <c r="JT220" s="14"/>
      <c r="JU220" s="14"/>
      <c r="JV220" s="14"/>
      <c r="JW220" s="14"/>
      <c r="JX220" s="14"/>
      <c r="JY220" s="14"/>
      <c r="JZ220" s="14"/>
      <c r="KA220" s="14"/>
      <c r="KB220" s="14"/>
      <c r="KC220" s="14"/>
      <c r="KD220" s="14"/>
      <c r="KE220" s="14"/>
      <c r="KF220" s="14"/>
      <c r="KG220" s="14"/>
      <c r="KH220" s="14"/>
      <c r="KI220" s="14"/>
      <c r="KJ220" s="14"/>
      <c r="KK220" s="14"/>
      <c r="KL220" s="14"/>
      <c r="KM220" s="14"/>
      <c r="KN220" s="14"/>
      <c r="KO220" s="14"/>
      <c r="KP220" s="14"/>
    </row>
    <row r="221" spans="1:302" ht="11.1" hidden="1" customHeight="1" outlineLevel="1">
      <c r="A221" s="30" t="s">
        <v>135</v>
      </c>
      <c r="C221" s="52"/>
      <c r="D221" s="38" t="s">
        <v>134</v>
      </c>
      <c r="E221" s="29"/>
      <c r="F221" s="940">
        <v>0</v>
      </c>
      <c r="G221" s="313">
        <v>41079</v>
      </c>
      <c r="H221" s="313"/>
      <c r="I221" s="1073">
        <v>16.71</v>
      </c>
      <c r="J221" s="1073"/>
      <c r="K221" s="1073"/>
      <c r="L221" s="312"/>
      <c r="M221" s="311"/>
      <c r="N221" s="311"/>
      <c r="O221" s="311"/>
      <c r="P221" s="939">
        <v>12.76</v>
      </c>
      <c r="Q221" s="1"/>
      <c r="T221" s="193"/>
      <c r="U221" s="193"/>
      <c r="V221" s="193"/>
      <c r="W221" s="193"/>
      <c r="X221" s="295"/>
      <c r="Y221" s="295"/>
      <c r="Z221" s="295"/>
      <c r="AA221" s="295"/>
      <c r="AB221" s="947">
        <f>F221*P221</f>
        <v>0</v>
      </c>
      <c r="AC221" s="947"/>
      <c r="AD221" s="190">
        <f>-((I221*F221)-(P221*F221))</f>
        <v>0</v>
      </c>
      <c r="AE221" s="190"/>
      <c r="AF221" s="308"/>
      <c r="AG221" s="307" t="s">
        <v>133</v>
      </c>
      <c r="AH221" s="307"/>
      <c r="AI221" s="307"/>
      <c r="AJ221" s="307"/>
      <c r="AK221" s="307"/>
      <c r="AL221" s="14" t="s">
        <v>71</v>
      </c>
      <c r="AM221" s="21"/>
      <c r="AN221" s="179"/>
      <c r="AO221" s="21"/>
      <c r="AP221" s="188">
        <f>F221*I221+AN221+AN222</f>
        <v>0</v>
      </c>
      <c r="AR221" s="15"/>
      <c r="AS221" s="15"/>
      <c r="AT221" s="51"/>
      <c r="AU221" s="15"/>
      <c r="AV221" s="15"/>
      <c r="AW221" s="15"/>
      <c r="AX221" s="15"/>
      <c r="AY221" s="15"/>
      <c r="AZ221" s="15"/>
      <c r="BA221" s="51"/>
      <c r="BB221" s="15"/>
      <c r="BC221" s="15"/>
      <c r="BD221" s="15"/>
      <c r="BE221" s="15"/>
      <c r="BF221" s="15"/>
      <c r="BG221" s="51"/>
      <c r="BH221" s="15"/>
      <c r="BI221" s="15"/>
      <c r="BJ221" s="15"/>
      <c r="BK221" s="51"/>
      <c r="BL221" s="15"/>
      <c r="BM221" s="15"/>
      <c r="BN221" s="15"/>
      <c r="BO221" s="15"/>
      <c r="BP221" s="15"/>
      <c r="BQ221" s="15"/>
      <c r="BR221" s="15"/>
      <c r="BS221" s="15"/>
      <c r="BT221" s="15"/>
      <c r="BU221" s="15"/>
      <c r="BV221" s="15"/>
      <c r="BW221" s="15"/>
      <c r="BX221" s="139"/>
      <c r="BY221" s="139" t="str">
        <f>IF($AB221=0,"",$AB221)</f>
        <v/>
      </c>
      <c r="BZ221" s="139"/>
      <c r="CA221" s="139"/>
      <c r="CB221" s="139"/>
      <c r="CC221" s="139"/>
      <c r="CD221" s="139"/>
      <c r="CE221" s="139"/>
      <c r="CF221" s="139"/>
      <c r="CG221" s="139"/>
      <c r="CH221" s="139"/>
      <c r="CI221" s="139"/>
      <c r="CJ221" s="139"/>
      <c r="CK221" s="139"/>
      <c r="CL221" s="139"/>
      <c r="CM221" s="139"/>
      <c r="CN221" s="139"/>
      <c r="CO221" s="139"/>
      <c r="CP221" s="139"/>
      <c r="CQ221" s="139"/>
      <c r="CR221" s="139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  <c r="FR221" s="18"/>
      <c r="FS221" s="18"/>
      <c r="FT221" s="18"/>
      <c r="FU221" s="18"/>
      <c r="FV221" s="18"/>
      <c r="FW221" s="18"/>
      <c r="FX221" s="18"/>
      <c r="FY221" s="18"/>
      <c r="FZ221" s="18"/>
      <c r="GA221" s="18"/>
      <c r="GB221" s="18"/>
      <c r="GC221" s="18"/>
      <c r="GD221" s="18"/>
      <c r="GE221" s="18"/>
      <c r="GF221" s="18"/>
      <c r="GG221" s="18"/>
      <c r="GH221" s="18"/>
      <c r="GI221" s="18"/>
      <c r="GJ221" s="18"/>
      <c r="GK221" s="18"/>
      <c r="GL221" s="18"/>
      <c r="GM221" s="18"/>
      <c r="GN221" s="18"/>
      <c r="GO221" s="18"/>
      <c r="GP221" s="18"/>
      <c r="GQ221" s="18"/>
      <c r="GR221" s="18"/>
      <c r="GS221" s="18"/>
      <c r="GT221" s="18"/>
      <c r="GU221" s="18"/>
      <c r="GV221" s="18"/>
      <c r="GW221" s="18"/>
      <c r="GX221" s="18"/>
      <c r="GY221" s="18"/>
      <c r="GZ221" s="18"/>
      <c r="HA221" s="18"/>
      <c r="HB221" s="18"/>
      <c r="HC221" s="18"/>
      <c r="HD221" s="18"/>
      <c r="HE221" s="18"/>
      <c r="HF221" s="18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V221" s="139" t="str">
        <f>IF($AB221=0,"",$AB221)</f>
        <v/>
      </c>
      <c r="HW221" s="18"/>
      <c r="HX221" s="18"/>
      <c r="HY221" s="18"/>
      <c r="HZ221" s="18"/>
      <c r="IA221" s="18"/>
      <c r="IB221" s="18"/>
      <c r="IC221" s="18"/>
      <c r="ID221" s="18"/>
      <c r="IE221" s="139"/>
      <c r="IF221" s="139"/>
      <c r="IG221" s="139"/>
      <c r="IH221" s="139"/>
      <c r="II221" s="139"/>
      <c r="IJ221" s="139"/>
      <c r="IK221" s="139"/>
      <c r="IL221" s="139"/>
      <c r="IM221" s="139"/>
      <c r="IN221" s="139"/>
      <c r="IO221" s="139"/>
    </row>
    <row r="222" spans="1:302" ht="11.1" hidden="1" customHeight="1" outlineLevel="1">
      <c r="A222" s="12" t="s">
        <v>132</v>
      </c>
      <c r="C222" s="52"/>
      <c r="D222" s="38"/>
      <c r="E222" s="29"/>
      <c r="F222" s="940"/>
      <c r="G222" s="310"/>
      <c r="H222" s="310"/>
      <c r="I222" s="309">
        <f>F221*I221</f>
        <v>0</v>
      </c>
      <c r="J222" s="309"/>
      <c r="K222" s="185">
        <f>AP221</f>
        <v>0</v>
      </c>
      <c r="L222" s="58"/>
      <c r="M222" s="311"/>
      <c r="N222" s="311"/>
      <c r="O222" s="311"/>
      <c r="P222" s="246">
        <v>12.8</v>
      </c>
      <c r="Q222" s="1"/>
      <c r="T222" s="293"/>
      <c r="U222" s="293"/>
      <c r="V222" s="293"/>
      <c r="W222" s="293"/>
      <c r="X222" s="292"/>
      <c r="Y222" s="292"/>
      <c r="Z222" s="292"/>
      <c r="AA222" s="292"/>
      <c r="AB222" s="947"/>
      <c r="AC222" s="947"/>
      <c r="AD222" s="183">
        <f>((P221-I221)/I221)</f>
        <v>-0.23638539796529029</v>
      </c>
      <c r="AE222" s="183"/>
      <c r="AF222" s="308"/>
      <c r="AG222" s="307"/>
      <c r="AH222" s="307"/>
      <c r="AI222" s="307"/>
      <c r="AJ222" s="307"/>
      <c r="AK222" s="307"/>
      <c r="AL222" s="21"/>
      <c r="AM222" s="21"/>
      <c r="AN222" s="179"/>
      <c r="AO222" s="21"/>
      <c r="AP222" s="21"/>
      <c r="AR222" s="15"/>
      <c r="AS222" s="15"/>
      <c r="AT222" s="51"/>
      <c r="AU222" s="15"/>
      <c r="AV222" s="15"/>
      <c r="AW222" s="15"/>
      <c r="AX222" s="15"/>
      <c r="AY222" s="15"/>
      <c r="AZ222" s="15"/>
      <c r="BA222" s="51"/>
      <c r="BB222" s="15"/>
      <c r="BC222" s="15"/>
      <c r="BD222" s="15"/>
      <c r="BE222" s="15"/>
      <c r="BF222" s="15"/>
      <c r="BG222" s="51"/>
      <c r="BH222" s="15"/>
      <c r="BI222" s="15"/>
      <c r="BJ222" s="15"/>
      <c r="BK222" s="51"/>
      <c r="BL222" s="15"/>
      <c r="BM222" s="15"/>
      <c r="BN222" s="15"/>
      <c r="BO222" s="15"/>
      <c r="BP222" s="15"/>
      <c r="BQ222" s="15"/>
      <c r="BR222" s="15"/>
      <c r="BS222" s="15"/>
      <c r="BT222" s="15"/>
      <c r="BU222" s="15"/>
      <c r="BV222" s="15"/>
      <c r="BW222" s="15"/>
      <c r="BX222" s="51"/>
      <c r="BY222" s="15"/>
      <c r="BZ222" s="15"/>
      <c r="CA222" s="15"/>
      <c r="CB222" s="15"/>
      <c r="CC222" s="15"/>
      <c r="CD222" s="15"/>
      <c r="CE222" s="15"/>
      <c r="CF222" s="15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  <c r="FR222" s="18"/>
      <c r="FS222" s="18"/>
      <c r="FT222" s="18"/>
      <c r="FU222" s="18"/>
      <c r="FV222" s="18"/>
      <c r="FW222" s="18"/>
      <c r="FX222" s="18"/>
      <c r="FY222" s="18"/>
      <c r="FZ222" s="18"/>
      <c r="GA222" s="18"/>
      <c r="GB222" s="18"/>
      <c r="GC222" s="18"/>
      <c r="GD222" s="18"/>
      <c r="GE222" s="18"/>
      <c r="GF222" s="18"/>
      <c r="GG222" s="18"/>
      <c r="GH222" s="18"/>
      <c r="GI222" s="18"/>
      <c r="GJ222" s="18"/>
      <c r="GK222" s="18"/>
      <c r="GL222" s="18"/>
      <c r="GM222" s="18"/>
      <c r="GN222" s="18"/>
      <c r="GO222" s="18"/>
      <c r="GP222" s="18"/>
      <c r="GQ222" s="18"/>
      <c r="GR222" s="18"/>
      <c r="GS222" s="18"/>
      <c r="GT222" s="18"/>
      <c r="GU222" s="18"/>
      <c r="GV222" s="18"/>
      <c r="GW222" s="18"/>
      <c r="GX222" s="18"/>
      <c r="GY222" s="18"/>
      <c r="GZ222" s="18"/>
      <c r="HA222" s="18"/>
      <c r="HB222" s="18"/>
      <c r="HC222" s="18"/>
      <c r="HD222" s="18"/>
      <c r="HE222" s="18"/>
      <c r="HF222" s="18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V222" s="18"/>
      <c r="HW222" s="18"/>
      <c r="HX222" s="18"/>
      <c r="HY222" s="18"/>
      <c r="HZ222" s="18"/>
      <c r="IA222" s="18"/>
      <c r="IB222" s="18"/>
      <c r="IC222" s="18"/>
      <c r="ID222" s="18"/>
      <c r="IE222" s="18"/>
      <c r="IF222" s="18"/>
      <c r="IG222" s="18"/>
      <c r="IH222" s="18"/>
      <c r="II222" s="18"/>
      <c r="IJ222" s="18"/>
      <c r="IK222" s="18"/>
      <c r="IL222" s="18"/>
      <c r="IM222" s="18"/>
      <c r="IN222" s="18"/>
      <c r="IO222" s="18"/>
      <c r="JR222" s="3"/>
      <c r="JS222" s="3"/>
      <c r="JT222" s="3"/>
      <c r="JU222" s="3"/>
      <c r="JV222" s="3"/>
      <c r="JW222" s="3"/>
      <c r="JX222" s="3"/>
      <c r="JY222" s="3"/>
      <c r="JZ222" s="3"/>
      <c r="KA222" s="3"/>
      <c r="KB222" s="3"/>
      <c r="KC222" s="3"/>
      <c r="KD222" s="3"/>
      <c r="KE222" s="3"/>
      <c r="KF222" s="3"/>
      <c r="KG222" s="3"/>
      <c r="KH222" s="3"/>
      <c r="KI222" s="3"/>
      <c r="KJ222" s="3"/>
      <c r="KK222" s="3"/>
      <c r="KL222" s="3"/>
      <c r="KM222" s="3"/>
      <c r="KN222" s="3"/>
      <c r="KO222" s="3"/>
      <c r="KP222" s="3"/>
    </row>
    <row r="223" spans="1:302" ht="11.1" hidden="1" customHeight="1" outlineLevel="1">
      <c r="A223" s="195"/>
      <c r="C223" s="52"/>
      <c r="D223" s="38"/>
      <c r="E223" s="29"/>
      <c r="F223" s="940"/>
      <c r="G223" s="310"/>
      <c r="H223" s="310"/>
      <c r="I223" s="309"/>
      <c r="J223" s="309"/>
      <c r="K223" s="185"/>
      <c r="L223" s="58"/>
      <c r="M223" s="311" t="s">
        <v>37</v>
      </c>
      <c r="N223" s="311"/>
      <c r="O223" s="311"/>
      <c r="P223" s="272">
        <v>12.19</v>
      </c>
      <c r="Q223" s="1"/>
      <c r="T223" s="293"/>
      <c r="U223" s="293"/>
      <c r="V223" s="293"/>
      <c r="W223" s="293"/>
      <c r="X223" s="292"/>
      <c r="Y223" s="292"/>
      <c r="Z223" s="292"/>
      <c r="AA223" s="292"/>
      <c r="AB223" s="947"/>
      <c r="AC223" s="947"/>
      <c r="AD223" s="183"/>
      <c r="AE223" s="183"/>
      <c r="AF223" s="308"/>
      <c r="AG223" s="307"/>
      <c r="AH223" s="307"/>
      <c r="AI223" s="307"/>
      <c r="AJ223" s="307"/>
      <c r="AK223" s="307"/>
      <c r="AL223" s="21"/>
      <c r="AM223" s="21"/>
      <c r="AN223" s="21"/>
      <c r="AO223" s="21"/>
      <c r="AP223" s="21"/>
      <c r="AR223" s="15"/>
      <c r="AS223" s="15"/>
      <c r="AT223" s="51"/>
      <c r="AU223" s="15"/>
      <c r="AV223" s="15"/>
      <c r="AW223" s="15"/>
      <c r="AX223" s="15"/>
      <c r="AY223" s="15"/>
      <c r="AZ223" s="15"/>
      <c r="BA223" s="51"/>
      <c r="BB223" s="15"/>
      <c r="BC223" s="15"/>
      <c r="BD223" s="15"/>
      <c r="BE223" s="15"/>
      <c r="BF223" s="15"/>
      <c r="BG223" s="51"/>
      <c r="BH223" s="15"/>
      <c r="BI223" s="15"/>
      <c r="BJ223" s="15"/>
      <c r="BK223" s="51"/>
      <c r="BL223" s="15"/>
      <c r="BM223" s="15"/>
      <c r="BN223" s="15"/>
      <c r="BO223" s="15"/>
      <c r="BP223" s="15"/>
      <c r="BQ223" s="15"/>
      <c r="BR223" s="15"/>
      <c r="BS223" s="15"/>
      <c r="BT223" s="15"/>
      <c r="BU223" s="15"/>
      <c r="BV223" s="15"/>
      <c r="BW223" s="15"/>
      <c r="BX223" s="51"/>
      <c r="BY223" s="15"/>
      <c r="BZ223" s="15"/>
      <c r="CA223" s="15"/>
      <c r="CB223" s="15"/>
      <c r="CC223" s="15"/>
      <c r="CD223" s="15"/>
      <c r="CE223" s="15"/>
      <c r="CF223" s="15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  <c r="FR223" s="18"/>
      <c r="FS223" s="18"/>
      <c r="FT223" s="18"/>
      <c r="FU223" s="18"/>
      <c r="FV223" s="18"/>
      <c r="FW223" s="18"/>
      <c r="FX223" s="18"/>
      <c r="FY223" s="18"/>
      <c r="FZ223" s="18"/>
      <c r="GA223" s="18"/>
      <c r="GB223" s="18"/>
      <c r="GC223" s="18"/>
      <c r="GD223" s="18"/>
      <c r="GE223" s="18"/>
      <c r="GF223" s="18"/>
      <c r="GG223" s="18"/>
      <c r="GH223" s="18"/>
      <c r="GI223" s="18"/>
      <c r="GJ223" s="18"/>
      <c r="GK223" s="18"/>
      <c r="GL223" s="18"/>
      <c r="GM223" s="18"/>
      <c r="GN223" s="18"/>
      <c r="GO223" s="18"/>
      <c r="GP223" s="18"/>
      <c r="GQ223" s="18"/>
      <c r="GR223" s="18"/>
      <c r="GS223" s="18"/>
      <c r="GT223" s="18"/>
      <c r="GU223" s="18"/>
      <c r="GV223" s="18"/>
      <c r="GW223" s="18"/>
      <c r="GX223" s="18"/>
      <c r="GY223" s="18"/>
      <c r="GZ223" s="18"/>
      <c r="HA223" s="18"/>
      <c r="HB223" s="18"/>
      <c r="HC223" s="18"/>
      <c r="HD223" s="18"/>
      <c r="HE223" s="18"/>
      <c r="HF223" s="18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V223" s="18"/>
      <c r="HW223" s="18"/>
      <c r="HX223" s="18"/>
      <c r="HY223" s="18"/>
      <c r="HZ223" s="18"/>
      <c r="IA223" s="18"/>
      <c r="IB223" s="18"/>
      <c r="IC223" s="18"/>
      <c r="ID223" s="18"/>
      <c r="IE223" s="18"/>
      <c r="IF223" s="18"/>
      <c r="IG223" s="18"/>
      <c r="IH223" s="18"/>
      <c r="II223" s="18"/>
      <c r="IJ223" s="18"/>
      <c r="IK223" s="18"/>
      <c r="IL223" s="18"/>
      <c r="IM223" s="18"/>
      <c r="IN223" s="18"/>
      <c r="IO223" s="18"/>
    </row>
    <row r="224" spans="1:302" ht="11.1" hidden="1" customHeight="1" outlineLevel="1">
      <c r="A224" s="195"/>
      <c r="C224" s="52"/>
      <c r="D224" s="38"/>
      <c r="E224" s="29"/>
      <c r="F224" s="940"/>
      <c r="G224" s="310"/>
      <c r="H224" s="310"/>
      <c r="I224" s="309"/>
      <c r="J224" s="309"/>
      <c r="K224" s="185"/>
      <c r="L224" s="58"/>
      <c r="M224" s="311" t="s">
        <v>36</v>
      </c>
      <c r="N224" s="311"/>
      <c r="O224" s="311"/>
      <c r="P224" s="272">
        <v>12.21</v>
      </c>
      <c r="Q224" s="1"/>
      <c r="T224" s="293"/>
      <c r="U224" s="293"/>
      <c r="V224" s="293"/>
      <c r="W224" s="293"/>
      <c r="X224" s="292"/>
      <c r="Y224" s="292"/>
      <c r="Z224" s="292"/>
      <c r="AA224" s="292"/>
      <c r="AB224" s="947"/>
      <c r="AC224" s="947"/>
      <c r="AD224" s="183"/>
      <c r="AE224" s="183"/>
      <c r="AF224" s="308"/>
      <c r="AG224" s="307"/>
      <c r="AH224" s="307"/>
      <c r="AI224" s="307"/>
      <c r="AJ224" s="307"/>
      <c r="AK224" s="307"/>
      <c r="AL224" s="21"/>
      <c r="AM224" s="21"/>
      <c r="AN224" s="21"/>
      <c r="AO224" s="21"/>
      <c r="AP224" s="21"/>
      <c r="AR224" s="15"/>
      <c r="AS224" s="15"/>
      <c r="AT224" s="51"/>
      <c r="AU224" s="15"/>
      <c r="AV224" s="15"/>
      <c r="AW224" s="15"/>
      <c r="AX224" s="15"/>
      <c r="AY224" s="15"/>
      <c r="AZ224" s="15"/>
      <c r="BA224" s="51"/>
      <c r="BB224" s="15"/>
      <c r="BC224" s="15"/>
      <c r="BD224" s="15"/>
      <c r="BE224" s="15"/>
      <c r="BF224" s="15"/>
      <c r="BG224" s="51"/>
      <c r="BH224" s="15"/>
      <c r="BI224" s="15"/>
      <c r="BJ224" s="15"/>
      <c r="BK224" s="51"/>
      <c r="BL224" s="15"/>
      <c r="BM224" s="15"/>
      <c r="BN224" s="15"/>
      <c r="BO224" s="15"/>
      <c r="BP224" s="15"/>
      <c r="BQ224" s="15"/>
      <c r="BR224" s="15"/>
      <c r="BS224" s="15"/>
      <c r="BT224" s="15"/>
      <c r="BU224" s="15"/>
      <c r="BV224" s="15"/>
      <c r="BW224" s="15"/>
      <c r="BX224" s="51"/>
      <c r="BY224" s="15"/>
      <c r="BZ224" s="15"/>
      <c r="CA224" s="15"/>
      <c r="CB224" s="15"/>
      <c r="CC224" s="15"/>
      <c r="CD224" s="15"/>
      <c r="CE224" s="15"/>
      <c r="CF224" s="15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  <c r="FR224" s="18"/>
      <c r="FS224" s="18"/>
      <c r="FT224" s="18"/>
      <c r="FU224" s="18"/>
      <c r="FV224" s="18"/>
      <c r="FW224" s="18"/>
      <c r="FX224" s="18"/>
      <c r="FY224" s="18"/>
      <c r="FZ224" s="18"/>
      <c r="GA224" s="18"/>
      <c r="GB224" s="18"/>
      <c r="GC224" s="18"/>
      <c r="GD224" s="18"/>
      <c r="GE224" s="18"/>
      <c r="GF224" s="18"/>
      <c r="GG224" s="18"/>
      <c r="GH224" s="18"/>
      <c r="GI224" s="18"/>
      <c r="GJ224" s="18"/>
      <c r="GK224" s="18"/>
      <c r="GL224" s="18"/>
      <c r="GM224" s="18"/>
      <c r="GN224" s="18"/>
      <c r="GO224" s="18"/>
      <c r="GP224" s="18"/>
      <c r="GQ224" s="18"/>
      <c r="GR224" s="18"/>
      <c r="GS224" s="18"/>
      <c r="GT224" s="18"/>
      <c r="GU224" s="18"/>
      <c r="GV224" s="18"/>
      <c r="GW224" s="18"/>
      <c r="GX224" s="18"/>
      <c r="GY224" s="18"/>
      <c r="GZ224" s="18"/>
      <c r="HA224" s="18"/>
      <c r="HB224" s="18"/>
      <c r="HC224" s="18"/>
      <c r="HD224" s="18"/>
      <c r="HE224" s="18"/>
      <c r="HF224" s="18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V224" s="18"/>
      <c r="HW224" s="18"/>
      <c r="HX224" s="18"/>
      <c r="HY224" s="18"/>
      <c r="HZ224" s="18"/>
      <c r="IA224" s="18"/>
      <c r="IB224" s="18"/>
      <c r="IC224" s="18"/>
      <c r="ID224" s="18"/>
      <c r="IE224" s="18"/>
      <c r="IF224" s="18"/>
      <c r="IG224" s="18"/>
      <c r="IH224" s="18"/>
      <c r="II224" s="18"/>
      <c r="IJ224" s="18"/>
      <c r="IK224" s="18"/>
      <c r="IL224" s="18"/>
      <c r="IM224" s="18"/>
      <c r="IN224" s="18"/>
      <c r="IO224" s="18"/>
    </row>
    <row r="225" spans="1:302" ht="11.1" hidden="1" customHeight="1" outlineLevel="1">
      <c r="A225" s="195"/>
      <c r="C225" s="52"/>
      <c r="D225" s="38"/>
      <c r="E225" s="29"/>
      <c r="F225" s="940"/>
      <c r="G225" s="310"/>
      <c r="H225" s="310"/>
      <c r="I225" s="309"/>
      <c r="J225" s="309"/>
      <c r="K225" s="185"/>
      <c r="L225" s="58"/>
      <c r="M225" s="311" t="s">
        <v>35</v>
      </c>
      <c r="N225" s="311"/>
      <c r="O225" s="311"/>
      <c r="P225" s="275">
        <v>12.16</v>
      </c>
      <c r="Q225" s="1"/>
      <c r="T225" s="293"/>
      <c r="U225" s="293"/>
      <c r="V225" s="293"/>
      <c r="W225" s="293"/>
      <c r="X225" s="292"/>
      <c r="Y225" s="292"/>
      <c r="Z225" s="292"/>
      <c r="AA225" s="292"/>
      <c r="AB225" s="947"/>
      <c r="AC225" s="947"/>
      <c r="AD225" s="183"/>
      <c r="AE225" s="183"/>
      <c r="AF225" s="308"/>
      <c r="AG225" s="307"/>
      <c r="AH225" s="307"/>
      <c r="AI225" s="307"/>
      <c r="AJ225" s="307"/>
      <c r="AK225" s="307"/>
      <c r="AL225" s="21"/>
      <c r="AM225" s="21"/>
      <c r="AN225" s="21"/>
      <c r="AO225" s="21"/>
      <c r="AP225" s="21"/>
      <c r="AR225" s="15"/>
      <c r="AS225" s="15"/>
      <c r="AT225" s="51"/>
      <c r="AU225" s="15"/>
      <c r="AV225" s="15"/>
      <c r="AW225" s="15"/>
      <c r="AX225" s="15"/>
      <c r="AY225" s="15"/>
      <c r="AZ225" s="15"/>
      <c r="BA225" s="51"/>
      <c r="BB225" s="15"/>
      <c r="BC225" s="15"/>
      <c r="BD225" s="15"/>
      <c r="BE225" s="15"/>
      <c r="BF225" s="15"/>
      <c r="BG225" s="51"/>
      <c r="BH225" s="15"/>
      <c r="BI225" s="15"/>
      <c r="BJ225" s="15"/>
      <c r="BK225" s="51"/>
      <c r="BL225" s="15"/>
      <c r="BM225" s="15"/>
      <c r="BN225" s="15"/>
      <c r="BO225" s="15"/>
      <c r="BP225" s="15"/>
      <c r="BQ225" s="15"/>
      <c r="BR225" s="15"/>
      <c r="BS225" s="15"/>
      <c r="BT225" s="15"/>
      <c r="BU225" s="15"/>
      <c r="BV225" s="15"/>
      <c r="BW225" s="15"/>
      <c r="BX225" s="51"/>
      <c r="BY225" s="15"/>
      <c r="BZ225" s="15"/>
      <c r="CA225" s="15"/>
      <c r="CB225" s="15"/>
      <c r="CC225" s="15"/>
      <c r="CD225" s="15"/>
      <c r="CE225" s="15"/>
      <c r="CF225" s="15"/>
      <c r="CG225" s="18"/>
      <c r="CH225" s="18"/>
      <c r="CI225" s="18"/>
      <c r="CJ225" s="18"/>
      <c r="CK225" s="18"/>
      <c r="CL225" s="18"/>
      <c r="CM225" s="18"/>
      <c r="CN225" s="18"/>
      <c r="CO225" s="18"/>
      <c r="CP225" s="18"/>
      <c r="CQ225" s="18"/>
      <c r="CR225" s="18"/>
      <c r="CT225" s="18"/>
      <c r="CU225" s="18"/>
      <c r="CV225" s="18"/>
      <c r="CW225" s="18"/>
      <c r="CX225" s="18"/>
      <c r="CY225" s="18"/>
      <c r="CZ225" s="18"/>
      <c r="DA225" s="18"/>
      <c r="DB225" s="18"/>
      <c r="DC225" s="18"/>
      <c r="DD225" s="18"/>
      <c r="DE225" s="18"/>
      <c r="DF225" s="18"/>
      <c r="DG225" s="18"/>
      <c r="DH225" s="18"/>
      <c r="DI225" s="18"/>
      <c r="DJ225" s="18"/>
      <c r="DK225" s="18"/>
      <c r="DL225" s="18"/>
      <c r="DM225" s="18"/>
      <c r="DN225" s="18"/>
      <c r="DP225" s="18"/>
      <c r="DQ225" s="18"/>
      <c r="DR225" s="18"/>
      <c r="DS225" s="18"/>
      <c r="DT225" s="18"/>
      <c r="DU225" s="18"/>
      <c r="DV225" s="18"/>
      <c r="DW225" s="18"/>
      <c r="DX225" s="18"/>
      <c r="DY225" s="18"/>
      <c r="DZ225" s="18"/>
      <c r="EA225" s="18"/>
      <c r="EB225" s="18"/>
      <c r="EC225" s="18"/>
      <c r="ED225" s="18"/>
      <c r="EE225" s="18"/>
      <c r="EF225" s="18"/>
      <c r="EG225" s="18"/>
      <c r="EH225" s="18"/>
      <c r="EI225" s="18"/>
      <c r="EJ225" s="18"/>
      <c r="EK225" s="18"/>
      <c r="EL225" s="18"/>
      <c r="EM225" s="18"/>
      <c r="EN225" s="18"/>
      <c r="EO225" s="18"/>
      <c r="EP225" s="18"/>
      <c r="EQ225" s="18"/>
      <c r="ER225" s="18"/>
      <c r="ES225" s="18"/>
      <c r="ET225" s="18"/>
      <c r="EU225" s="18"/>
      <c r="EV225" s="18"/>
      <c r="EW225" s="18"/>
      <c r="EX225" s="18"/>
      <c r="EY225" s="18"/>
      <c r="EZ225" s="18"/>
      <c r="FA225" s="18"/>
      <c r="FB225" s="18"/>
      <c r="FC225" s="18"/>
      <c r="FD225" s="18"/>
      <c r="FE225" s="18"/>
      <c r="FF225" s="18"/>
      <c r="FG225" s="18"/>
      <c r="FH225" s="18"/>
      <c r="FI225" s="18"/>
      <c r="FJ225" s="18"/>
      <c r="FK225" s="18"/>
      <c r="FL225" s="18"/>
      <c r="FM225" s="18"/>
      <c r="FN225" s="18"/>
      <c r="FO225" s="18"/>
      <c r="FP225" s="18"/>
      <c r="FQ225" s="18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  <c r="GN225" s="18"/>
      <c r="GO225" s="18"/>
      <c r="GP225" s="18"/>
      <c r="GQ225" s="18"/>
      <c r="GR225" s="18"/>
      <c r="GS225" s="18"/>
      <c r="GT225" s="18"/>
      <c r="GU225" s="18"/>
      <c r="GV225" s="18"/>
      <c r="GW225" s="18"/>
      <c r="GX225" s="18"/>
      <c r="GY225" s="18"/>
      <c r="GZ225" s="18"/>
      <c r="HA225" s="18"/>
      <c r="HB225" s="18"/>
      <c r="HC225" s="18"/>
      <c r="HD225" s="18"/>
      <c r="HE225" s="18"/>
      <c r="HF225" s="18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V225" s="18"/>
      <c r="HW225" s="18"/>
      <c r="HX225" s="18"/>
      <c r="HY225" s="18"/>
      <c r="HZ225" s="18"/>
      <c r="IA225" s="18"/>
      <c r="IB225" s="18"/>
      <c r="IC225" s="18"/>
      <c r="ID225" s="18"/>
      <c r="IE225" s="18"/>
      <c r="IF225" s="18"/>
      <c r="IG225" s="18"/>
      <c r="IH225" s="18"/>
      <c r="II225" s="18"/>
      <c r="IJ225" s="18"/>
      <c r="IK225" s="18"/>
      <c r="IL225" s="18"/>
      <c r="IM225" s="18"/>
      <c r="IN225" s="18"/>
      <c r="IO225" s="18"/>
    </row>
    <row r="226" spans="1:302" ht="11.1" hidden="1" customHeight="1" outlineLevel="1">
      <c r="A226" s="195"/>
      <c r="C226" s="52"/>
      <c r="D226" s="38"/>
      <c r="E226" s="29"/>
      <c r="F226" s="940"/>
      <c r="G226" s="310"/>
      <c r="H226" s="310"/>
      <c r="I226" s="309"/>
      <c r="J226" s="309"/>
      <c r="K226" s="185"/>
      <c r="L226" s="58"/>
      <c r="M226" s="311" t="s">
        <v>34</v>
      </c>
      <c r="N226" s="311"/>
      <c r="O226" s="311"/>
      <c r="P226" s="18">
        <v>12.19</v>
      </c>
      <c r="Q226" s="1"/>
      <c r="T226" s="293"/>
      <c r="U226" s="293"/>
      <c r="V226" s="293"/>
      <c r="W226" s="293"/>
      <c r="X226" s="292"/>
      <c r="Y226" s="292"/>
      <c r="Z226" s="292"/>
      <c r="AA226" s="292"/>
      <c r="AB226" s="947"/>
      <c r="AC226" s="947"/>
      <c r="AD226" s="183"/>
      <c r="AE226" s="183"/>
      <c r="AF226" s="308"/>
      <c r="AG226" s="307"/>
      <c r="AH226" s="307"/>
      <c r="AI226" s="307"/>
      <c r="AJ226" s="307"/>
      <c r="AK226" s="307"/>
      <c r="AL226" s="21"/>
      <c r="AM226" s="21"/>
      <c r="AN226" s="21"/>
      <c r="AO226" s="21"/>
      <c r="AP226" s="21"/>
      <c r="AR226" s="15"/>
      <c r="AS226" s="15"/>
      <c r="AT226" s="51"/>
      <c r="AU226" s="15"/>
      <c r="AV226" s="15"/>
      <c r="AW226" s="15"/>
      <c r="AX226" s="15"/>
      <c r="AY226" s="15"/>
      <c r="AZ226" s="15"/>
      <c r="BA226" s="51"/>
      <c r="BB226" s="15"/>
      <c r="BC226" s="15"/>
      <c r="BD226" s="15"/>
      <c r="BE226" s="15"/>
      <c r="BF226" s="15"/>
      <c r="BG226" s="51"/>
      <c r="BH226" s="15"/>
      <c r="BI226" s="15"/>
      <c r="BJ226" s="15"/>
      <c r="BK226" s="51"/>
      <c r="BL226" s="15"/>
      <c r="BM226" s="15"/>
      <c r="BN226" s="15"/>
      <c r="BO226" s="15"/>
      <c r="BP226" s="15"/>
      <c r="BQ226" s="15"/>
      <c r="BR226" s="15"/>
      <c r="BS226" s="15"/>
      <c r="BT226" s="15"/>
      <c r="BU226" s="15"/>
      <c r="BV226" s="15"/>
      <c r="BW226" s="15"/>
      <c r="BX226" s="51"/>
      <c r="BY226" s="15"/>
      <c r="BZ226" s="15"/>
      <c r="CA226" s="15"/>
      <c r="CB226" s="15"/>
      <c r="CC226" s="15"/>
      <c r="CD226" s="15"/>
      <c r="CE226" s="15"/>
      <c r="CF226" s="15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  <c r="FR226" s="18"/>
      <c r="FS226" s="18"/>
      <c r="FT226" s="18"/>
      <c r="FU226" s="18"/>
      <c r="FV226" s="18"/>
      <c r="FW226" s="18"/>
      <c r="FX226" s="18"/>
      <c r="FY226" s="18"/>
      <c r="FZ226" s="18"/>
      <c r="GA226" s="18"/>
      <c r="GB226" s="18"/>
      <c r="GC226" s="18"/>
      <c r="GD226" s="18"/>
      <c r="GE226" s="18"/>
      <c r="GF226" s="18"/>
      <c r="GG226" s="18"/>
      <c r="GH226" s="18"/>
      <c r="GI226" s="18"/>
      <c r="GJ226" s="18"/>
      <c r="GK226" s="18"/>
      <c r="GL226" s="18"/>
      <c r="GM226" s="18"/>
      <c r="GN226" s="18"/>
      <c r="GO226" s="18"/>
      <c r="GP226" s="18"/>
      <c r="GQ226" s="18"/>
      <c r="GR226" s="18"/>
      <c r="GS226" s="18"/>
      <c r="GT226" s="18"/>
      <c r="GU226" s="18"/>
      <c r="GV226" s="18"/>
      <c r="GW226" s="18"/>
      <c r="GX226" s="18"/>
      <c r="GY226" s="18"/>
      <c r="GZ226" s="18"/>
      <c r="HA226" s="18"/>
      <c r="HB226" s="18"/>
      <c r="HC226" s="18"/>
      <c r="HD226" s="18"/>
      <c r="HE226" s="18"/>
      <c r="HF226" s="18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V226" s="18"/>
      <c r="HW226" s="18"/>
      <c r="HX226" s="18"/>
      <c r="HY226" s="18"/>
      <c r="HZ226" s="18"/>
      <c r="IA226" s="18"/>
      <c r="IB226" s="18"/>
      <c r="IC226" s="18"/>
      <c r="ID226" s="18"/>
      <c r="IE226" s="18"/>
      <c r="IF226" s="18"/>
      <c r="IG226" s="18"/>
      <c r="IH226" s="18"/>
      <c r="II226" s="18"/>
      <c r="IJ226" s="18"/>
      <c r="IK226" s="18"/>
      <c r="IL226" s="18"/>
      <c r="IM226" s="18"/>
      <c r="IN226" s="18"/>
      <c r="IO226" s="18"/>
    </row>
    <row r="227" spans="1:302" ht="11.1" hidden="1" customHeight="1" outlineLevel="1">
      <c r="A227" s="195"/>
      <c r="C227" s="52"/>
      <c r="D227" s="38"/>
      <c r="E227" s="29"/>
      <c r="F227" s="940"/>
      <c r="G227" s="310"/>
      <c r="H227" s="310"/>
      <c r="I227" s="309"/>
      <c r="J227" s="309"/>
      <c r="K227" s="185"/>
      <c r="L227" s="58"/>
      <c r="M227" s="311" t="s">
        <v>112</v>
      </c>
      <c r="N227" s="311"/>
      <c r="O227" s="311"/>
      <c r="P227" s="18" t="s">
        <v>30</v>
      </c>
      <c r="Q227" s="1"/>
      <c r="T227" s="293"/>
      <c r="U227" s="293"/>
      <c r="V227" s="293"/>
      <c r="W227" s="293"/>
      <c r="X227" s="292"/>
      <c r="Y227" s="292"/>
      <c r="Z227" s="292"/>
      <c r="AA227" s="292"/>
      <c r="AB227" s="947"/>
      <c r="AC227" s="947"/>
      <c r="AD227" s="183"/>
      <c r="AE227" s="183"/>
      <c r="AF227" s="308"/>
      <c r="AG227" s="307"/>
      <c r="AH227" s="307"/>
      <c r="AI227" s="307"/>
      <c r="AJ227" s="307"/>
      <c r="AK227" s="307"/>
      <c r="AL227" s="21"/>
      <c r="AM227" s="21"/>
      <c r="AN227" s="21"/>
      <c r="AO227" s="21"/>
      <c r="AP227" s="21"/>
      <c r="AR227" s="15"/>
      <c r="AS227" s="15"/>
      <c r="AT227" s="51"/>
      <c r="AU227" s="15"/>
      <c r="AV227" s="15"/>
      <c r="AW227" s="15"/>
      <c r="AX227" s="15"/>
      <c r="AY227" s="15"/>
      <c r="AZ227" s="15"/>
      <c r="BA227" s="51"/>
      <c r="BB227" s="15"/>
      <c r="BC227" s="15"/>
      <c r="BD227" s="15"/>
      <c r="BE227" s="15"/>
      <c r="BF227" s="15"/>
      <c r="BG227" s="51"/>
      <c r="BH227" s="15"/>
      <c r="BI227" s="15"/>
      <c r="BJ227" s="15"/>
      <c r="BK227" s="51"/>
      <c r="BL227" s="15"/>
      <c r="BM227" s="15"/>
      <c r="BN227" s="15"/>
      <c r="BO227" s="15"/>
      <c r="BP227" s="15"/>
      <c r="BQ227" s="15"/>
      <c r="BR227" s="15"/>
      <c r="BS227" s="15"/>
      <c r="BT227" s="15"/>
      <c r="BU227" s="15"/>
      <c r="BV227" s="15"/>
      <c r="BW227" s="15"/>
      <c r="BX227" s="51"/>
      <c r="BY227" s="15"/>
      <c r="BZ227" s="15"/>
      <c r="CA227" s="15"/>
      <c r="CB227" s="15"/>
      <c r="CC227" s="15"/>
      <c r="CD227" s="15"/>
      <c r="CE227" s="15"/>
      <c r="CF227" s="15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  <c r="FR227" s="18"/>
      <c r="FS227" s="18"/>
      <c r="FT227" s="18"/>
      <c r="FU227" s="18"/>
      <c r="FV227" s="18"/>
      <c r="FW227" s="18"/>
      <c r="FX227" s="18"/>
      <c r="FY227" s="18"/>
      <c r="FZ227" s="18"/>
      <c r="GA227" s="18"/>
      <c r="GB227" s="18"/>
      <c r="GC227" s="18"/>
      <c r="GD227" s="18"/>
      <c r="GE227" s="18"/>
      <c r="GF227" s="18"/>
      <c r="GG227" s="18"/>
      <c r="GH227" s="18"/>
      <c r="GI227" s="18"/>
      <c r="GJ227" s="18"/>
      <c r="GK227" s="18"/>
      <c r="GL227" s="18"/>
      <c r="GM227" s="18"/>
      <c r="GN227" s="18"/>
      <c r="GO227" s="18"/>
      <c r="GP227" s="18"/>
      <c r="GQ227" s="18"/>
      <c r="GR227" s="18"/>
      <c r="GS227" s="18"/>
      <c r="GT227" s="18"/>
      <c r="GU227" s="18"/>
      <c r="GV227" s="18"/>
      <c r="GW227" s="18"/>
      <c r="GX227" s="18"/>
      <c r="GY227" s="18"/>
      <c r="GZ227" s="18"/>
      <c r="HA227" s="18"/>
      <c r="HB227" s="18"/>
      <c r="HC227" s="18"/>
      <c r="HD227" s="18"/>
      <c r="HE227" s="18"/>
      <c r="HF227" s="18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V227" s="18"/>
      <c r="HW227" s="18"/>
      <c r="HX227" s="18"/>
      <c r="HY227" s="18"/>
      <c r="HZ227" s="18"/>
      <c r="IA227" s="18"/>
      <c r="IB227" s="18"/>
      <c r="IC227" s="18"/>
      <c r="ID227" s="18"/>
      <c r="IE227" s="18"/>
      <c r="IF227" s="18"/>
      <c r="IG227" s="18"/>
      <c r="IH227" s="18"/>
      <c r="II227" s="18"/>
      <c r="IJ227" s="18"/>
      <c r="IK227" s="18"/>
      <c r="IL227" s="18"/>
      <c r="IM227" s="18"/>
      <c r="IN227" s="18"/>
      <c r="IO227" s="18"/>
    </row>
    <row r="228" spans="1:302" ht="11.1" hidden="1" customHeight="1" outlineLevel="1">
      <c r="A228" s="195"/>
      <c r="C228" s="52"/>
      <c r="D228" s="38"/>
      <c r="E228" s="29"/>
      <c r="F228" s="940"/>
      <c r="G228" s="310"/>
      <c r="H228" s="310"/>
      <c r="I228" s="309"/>
      <c r="J228" s="309"/>
      <c r="K228" s="185"/>
      <c r="L228" s="58"/>
      <c r="M228" s="831" t="s">
        <v>111</v>
      </c>
      <c r="N228" s="831"/>
      <c r="O228" s="831"/>
      <c r="P228" s="18" t="s">
        <v>30</v>
      </c>
      <c r="Q228" s="1"/>
      <c r="T228" s="293"/>
      <c r="U228" s="293"/>
      <c r="V228" s="293"/>
      <c r="W228" s="293"/>
      <c r="X228" s="292"/>
      <c r="Y228" s="292"/>
      <c r="Z228" s="292"/>
      <c r="AA228" s="292"/>
      <c r="AB228" s="947"/>
      <c r="AC228" s="947"/>
      <c r="AD228" s="183"/>
      <c r="AE228" s="183"/>
      <c r="AF228" s="308"/>
      <c r="AG228" s="307"/>
      <c r="AH228" s="307"/>
      <c r="AI228" s="307"/>
      <c r="AJ228" s="307"/>
      <c r="AK228" s="307"/>
      <c r="AL228" s="21"/>
      <c r="AM228" s="21"/>
      <c r="AN228" s="21"/>
      <c r="AO228" s="21"/>
      <c r="AP228" s="21"/>
      <c r="AR228" s="15"/>
      <c r="AS228" s="15"/>
      <c r="AT228" s="51"/>
      <c r="AU228" s="15"/>
      <c r="AV228" s="15"/>
      <c r="AW228" s="15"/>
      <c r="AX228" s="15"/>
      <c r="AY228" s="15"/>
      <c r="AZ228" s="15"/>
      <c r="BA228" s="51"/>
      <c r="BB228" s="15"/>
      <c r="BC228" s="15"/>
      <c r="BD228" s="15"/>
      <c r="BE228" s="15"/>
      <c r="BF228" s="15"/>
      <c r="BG228" s="51"/>
      <c r="BH228" s="15"/>
      <c r="BI228" s="15"/>
      <c r="BJ228" s="15"/>
      <c r="BK228" s="51"/>
      <c r="BL228" s="15"/>
      <c r="BM228" s="15"/>
      <c r="BN228" s="15"/>
      <c r="BO228" s="15"/>
      <c r="BP228" s="15"/>
      <c r="BQ228" s="15"/>
      <c r="BR228" s="15"/>
      <c r="BS228" s="15"/>
      <c r="BT228" s="15"/>
      <c r="BU228" s="15"/>
      <c r="BV228" s="15"/>
      <c r="BW228" s="15"/>
      <c r="BX228" s="51"/>
      <c r="BY228" s="15"/>
      <c r="BZ228" s="15"/>
      <c r="CA228" s="15"/>
      <c r="CB228" s="15"/>
      <c r="CC228" s="15"/>
      <c r="CD228" s="15"/>
      <c r="CE228" s="15"/>
      <c r="CF228" s="15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  <c r="FR228" s="18"/>
      <c r="FS228" s="18"/>
      <c r="FT228" s="18"/>
      <c r="FU228" s="18"/>
      <c r="FV228" s="18"/>
      <c r="FW228" s="18"/>
      <c r="FX228" s="18"/>
      <c r="FY228" s="18"/>
      <c r="FZ228" s="18"/>
      <c r="GA228" s="18"/>
      <c r="GB228" s="18"/>
      <c r="GC228" s="18"/>
      <c r="GD228" s="18"/>
      <c r="GE228" s="18"/>
      <c r="GF228" s="18"/>
      <c r="GG228" s="18"/>
      <c r="GH228" s="18"/>
      <c r="GI228" s="18"/>
      <c r="GJ228" s="18"/>
      <c r="GK228" s="18"/>
      <c r="GL228" s="18"/>
      <c r="GM228" s="18"/>
      <c r="GN228" s="18"/>
      <c r="GO228" s="18"/>
      <c r="GP228" s="18"/>
      <c r="GQ228" s="18"/>
      <c r="GR228" s="18"/>
      <c r="GS228" s="18"/>
      <c r="GT228" s="18"/>
      <c r="GU228" s="18"/>
      <c r="GV228" s="18"/>
      <c r="GW228" s="18"/>
      <c r="GX228" s="18"/>
      <c r="GY228" s="18"/>
      <c r="GZ228" s="18"/>
      <c r="HA228" s="18"/>
      <c r="HB228" s="18"/>
      <c r="HC228" s="18"/>
      <c r="HD228" s="18"/>
      <c r="HE228" s="18"/>
      <c r="HF228" s="18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V228" s="18"/>
      <c r="HW228" s="18"/>
      <c r="HX228" s="18"/>
      <c r="HY228" s="18"/>
      <c r="HZ228" s="18"/>
      <c r="IA228" s="18"/>
      <c r="IB228" s="18"/>
      <c r="IC228" s="18"/>
      <c r="ID228" s="18"/>
      <c r="IE228" s="18"/>
      <c r="IF228" s="18"/>
      <c r="IG228" s="18"/>
      <c r="IH228" s="18"/>
      <c r="II228" s="18"/>
      <c r="IJ228" s="18"/>
      <c r="IK228" s="18"/>
      <c r="IL228" s="18"/>
      <c r="IM228" s="18"/>
      <c r="IN228" s="18"/>
      <c r="IO228" s="18"/>
    </row>
    <row r="229" spans="1:302" s="3" customFormat="1" ht="5.0999999999999996" hidden="1" customHeight="1" outlineLevel="1">
      <c r="B229" s="192"/>
      <c r="K229" s="40"/>
      <c r="L229" s="40"/>
      <c r="M229" s="136" t="s">
        <v>110</v>
      </c>
      <c r="N229" s="136"/>
      <c r="O229" s="136"/>
      <c r="P229" s="3" t="s">
        <v>30</v>
      </c>
      <c r="Y229" s="274"/>
      <c r="Z229" s="274"/>
      <c r="AG229" s="35"/>
      <c r="AH229" s="35"/>
      <c r="AI229" s="35"/>
      <c r="AJ229" s="35"/>
      <c r="AK229" s="296"/>
      <c r="AN229" s="13"/>
      <c r="AR229" s="7"/>
      <c r="AT229" s="24"/>
      <c r="AU229" s="981"/>
      <c r="AV229" s="981"/>
      <c r="AW229" s="981"/>
      <c r="AX229" s="981"/>
      <c r="AY229" s="981"/>
      <c r="AZ229" s="981"/>
      <c r="BA229" s="24"/>
      <c r="BB229" s="981"/>
      <c r="BC229" s="981"/>
      <c r="BD229" s="981"/>
      <c r="BE229" s="981"/>
      <c r="BF229" s="981"/>
      <c r="BG229" s="24"/>
      <c r="BH229" s="981"/>
      <c r="BI229" s="981"/>
      <c r="BJ229" s="981"/>
      <c r="BK229" s="24"/>
      <c r="BL229" s="981"/>
      <c r="BM229" s="981"/>
      <c r="BN229" s="981"/>
      <c r="BO229" s="981"/>
      <c r="BP229" s="981"/>
      <c r="BQ229" s="13"/>
      <c r="BR229" s="13"/>
      <c r="BS229" s="13"/>
      <c r="BT229" s="13"/>
      <c r="BU229" s="13"/>
      <c r="BV229" s="13"/>
      <c r="BW229" s="13"/>
      <c r="BX229" s="31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31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31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31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JR229" s="14"/>
      <c r="JS229" s="14"/>
      <c r="JT229" s="14"/>
      <c r="JU229" s="14"/>
      <c r="JV229" s="14"/>
      <c r="JW229" s="14"/>
      <c r="JX229" s="14"/>
      <c r="JY229" s="14"/>
      <c r="JZ229" s="14"/>
      <c r="KA229" s="14"/>
      <c r="KB229" s="14"/>
      <c r="KC229" s="14"/>
      <c r="KD229" s="14"/>
      <c r="KE229" s="14"/>
      <c r="KF229" s="14"/>
      <c r="KG229" s="14"/>
      <c r="KH229" s="14"/>
      <c r="KI229" s="14"/>
      <c r="KJ229" s="14"/>
      <c r="KK229" s="14"/>
      <c r="KL229" s="14"/>
      <c r="KM229" s="14"/>
      <c r="KN229" s="14"/>
      <c r="KO229" s="14"/>
      <c r="KP229" s="14"/>
    </row>
    <row r="230" spans="1:302" ht="11.1" hidden="1" customHeight="1" outlineLevel="1">
      <c r="A230" s="208" t="s">
        <v>131</v>
      </c>
      <c r="D230" s="38" t="s">
        <v>82</v>
      </c>
      <c r="F230" s="306">
        <v>0</v>
      </c>
      <c r="G230" s="946">
        <v>40632</v>
      </c>
      <c r="H230" s="946"/>
      <c r="I230" s="1067">
        <v>79.960273979999997</v>
      </c>
      <c r="J230" s="1067"/>
      <c r="K230" s="1067"/>
      <c r="M230" s="18"/>
      <c r="N230" s="18"/>
      <c r="O230" s="18"/>
      <c r="AB230" s="947"/>
      <c r="AC230" s="947"/>
      <c r="AD230" s="290"/>
      <c r="AE230" s="290"/>
      <c r="AG230" s="934"/>
      <c r="AH230" s="934"/>
      <c r="AI230" s="289"/>
      <c r="AJ230" s="34" t="s">
        <v>66</v>
      </c>
      <c r="AL230" s="14" t="s">
        <v>71</v>
      </c>
      <c r="AM230" s="14" t="s">
        <v>130</v>
      </c>
      <c r="AN230" s="179"/>
      <c r="AO230" s="38"/>
      <c r="AP230" s="188">
        <f>F230*I230+AN230+AN231</f>
        <v>0</v>
      </c>
      <c r="AT230" s="51"/>
      <c r="AU230" s="15"/>
      <c r="AV230" s="15"/>
      <c r="AW230" s="15"/>
      <c r="AX230" s="15"/>
      <c r="AY230" s="15"/>
      <c r="AZ230" s="15"/>
      <c r="BA230" s="51"/>
      <c r="BB230" s="15"/>
      <c r="BC230" s="15"/>
      <c r="BD230" s="15"/>
      <c r="BE230" s="15"/>
      <c r="BF230" s="15"/>
      <c r="BG230" s="51"/>
      <c r="BH230" s="15"/>
      <c r="BI230" s="15"/>
      <c r="BJ230" s="15"/>
      <c r="BK230" s="51"/>
      <c r="BL230" s="15"/>
      <c r="BM230" s="15"/>
      <c r="BN230" s="15"/>
      <c r="BO230" s="15"/>
      <c r="BP230" s="15"/>
      <c r="BQ230" s="18"/>
      <c r="BR230" s="18"/>
      <c r="BS230" s="18"/>
      <c r="BT230" s="18"/>
      <c r="BU230" s="18"/>
      <c r="BV230" s="18"/>
      <c r="BW230" s="18"/>
      <c r="BX230" s="139"/>
      <c r="BY230" s="139" t="str">
        <f>IF($AB230=0,"",$AB230)</f>
        <v/>
      </c>
      <c r="BZ230" s="139"/>
      <c r="CA230" s="139"/>
      <c r="CB230" s="139"/>
      <c r="CC230" s="139"/>
      <c r="CD230" s="139"/>
      <c r="CE230" s="139"/>
      <c r="CF230" s="139"/>
      <c r="CG230" s="139"/>
      <c r="CH230" s="139"/>
      <c r="CI230" s="139"/>
      <c r="CJ230" s="139"/>
      <c r="CK230" s="139"/>
      <c r="CL230" s="139"/>
      <c r="CM230" s="139"/>
      <c r="CN230" s="139"/>
      <c r="CO230" s="139"/>
      <c r="CP230" s="139"/>
      <c r="CQ230" s="139"/>
      <c r="CR230" s="139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  <c r="FR230" s="18"/>
      <c r="FS230" s="18"/>
      <c r="FT230" s="18"/>
      <c r="FU230" s="18"/>
      <c r="FV230" s="18"/>
      <c r="FW230" s="18"/>
      <c r="FX230" s="18"/>
      <c r="FY230" s="18"/>
      <c r="FZ230" s="18"/>
      <c r="GA230" s="18"/>
      <c r="GB230" s="18"/>
      <c r="GC230" s="18"/>
      <c r="GD230" s="18"/>
      <c r="GE230" s="18"/>
      <c r="GF230" s="18"/>
      <c r="GG230" s="18"/>
      <c r="GH230" s="18"/>
      <c r="GI230" s="18"/>
      <c r="GJ230" s="18"/>
      <c r="GK230" s="18"/>
      <c r="GL230" s="18"/>
      <c r="GM230" s="18"/>
      <c r="GN230" s="18"/>
      <c r="GO230" s="18"/>
      <c r="GP230" s="18"/>
      <c r="GQ230" s="18"/>
      <c r="GR230" s="18"/>
      <c r="GS230" s="18"/>
      <c r="GT230" s="18"/>
      <c r="GU230" s="18"/>
      <c r="GV230" s="18"/>
      <c r="GW230" s="18"/>
      <c r="GX230" s="18"/>
      <c r="GY230" s="18"/>
      <c r="GZ230" s="18"/>
      <c r="HA230" s="18"/>
      <c r="HB230" s="18"/>
      <c r="HC230" s="18"/>
      <c r="HD230" s="18"/>
      <c r="HE230" s="18"/>
      <c r="HF230" s="18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V230" s="18"/>
      <c r="HW230" s="18"/>
      <c r="HX230" s="18"/>
      <c r="HY230" s="18"/>
      <c r="HZ230" s="18"/>
      <c r="IA230" s="18"/>
      <c r="IB230" s="18"/>
      <c r="IC230" s="18"/>
      <c r="ID230" s="18"/>
      <c r="IE230" s="139"/>
      <c r="IF230" s="139"/>
      <c r="IG230" s="139"/>
      <c r="IH230" s="139"/>
      <c r="II230" s="139"/>
      <c r="IJ230" s="139"/>
      <c r="IK230" s="139"/>
      <c r="IL230" s="139"/>
      <c r="IM230" s="139"/>
      <c r="IN230" s="139"/>
      <c r="IO230" s="139"/>
    </row>
    <row r="231" spans="1:302" ht="11.1" hidden="1" customHeight="1" outlineLevel="1">
      <c r="I231" s="305"/>
      <c r="J231" s="305"/>
      <c r="K231" s="185">
        <f>AP230</f>
        <v>0</v>
      </c>
      <c r="M231" s="18"/>
      <c r="N231" s="18"/>
      <c r="O231" s="18"/>
      <c r="P231" s="184"/>
      <c r="AB231" s="947"/>
      <c r="AC231" s="947"/>
      <c r="AD231" s="183"/>
      <c r="AE231" s="183"/>
      <c r="AN231" s="179"/>
      <c r="AO231" s="38"/>
      <c r="AP231" s="38"/>
      <c r="AT231" s="51"/>
      <c r="AU231" s="15"/>
      <c r="AV231" s="15"/>
      <c r="AW231" s="15"/>
      <c r="AX231" s="15"/>
      <c r="AY231" s="15"/>
      <c r="AZ231" s="15"/>
      <c r="BA231" s="51"/>
      <c r="BB231" s="15"/>
      <c r="BC231" s="15"/>
      <c r="BD231" s="15"/>
      <c r="BE231" s="15"/>
      <c r="BF231" s="15"/>
      <c r="BG231" s="51"/>
      <c r="BH231" s="15"/>
      <c r="BI231" s="15"/>
      <c r="BJ231" s="15"/>
      <c r="BK231" s="51"/>
      <c r="BL231" s="15"/>
      <c r="BM231" s="15"/>
      <c r="BN231" s="15"/>
      <c r="BO231" s="15"/>
      <c r="BP231" s="15"/>
      <c r="BQ231" s="18"/>
      <c r="BR231" s="18"/>
      <c r="BS231" s="18"/>
      <c r="BT231" s="18"/>
      <c r="BU231" s="18"/>
      <c r="BV231" s="18"/>
      <c r="BW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  <c r="FR231" s="18"/>
      <c r="FS231" s="18"/>
      <c r="FT231" s="18"/>
      <c r="FU231" s="18"/>
      <c r="FV231" s="18"/>
      <c r="FW231" s="18"/>
      <c r="FX231" s="18"/>
      <c r="FY231" s="18"/>
      <c r="FZ231" s="18"/>
      <c r="GA231" s="18"/>
      <c r="GB231" s="18"/>
      <c r="GC231" s="18"/>
      <c r="GD231" s="18"/>
      <c r="GE231" s="18"/>
      <c r="GF231" s="18"/>
      <c r="GG231" s="18"/>
      <c r="GH231" s="18"/>
      <c r="GI231" s="18"/>
      <c r="GJ231" s="18"/>
      <c r="GK231" s="18"/>
      <c r="GL231" s="18"/>
      <c r="GM231" s="18"/>
      <c r="GN231" s="18"/>
      <c r="GO231" s="18"/>
      <c r="GP231" s="18"/>
      <c r="GQ231" s="18"/>
      <c r="GR231" s="18"/>
      <c r="GS231" s="18"/>
      <c r="GT231" s="18"/>
      <c r="GU231" s="18"/>
      <c r="GV231" s="18"/>
      <c r="GW231" s="18"/>
      <c r="GX231" s="18"/>
      <c r="GY231" s="18"/>
      <c r="GZ231" s="18"/>
      <c r="HA231" s="18"/>
      <c r="HB231" s="18"/>
      <c r="HC231" s="18"/>
      <c r="HD231" s="18"/>
      <c r="HE231" s="18"/>
      <c r="HF231" s="18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V231" s="18"/>
      <c r="HW231" s="18"/>
      <c r="HX231" s="18"/>
      <c r="HY231" s="18"/>
      <c r="HZ231" s="18"/>
      <c r="IA231" s="18"/>
      <c r="IB231" s="18"/>
      <c r="IC231" s="18"/>
      <c r="ID231" s="18"/>
      <c r="IE231" s="18"/>
      <c r="IF231" s="18"/>
      <c r="IG231" s="18"/>
      <c r="IH231" s="18"/>
      <c r="II231" s="18"/>
      <c r="IJ231" s="18"/>
      <c r="IK231" s="18"/>
      <c r="IL231" s="18"/>
      <c r="IM231" s="18"/>
      <c r="IN231" s="18"/>
      <c r="IO231" s="18"/>
      <c r="JR231" s="3"/>
      <c r="JS231" s="3"/>
      <c r="JT231" s="3"/>
      <c r="JU231" s="3"/>
      <c r="JV231" s="3"/>
      <c r="JW231" s="3"/>
      <c r="JX231" s="3"/>
      <c r="JY231" s="3"/>
      <c r="JZ231" s="3"/>
      <c r="KA231" s="3"/>
      <c r="KB231" s="3"/>
      <c r="KC231" s="3"/>
      <c r="KD231" s="3"/>
      <c r="KE231" s="3"/>
      <c r="KF231" s="3"/>
      <c r="KG231" s="3"/>
      <c r="KH231" s="3"/>
      <c r="KI231" s="3"/>
      <c r="KJ231" s="3"/>
      <c r="KK231" s="3"/>
      <c r="KL231" s="3"/>
      <c r="KM231" s="3"/>
      <c r="KN231" s="3"/>
      <c r="KO231" s="3"/>
      <c r="KP231" s="3"/>
    </row>
    <row r="232" spans="1:302" ht="11.1" hidden="1" customHeight="1" outlineLevel="1">
      <c r="K232" s="304"/>
      <c r="M232" s="18"/>
      <c r="N232" s="18"/>
      <c r="O232" s="18"/>
      <c r="AN232" s="18"/>
      <c r="AT232" s="51"/>
      <c r="AU232" s="15"/>
      <c r="AV232" s="15"/>
      <c r="AW232" s="15"/>
      <c r="AX232" s="15"/>
      <c r="AY232" s="15"/>
      <c r="AZ232" s="15"/>
      <c r="BA232" s="51"/>
      <c r="BB232" s="15"/>
      <c r="BC232" s="15"/>
      <c r="BD232" s="15"/>
      <c r="BE232" s="15"/>
      <c r="BF232" s="15"/>
      <c r="BG232" s="51"/>
      <c r="BH232" s="15"/>
      <c r="BI232" s="15"/>
      <c r="BJ232" s="15"/>
      <c r="BK232" s="51"/>
      <c r="BL232" s="15"/>
      <c r="BM232" s="15"/>
      <c r="BN232" s="15"/>
      <c r="BO232" s="15"/>
      <c r="BP232" s="15"/>
      <c r="BQ232" s="18"/>
      <c r="BR232" s="18"/>
      <c r="BS232" s="18"/>
      <c r="BT232" s="18"/>
      <c r="BU232" s="18"/>
      <c r="BV232" s="18"/>
      <c r="BW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  <c r="FR232" s="18"/>
      <c r="FS232" s="18"/>
      <c r="FT232" s="18"/>
      <c r="FU232" s="18"/>
      <c r="FV232" s="18"/>
      <c r="FW232" s="18"/>
      <c r="FX232" s="18"/>
      <c r="FY232" s="18"/>
      <c r="FZ232" s="18"/>
      <c r="GA232" s="18"/>
      <c r="GB232" s="18"/>
      <c r="GC232" s="18"/>
      <c r="GD232" s="18"/>
      <c r="GE232" s="18"/>
      <c r="GF232" s="18"/>
      <c r="GG232" s="18"/>
      <c r="GH232" s="18"/>
      <c r="GI232" s="18"/>
      <c r="GJ232" s="18"/>
      <c r="GK232" s="18"/>
      <c r="GL232" s="18"/>
      <c r="GM232" s="18"/>
      <c r="GN232" s="18"/>
      <c r="GO232" s="18"/>
      <c r="GP232" s="18"/>
      <c r="GQ232" s="18"/>
      <c r="GR232" s="18"/>
      <c r="GS232" s="18"/>
      <c r="GT232" s="18"/>
      <c r="GU232" s="18"/>
      <c r="GV232" s="18"/>
      <c r="GW232" s="18"/>
      <c r="GX232" s="18"/>
      <c r="GY232" s="18"/>
      <c r="GZ232" s="18"/>
      <c r="HA232" s="18"/>
      <c r="HB232" s="18"/>
      <c r="HC232" s="18"/>
      <c r="HD232" s="18"/>
      <c r="HE232" s="18"/>
      <c r="HF232" s="18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V232" s="18"/>
      <c r="HW232" s="18"/>
      <c r="HX232" s="18"/>
      <c r="HY232" s="18"/>
      <c r="HZ232" s="18"/>
      <c r="IA232" s="18"/>
      <c r="IB232" s="18"/>
      <c r="IC232" s="18"/>
      <c r="ID232" s="18"/>
      <c r="IE232" s="18"/>
      <c r="IF232" s="18"/>
      <c r="IG232" s="18"/>
      <c r="IH232" s="18"/>
      <c r="II232" s="18"/>
      <c r="IJ232" s="18"/>
      <c r="IK232" s="18"/>
      <c r="IL232" s="18"/>
      <c r="IM232" s="18"/>
      <c r="IN232" s="18"/>
      <c r="IO232" s="18"/>
    </row>
    <row r="233" spans="1:302" ht="11.1" hidden="1" customHeight="1" outlineLevel="1">
      <c r="M233" s="13"/>
      <c r="N233" s="13"/>
      <c r="O233" s="13"/>
      <c r="AN233" s="18"/>
      <c r="AT233" s="51"/>
      <c r="AU233" s="15"/>
      <c r="AV233" s="15"/>
      <c r="AW233" s="15"/>
      <c r="AX233" s="15"/>
      <c r="AY233" s="15"/>
      <c r="AZ233" s="15"/>
      <c r="BA233" s="51"/>
      <c r="BB233" s="15"/>
      <c r="BC233" s="15"/>
      <c r="BD233" s="15"/>
      <c r="BE233" s="15"/>
      <c r="BF233" s="15"/>
      <c r="BG233" s="51"/>
      <c r="BH233" s="15"/>
      <c r="BI233" s="15"/>
      <c r="BJ233" s="15"/>
      <c r="BK233" s="51"/>
      <c r="BL233" s="15"/>
      <c r="BM233" s="15"/>
      <c r="BN233" s="15"/>
      <c r="BO233" s="15"/>
      <c r="BP233" s="15"/>
      <c r="BQ233" s="18"/>
      <c r="BR233" s="18"/>
      <c r="BS233" s="18"/>
      <c r="BT233" s="18"/>
      <c r="BU233" s="18"/>
      <c r="BV233" s="18"/>
      <c r="BW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  <c r="FR233" s="18"/>
      <c r="FS233" s="18"/>
      <c r="FT233" s="18"/>
      <c r="FU233" s="18"/>
      <c r="FV233" s="18"/>
      <c r="FW233" s="18"/>
      <c r="FX233" s="18"/>
      <c r="FY233" s="18"/>
      <c r="FZ233" s="18"/>
      <c r="GA233" s="18"/>
      <c r="GB233" s="18"/>
      <c r="GC233" s="18"/>
      <c r="GD233" s="18"/>
      <c r="GE233" s="18"/>
      <c r="GF233" s="18"/>
      <c r="GG233" s="18"/>
      <c r="GH233" s="18"/>
      <c r="GI233" s="18"/>
      <c r="GJ233" s="18"/>
      <c r="GK233" s="18"/>
      <c r="GL233" s="18"/>
      <c r="GM233" s="18"/>
      <c r="GN233" s="18"/>
      <c r="GO233" s="18"/>
      <c r="GP233" s="18"/>
      <c r="GQ233" s="18"/>
      <c r="GR233" s="18"/>
      <c r="GS233" s="18"/>
      <c r="GT233" s="18"/>
      <c r="GU233" s="18"/>
      <c r="GV233" s="18"/>
      <c r="GW233" s="18"/>
      <c r="GX233" s="18"/>
      <c r="GY233" s="18"/>
      <c r="GZ233" s="18"/>
      <c r="HA233" s="18"/>
      <c r="HB233" s="18"/>
      <c r="HC233" s="18"/>
      <c r="HD233" s="18"/>
      <c r="HE233" s="18"/>
      <c r="HF233" s="18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V233" s="18"/>
      <c r="HW233" s="18"/>
      <c r="HX233" s="18"/>
      <c r="HY233" s="18"/>
      <c r="HZ233" s="18"/>
      <c r="IA233" s="18"/>
      <c r="IB233" s="18"/>
      <c r="IC233" s="18"/>
      <c r="ID233" s="18"/>
      <c r="IE233" s="18"/>
      <c r="IF233" s="18"/>
      <c r="IG233" s="18"/>
      <c r="IH233" s="18"/>
      <c r="II233" s="18"/>
      <c r="IJ233" s="18"/>
      <c r="IK233" s="18"/>
      <c r="IL233" s="18"/>
      <c r="IM233" s="18"/>
      <c r="IN233" s="18"/>
      <c r="IO233" s="18"/>
    </row>
    <row r="234" spans="1:302" ht="10.5" hidden="1" customHeight="1" outlineLevel="1">
      <c r="M234" s="136"/>
      <c r="N234" s="136"/>
      <c r="O234" s="136"/>
      <c r="AN234" s="18"/>
      <c r="AT234" s="51"/>
      <c r="AU234" s="15"/>
      <c r="AV234" s="15"/>
      <c r="AW234" s="15"/>
      <c r="AX234" s="15"/>
      <c r="AY234" s="15"/>
      <c r="AZ234" s="15"/>
      <c r="BA234" s="51"/>
      <c r="BB234" s="15"/>
      <c r="BC234" s="15"/>
      <c r="BD234" s="15"/>
      <c r="BE234" s="15"/>
      <c r="BF234" s="15"/>
      <c r="BG234" s="51"/>
      <c r="BH234" s="15"/>
      <c r="BI234" s="15"/>
      <c r="BJ234" s="15"/>
      <c r="BK234" s="51"/>
      <c r="BL234" s="15"/>
      <c r="BM234" s="15"/>
      <c r="BN234" s="15"/>
      <c r="BO234" s="15"/>
      <c r="BP234" s="15"/>
      <c r="BQ234" s="18"/>
      <c r="BR234" s="18"/>
      <c r="BS234" s="18"/>
      <c r="BT234" s="18"/>
      <c r="BU234" s="18"/>
      <c r="BV234" s="18"/>
      <c r="BW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  <c r="FR234" s="18"/>
      <c r="FS234" s="18"/>
      <c r="FT234" s="18"/>
      <c r="FU234" s="18"/>
      <c r="FV234" s="18"/>
      <c r="FW234" s="18"/>
      <c r="FX234" s="18"/>
      <c r="FY234" s="18"/>
      <c r="FZ234" s="18"/>
      <c r="GA234" s="18"/>
      <c r="GB234" s="18"/>
      <c r="GC234" s="18"/>
      <c r="GD234" s="18"/>
      <c r="GE234" s="18"/>
      <c r="GF234" s="18"/>
      <c r="GG234" s="18"/>
      <c r="GH234" s="18"/>
      <c r="GI234" s="18"/>
      <c r="GJ234" s="18"/>
      <c r="GK234" s="18"/>
      <c r="GL234" s="18"/>
      <c r="GM234" s="18"/>
      <c r="GN234" s="18"/>
      <c r="GO234" s="18"/>
      <c r="GP234" s="18"/>
      <c r="GQ234" s="18"/>
      <c r="GR234" s="18"/>
      <c r="GS234" s="18"/>
      <c r="GT234" s="18"/>
      <c r="GU234" s="18"/>
      <c r="GV234" s="18"/>
      <c r="GW234" s="18"/>
      <c r="GX234" s="18"/>
      <c r="GY234" s="18"/>
      <c r="GZ234" s="18"/>
      <c r="HA234" s="18"/>
      <c r="HB234" s="18"/>
      <c r="HC234" s="18"/>
      <c r="HD234" s="18"/>
      <c r="HE234" s="18"/>
      <c r="HF234" s="18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V234" s="18"/>
      <c r="HW234" s="18"/>
      <c r="HX234" s="18"/>
      <c r="HY234" s="18"/>
      <c r="HZ234" s="18"/>
      <c r="IA234" s="18"/>
      <c r="IB234" s="18"/>
      <c r="IC234" s="18"/>
      <c r="ID234" s="18"/>
      <c r="IE234" s="18"/>
      <c r="IF234" s="18"/>
      <c r="IG234" s="18"/>
      <c r="IH234" s="18"/>
      <c r="II234" s="18"/>
      <c r="IJ234" s="18"/>
      <c r="IK234" s="18"/>
      <c r="IL234" s="18"/>
      <c r="IM234" s="18"/>
      <c r="IN234" s="18"/>
      <c r="IO234" s="18"/>
    </row>
    <row r="235" spans="1:302" ht="10.5" hidden="1" customHeight="1" outlineLevel="1">
      <c r="M235" s="136"/>
      <c r="N235" s="136"/>
      <c r="O235" s="136"/>
      <c r="AN235" s="18"/>
      <c r="AT235" s="51"/>
      <c r="AU235" s="15"/>
      <c r="AV235" s="15"/>
      <c r="AW235" s="15"/>
      <c r="AX235" s="15"/>
      <c r="AY235" s="15"/>
      <c r="AZ235" s="15"/>
      <c r="BA235" s="51"/>
      <c r="BB235" s="15"/>
      <c r="BC235" s="15"/>
      <c r="BD235" s="15"/>
      <c r="BE235" s="15"/>
      <c r="BF235" s="15"/>
      <c r="BG235" s="51"/>
      <c r="BH235" s="15"/>
      <c r="BI235" s="15"/>
      <c r="BJ235" s="15"/>
      <c r="BK235" s="51"/>
      <c r="BL235" s="15"/>
      <c r="BM235" s="15"/>
      <c r="BN235" s="15"/>
      <c r="BO235" s="15"/>
      <c r="BP235" s="15"/>
      <c r="BQ235" s="18"/>
      <c r="BR235" s="18"/>
      <c r="BS235" s="18"/>
      <c r="BT235" s="18"/>
      <c r="BU235" s="18"/>
      <c r="BV235" s="18"/>
      <c r="BW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  <c r="FR235" s="18"/>
      <c r="FS235" s="18"/>
      <c r="FT235" s="18"/>
      <c r="FU235" s="18"/>
      <c r="FV235" s="18"/>
      <c r="FW235" s="18"/>
      <c r="FX235" s="18"/>
      <c r="FY235" s="18"/>
      <c r="FZ235" s="18"/>
      <c r="GA235" s="18"/>
      <c r="GB235" s="18"/>
      <c r="GC235" s="18"/>
      <c r="GD235" s="18"/>
      <c r="GE235" s="18"/>
      <c r="GF235" s="18"/>
      <c r="GG235" s="18"/>
      <c r="GH235" s="18"/>
      <c r="GI235" s="18"/>
      <c r="GJ235" s="18"/>
      <c r="GK235" s="18"/>
      <c r="GL235" s="18"/>
      <c r="GM235" s="18"/>
      <c r="GN235" s="18"/>
      <c r="GO235" s="18"/>
      <c r="GP235" s="18"/>
      <c r="GQ235" s="18"/>
      <c r="GR235" s="18"/>
      <c r="GS235" s="18"/>
      <c r="GT235" s="18"/>
      <c r="GU235" s="18"/>
      <c r="GV235" s="18"/>
      <c r="GW235" s="18"/>
      <c r="GX235" s="18"/>
      <c r="GY235" s="18"/>
      <c r="GZ235" s="18"/>
      <c r="HA235" s="18"/>
      <c r="HB235" s="18"/>
      <c r="HC235" s="18"/>
      <c r="HD235" s="18"/>
      <c r="HE235" s="18"/>
      <c r="HF235" s="18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V235" s="18"/>
      <c r="HW235" s="18"/>
      <c r="HX235" s="18"/>
      <c r="HY235" s="18"/>
      <c r="HZ235" s="18"/>
      <c r="IA235" s="18"/>
      <c r="IB235" s="18"/>
      <c r="IC235" s="18"/>
      <c r="ID235" s="18"/>
      <c r="IE235" s="18"/>
      <c r="IF235" s="18"/>
      <c r="IG235" s="18"/>
      <c r="IH235" s="18"/>
      <c r="II235" s="18"/>
      <c r="IJ235" s="18"/>
      <c r="IK235" s="18"/>
      <c r="IL235" s="18"/>
      <c r="IM235" s="18"/>
      <c r="IN235" s="18"/>
      <c r="IO235" s="18"/>
    </row>
    <row r="236" spans="1:302" ht="10.5" hidden="1" customHeight="1" outlineLevel="1">
      <c r="M236" s="136"/>
      <c r="N236" s="136"/>
      <c r="O236" s="136"/>
      <c r="AN236" s="18"/>
      <c r="AT236" s="51"/>
      <c r="AU236" s="15"/>
      <c r="AV236" s="15"/>
      <c r="AW236" s="15"/>
      <c r="AX236" s="15"/>
      <c r="AY236" s="15"/>
      <c r="AZ236" s="15"/>
      <c r="BA236" s="51"/>
      <c r="BB236" s="15"/>
      <c r="BC236" s="15"/>
      <c r="BD236" s="15"/>
      <c r="BE236" s="15"/>
      <c r="BF236" s="15"/>
      <c r="BG236" s="51"/>
      <c r="BH236" s="15"/>
      <c r="BI236" s="15"/>
      <c r="BJ236" s="15"/>
      <c r="BK236" s="51"/>
      <c r="BL236" s="15"/>
      <c r="BM236" s="15"/>
      <c r="BN236" s="15"/>
      <c r="BO236" s="15"/>
      <c r="BP236" s="15"/>
      <c r="BQ236" s="18"/>
      <c r="BR236" s="18"/>
      <c r="BS236" s="18"/>
      <c r="BT236" s="18"/>
      <c r="BU236" s="18"/>
      <c r="BV236" s="18"/>
      <c r="BW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  <c r="FR236" s="18"/>
      <c r="FS236" s="18"/>
      <c r="FT236" s="18"/>
      <c r="FU236" s="18"/>
      <c r="FV236" s="18"/>
      <c r="FW236" s="18"/>
      <c r="FX236" s="18"/>
      <c r="FY236" s="18"/>
      <c r="FZ236" s="18"/>
      <c r="GA236" s="18"/>
      <c r="GB236" s="18"/>
      <c r="GC236" s="18"/>
      <c r="GD236" s="18"/>
      <c r="GE236" s="18"/>
      <c r="GF236" s="18"/>
      <c r="GG236" s="18"/>
      <c r="GH236" s="18"/>
      <c r="GI236" s="18"/>
      <c r="GJ236" s="18"/>
      <c r="GK236" s="18"/>
      <c r="GL236" s="18"/>
      <c r="GM236" s="18"/>
      <c r="GN236" s="18"/>
      <c r="GO236" s="18"/>
      <c r="GP236" s="18"/>
      <c r="GQ236" s="18"/>
      <c r="GR236" s="18"/>
      <c r="GS236" s="18"/>
      <c r="GT236" s="18"/>
      <c r="GU236" s="18"/>
      <c r="GV236" s="18"/>
      <c r="GW236" s="18"/>
      <c r="GX236" s="18"/>
      <c r="GY236" s="18"/>
      <c r="GZ236" s="18"/>
      <c r="HA236" s="18"/>
      <c r="HB236" s="18"/>
      <c r="HC236" s="18"/>
      <c r="HD236" s="18"/>
      <c r="HE236" s="18"/>
      <c r="HF236" s="18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V236" s="18"/>
      <c r="HW236" s="18"/>
      <c r="HX236" s="18"/>
      <c r="HY236" s="18"/>
      <c r="HZ236" s="18"/>
      <c r="IA236" s="18"/>
      <c r="IB236" s="18"/>
      <c r="IC236" s="18"/>
      <c r="ID236" s="18"/>
      <c r="IE236" s="18"/>
      <c r="IF236" s="18"/>
      <c r="IG236" s="18"/>
      <c r="IH236" s="18"/>
      <c r="II236" s="18"/>
      <c r="IJ236" s="18"/>
      <c r="IK236" s="18"/>
      <c r="IL236" s="18"/>
      <c r="IM236" s="18"/>
      <c r="IN236" s="18"/>
      <c r="IO236" s="18"/>
    </row>
    <row r="237" spans="1:302" ht="11.1" hidden="1" customHeight="1" outlineLevel="1">
      <c r="M237" s="136"/>
      <c r="N237" s="136"/>
      <c r="O237" s="136"/>
      <c r="P237" s="39">
        <v>51.12</v>
      </c>
      <c r="AN237" s="18"/>
      <c r="AT237" s="51"/>
      <c r="AU237" s="15"/>
      <c r="AV237" s="15"/>
      <c r="AW237" s="15"/>
      <c r="AX237" s="15"/>
      <c r="AY237" s="15"/>
      <c r="AZ237" s="15"/>
      <c r="BA237" s="51"/>
      <c r="BB237" s="15"/>
      <c r="BC237" s="15"/>
      <c r="BD237" s="15"/>
      <c r="BE237" s="15"/>
      <c r="BF237" s="15"/>
      <c r="BG237" s="51"/>
      <c r="BH237" s="15"/>
      <c r="BI237" s="15"/>
      <c r="BJ237" s="15"/>
      <c r="BK237" s="51"/>
      <c r="BL237" s="15"/>
      <c r="BM237" s="15"/>
      <c r="BN237" s="15"/>
      <c r="BO237" s="15"/>
      <c r="BP237" s="15"/>
      <c r="BQ237" s="18"/>
      <c r="BR237" s="18"/>
      <c r="BS237" s="18"/>
      <c r="BT237" s="18"/>
      <c r="BU237" s="18"/>
      <c r="BV237" s="18"/>
      <c r="BW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  <c r="FR237" s="18"/>
      <c r="FS237" s="18"/>
      <c r="FT237" s="18"/>
      <c r="FU237" s="18"/>
      <c r="FV237" s="18"/>
      <c r="FW237" s="18"/>
      <c r="FX237" s="18"/>
      <c r="FY237" s="18"/>
      <c r="FZ237" s="18"/>
      <c r="GA237" s="18"/>
      <c r="GB237" s="18"/>
      <c r="GC237" s="18"/>
      <c r="GD237" s="18"/>
      <c r="GE237" s="18"/>
      <c r="GF237" s="18"/>
      <c r="GG237" s="18"/>
      <c r="GH237" s="18"/>
      <c r="GI237" s="18"/>
      <c r="GJ237" s="18"/>
      <c r="GK237" s="18"/>
      <c r="GL237" s="18"/>
      <c r="GM237" s="18"/>
      <c r="GN237" s="18"/>
      <c r="GO237" s="18"/>
      <c r="GP237" s="18"/>
      <c r="GQ237" s="18"/>
      <c r="GR237" s="18"/>
      <c r="GS237" s="18"/>
      <c r="GT237" s="18"/>
      <c r="GU237" s="18"/>
      <c r="GV237" s="18"/>
      <c r="GW237" s="18"/>
      <c r="GX237" s="18"/>
      <c r="GY237" s="18"/>
      <c r="GZ237" s="18"/>
      <c r="HA237" s="18"/>
      <c r="HB237" s="18"/>
      <c r="HC237" s="18"/>
      <c r="HD237" s="18"/>
      <c r="HE237" s="18"/>
      <c r="HF237" s="18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V237" s="18"/>
      <c r="HW237" s="18"/>
      <c r="HX237" s="18"/>
      <c r="HY237" s="18"/>
      <c r="HZ237" s="18"/>
      <c r="IA237" s="18"/>
      <c r="IB237" s="18"/>
      <c r="IC237" s="18"/>
      <c r="ID237" s="18"/>
      <c r="IE237" s="18"/>
      <c r="IF237" s="18"/>
      <c r="IG237" s="18"/>
      <c r="IH237" s="18"/>
      <c r="II237" s="18"/>
      <c r="IJ237" s="18"/>
      <c r="IK237" s="18"/>
      <c r="IL237" s="18"/>
      <c r="IM237" s="18"/>
      <c r="IN237" s="18"/>
      <c r="IO237" s="18"/>
    </row>
    <row r="238" spans="1:302" s="3" customFormat="1" ht="5.0999999999999996" hidden="1" customHeight="1" outlineLevel="1" collapsed="1">
      <c r="B238" s="192"/>
      <c r="K238" s="40"/>
      <c r="L238" s="40"/>
      <c r="M238" s="136"/>
      <c r="N238" s="136"/>
      <c r="O238" s="136"/>
      <c r="P238" s="284">
        <v>51.17</v>
      </c>
      <c r="AG238" s="35"/>
      <c r="AH238" s="35"/>
      <c r="AI238" s="35"/>
      <c r="AJ238" s="35"/>
      <c r="AK238" s="296"/>
      <c r="AN238" s="13"/>
      <c r="AR238" s="7"/>
      <c r="AT238" s="24"/>
      <c r="AU238" s="981"/>
      <c r="AV238" s="981"/>
      <c r="AW238" s="981"/>
      <c r="AX238" s="981"/>
      <c r="AY238" s="981"/>
      <c r="AZ238" s="981"/>
      <c r="BA238" s="24"/>
      <c r="BB238" s="981"/>
      <c r="BC238" s="981"/>
      <c r="BD238" s="981"/>
      <c r="BE238" s="981"/>
      <c r="BF238" s="981"/>
      <c r="BG238" s="24"/>
      <c r="BH238" s="981"/>
      <c r="BI238" s="981"/>
      <c r="BJ238" s="981"/>
      <c r="BK238" s="24"/>
      <c r="BL238" s="981"/>
      <c r="BM238" s="981"/>
      <c r="BN238" s="981"/>
      <c r="BO238" s="981"/>
      <c r="BP238" s="981"/>
      <c r="BQ238" s="13"/>
      <c r="BR238" s="13"/>
      <c r="BS238" s="13"/>
      <c r="BT238" s="13"/>
      <c r="BU238" s="13"/>
      <c r="BV238" s="13"/>
      <c r="BW238" s="13"/>
      <c r="BX238" s="31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31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31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31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JR238" s="14"/>
      <c r="JS238" s="14"/>
      <c r="JT238" s="14"/>
      <c r="JU238" s="14"/>
      <c r="JV238" s="14"/>
      <c r="JW238" s="14"/>
      <c r="JX238" s="14"/>
      <c r="JY238" s="14"/>
      <c r="JZ238" s="14"/>
      <c r="KA238" s="14"/>
      <c r="KB238" s="14"/>
      <c r="KC238" s="14"/>
      <c r="KD238" s="14"/>
      <c r="KE238" s="14"/>
      <c r="KF238" s="14"/>
      <c r="KG238" s="14"/>
      <c r="KH238" s="14"/>
      <c r="KI238" s="14"/>
      <c r="KJ238" s="14"/>
      <c r="KK238" s="14"/>
      <c r="KL238" s="14"/>
      <c r="KM238" s="14"/>
      <c r="KN238" s="14"/>
      <c r="KO238" s="14"/>
      <c r="KP238" s="14"/>
    </row>
    <row r="239" spans="1:302" ht="11.1" hidden="1" customHeight="1" outlineLevel="1">
      <c r="A239" s="30" t="s">
        <v>129</v>
      </c>
      <c r="D239" s="38" t="s">
        <v>128</v>
      </c>
      <c r="F239" s="11">
        <v>0</v>
      </c>
      <c r="G239" s="946">
        <v>41282</v>
      </c>
      <c r="H239" s="946"/>
      <c r="I239" s="1067">
        <v>58.86</v>
      </c>
      <c r="J239" s="1067"/>
      <c r="K239" s="1067"/>
      <c r="M239" s="136"/>
      <c r="N239" s="136"/>
      <c r="O239" s="136"/>
      <c r="P239" s="280">
        <v>50.55</v>
      </c>
      <c r="Q239" s="1"/>
      <c r="T239" s="193"/>
      <c r="U239" s="193"/>
      <c r="V239" s="193"/>
      <c r="W239" s="193"/>
      <c r="X239" s="295"/>
      <c r="Y239" s="295"/>
      <c r="Z239" s="295"/>
      <c r="AA239" s="295"/>
      <c r="AB239" s="947">
        <f>F239*P239</f>
        <v>0</v>
      </c>
      <c r="AC239" s="947"/>
      <c r="AD239" s="190">
        <f>-((I239*F239)-(P239*F239))</f>
        <v>0</v>
      </c>
      <c r="AE239" s="290"/>
      <c r="AF239" s="205" t="e">
        <f>IF(#REF!-AP239&lt;0,#REF!-AP239,(#REF!-AP239)*0.8)</f>
        <v>#REF!</v>
      </c>
      <c r="AG239" s="934"/>
      <c r="AH239" s="934"/>
      <c r="AI239" s="289"/>
      <c r="AJ239" s="34" t="s">
        <v>66</v>
      </c>
      <c r="AL239" s="279" t="s">
        <v>65</v>
      </c>
      <c r="AN239" s="179"/>
      <c r="AO239" s="38"/>
      <c r="AP239" s="188">
        <f>F239*I239+AN239+AN240</f>
        <v>0</v>
      </c>
      <c r="AT239" s="51"/>
      <c r="AU239" s="15"/>
      <c r="AV239" s="15"/>
      <c r="AW239" s="15"/>
      <c r="AX239" s="15"/>
      <c r="AY239" s="15"/>
      <c r="AZ239" s="15"/>
      <c r="BA239" s="51"/>
      <c r="BB239" s="15"/>
      <c r="BC239" s="15"/>
      <c r="BD239" s="15"/>
      <c r="BE239" s="15"/>
      <c r="BF239" s="15"/>
      <c r="BG239" s="51"/>
      <c r="BH239" s="15"/>
      <c r="BI239" s="15"/>
      <c r="BJ239" s="15"/>
      <c r="BK239" s="51"/>
      <c r="BL239" s="15"/>
      <c r="BM239" s="15"/>
      <c r="BN239" s="15"/>
      <c r="BO239" s="15"/>
      <c r="BP239" s="15"/>
      <c r="BQ239" s="18"/>
      <c r="BR239" s="18"/>
      <c r="BS239" s="18"/>
      <c r="BT239" s="18"/>
      <c r="BU239" s="18"/>
      <c r="BV239" s="18"/>
      <c r="BW239" s="18"/>
      <c r="BX239" s="139"/>
      <c r="BY239" s="139"/>
      <c r="BZ239" s="139"/>
      <c r="CA239" s="139"/>
      <c r="CB239" s="139"/>
      <c r="CC239" s="139"/>
      <c r="CD239" s="139"/>
      <c r="CE239" s="139"/>
      <c r="CF239" s="139"/>
      <c r="CG239" s="139"/>
      <c r="CH239" s="139"/>
      <c r="CI239" s="139"/>
      <c r="CJ239" s="139"/>
      <c r="CK239" s="139"/>
      <c r="CL239" s="139"/>
      <c r="CM239" s="139"/>
      <c r="CN239" s="139"/>
      <c r="CO239" s="139"/>
      <c r="CP239" s="139"/>
      <c r="CQ239" s="139"/>
      <c r="CR239" s="139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  <c r="FR239" s="18"/>
      <c r="FS239" s="18"/>
      <c r="FT239" s="18"/>
      <c r="FU239" s="18"/>
      <c r="FV239" s="18"/>
      <c r="FW239" s="18"/>
      <c r="FX239" s="18"/>
      <c r="FY239" s="18"/>
      <c r="FZ239" s="18"/>
      <c r="GA239" s="18"/>
      <c r="GB239" s="18"/>
      <c r="GC239" s="18"/>
      <c r="GD239" s="18"/>
      <c r="GE239" s="18"/>
      <c r="GF239" s="18"/>
      <c r="GG239" s="18"/>
      <c r="GH239" s="18"/>
      <c r="GI239" s="18"/>
      <c r="GJ239" s="18"/>
      <c r="GK239" s="18"/>
      <c r="GL239" s="18"/>
      <c r="GM239" s="18"/>
      <c r="GN239" s="18"/>
      <c r="GO239" s="18"/>
      <c r="GP239" s="18"/>
      <c r="GQ239" s="18"/>
      <c r="GR239" s="18"/>
      <c r="GS239" s="18"/>
      <c r="GT239" s="18"/>
      <c r="GU239" s="18"/>
      <c r="GV239" s="18"/>
      <c r="GW239" s="18"/>
      <c r="GX239" s="18"/>
      <c r="GY239" s="18"/>
      <c r="GZ239" s="18"/>
      <c r="HA239" s="18"/>
      <c r="HB239" s="18"/>
      <c r="HC239" s="18"/>
      <c r="HD239" s="18"/>
      <c r="HE239" s="18"/>
      <c r="HF239" s="18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278">
        <f>IF(AL240=1,AB239,"")</f>
        <v>0</v>
      </c>
      <c r="HV239" s="277" t="str">
        <f>IF(AL240=2,AB239,"")</f>
        <v/>
      </c>
      <c r="HW239" s="277" t="str">
        <f>IF(AL240=3,AB239,"")</f>
        <v/>
      </c>
      <c r="HX239" s="277" t="str">
        <f>IF(AL240=4,AB239,"")</f>
        <v/>
      </c>
      <c r="HY239" s="277" t="str">
        <f>IF(AL240=5,AB239,"")</f>
        <v/>
      </c>
      <c r="HZ239" s="277" t="str">
        <f>IF(AL240=6,AB239,"")</f>
        <v/>
      </c>
      <c r="IA239" s="277" t="str">
        <f>IF(AL240=7,AB239,"")</f>
        <v/>
      </c>
      <c r="IB239" s="277" t="str">
        <f>IF(AL240=8,AB239,"")</f>
        <v/>
      </c>
      <c r="IC239" s="277" t="str">
        <f>IF(AL240=9,AB239,"")</f>
        <v/>
      </c>
      <c r="ID239" s="277" t="str">
        <f>IF(AL240=10,AB239,"")</f>
        <v/>
      </c>
      <c r="IE239" s="277" t="str">
        <f>IF(AL240=11,AB239,"")</f>
        <v/>
      </c>
      <c r="IF239" s="277" t="str">
        <f>IF(AL240=12,AB239,"")</f>
        <v/>
      </c>
      <c r="IG239" s="277" t="str">
        <f>IF(AL240=13,AB239,"")</f>
        <v/>
      </c>
      <c r="IH239" s="277" t="str">
        <f>IF(AL240=14,AB239,"")</f>
        <v/>
      </c>
      <c r="II239" s="277" t="str">
        <f>IF(AL240=15,AB239,"")</f>
        <v/>
      </c>
      <c r="IJ239" s="277" t="str">
        <f>IF(AL240=16,AB239,"")</f>
        <v/>
      </c>
      <c r="IK239" s="277" t="str">
        <f>IF(AL240=17,AB239,"")</f>
        <v/>
      </c>
      <c r="IL239" s="277" t="str">
        <f>IF(AL240=18,AB239,"")</f>
        <v/>
      </c>
      <c r="IM239" s="277" t="str">
        <f>IF(AL240=19,AB239,"")</f>
        <v/>
      </c>
      <c r="IN239" s="277" t="str">
        <f>IF(AL240=20,AB239,"")</f>
        <v/>
      </c>
      <c r="IO239" s="277" t="str">
        <f>IF(AL240=21,AB239,"")</f>
        <v/>
      </c>
      <c r="IP239" s="277" t="str">
        <f>IF(AL240=22,AB239,"")</f>
        <v/>
      </c>
    </row>
    <row r="240" spans="1:302" ht="11.1" hidden="1" customHeight="1" outlineLevel="1">
      <c r="A240" s="3" t="s">
        <v>127</v>
      </c>
      <c r="F240" s="301"/>
      <c r="I240" s="294"/>
      <c r="J240" s="294"/>
      <c r="K240" s="185">
        <f>AP239</f>
        <v>0</v>
      </c>
      <c r="M240" s="136"/>
      <c r="N240" s="136"/>
      <c r="O240" s="136"/>
      <c r="P240" s="284">
        <v>50.67</v>
      </c>
      <c r="Q240" s="1"/>
      <c r="T240" s="293"/>
      <c r="U240" s="293"/>
      <c r="V240" s="293"/>
      <c r="W240" s="293"/>
      <c r="X240" s="292"/>
      <c r="Y240" s="292"/>
      <c r="Z240" s="292"/>
      <c r="AA240" s="292"/>
      <c r="AB240" s="947"/>
      <c r="AC240" s="947"/>
      <c r="AD240" s="183">
        <f>((P239-I239)/I239)</f>
        <v>-0.14118246687054031</v>
      </c>
      <c r="AE240" s="183"/>
      <c r="AL240" s="275">
        <f>VLOOKUP(AL239,'[2]IBAN CONTI'!A$106:B$122,2,FALSE)</f>
        <v>1</v>
      </c>
      <c r="AN240" s="179"/>
      <c r="AO240" s="38"/>
      <c r="AP240" s="38"/>
      <c r="AT240" s="51"/>
      <c r="AU240" s="15"/>
      <c r="AV240" s="15"/>
      <c r="AW240" s="15"/>
      <c r="AX240" s="15"/>
      <c r="AY240" s="15"/>
      <c r="AZ240" s="15"/>
      <c r="BA240" s="51"/>
      <c r="BB240" s="15"/>
      <c r="BC240" s="15"/>
      <c r="BD240" s="15"/>
      <c r="BE240" s="15"/>
      <c r="BF240" s="15"/>
      <c r="BG240" s="51"/>
      <c r="BH240" s="15"/>
      <c r="BI240" s="15"/>
      <c r="BJ240" s="15"/>
      <c r="BK240" s="51"/>
      <c r="BL240" s="15"/>
      <c r="BM240" s="15"/>
      <c r="BN240" s="15"/>
      <c r="BO240" s="15"/>
      <c r="BP240" s="15"/>
      <c r="BQ240" s="18"/>
      <c r="BR240" s="18"/>
      <c r="BS240" s="18"/>
      <c r="BT240" s="18"/>
      <c r="BU240" s="18"/>
      <c r="BV240" s="18"/>
      <c r="BW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  <c r="FR240" s="18"/>
      <c r="FS240" s="18"/>
      <c r="FT240" s="18"/>
      <c r="FU240" s="18"/>
      <c r="FV240" s="18"/>
      <c r="FW240" s="18"/>
      <c r="FX240" s="18"/>
      <c r="FY240" s="18"/>
      <c r="FZ240" s="18"/>
      <c r="GA240" s="18"/>
      <c r="GB240" s="18"/>
      <c r="GC240" s="18"/>
      <c r="GD240" s="18"/>
      <c r="GE240" s="18"/>
      <c r="GF240" s="18"/>
      <c r="GG240" s="18"/>
      <c r="GH240" s="18"/>
      <c r="GI240" s="18"/>
      <c r="GJ240" s="18"/>
      <c r="GK240" s="18"/>
      <c r="GL240" s="18"/>
      <c r="GM240" s="18"/>
      <c r="GN240" s="18"/>
      <c r="GO240" s="18"/>
      <c r="GP240" s="18"/>
      <c r="GQ240" s="18"/>
      <c r="GR240" s="18"/>
      <c r="GS240" s="18"/>
      <c r="GT240" s="18"/>
      <c r="GU240" s="18"/>
      <c r="GV240" s="18"/>
      <c r="GW240" s="18"/>
      <c r="GX240" s="18"/>
      <c r="GY240" s="18"/>
      <c r="GZ240" s="18"/>
      <c r="HA240" s="18"/>
      <c r="HB240" s="18"/>
      <c r="HC240" s="18"/>
      <c r="HD240" s="18"/>
      <c r="HE240" s="18"/>
      <c r="HF240" s="18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V240" s="18"/>
      <c r="HW240" s="18"/>
      <c r="HX240" s="18"/>
      <c r="HY240" s="18"/>
      <c r="HZ240" s="18"/>
      <c r="IA240" s="18"/>
      <c r="IB240" s="18"/>
      <c r="IC240" s="18"/>
      <c r="ID240" s="18"/>
      <c r="IE240" s="18"/>
      <c r="IF240" s="18"/>
      <c r="IG240" s="18"/>
      <c r="IH240" s="18"/>
      <c r="II240" s="18"/>
      <c r="IJ240" s="18"/>
      <c r="IK240" s="18"/>
      <c r="IL240" s="18"/>
      <c r="IM240" s="18"/>
      <c r="IN240" s="18"/>
      <c r="IO240" s="18"/>
      <c r="JR240" s="3"/>
      <c r="JS240" s="3"/>
      <c r="JT240" s="3"/>
      <c r="JU240" s="3"/>
      <c r="JV240" s="3"/>
      <c r="JW240" s="3"/>
      <c r="JX240" s="3"/>
      <c r="JY240" s="3"/>
      <c r="JZ240" s="3"/>
      <c r="KA240" s="3"/>
      <c r="KB240" s="3"/>
      <c r="KC240" s="3"/>
      <c r="KD240" s="3"/>
      <c r="KE240" s="3"/>
      <c r="KF240" s="3"/>
      <c r="KG240" s="3"/>
      <c r="KH240" s="3"/>
      <c r="KI240" s="3"/>
      <c r="KJ240" s="3"/>
      <c r="KK240" s="3"/>
      <c r="KL240" s="3"/>
      <c r="KM240" s="3"/>
      <c r="KN240" s="3"/>
      <c r="KO240" s="3"/>
      <c r="KP240" s="3"/>
    </row>
    <row r="241" spans="1:250" ht="11.1" hidden="1" customHeight="1" outlineLevel="1">
      <c r="M241" s="136" t="s">
        <v>37</v>
      </c>
      <c r="N241" s="136"/>
      <c r="O241" s="136"/>
      <c r="P241" s="283">
        <v>49.49</v>
      </c>
      <c r="Y241" s="14"/>
      <c r="Z241" s="14"/>
      <c r="AN241" s="18"/>
      <c r="AT241" s="51"/>
      <c r="AU241" s="15"/>
      <c r="AV241" s="15"/>
      <c r="AW241" s="15"/>
      <c r="AX241" s="15"/>
      <c r="AY241" s="15"/>
      <c r="AZ241" s="15"/>
      <c r="BA241" s="51"/>
      <c r="BB241" s="15"/>
      <c r="BC241" s="15"/>
      <c r="BD241" s="15"/>
      <c r="BE241" s="15"/>
      <c r="BF241" s="15"/>
      <c r="BG241" s="51"/>
      <c r="BH241" s="15"/>
      <c r="BI241" s="15"/>
      <c r="BJ241" s="15"/>
      <c r="BK241" s="51"/>
      <c r="BL241" s="15"/>
      <c r="BM241" s="15"/>
      <c r="BN241" s="15"/>
      <c r="BO241" s="15"/>
      <c r="BP241" s="15"/>
      <c r="BQ241" s="18"/>
      <c r="BR241" s="18"/>
      <c r="BS241" s="18"/>
      <c r="BT241" s="18"/>
      <c r="BU241" s="18"/>
      <c r="BV241" s="18"/>
      <c r="BW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  <c r="FR241" s="18"/>
      <c r="FS241" s="18"/>
      <c r="FT241" s="18"/>
      <c r="FU241" s="18"/>
      <c r="FV241" s="18"/>
      <c r="FW241" s="18"/>
      <c r="FX241" s="18"/>
      <c r="FY241" s="18"/>
      <c r="FZ241" s="18"/>
      <c r="GA241" s="18"/>
      <c r="GB241" s="18"/>
      <c r="GC241" s="18"/>
      <c r="GD241" s="18"/>
      <c r="GE241" s="18"/>
      <c r="GF241" s="18"/>
      <c r="GG241" s="18"/>
      <c r="GH241" s="18"/>
      <c r="GI241" s="18"/>
      <c r="GJ241" s="18"/>
      <c r="GK241" s="18"/>
      <c r="GL241" s="18"/>
      <c r="GM241" s="18"/>
      <c r="GN241" s="18"/>
      <c r="GO241" s="18"/>
      <c r="GP241" s="18"/>
      <c r="GQ241" s="18"/>
      <c r="GR241" s="18"/>
      <c r="GS241" s="18"/>
      <c r="GT241" s="18"/>
      <c r="GU241" s="18"/>
      <c r="GV241" s="18"/>
      <c r="GW241" s="18"/>
      <c r="GX241" s="18"/>
      <c r="GY241" s="18"/>
      <c r="GZ241" s="18"/>
      <c r="HA241" s="18"/>
      <c r="HB241" s="18"/>
      <c r="HC241" s="18"/>
      <c r="HD241" s="18"/>
      <c r="HE241" s="18"/>
      <c r="HF241" s="18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V241" s="18"/>
      <c r="HW241" s="18"/>
      <c r="HX241" s="18"/>
      <c r="HY241" s="18"/>
      <c r="HZ241" s="18"/>
      <c r="IA241" s="18"/>
      <c r="IB241" s="18"/>
      <c r="IC241" s="18"/>
      <c r="ID241" s="18"/>
      <c r="IE241" s="18"/>
      <c r="IF241" s="18"/>
      <c r="IG241" s="18"/>
      <c r="IH241" s="18"/>
      <c r="II241" s="18"/>
      <c r="IJ241" s="18"/>
      <c r="IK241" s="18"/>
      <c r="IL241" s="18"/>
      <c r="IM241" s="18"/>
      <c r="IN241" s="18"/>
      <c r="IO241" s="18"/>
    </row>
    <row r="242" spans="1:250" ht="11.1" hidden="1" customHeight="1" outlineLevel="1">
      <c r="M242" s="136" t="s">
        <v>36</v>
      </c>
      <c r="N242" s="136"/>
      <c r="O242" s="136"/>
      <c r="P242" s="199">
        <v>49.51</v>
      </c>
      <c r="Y242" s="14"/>
      <c r="Z242" s="14"/>
      <c r="AN242" s="18"/>
      <c r="AT242" s="51"/>
      <c r="AU242" s="15"/>
      <c r="AV242" s="15"/>
      <c r="AW242" s="15"/>
      <c r="AX242" s="15"/>
      <c r="AY242" s="15"/>
      <c r="AZ242" s="15"/>
      <c r="BA242" s="51"/>
      <c r="BB242" s="15"/>
      <c r="BC242" s="15"/>
      <c r="BD242" s="15"/>
      <c r="BE242" s="15"/>
      <c r="BF242" s="15"/>
      <c r="BG242" s="51"/>
      <c r="BH242" s="15"/>
      <c r="BI242" s="15"/>
      <c r="BJ242" s="15"/>
      <c r="BK242" s="51"/>
      <c r="BL242" s="15"/>
      <c r="BM242" s="15"/>
      <c r="BN242" s="15"/>
      <c r="BO242" s="15"/>
      <c r="BP242" s="15"/>
      <c r="BQ242" s="18"/>
      <c r="BR242" s="18"/>
      <c r="BS242" s="18"/>
      <c r="BT242" s="18"/>
      <c r="BU242" s="18"/>
      <c r="BV242" s="18"/>
      <c r="BW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  <c r="FR242" s="18"/>
      <c r="FS242" s="18"/>
      <c r="FT242" s="18"/>
      <c r="FU242" s="18"/>
      <c r="FV242" s="18"/>
      <c r="FW242" s="18"/>
      <c r="FX242" s="18"/>
      <c r="FY242" s="18"/>
      <c r="FZ242" s="18"/>
      <c r="GA242" s="18"/>
      <c r="GB242" s="18"/>
      <c r="GC242" s="18"/>
      <c r="GD242" s="18"/>
      <c r="GE242" s="18"/>
      <c r="GF242" s="18"/>
      <c r="GG242" s="18"/>
      <c r="GH242" s="18"/>
      <c r="GI242" s="18"/>
      <c r="GJ242" s="18"/>
      <c r="GK242" s="18"/>
      <c r="GL242" s="18"/>
      <c r="GM242" s="18"/>
      <c r="GN242" s="18"/>
      <c r="GO242" s="18"/>
      <c r="GP242" s="18"/>
      <c r="GQ242" s="18"/>
      <c r="GR242" s="18"/>
      <c r="GS242" s="18"/>
      <c r="GT242" s="18"/>
      <c r="GU242" s="18"/>
      <c r="GV242" s="18"/>
      <c r="GW242" s="18"/>
      <c r="GX242" s="18"/>
      <c r="GY242" s="18"/>
      <c r="GZ242" s="18"/>
      <c r="HA242" s="18"/>
      <c r="HB242" s="18"/>
      <c r="HC242" s="18"/>
      <c r="HD242" s="18"/>
      <c r="HE242" s="18"/>
      <c r="HF242" s="18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V242" s="18"/>
      <c r="HW242" s="18"/>
      <c r="HX242" s="18"/>
      <c r="HY242" s="18"/>
      <c r="HZ242" s="18"/>
      <c r="IA242" s="18"/>
      <c r="IB242" s="18"/>
      <c r="IC242" s="18"/>
      <c r="ID242" s="18"/>
      <c r="IE242" s="18"/>
      <c r="IF242" s="18"/>
      <c r="IG242" s="18"/>
      <c r="IH242" s="18"/>
      <c r="II242" s="18"/>
      <c r="IJ242" s="18"/>
      <c r="IK242" s="18"/>
      <c r="IL242" s="18"/>
      <c r="IM242" s="18"/>
      <c r="IN242" s="18"/>
      <c r="IO242" s="18"/>
    </row>
    <row r="243" spans="1:250" ht="11.1" hidden="1" customHeight="1" outlineLevel="1">
      <c r="M243" s="136" t="s">
        <v>35</v>
      </c>
      <c r="N243" s="136"/>
      <c r="O243" s="136"/>
      <c r="P243" s="282">
        <v>48.4</v>
      </c>
      <c r="Y243" s="14"/>
      <c r="Z243" s="14"/>
      <c r="AN243" s="18"/>
      <c r="AT243" s="51"/>
      <c r="AU243" s="15"/>
      <c r="AV243" s="15"/>
      <c r="AW243" s="15"/>
      <c r="AX243" s="15"/>
      <c r="AY243" s="15"/>
      <c r="AZ243" s="15"/>
      <c r="BA243" s="51"/>
      <c r="BB243" s="15"/>
      <c r="BC243" s="15"/>
      <c r="BD243" s="15"/>
      <c r="BE243" s="15"/>
      <c r="BF243" s="15"/>
      <c r="BG243" s="51"/>
      <c r="BH243" s="15"/>
      <c r="BI243" s="15"/>
      <c r="BJ243" s="15"/>
      <c r="BK243" s="51"/>
      <c r="BL243" s="15"/>
      <c r="BM243" s="15"/>
      <c r="BN243" s="15"/>
      <c r="BO243" s="15"/>
      <c r="BP243" s="15"/>
      <c r="BQ243" s="18"/>
      <c r="BR243" s="18"/>
      <c r="BS243" s="18"/>
      <c r="BT243" s="18"/>
      <c r="BU243" s="18"/>
      <c r="BV243" s="18"/>
      <c r="BW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  <c r="FR243" s="18"/>
      <c r="FS243" s="18"/>
      <c r="FT243" s="18"/>
      <c r="FU243" s="18"/>
      <c r="FV243" s="18"/>
      <c r="FW243" s="18"/>
      <c r="FX243" s="18"/>
      <c r="FY243" s="18"/>
      <c r="FZ243" s="18"/>
      <c r="GA243" s="18"/>
      <c r="GB243" s="18"/>
      <c r="GC243" s="18"/>
      <c r="GD243" s="18"/>
      <c r="GE243" s="18"/>
      <c r="GF243" s="18"/>
      <c r="GG243" s="18"/>
      <c r="GH243" s="18"/>
      <c r="GI243" s="18"/>
      <c r="GJ243" s="18"/>
      <c r="GK243" s="18"/>
      <c r="GL243" s="18"/>
      <c r="GM243" s="18"/>
      <c r="GN243" s="18"/>
      <c r="GO243" s="18"/>
      <c r="GP243" s="18"/>
      <c r="GQ243" s="18"/>
      <c r="GR243" s="18"/>
      <c r="GS243" s="18"/>
      <c r="GT243" s="18"/>
      <c r="GU243" s="18"/>
      <c r="GV243" s="18"/>
      <c r="GW243" s="18"/>
      <c r="GX243" s="18"/>
      <c r="GY243" s="18"/>
      <c r="GZ243" s="18"/>
      <c r="HA243" s="18"/>
      <c r="HB243" s="18"/>
      <c r="HC243" s="18"/>
      <c r="HD243" s="18"/>
      <c r="HE243" s="18"/>
      <c r="HF243" s="18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V243" s="18"/>
      <c r="HW243" s="18"/>
      <c r="HX243" s="18"/>
      <c r="HY243" s="18"/>
      <c r="HZ243" s="18"/>
      <c r="IA243" s="18"/>
      <c r="IB243" s="18"/>
      <c r="IC243" s="18"/>
      <c r="ID243" s="18"/>
      <c r="IE243" s="18"/>
      <c r="IF243" s="18"/>
      <c r="IG243" s="18"/>
      <c r="IH243" s="18"/>
      <c r="II243" s="18"/>
      <c r="IJ243" s="18"/>
      <c r="IK243" s="18"/>
      <c r="IL243" s="18"/>
      <c r="IM243" s="18"/>
      <c r="IN243" s="18"/>
      <c r="IO243" s="18"/>
    </row>
    <row r="244" spans="1:250" ht="11.1" hidden="1" customHeight="1" outlineLevel="1">
      <c r="M244" s="136" t="s">
        <v>34</v>
      </c>
      <c r="N244" s="136"/>
      <c r="O244" s="136"/>
      <c r="P244" s="282">
        <v>48.47</v>
      </c>
      <c r="Y244" s="14"/>
      <c r="Z244" s="14"/>
      <c r="AN244" s="18"/>
      <c r="AT244" s="51"/>
      <c r="AU244" s="15"/>
      <c r="AV244" s="15"/>
      <c r="AW244" s="15"/>
      <c r="AX244" s="15"/>
      <c r="AY244" s="15"/>
      <c r="AZ244" s="15"/>
      <c r="BA244" s="51"/>
      <c r="BB244" s="15"/>
      <c r="BC244" s="15"/>
      <c r="BD244" s="15"/>
      <c r="BE244" s="15"/>
      <c r="BF244" s="15"/>
      <c r="BG244" s="51"/>
      <c r="BH244" s="15"/>
      <c r="BI244" s="15"/>
      <c r="BJ244" s="15"/>
      <c r="BK244" s="51"/>
      <c r="BL244" s="15"/>
      <c r="BM244" s="15"/>
      <c r="BN244" s="15"/>
      <c r="BO244" s="15"/>
      <c r="BP244" s="15"/>
      <c r="BQ244" s="18"/>
      <c r="BR244" s="18"/>
      <c r="BS244" s="18"/>
      <c r="BT244" s="18"/>
      <c r="BU244" s="18"/>
      <c r="BV244" s="18"/>
      <c r="BW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  <c r="FR244" s="18"/>
      <c r="FS244" s="18"/>
      <c r="FT244" s="18"/>
      <c r="FU244" s="18"/>
      <c r="FV244" s="18"/>
      <c r="FW244" s="18"/>
      <c r="FX244" s="18"/>
      <c r="FY244" s="18"/>
      <c r="FZ244" s="18"/>
      <c r="GA244" s="18"/>
      <c r="GB244" s="18"/>
      <c r="GC244" s="18"/>
      <c r="GD244" s="18"/>
      <c r="GE244" s="18"/>
      <c r="GF244" s="18"/>
      <c r="GG244" s="18"/>
      <c r="GH244" s="18"/>
      <c r="GI244" s="18"/>
      <c r="GJ244" s="18"/>
      <c r="GK244" s="18"/>
      <c r="GL244" s="18"/>
      <c r="GM244" s="18"/>
      <c r="GN244" s="18"/>
      <c r="GO244" s="18"/>
      <c r="GP244" s="18"/>
      <c r="GQ244" s="18"/>
      <c r="GR244" s="18"/>
      <c r="GS244" s="18"/>
      <c r="GT244" s="18"/>
      <c r="GU244" s="18"/>
      <c r="GV244" s="18"/>
      <c r="GW244" s="18"/>
      <c r="GX244" s="18"/>
      <c r="GY244" s="18"/>
      <c r="GZ244" s="18"/>
      <c r="HA244" s="18"/>
      <c r="HB244" s="18"/>
      <c r="HC244" s="18"/>
      <c r="HD244" s="18"/>
      <c r="HE244" s="18"/>
      <c r="HF244" s="18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V244" s="18"/>
      <c r="HW244" s="18"/>
      <c r="HX244" s="18"/>
      <c r="HY244" s="18"/>
      <c r="HZ244" s="18"/>
      <c r="IA244" s="18"/>
      <c r="IB244" s="18"/>
      <c r="IC244" s="18"/>
      <c r="ID244" s="18"/>
      <c r="IE244" s="18"/>
      <c r="IF244" s="18"/>
      <c r="IG244" s="18"/>
      <c r="IH244" s="18"/>
      <c r="II244" s="18"/>
      <c r="IJ244" s="18"/>
      <c r="IK244" s="18"/>
      <c r="IL244" s="18"/>
      <c r="IM244" s="18"/>
      <c r="IN244" s="18"/>
      <c r="IO244" s="18"/>
    </row>
    <row r="245" spans="1:250" ht="11.1" hidden="1" customHeight="1" outlineLevel="1">
      <c r="M245" s="136" t="s">
        <v>62</v>
      </c>
      <c r="N245" s="136"/>
      <c r="O245" s="136"/>
      <c r="P245" s="282">
        <v>51.32</v>
      </c>
      <c r="Y245" s="14"/>
      <c r="Z245" s="14"/>
      <c r="AN245" s="18"/>
      <c r="AT245" s="51"/>
      <c r="AU245" s="15"/>
      <c r="AV245" s="15"/>
      <c r="AW245" s="15"/>
      <c r="AX245" s="15"/>
      <c r="AY245" s="15"/>
      <c r="AZ245" s="15"/>
      <c r="BA245" s="51"/>
      <c r="BB245" s="15"/>
      <c r="BC245" s="15"/>
      <c r="BD245" s="15"/>
      <c r="BE245" s="15"/>
      <c r="BF245" s="15"/>
      <c r="BG245" s="51"/>
      <c r="BH245" s="15"/>
      <c r="BI245" s="15"/>
      <c r="BJ245" s="15"/>
      <c r="BK245" s="51"/>
      <c r="BL245" s="15"/>
      <c r="BM245" s="15"/>
      <c r="BN245" s="15"/>
      <c r="BO245" s="15"/>
      <c r="BP245" s="15"/>
      <c r="BQ245" s="18"/>
      <c r="BR245" s="18"/>
      <c r="BS245" s="18"/>
      <c r="BT245" s="18"/>
      <c r="BU245" s="18"/>
      <c r="BV245" s="18"/>
      <c r="BW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  <c r="FR245" s="18"/>
      <c r="FS245" s="18"/>
      <c r="FT245" s="18"/>
      <c r="FU245" s="18"/>
      <c r="FV245" s="18"/>
      <c r="FW245" s="18"/>
      <c r="FX245" s="18"/>
      <c r="FY245" s="18"/>
      <c r="FZ245" s="18"/>
      <c r="GA245" s="18"/>
      <c r="GB245" s="18"/>
      <c r="GC245" s="18"/>
      <c r="GD245" s="18"/>
      <c r="GE245" s="18"/>
      <c r="GF245" s="18"/>
      <c r="GG245" s="18"/>
      <c r="GH245" s="18"/>
      <c r="GI245" s="18"/>
      <c r="GJ245" s="18"/>
      <c r="GK245" s="18"/>
      <c r="GL245" s="18"/>
      <c r="GM245" s="18"/>
      <c r="GN245" s="18"/>
      <c r="GO245" s="18"/>
      <c r="GP245" s="18"/>
      <c r="GQ245" s="18"/>
      <c r="GR245" s="18"/>
      <c r="GS245" s="18"/>
      <c r="GT245" s="18"/>
      <c r="GU245" s="18"/>
      <c r="GV245" s="18"/>
      <c r="GW245" s="18"/>
      <c r="GX245" s="18"/>
      <c r="GY245" s="18"/>
      <c r="GZ245" s="18"/>
      <c r="HA245" s="18"/>
      <c r="HB245" s="18"/>
      <c r="HC245" s="18"/>
      <c r="HD245" s="18"/>
      <c r="HE245" s="18"/>
      <c r="HF245" s="18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V245" s="18"/>
      <c r="HW245" s="18"/>
      <c r="HX245" s="18"/>
      <c r="HY245" s="18"/>
      <c r="HZ245" s="18"/>
      <c r="IA245" s="18"/>
      <c r="IB245" s="18"/>
      <c r="IC245" s="18"/>
      <c r="ID245" s="18"/>
      <c r="IE245" s="18"/>
      <c r="IF245" s="18"/>
      <c r="IG245" s="18"/>
      <c r="IH245" s="18"/>
      <c r="II245" s="18"/>
      <c r="IJ245" s="18"/>
      <c r="IK245" s="18"/>
      <c r="IL245" s="18"/>
      <c r="IM245" s="18"/>
      <c r="IN245" s="18"/>
      <c r="IO245" s="18"/>
    </row>
    <row r="246" spans="1:250" ht="11.1" hidden="1" customHeight="1" outlineLevel="1">
      <c r="M246" s="136" t="s">
        <v>61</v>
      </c>
      <c r="N246" s="136"/>
      <c r="O246" s="136"/>
      <c r="P246" s="940" t="s">
        <v>126</v>
      </c>
      <c r="Y246" s="14"/>
      <c r="Z246" s="14"/>
      <c r="AN246" s="18"/>
      <c r="AT246" s="51"/>
      <c r="AU246" s="15"/>
      <c r="AV246" s="15"/>
      <c r="AW246" s="15"/>
      <c r="AX246" s="15"/>
      <c r="AY246" s="15"/>
      <c r="AZ246" s="15"/>
      <c r="BA246" s="51"/>
      <c r="BB246" s="15"/>
      <c r="BC246" s="15"/>
      <c r="BD246" s="15"/>
      <c r="BE246" s="15"/>
      <c r="BF246" s="15"/>
      <c r="BG246" s="51"/>
      <c r="BH246" s="15"/>
      <c r="BI246" s="15"/>
      <c r="BJ246" s="15"/>
      <c r="BK246" s="51"/>
      <c r="BL246" s="15"/>
      <c r="BM246" s="15"/>
      <c r="BN246" s="15"/>
      <c r="BO246" s="15"/>
      <c r="BP246" s="15"/>
      <c r="BQ246" s="18"/>
      <c r="BR246" s="18"/>
      <c r="BS246" s="18"/>
      <c r="BT246" s="18"/>
      <c r="BU246" s="18"/>
      <c r="BV246" s="18"/>
      <c r="BW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  <c r="FR246" s="18"/>
      <c r="FS246" s="18"/>
      <c r="FT246" s="18"/>
      <c r="FU246" s="18"/>
      <c r="FV246" s="18"/>
      <c r="FW246" s="18"/>
      <c r="FX246" s="18"/>
      <c r="FY246" s="18"/>
      <c r="FZ246" s="18"/>
      <c r="GA246" s="18"/>
      <c r="GB246" s="18"/>
      <c r="GC246" s="18"/>
      <c r="GD246" s="18"/>
      <c r="GE246" s="18"/>
      <c r="GF246" s="18"/>
      <c r="GG246" s="18"/>
      <c r="GH246" s="18"/>
      <c r="GI246" s="18"/>
      <c r="GJ246" s="18"/>
      <c r="GK246" s="18"/>
      <c r="GL246" s="18"/>
      <c r="GM246" s="18"/>
      <c r="GN246" s="18"/>
      <c r="GO246" s="18"/>
      <c r="GP246" s="18"/>
      <c r="GQ246" s="18"/>
      <c r="GR246" s="18"/>
      <c r="GS246" s="18"/>
      <c r="GT246" s="18"/>
      <c r="GU246" s="18"/>
      <c r="GV246" s="18"/>
      <c r="GW246" s="18"/>
      <c r="GX246" s="18"/>
      <c r="GY246" s="18"/>
      <c r="GZ246" s="18"/>
      <c r="HA246" s="18"/>
      <c r="HB246" s="18"/>
      <c r="HC246" s="18"/>
      <c r="HD246" s="18"/>
      <c r="HE246" s="18"/>
      <c r="HF246" s="18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V246" s="18"/>
      <c r="HW246" s="18"/>
      <c r="HX246" s="18"/>
      <c r="HY246" s="18"/>
      <c r="HZ246" s="18"/>
      <c r="IA246" s="18"/>
      <c r="IB246" s="18"/>
      <c r="IC246" s="18"/>
      <c r="ID246" s="18"/>
      <c r="IE246" s="18"/>
      <c r="IF246" s="18"/>
      <c r="IG246" s="18"/>
      <c r="IH246" s="18"/>
      <c r="II246" s="18"/>
      <c r="IJ246" s="18"/>
      <c r="IK246" s="18"/>
      <c r="IL246" s="18"/>
      <c r="IM246" s="18"/>
      <c r="IN246" s="18"/>
      <c r="IO246" s="18"/>
    </row>
    <row r="247" spans="1:250" ht="11.1" hidden="1" customHeight="1" outlineLevel="1">
      <c r="M247" s="136" t="s">
        <v>59</v>
      </c>
      <c r="N247" s="136"/>
      <c r="O247" s="136"/>
      <c r="P247" s="303">
        <v>0.2732</v>
      </c>
      <c r="Y247" s="14"/>
      <c r="Z247" s="14"/>
      <c r="AN247" s="18"/>
      <c r="AT247" s="51"/>
      <c r="AU247" s="15"/>
      <c r="AV247" s="15"/>
      <c r="AW247" s="15"/>
      <c r="AX247" s="15"/>
      <c r="AY247" s="15"/>
      <c r="AZ247" s="15"/>
      <c r="BA247" s="51"/>
      <c r="BB247" s="15"/>
      <c r="BC247" s="15"/>
      <c r="BD247" s="15"/>
      <c r="BE247" s="15"/>
      <c r="BF247" s="15"/>
      <c r="BG247" s="51"/>
      <c r="BH247" s="15"/>
      <c r="BI247" s="15"/>
      <c r="BJ247" s="15"/>
      <c r="BK247" s="51"/>
      <c r="BL247" s="15"/>
      <c r="BM247" s="15"/>
      <c r="BN247" s="15"/>
      <c r="BO247" s="15"/>
      <c r="BP247" s="15"/>
      <c r="BQ247" s="18"/>
      <c r="BR247" s="18"/>
      <c r="BS247" s="18"/>
      <c r="BT247" s="18"/>
      <c r="BU247" s="18"/>
      <c r="BV247" s="18"/>
      <c r="BW247" s="18"/>
      <c r="BY247" s="18"/>
      <c r="BZ247" s="18"/>
      <c r="CA247" s="18"/>
      <c r="CB247" s="18"/>
      <c r="CC247" s="18"/>
      <c r="CD247" s="18"/>
      <c r="CE247" s="18"/>
      <c r="CF247" s="18"/>
      <c r="CG247" s="18"/>
      <c r="CH247" s="18"/>
      <c r="CI247" s="18"/>
      <c r="CJ247" s="18"/>
      <c r="CK247" s="18"/>
      <c r="CL247" s="18"/>
      <c r="CM247" s="18"/>
      <c r="CN247" s="18"/>
      <c r="CO247" s="18"/>
      <c r="CP247" s="18"/>
      <c r="CQ247" s="18"/>
      <c r="CR247" s="18"/>
      <c r="CT247" s="18"/>
      <c r="CU247" s="18"/>
      <c r="CV247" s="18"/>
      <c r="CW247" s="18"/>
      <c r="CX247" s="18"/>
      <c r="CY247" s="18"/>
      <c r="CZ247" s="18"/>
      <c r="DA247" s="18"/>
      <c r="DB247" s="18"/>
      <c r="DC247" s="18"/>
      <c r="DD247" s="18"/>
      <c r="DE247" s="18"/>
      <c r="DF247" s="18"/>
      <c r="DG247" s="18"/>
      <c r="DH247" s="18"/>
      <c r="DI247" s="18"/>
      <c r="DJ247" s="18"/>
      <c r="DK247" s="18"/>
      <c r="DL247" s="18"/>
      <c r="DM247" s="18"/>
      <c r="DN247" s="18"/>
      <c r="DP247" s="18"/>
      <c r="DQ247" s="18"/>
      <c r="DR247" s="18"/>
      <c r="DS247" s="18"/>
      <c r="DT247" s="18"/>
      <c r="DU247" s="18"/>
      <c r="DV247" s="18"/>
      <c r="DW247" s="18"/>
      <c r="DX247" s="18"/>
      <c r="DY247" s="18"/>
      <c r="DZ247" s="18"/>
      <c r="EA247" s="18"/>
      <c r="EB247" s="18"/>
      <c r="EC247" s="18"/>
      <c r="ED247" s="18"/>
      <c r="EE247" s="18"/>
      <c r="EF247" s="18"/>
      <c r="EG247" s="18"/>
      <c r="EH247" s="18"/>
      <c r="EI247" s="18"/>
      <c r="EJ247" s="18"/>
      <c r="EK247" s="18"/>
      <c r="EL247" s="18"/>
      <c r="EM247" s="18"/>
      <c r="EN247" s="18"/>
      <c r="EO247" s="18"/>
      <c r="EP247" s="18"/>
      <c r="EQ247" s="18"/>
      <c r="ER247" s="18"/>
      <c r="ES247" s="18"/>
      <c r="ET247" s="18"/>
      <c r="EU247" s="18"/>
      <c r="EV247" s="18"/>
      <c r="EW247" s="18"/>
      <c r="EX247" s="18"/>
      <c r="EY247" s="18"/>
      <c r="EZ247" s="18"/>
      <c r="FA247" s="18"/>
      <c r="FB247" s="18"/>
      <c r="FC247" s="18"/>
      <c r="FD247" s="18"/>
      <c r="FE247" s="18"/>
      <c r="FF247" s="18"/>
      <c r="FG247" s="18"/>
      <c r="FH247" s="18"/>
      <c r="FI247" s="18"/>
      <c r="FJ247" s="18"/>
      <c r="FK247" s="18"/>
      <c r="FL247" s="18"/>
      <c r="FM247" s="18"/>
      <c r="FN247" s="18"/>
      <c r="FO247" s="18"/>
      <c r="FP247" s="18"/>
      <c r="FQ247" s="18"/>
      <c r="FR247" s="18"/>
      <c r="FS247" s="18"/>
      <c r="FT247" s="18"/>
      <c r="FU247" s="18"/>
      <c r="FV247" s="18"/>
      <c r="FW247" s="18"/>
      <c r="FX247" s="18"/>
      <c r="FY247" s="18"/>
      <c r="FZ247" s="18"/>
      <c r="GA247" s="18"/>
      <c r="GB247" s="18"/>
      <c r="GC247" s="18"/>
      <c r="GD247" s="18"/>
      <c r="GE247" s="18"/>
      <c r="GF247" s="18"/>
      <c r="GG247" s="18"/>
      <c r="GH247" s="18"/>
      <c r="GI247" s="18"/>
      <c r="GJ247" s="18"/>
      <c r="GK247" s="18"/>
      <c r="GL247" s="18"/>
      <c r="GM247" s="18"/>
      <c r="GN247" s="18"/>
      <c r="GO247" s="18"/>
      <c r="GP247" s="18"/>
      <c r="GQ247" s="18"/>
      <c r="GR247" s="18"/>
      <c r="GS247" s="18"/>
      <c r="GT247" s="18"/>
      <c r="GU247" s="18"/>
      <c r="GV247" s="18"/>
      <c r="GW247" s="18"/>
      <c r="GX247" s="18"/>
      <c r="GY247" s="18"/>
      <c r="GZ247" s="18"/>
      <c r="HA247" s="18"/>
      <c r="HB247" s="18"/>
      <c r="HC247" s="18"/>
      <c r="HD247" s="18"/>
      <c r="HE247" s="18"/>
      <c r="HF247" s="18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V247" s="18"/>
      <c r="HW247" s="18"/>
      <c r="HX247" s="18"/>
      <c r="HY247" s="18"/>
      <c r="HZ247" s="18"/>
      <c r="IA247" s="18"/>
      <c r="IB247" s="18"/>
      <c r="IC247" s="18"/>
      <c r="ID247" s="18"/>
      <c r="IE247" s="18"/>
      <c r="IF247" s="18"/>
      <c r="IG247" s="18"/>
      <c r="IH247" s="18"/>
      <c r="II247" s="18"/>
      <c r="IJ247" s="18"/>
      <c r="IK247" s="18"/>
      <c r="IL247" s="18"/>
      <c r="IM247" s="18"/>
      <c r="IN247" s="18"/>
      <c r="IO247" s="18"/>
    </row>
    <row r="248" spans="1:250" s="14" customFormat="1" ht="5.0999999999999996" hidden="1" customHeight="1" outlineLevel="1" collapsed="1">
      <c r="A248" s="1"/>
      <c r="B248" s="192"/>
      <c r="C248" s="52"/>
      <c r="D248" s="29"/>
      <c r="F248" s="940"/>
      <c r="G248" s="973"/>
      <c r="H248" s="973"/>
      <c r="I248" s="176"/>
      <c r="J248" s="176"/>
      <c r="K248" s="185"/>
      <c r="L248" s="57"/>
      <c r="M248" s="136"/>
      <c r="N248" s="136"/>
      <c r="O248" s="136"/>
      <c r="P248" s="246"/>
      <c r="Q248" s="57"/>
      <c r="T248" s="57"/>
      <c r="U248" s="57"/>
      <c r="V248" s="57"/>
      <c r="W248" s="57"/>
      <c r="X248" s="57"/>
      <c r="Y248" s="175"/>
      <c r="Z248" s="175"/>
      <c r="AA248" s="57"/>
      <c r="AB248" s="947"/>
      <c r="AC248" s="947"/>
      <c r="AD248" s="173"/>
      <c r="AE248" s="173"/>
      <c r="AF248" s="69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940"/>
      <c r="AT248" s="171"/>
      <c r="AU248" s="38"/>
      <c r="AV248" s="38"/>
      <c r="AW248" s="38"/>
      <c r="AX248" s="38"/>
      <c r="AY248" s="38"/>
      <c r="AZ248" s="38"/>
      <c r="BA248" s="171"/>
      <c r="BB248" s="38"/>
      <c r="BC248" s="38"/>
      <c r="BG248" s="32"/>
      <c r="BK248" s="32"/>
      <c r="BL248" s="18"/>
      <c r="BX248" s="32"/>
      <c r="CS248" s="32"/>
      <c r="DO248" s="31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2"/>
    </row>
    <row r="249" spans="1:250" s="14" customFormat="1" ht="11.1" hidden="1" customHeight="1" outlineLevel="1">
      <c r="A249" s="30" t="s">
        <v>125</v>
      </c>
      <c r="B249" s="192"/>
      <c r="C249" s="52"/>
      <c r="D249" s="3" t="s">
        <v>124</v>
      </c>
      <c r="F249" s="11">
        <v>0</v>
      </c>
      <c r="G249" s="946">
        <v>41404</v>
      </c>
      <c r="H249" s="946"/>
      <c r="I249" s="1067">
        <v>76.721184620000002</v>
      </c>
      <c r="J249" s="1067"/>
      <c r="K249" s="1067"/>
      <c r="L249" s="57"/>
      <c r="M249" s="136"/>
      <c r="N249" s="136"/>
      <c r="O249" s="136"/>
      <c r="P249" s="280"/>
      <c r="Q249" s="57"/>
      <c r="T249" s="57"/>
      <c r="U249" s="57"/>
      <c r="V249" s="57"/>
      <c r="W249" s="57"/>
      <c r="X249" s="57"/>
      <c r="Y249" s="175"/>
      <c r="Z249" s="175"/>
      <c r="AA249" s="57"/>
      <c r="AB249" s="947">
        <f>F249*P249</f>
        <v>0</v>
      </c>
      <c r="AC249" s="947"/>
      <c r="AD249" s="190">
        <f>-((I249*F249)-(P249*F249))</f>
        <v>0</v>
      </c>
      <c r="AE249" s="290"/>
      <c r="AF249" s="205" t="e">
        <f>IF(#REF!-AP249&lt;0,#REF!-AP249,(#REF!-AP249)*0.8)</f>
        <v>#REF!</v>
      </c>
      <c r="AG249" s="38"/>
      <c r="AH249" s="196" t="s">
        <v>123</v>
      </c>
      <c r="AI249" s="38"/>
      <c r="AJ249" s="196"/>
      <c r="AK249" s="38"/>
      <c r="AL249" s="279" t="s">
        <v>71</v>
      </c>
      <c r="AM249" s="38"/>
      <c r="AN249" s="213"/>
      <c r="AO249" s="38"/>
      <c r="AP249" s="188">
        <f>F249*I249+AN249+AN250</f>
        <v>0</v>
      </c>
      <c r="AR249" s="38"/>
      <c r="AS249" s="940"/>
      <c r="AT249" s="171"/>
      <c r="AU249" s="38"/>
      <c r="AV249" s="38"/>
      <c r="AW249" s="38"/>
      <c r="AX249" s="38"/>
      <c r="AY249" s="38"/>
      <c r="AZ249" s="38"/>
      <c r="BA249" s="171"/>
      <c r="BB249" s="38"/>
      <c r="BC249" s="38"/>
      <c r="BG249" s="32"/>
      <c r="BK249" s="32"/>
      <c r="BL249" s="18"/>
      <c r="BX249" s="32"/>
      <c r="CS249" s="32"/>
      <c r="DO249" s="31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278" t="str">
        <f>IF(AL250=1,AB249,"")</f>
        <v/>
      </c>
      <c r="HV249" s="277">
        <f>IF(AL250=2,AB249,"")</f>
        <v>0</v>
      </c>
      <c r="HW249" s="277" t="str">
        <f>IF(AL250=3,AB249,"")</f>
        <v/>
      </c>
      <c r="HX249" s="277" t="str">
        <f>IF(AL250=4,AB249,"")</f>
        <v/>
      </c>
      <c r="HY249" s="277" t="str">
        <f>IF(AL250=5,AB249,"")</f>
        <v/>
      </c>
      <c r="HZ249" s="277" t="str">
        <f>IF(AL250=6,AB249,"")</f>
        <v/>
      </c>
      <c r="IA249" s="277" t="str">
        <f>IF(AL250=7,AB249,"")</f>
        <v/>
      </c>
      <c r="IB249" s="277" t="str">
        <f>IF(AL250=8,AB249,"")</f>
        <v/>
      </c>
      <c r="IC249" s="277" t="str">
        <f>IF(AL250=9,AB249,"")</f>
        <v/>
      </c>
      <c r="ID249" s="277" t="str">
        <f>IF(AL250=10,AB249,"")</f>
        <v/>
      </c>
      <c r="IE249" s="277" t="str">
        <f>IF(AL250=11,AB249,"")</f>
        <v/>
      </c>
      <c r="IF249" s="277" t="str">
        <f>IF(AL250=12,AB249,"")</f>
        <v/>
      </c>
      <c r="IG249" s="277" t="str">
        <f>IF(AL250=13,AB249,"")</f>
        <v/>
      </c>
      <c r="IH249" s="277" t="str">
        <f>IF(AL250=14,AB249,"")</f>
        <v/>
      </c>
      <c r="II249" s="277" t="str">
        <f>IF(AL250=15,AB249,"")</f>
        <v/>
      </c>
      <c r="IJ249" s="277" t="str">
        <f>IF(AL250=16,AB249,"")</f>
        <v/>
      </c>
      <c r="IK249" s="277" t="str">
        <f>IF(AL250=17,AB249,"")</f>
        <v/>
      </c>
      <c r="IL249" s="277" t="str">
        <f>IF(AL250=18,AB249,"")</f>
        <v/>
      </c>
      <c r="IM249" s="277" t="str">
        <f>IF(AL250=19,AB249,"")</f>
        <v/>
      </c>
      <c r="IN249" s="277" t="str">
        <f>IF(AL250=20,AB249,"")</f>
        <v/>
      </c>
      <c r="IO249" s="277" t="str">
        <f>IF(AL250=21,AB249,"")</f>
        <v/>
      </c>
      <c r="IP249" s="277" t="str">
        <f>IF(AL250=22,AB249,"")</f>
        <v/>
      </c>
    </row>
    <row r="250" spans="1:250" s="14" customFormat="1" ht="11.1" hidden="1" customHeight="1" outlineLevel="1">
      <c r="A250" s="1" t="s">
        <v>122</v>
      </c>
      <c r="B250" s="192"/>
      <c r="C250" s="52"/>
      <c r="D250" s="29"/>
      <c r="F250" s="940"/>
      <c r="G250" s="946">
        <v>41408</v>
      </c>
      <c r="H250" s="973"/>
      <c r="I250" s="176"/>
      <c r="J250" s="176"/>
      <c r="K250" s="185">
        <f>AP249</f>
        <v>0</v>
      </c>
      <c r="L250" s="57"/>
      <c r="M250" s="136"/>
      <c r="N250" s="136"/>
      <c r="O250" s="136"/>
      <c r="P250" s="246"/>
      <c r="Q250" s="57"/>
      <c r="T250" s="57"/>
      <c r="U250" s="57"/>
      <c r="V250" s="57"/>
      <c r="W250" s="57"/>
      <c r="X250" s="57"/>
      <c r="Y250" s="175"/>
      <c r="Z250" s="175"/>
      <c r="AA250" s="57"/>
      <c r="AB250" s="947"/>
      <c r="AC250" s="947"/>
      <c r="AD250" s="183">
        <f>((P249-I249)/I249)</f>
        <v>-1</v>
      </c>
      <c r="AE250" s="183"/>
      <c r="AG250" s="38"/>
      <c r="AH250" s="38"/>
      <c r="AI250" s="38"/>
      <c r="AJ250" s="38"/>
      <c r="AK250" s="38"/>
      <c r="AL250" s="275">
        <f>VLOOKUP(AL249,'[2]IBAN CONTI'!A$106:B$122,2,FALSE)</f>
        <v>2</v>
      </c>
      <c r="AM250" s="38"/>
      <c r="AN250" s="213"/>
      <c r="AO250" s="38"/>
      <c r="AP250" s="38"/>
      <c r="AR250" s="38"/>
      <c r="AS250" s="940"/>
      <c r="AT250" s="171"/>
      <c r="AU250" s="38"/>
      <c r="AV250" s="38"/>
      <c r="AW250" s="38"/>
      <c r="AX250" s="38"/>
      <c r="AY250" s="38"/>
      <c r="AZ250" s="38"/>
      <c r="BA250" s="171"/>
      <c r="BB250" s="38"/>
      <c r="BC250" s="38"/>
      <c r="BG250" s="32"/>
      <c r="BK250" s="32"/>
      <c r="BL250" s="18"/>
      <c r="BX250" s="32"/>
      <c r="CS250" s="32"/>
      <c r="DO250" s="31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2"/>
    </row>
    <row r="251" spans="1:250" s="14" customFormat="1" ht="11.1" hidden="1" customHeight="1" outlineLevel="1">
      <c r="A251" s="1"/>
      <c r="B251" s="192"/>
      <c r="C251" s="52"/>
      <c r="D251" s="29"/>
      <c r="F251" s="940"/>
      <c r="G251" s="946"/>
      <c r="H251" s="973"/>
      <c r="I251" s="176"/>
      <c r="J251" s="176"/>
      <c r="K251" s="185"/>
      <c r="L251" s="57"/>
      <c r="M251" s="136" t="s">
        <v>37</v>
      </c>
      <c r="N251" s="136"/>
      <c r="O251" s="136"/>
      <c r="P251" s="300"/>
      <c r="Q251" s="57"/>
      <c r="T251" s="57"/>
      <c r="U251" s="57"/>
      <c r="V251" s="57"/>
      <c r="W251" s="57"/>
      <c r="X251" s="57"/>
      <c r="Y251" s="175"/>
      <c r="Z251" s="175"/>
      <c r="AA251" s="57"/>
      <c r="AB251" s="947"/>
      <c r="AC251" s="947"/>
      <c r="AD251" s="183"/>
      <c r="AE251" s="183"/>
      <c r="AF251" s="239"/>
      <c r="AG251" s="38"/>
      <c r="AH251" s="38"/>
      <c r="AI251" s="38"/>
      <c r="AJ251" s="38"/>
      <c r="AK251" s="38"/>
      <c r="AL251" s="275"/>
      <c r="AM251" s="38"/>
      <c r="AN251" s="179"/>
      <c r="AO251" s="38"/>
      <c r="AP251" s="38"/>
      <c r="AR251" s="38"/>
      <c r="AS251" s="940"/>
      <c r="AT251" s="171"/>
      <c r="AU251" s="38"/>
      <c r="AV251" s="38"/>
      <c r="AW251" s="38"/>
      <c r="AX251" s="38"/>
      <c r="AY251" s="38"/>
      <c r="AZ251" s="38"/>
      <c r="BA251" s="171"/>
      <c r="BB251" s="38"/>
      <c r="BC251" s="38"/>
      <c r="BG251" s="32"/>
      <c r="BK251" s="32"/>
      <c r="BL251" s="18"/>
      <c r="BX251" s="32"/>
      <c r="CS251" s="32"/>
      <c r="DO251" s="31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2"/>
    </row>
    <row r="252" spans="1:250" s="14" customFormat="1" ht="11.1" hidden="1" customHeight="1" outlineLevel="1">
      <c r="A252" s="1"/>
      <c r="B252" s="192"/>
      <c r="C252" s="52"/>
      <c r="D252" s="29"/>
      <c r="F252" s="940"/>
      <c r="G252" s="946"/>
      <c r="H252" s="973"/>
      <c r="I252" s="176"/>
      <c r="J252" s="176"/>
      <c r="K252" s="185"/>
      <c r="L252" s="57"/>
      <c r="M252" s="136" t="s">
        <v>36</v>
      </c>
      <c r="N252" s="136"/>
      <c r="O252" s="136"/>
      <c r="P252" s="299"/>
      <c r="Q252" s="57"/>
      <c r="T252" s="57"/>
      <c r="U252" s="57"/>
      <c r="V252" s="57"/>
      <c r="W252" s="57"/>
      <c r="X252" s="57"/>
      <c r="Y252" s="175"/>
      <c r="Z252" s="175"/>
      <c r="AA252" s="57"/>
      <c r="AB252" s="947"/>
      <c r="AC252" s="947"/>
      <c r="AD252" s="183"/>
      <c r="AE252" s="183"/>
      <c r="AF252" s="239"/>
      <c r="AG252" s="38"/>
      <c r="AH252" s="38"/>
      <c r="AI252" s="38"/>
      <c r="AJ252" s="38"/>
      <c r="AK252" s="38"/>
      <c r="AL252" s="275"/>
      <c r="AM252" s="38"/>
      <c r="AN252" s="179"/>
      <c r="AO252" s="38"/>
      <c r="AP252" s="38"/>
      <c r="AR252" s="38"/>
      <c r="AS252" s="940"/>
      <c r="AT252" s="171"/>
      <c r="AU252" s="38"/>
      <c r="AV252" s="38"/>
      <c r="AW252" s="38"/>
      <c r="AX252" s="38"/>
      <c r="AY252" s="38"/>
      <c r="AZ252" s="38"/>
      <c r="BA252" s="171"/>
      <c r="BB252" s="38"/>
      <c r="BC252" s="38"/>
      <c r="BG252" s="32"/>
      <c r="BK252" s="32"/>
      <c r="BL252" s="18"/>
      <c r="BX252" s="32"/>
      <c r="CS252" s="32"/>
      <c r="DO252" s="31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2"/>
    </row>
    <row r="253" spans="1:250" s="14" customFormat="1" ht="11.1" hidden="1" customHeight="1" outlineLevel="1">
      <c r="A253" s="1"/>
      <c r="B253" s="192"/>
      <c r="C253" s="52"/>
      <c r="D253" s="29"/>
      <c r="F253" s="940"/>
      <c r="G253" s="946"/>
      <c r="H253" s="973"/>
      <c r="I253" s="176"/>
      <c r="J253" s="176"/>
      <c r="K253" s="185"/>
      <c r="L253" s="57"/>
      <c r="M253" s="136" t="s">
        <v>35</v>
      </c>
      <c r="N253" s="136"/>
      <c r="O253" s="136"/>
      <c r="P253" s="298"/>
      <c r="Q253" s="57"/>
      <c r="T253" s="57"/>
      <c r="U253" s="57"/>
      <c r="V253" s="57"/>
      <c r="W253" s="57"/>
      <c r="X253" s="57"/>
      <c r="Y253" s="175"/>
      <c r="Z253" s="175"/>
      <c r="AA253" s="57"/>
      <c r="AB253" s="947"/>
      <c r="AC253" s="947"/>
      <c r="AD253" s="183"/>
      <c r="AE253" s="183"/>
      <c r="AF253" s="239"/>
      <c r="AG253" s="38"/>
      <c r="AH253" s="38"/>
      <c r="AI253" s="38"/>
      <c r="AJ253" s="38"/>
      <c r="AK253" s="38"/>
      <c r="AL253" s="275"/>
      <c r="AM253" s="38"/>
      <c r="AN253" s="179"/>
      <c r="AO253" s="38"/>
      <c r="AP253" s="38"/>
      <c r="AR253" s="38"/>
      <c r="AS253" s="940"/>
      <c r="AT253" s="171"/>
      <c r="AU253" s="38"/>
      <c r="AV253" s="38"/>
      <c r="AW253" s="38"/>
      <c r="AX253" s="38"/>
      <c r="AY253" s="38"/>
      <c r="AZ253" s="38"/>
      <c r="BA253" s="171"/>
      <c r="BB253" s="38"/>
      <c r="BC253" s="38"/>
      <c r="BG253" s="32"/>
      <c r="BK253" s="32"/>
      <c r="BL253" s="18"/>
      <c r="BX253" s="32"/>
      <c r="CS253" s="32"/>
      <c r="DO253" s="31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2"/>
    </row>
    <row r="254" spans="1:250" s="14" customFormat="1" ht="11.1" hidden="1" customHeight="1" outlineLevel="1">
      <c r="A254" s="1"/>
      <c r="B254" s="192"/>
      <c r="C254" s="52"/>
      <c r="D254" s="29"/>
      <c r="F254" s="940"/>
      <c r="G254" s="946"/>
      <c r="H254" s="973"/>
      <c r="I254" s="176"/>
      <c r="J254" s="176"/>
      <c r="K254" s="185"/>
      <c r="L254" s="57"/>
      <c r="M254" s="136" t="s">
        <v>34</v>
      </c>
      <c r="N254" s="136"/>
      <c r="O254" s="136"/>
      <c r="P254" s="275"/>
      <c r="Q254" s="57"/>
      <c r="T254" s="57"/>
      <c r="U254" s="57"/>
      <c r="V254" s="57"/>
      <c r="W254" s="57"/>
      <c r="X254" s="57"/>
      <c r="Y254" s="175"/>
      <c r="Z254" s="175"/>
      <c r="AA254" s="57"/>
      <c r="AB254" s="947"/>
      <c r="AC254" s="947"/>
      <c r="AD254" s="183"/>
      <c r="AE254" s="183"/>
      <c r="AF254" s="239"/>
      <c r="AG254" s="38"/>
      <c r="AH254" s="38"/>
      <c r="AI254" s="38"/>
      <c r="AJ254" s="38"/>
      <c r="AK254" s="38"/>
      <c r="AL254" s="275"/>
      <c r="AM254" s="38"/>
      <c r="AN254" s="179"/>
      <c r="AO254" s="38"/>
      <c r="AP254" s="38"/>
      <c r="AR254" s="38"/>
      <c r="AS254" s="940"/>
      <c r="AT254" s="171"/>
      <c r="AU254" s="38"/>
      <c r="AV254" s="38"/>
      <c r="AW254" s="38"/>
      <c r="AX254" s="38"/>
      <c r="AY254" s="38"/>
      <c r="AZ254" s="38"/>
      <c r="BA254" s="171"/>
      <c r="BB254" s="38"/>
      <c r="BC254" s="38"/>
      <c r="BG254" s="32"/>
      <c r="BK254" s="32"/>
      <c r="BL254" s="18"/>
      <c r="BX254" s="32"/>
      <c r="CS254" s="32"/>
      <c r="DO254" s="31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2"/>
    </row>
    <row r="255" spans="1:250" ht="11.1" hidden="1" customHeight="1" outlineLevel="1">
      <c r="M255" s="136" t="s">
        <v>112</v>
      </c>
      <c r="N255" s="136"/>
      <c r="O255" s="136"/>
      <c r="P255" s="297"/>
      <c r="Y255" s="14"/>
      <c r="Z255" s="14"/>
      <c r="AN255" s="18"/>
      <c r="AT255" s="51"/>
      <c r="AU255" s="15"/>
      <c r="AV255" s="15"/>
      <c r="AW255" s="15"/>
      <c r="AX255" s="15"/>
      <c r="AY255" s="15"/>
      <c r="AZ255" s="15"/>
      <c r="BA255" s="51"/>
      <c r="BB255" s="15"/>
      <c r="BC255" s="15"/>
      <c r="BD255" s="15"/>
      <c r="BE255" s="15"/>
      <c r="BF255" s="15"/>
      <c r="BG255" s="51"/>
      <c r="BH255" s="15"/>
      <c r="BI255" s="15"/>
      <c r="BJ255" s="15"/>
      <c r="BK255" s="51"/>
      <c r="BL255" s="15"/>
      <c r="BM255" s="15"/>
      <c r="BN255" s="15"/>
      <c r="BO255" s="15"/>
      <c r="BP255" s="15"/>
      <c r="BQ255" s="18"/>
      <c r="BR255" s="18"/>
      <c r="BS255" s="18"/>
      <c r="BT255" s="18"/>
      <c r="BU255" s="18"/>
      <c r="BV255" s="18"/>
      <c r="BW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  <c r="FR255" s="18"/>
      <c r="FS255" s="18"/>
      <c r="FT255" s="18"/>
      <c r="FU255" s="18"/>
      <c r="FV255" s="18"/>
      <c r="FW255" s="18"/>
      <c r="FX255" s="18"/>
      <c r="FY255" s="18"/>
      <c r="FZ255" s="18"/>
      <c r="GA255" s="18"/>
      <c r="GB255" s="18"/>
      <c r="GC255" s="18"/>
      <c r="GD255" s="18"/>
      <c r="GE255" s="18"/>
      <c r="GF255" s="18"/>
      <c r="GG255" s="18"/>
      <c r="GH255" s="18"/>
      <c r="GI255" s="18"/>
      <c r="GJ255" s="18"/>
      <c r="GK255" s="18"/>
      <c r="GL255" s="18"/>
      <c r="GM255" s="18"/>
      <c r="GN255" s="18"/>
      <c r="GO255" s="18"/>
      <c r="GP255" s="18"/>
      <c r="GQ255" s="18"/>
      <c r="GR255" s="18"/>
      <c r="GS255" s="18"/>
      <c r="GT255" s="18"/>
      <c r="GU255" s="18"/>
      <c r="GV255" s="18"/>
      <c r="GW255" s="18"/>
      <c r="GX255" s="18"/>
      <c r="GY255" s="18"/>
      <c r="GZ255" s="18"/>
      <c r="HA255" s="18"/>
      <c r="HB255" s="18"/>
      <c r="HC255" s="18"/>
      <c r="HD255" s="18"/>
      <c r="HE255" s="18"/>
      <c r="HF255" s="18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V255" s="18"/>
      <c r="HW255" s="18"/>
      <c r="HX255" s="18"/>
      <c r="HY255" s="18"/>
      <c r="HZ255" s="18"/>
      <c r="IA255" s="18"/>
      <c r="IB255" s="18"/>
      <c r="IC255" s="18"/>
      <c r="ID255" s="18"/>
      <c r="IE255" s="18"/>
      <c r="IF255" s="18"/>
      <c r="IG255" s="18"/>
      <c r="IH255" s="18"/>
      <c r="II255" s="18"/>
      <c r="IJ255" s="18"/>
      <c r="IK255" s="18"/>
      <c r="IL255" s="18"/>
      <c r="IM255" s="18"/>
      <c r="IN255" s="18"/>
      <c r="IO255" s="18"/>
    </row>
    <row r="256" spans="1:250" ht="11.1" hidden="1" customHeight="1" outlineLevel="1">
      <c r="M256" s="136" t="s">
        <v>61</v>
      </c>
      <c r="N256" s="136"/>
      <c r="O256" s="136"/>
      <c r="P256" s="297"/>
      <c r="Y256" s="14"/>
      <c r="Z256" s="14"/>
      <c r="AN256" s="18"/>
      <c r="AT256" s="51"/>
      <c r="AU256" s="15"/>
      <c r="AV256" s="15"/>
      <c r="AW256" s="15"/>
      <c r="AX256" s="15"/>
      <c r="AY256" s="15"/>
      <c r="AZ256" s="15"/>
      <c r="BA256" s="51"/>
      <c r="BB256" s="15"/>
      <c r="BC256" s="15"/>
      <c r="BD256" s="15"/>
      <c r="BE256" s="15"/>
      <c r="BF256" s="15"/>
      <c r="BG256" s="51"/>
      <c r="BH256" s="15"/>
      <c r="BI256" s="15"/>
      <c r="BJ256" s="15"/>
      <c r="BK256" s="51"/>
      <c r="BL256" s="15"/>
      <c r="BM256" s="15"/>
      <c r="BN256" s="15"/>
      <c r="BO256" s="15"/>
      <c r="BP256" s="15"/>
      <c r="BQ256" s="18"/>
      <c r="BR256" s="18"/>
      <c r="BS256" s="18"/>
      <c r="BT256" s="18"/>
      <c r="BU256" s="18"/>
      <c r="BV256" s="18"/>
      <c r="BW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  <c r="FR256" s="18"/>
      <c r="FS256" s="18"/>
      <c r="FT256" s="18"/>
      <c r="FU256" s="18"/>
      <c r="FV256" s="18"/>
      <c r="FW256" s="18"/>
      <c r="FX256" s="18"/>
      <c r="FY256" s="18"/>
      <c r="FZ256" s="18"/>
      <c r="GA256" s="18"/>
      <c r="GB256" s="18"/>
      <c r="GC256" s="18"/>
      <c r="GD256" s="18"/>
      <c r="GE256" s="18"/>
      <c r="GF256" s="18"/>
      <c r="GG256" s="18"/>
      <c r="GH256" s="18"/>
      <c r="GI256" s="18"/>
      <c r="GJ256" s="18"/>
      <c r="GK256" s="18"/>
      <c r="GL256" s="18"/>
      <c r="GM256" s="18"/>
      <c r="GN256" s="18"/>
      <c r="GO256" s="18"/>
      <c r="GP256" s="18"/>
      <c r="GQ256" s="18"/>
      <c r="GR256" s="18"/>
      <c r="GS256" s="18"/>
      <c r="GT256" s="18"/>
      <c r="GU256" s="18"/>
      <c r="GV256" s="18"/>
      <c r="GW256" s="18"/>
      <c r="GX256" s="18"/>
      <c r="GY256" s="18"/>
      <c r="GZ256" s="18"/>
      <c r="HA256" s="18"/>
      <c r="HB256" s="18"/>
      <c r="HC256" s="18"/>
      <c r="HD256" s="18"/>
      <c r="HE256" s="18"/>
      <c r="HF256" s="18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V256" s="18"/>
      <c r="HW256" s="18"/>
      <c r="HX256" s="18"/>
      <c r="HY256" s="18"/>
      <c r="HZ256" s="18"/>
      <c r="IA256" s="18"/>
      <c r="IB256" s="18"/>
      <c r="IC256" s="18"/>
      <c r="ID256" s="18"/>
      <c r="IE256" s="18"/>
      <c r="IF256" s="18"/>
      <c r="IG256" s="18"/>
      <c r="IH256" s="18"/>
      <c r="II256" s="18"/>
      <c r="IJ256" s="18"/>
      <c r="IK256" s="18"/>
      <c r="IL256" s="18"/>
      <c r="IM256" s="18"/>
      <c r="IN256" s="18"/>
      <c r="IO256" s="18"/>
    </row>
    <row r="257" spans="1:302" ht="10.5" hidden="1" customHeight="1" outlineLevel="1">
      <c r="M257" s="136" t="s">
        <v>59</v>
      </c>
      <c r="N257" s="136"/>
      <c r="O257" s="136"/>
      <c r="P257" s="67"/>
      <c r="Y257" s="14"/>
      <c r="Z257" s="14"/>
      <c r="AN257" s="18"/>
      <c r="AT257" s="51"/>
      <c r="AU257" s="15"/>
      <c r="AV257" s="15"/>
      <c r="AW257" s="15"/>
      <c r="AX257" s="15"/>
      <c r="AY257" s="15"/>
      <c r="AZ257" s="15"/>
      <c r="BA257" s="51"/>
      <c r="BB257" s="15"/>
      <c r="BC257" s="15"/>
      <c r="BD257" s="15"/>
      <c r="BE257" s="15"/>
      <c r="BF257" s="15"/>
      <c r="BG257" s="51"/>
      <c r="BH257" s="15"/>
      <c r="BI257" s="15"/>
      <c r="BJ257" s="15"/>
      <c r="BK257" s="51"/>
      <c r="BL257" s="15"/>
      <c r="BM257" s="15"/>
      <c r="BN257" s="15"/>
      <c r="BO257" s="15"/>
      <c r="BP257" s="15"/>
      <c r="BQ257" s="18"/>
      <c r="BR257" s="18"/>
      <c r="BS257" s="18"/>
      <c r="BT257" s="18"/>
      <c r="BU257" s="18"/>
      <c r="BV257" s="18"/>
      <c r="BW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  <c r="FR257" s="18"/>
      <c r="FS257" s="18"/>
      <c r="FT257" s="18"/>
      <c r="FU257" s="18"/>
      <c r="FV257" s="18"/>
      <c r="FW257" s="18"/>
      <c r="FX257" s="18"/>
      <c r="FY257" s="18"/>
      <c r="FZ257" s="18"/>
      <c r="GA257" s="18"/>
      <c r="GB257" s="18"/>
      <c r="GC257" s="18"/>
      <c r="GD257" s="18"/>
      <c r="GE257" s="18"/>
      <c r="GF257" s="18"/>
      <c r="GG257" s="18"/>
      <c r="GH257" s="18"/>
      <c r="GI257" s="18"/>
      <c r="GJ257" s="18"/>
      <c r="GK257" s="18"/>
      <c r="GL257" s="18"/>
      <c r="GM257" s="18"/>
      <c r="GN257" s="18"/>
      <c r="GO257" s="18"/>
      <c r="GP257" s="18"/>
      <c r="GQ257" s="18"/>
      <c r="GR257" s="18"/>
      <c r="GS257" s="18"/>
      <c r="GT257" s="18"/>
      <c r="GU257" s="18"/>
      <c r="GV257" s="18"/>
      <c r="GW257" s="18"/>
      <c r="GX257" s="18"/>
      <c r="GY257" s="18"/>
      <c r="GZ257" s="18"/>
      <c r="HA257" s="18"/>
      <c r="HB257" s="18"/>
      <c r="HC257" s="18"/>
      <c r="HD257" s="18"/>
      <c r="HE257" s="18"/>
      <c r="HF257" s="18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V257" s="18"/>
      <c r="HW257" s="18"/>
      <c r="HX257" s="18"/>
      <c r="HY257" s="18"/>
      <c r="HZ257" s="18"/>
      <c r="IA257" s="18"/>
      <c r="IB257" s="18"/>
      <c r="IC257" s="18"/>
      <c r="ID257" s="18"/>
      <c r="IE257" s="18"/>
      <c r="IF257" s="18"/>
      <c r="IG257" s="18"/>
      <c r="IH257" s="18"/>
      <c r="II257" s="18"/>
      <c r="IJ257" s="18"/>
      <c r="IK257" s="18"/>
      <c r="IL257" s="18"/>
      <c r="IM257" s="18"/>
      <c r="IN257" s="18"/>
      <c r="IO257" s="18"/>
    </row>
    <row r="258" spans="1:302" ht="11.1" hidden="1" customHeight="1" outlineLevel="1">
      <c r="M258" s="821"/>
      <c r="N258" s="821"/>
      <c r="O258" s="821"/>
      <c r="P258" s="67">
        <v>24.73</v>
      </c>
      <c r="AN258" s="18"/>
      <c r="AT258" s="51"/>
      <c r="AU258" s="15"/>
      <c r="AV258" s="15"/>
      <c r="AW258" s="15"/>
      <c r="AX258" s="15"/>
      <c r="AY258" s="15"/>
      <c r="AZ258" s="15"/>
      <c r="BA258" s="51"/>
      <c r="BB258" s="15"/>
      <c r="BC258" s="15"/>
      <c r="BD258" s="15"/>
      <c r="BE258" s="15"/>
      <c r="BF258" s="15"/>
      <c r="BG258" s="51"/>
      <c r="BH258" s="15"/>
      <c r="BI258" s="15"/>
      <c r="BJ258" s="15"/>
      <c r="BK258" s="51"/>
      <c r="BL258" s="15"/>
      <c r="BM258" s="15"/>
      <c r="BN258" s="15"/>
      <c r="BO258" s="15"/>
      <c r="BP258" s="15"/>
      <c r="BQ258" s="18"/>
      <c r="BR258" s="18"/>
      <c r="BS258" s="18"/>
      <c r="BT258" s="18"/>
      <c r="BU258" s="18"/>
      <c r="BV258" s="18"/>
      <c r="BW258" s="18"/>
      <c r="BY258" s="18"/>
      <c r="BZ258" s="18"/>
      <c r="CA258" s="18"/>
      <c r="CB258" s="18"/>
      <c r="CC258" s="18"/>
      <c r="CD258" s="18"/>
      <c r="CE258" s="18"/>
      <c r="CF258" s="18"/>
      <c r="CG258" s="18"/>
      <c r="CH258" s="18"/>
      <c r="CI258" s="18"/>
      <c r="CJ258" s="18"/>
      <c r="CK258" s="18"/>
      <c r="CL258" s="18"/>
      <c r="CM258" s="18"/>
      <c r="CN258" s="18"/>
      <c r="CO258" s="18"/>
      <c r="CP258" s="18"/>
      <c r="CQ258" s="18"/>
      <c r="CR258" s="18"/>
      <c r="CT258" s="18"/>
      <c r="CU258" s="18"/>
      <c r="CV258" s="18"/>
      <c r="CW258" s="18"/>
      <c r="CX258" s="18"/>
      <c r="CY258" s="18"/>
      <c r="CZ258" s="18"/>
      <c r="DA258" s="18"/>
      <c r="DB258" s="18"/>
      <c r="DC258" s="18"/>
      <c r="DD258" s="18"/>
      <c r="DE258" s="18"/>
      <c r="DF258" s="18"/>
      <c r="DG258" s="18"/>
      <c r="DH258" s="18"/>
      <c r="DI258" s="18"/>
      <c r="DJ258" s="18"/>
      <c r="DK258" s="18"/>
      <c r="DL258" s="18"/>
      <c r="DM258" s="18"/>
      <c r="DN258" s="18"/>
      <c r="DP258" s="18"/>
      <c r="DQ258" s="18"/>
      <c r="DR258" s="18"/>
      <c r="DS258" s="18"/>
      <c r="DT258" s="18"/>
      <c r="DU258" s="18"/>
      <c r="DV258" s="18"/>
      <c r="DW258" s="18"/>
      <c r="DX258" s="18"/>
      <c r="DY258" s="18"/>
      <c r="DZ258" s="18"/>
      <c r="EA258" s="18"/>
      <c r="EB258" s="18"/>
      <c r="EC258" s="18"/>
      <c r="ED258" s="18"/>
      <c r="EE258" s="18"/>
      <c r="EF258" s="18"/>
      <c r="EG258" s="18"/>
      <c r="EH258" s="18"/>
      <c r="EI258" s="18"/>
      <c r="EJ258" s="18"/>
      <c r="EK258" s="18"/>
      <c r="EL258" s="18"/>
      <c r="EM258" s="18"/>
      <c r="EN258" s="18"/>
      <c r="EO258" s="18"/>
      <c r="EP258" s="18"/>
      <c r="EQ258" s="18"/>
      <c r="ER258" s="18"/>
      <c r="ES258" s="18"/>
      <c r="ET258" s="18"/>
      <c r="EU258" s="18"/>
      <c r="EV258" s="18"/>
      <c r="EW258" s="18"/>
      <c r="EX258" s="18"/>
      <c r="EY258" s="18"/>
      <c r="EZ258" s="18"/>
      <c r="FA258" s="18"/>
      <c r="FB258" s="18"/>
      <c r="FC258" s="18"/>
      <c r="FD258" s="18"/>
      <c r="FE258" s="18"/>
      <c r="FF258" s="18"/>
      <c r="FG258" s="18"/>
      <c r="FH258" s="18"/>
      <c r="FI258" s="18"/>
      <c r="FJ258" s="18"/>
      <c r="FK258" s="18"/>
      <c r="FL258" s="18"/>
      <c r="FM258" s="18"/>
      <c r="FN258" s="18"/>
      <c r="FO258" s="18"/>
      <c r="FP258" s="18"/>
      <c r="FQ258" s="18"/>
      <c r="FR258" s="18"/>
      <c r="FS258" s="18"/>
      <c r="FT258" s="18"/>
      <c r="FU258" s="18"/>
      <c r="FV258" s="18"/>
      <c r="FW258" s="18"/>
      <c r="FX258" s="18"/>
      <c r="FY258" s="18"/>
      <c r="FZ258" s="18"/>
      <c r="GA258" s="18"/>
      <c r="GB258" s="18"/>
      <c r="GC258" s="18"/>
      <c r="GD258" s="18"/>
      <c r="GE258" s="18"/>
      <c r="GF258" s="18"/>
      <c r="GG258" s="18"/>
      <c r="GH258" s="18"/>
      <c r="GI258" s="18"/>
      <c r="GJ258" s="18"/>
      <c r="GK258" s="18"/>
      <c r="GL258" s="18"/>
      <c r="GM258" s="18"/>
      <c r="GN258" s="18"/>
      <c r="GO258" s="18"/>
      <c r="GP258" s="18"/>
      <c r="GQ258" s="18"/>
      <c r="GR258" s="18"/>
      <c r="GS258" s="18"/>
      <c r="GT258" s="18"/>
      <c r="GU258" s="18"/>
      <c r="GV258" s="18"/>
      <c r="GW258" s="18"/>
      <c r="GX258" s="18"/>
      <c r="GY258" s="18"/>
      <c r="GZ258" s="18"/>
      <c r="HA258" s="18"/>
      <c r="HB258" s="18"/>
      <c r="HC258" s="18"/>
      <c r="HD258" s="18"/>
      <c r="HE258" s="18"/>
      <c r="HF258" s="18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V258" s="18"/>
      <c r="HW258" s="18"/>
      <c r="HX258" s="18"/>
      <c r="HY258" s="18"/>
      <c r="HZ258" s="18"/>
      <c r="IA258" s="18"/>
      <c r="IB258" s="18"/>
      <c r="IC258" s="18"/>
      <c r="ID258" s="18"/>
      <c r="IE258" s="18"/>
      <c r="IF258" s="18"/>
      <c r="IG258" s="18"/>
      <c r="IH258" s="18"/>
      <c r="II258" s="18"/>
      <c r="IJ258" s="18"/>
      <c r="IK258" s="18"/>
      <c r="IL258" s="18"/>
      <c r="IM258" s="18"/>
      <c r="IN258" s="18"/>
      <c r="IO258" s="18"/>
    </row>
    <row r="259" spans="1:302" s="3" customFormat="1" ht="5.0999999999999996" hidden="1" customHeight="1" outlineLevel="1" collapsed="1">
      <c r="B259" s="192"/>
      <c r="K259" s="40"/>
      <c r="L259" s="40"/>
      <c r="M259" s="136"/>
      <c r="N259" s="136"/>
      <c r="O259" s="136"/>
      <c r="P259" s="246">
        <v>24.68</v>
      </c>
      <c r="AG259" s="35"/>
      <c r="AH259" s="35"/>
      <c r="AI259" s="35"/>
      <c r="AJ259" s="35"/>
      <c r="AK259" s="296"/>
      <c r="AN259" s="13"/>
      <c r="AR259" s="7"/>
      <c r="AT259" s="24"/>
      <c r="AU259" s="981"/>
      <c r="AV259" s="981"/>
      <c r="AW259" s="981"/>
      <c r="AX259" s="981"/>
      <c r="AY259" s="981"/>
      <c r="AZ259" s="981"/>
      <c r="BA259" s="24"/>
      <c r="BB259" s="981"/>
      <c r="BC259" s="981"/>
      <c r="BD259" s="981"/>
      <c r="BE259" s="981"/>
      <c r="BF259" s="981"/>
      <c r="BG259" s="24"/>
      <c r="BH259" s="981"/>
      <c r="BI259" s="981"/>
      <c r="BJ259" s="981"/>
      <c r="BK259" s="24"/>
      <c r="BL259" s="981"/>
      <c r="BM259" s="981"/>
      <c r="BN259" s="981"/>
      <c r="BO259" s="981"/>
      <c r="BP259" s="981"/>
      <c r="BQ259" s="13"/>
      <c r="BR259" s="13"/>
      <c r="BS259" s="13"/>
      <c r="BT259" s="13"/>
      <c r="BU259" s="13"/>
      <c r="BV259" s="13"/>
      <c r="BW259" s="13"/>
      <c r="BX259" s="31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31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31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31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JR259" s="14"/>
      <c r="JS259" s="14"/>
      <c r="JT259" s="14"/>
      <c r="JU259" s="14"/>
      <c r="JV259" s="14"/>
      <c r="JW259" s="14"/>
      <c r="JX259" s="14"/>
      <c r="JY259" s="14"/>
      <c r="JZ259" s="14"/>
      <c r="KA259" s="14"/>
      <c r="KB259" s="14"/>
      <c r="KC259" s="14"/>
      <c r="KD259" s="14"/>
      <c r="KE259" s="14"/>
      <c r="KF259" s="14"/>
      <c r="KG259" s="14"/>
      <c r="KH259" s="14"/>
      <c r="KI259" s="14"/>
      <c r="KJ259" s="14"/>
      <c r="KK259" s="14"/>
      <c r="KL259" s="14"/>
      <c r="KM259" s="14"/>
      <c r="KN259" s="14"/>
      <c r="KO259" s="14"/>
      <c r="KP259" s="14"/>
    </row>
    <row r="260" spans="1:302" ht="11.1" hidden="1" customHeight="1" outlineLevel="1">
      <c r="A260" s="30" t="s">
        <v>121</v>
      </c>
      <c r="D260" s="38" t="s">
        <v>120</v>
      </c>
      <c r="F260" s="11">
        <v>0</v>
      </c>
      <c r="G260" s="946">
        <v>41282</v>
      </c>
      <c r="H260" s="946"/>
      <c r="I260" s="1067">
        <v>30.1</v>
      </c>
      <c r="J260" s="1067"/>
      <c r="K260" s="1067"/>
      <c r="M260" s="136"/>
      <c r="N260" s="136"/>
      <c r="O260" s="136"/>
      <c r="P260" s="280">
        <v>24.61</v>
      </c>
      <c r="Q260" s="1"/>
      <c r="T260" s="193"/>
      <c r="U260" s="193"/>
      <c r="V260" s="193"/>
      <c r="W260" s="193"/>
      <c r="X260" s="295"/>
      <c r="Y260" s="295"/>
      <c r="Z260" s="295"/>
      <c r="AA260" s="295"/>
      <c r="AB260" s="947">
        <f>F260*P260</f>
        <v>0</v>
      </c>
      <c r="AC260" s="947"/>
      <c r="AD260" s="190">
        <f>-((I260*F260)-(P260*F260))</f>
        <v>0</v>
      </c>
      <c r="AE260" s="290"/>
      <c r="AF260" s="205" t="e">
        <f>IF(#REF!-AP260&lt;0,#REF!-AP260,(#REF!-AP260)*0.8)</f>
        <v>#REF!</v>
      </c>
      <c r="AG260" s="934"/>
      <c r="AH260" s="934"/>
      <c r="AI260" s="289"/>
      <c r="AJ260" s="34" t="s">
        <v>66</v>
      </c>
      <c r="AL260" s="279" t="s">
        <v>71</v>
      </c>
      <c r="AN260" s="179"/>
      <c r="AO260" s="38"/>
      <c r="AP260" s="188">
        <f>F260*I260+AN260+AN261</f>
        <v>0</v>
      </c>
      <c r="AT260" s="51"/>
      <c r="AU260" s="15"/>
      <c r="AV260" s="15"/>
      <c r="AW260" s="15"/>
      <c r="AX260" s="15"/>
      <c r="AY260" s="15"/>
      <c r="AZ260" s="15"/>
      <c r="BA260" s="51"/>
      <c r="BB260" s="15"/>
      <c r="BC260" s="15"/>
      <c r="BD260" s="15"/>
      <c r="BE260" s="15"/>
      <c r="BF260" s="15"/>
      <c r="BG260" s="51"/>
      <c r="BH260" s="15"/>
      <c r="BI260" s="15"/>
      <c r="BJ260" s="15"/>
      <c r="BK260" s="51"/>
      <c r="BL260" s="15"/>
      <c r="BM260" s="15"/>
      <c r="BN260" s="15"/>
      <c r="BO260" s="15"/>
      <c r="BP260" s="15"/>
      <c r="BQ260" s="18"/>
      <c r="BR260" s="18"/>
      <c r="BS260" s="18"/>
      <c r="BT260" s="18"/>
      <c r="BU260" s="18"/>
      <c r="BV260" s="18"/>
      <c r="BW260" s="18"/>
      <c r="BX260" s="139"/>
      <c r="BY260" s="139"/>
      <c r="BZ260" s="139"/>
      <c r="CA260" s="139"/>
      <c r="CB260" s="139"/>
      <c r="CC260" s="139"/>
      <c r="CD260" s="139"/>
      <c r="CE260" s="139"/>
      <c r="CF260" s="139"/>
      <c r="CG260" s="139"/>
      <c r="CH260" s="139"/>
      <c r="CI260" s="139"/>
      <c r="CJ260" s="139"/>
      <c r="CK260" s="139"/>
      <c r="CL260" s="139"/>
      <c r="CM260" s="139"/>
      <c r="CN260" s="139"/>
      <c r="CO260" s="139"/>
      <c r="CP260" s="139"/>
      <c r="CQ260" s="139"/>
      <c r="CR260" s="139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  <c r="FR260" s="18"/>
      <c r="FS260" s="18"/>
      <c r="FT260" s="18"/>
      <c r="FU260" s="18"/>
      <c r="FV260" s="18"/>
      <c r="FW260" s="18"/>
      <c r="FX260" s="18"/>
      <c r="FY260" s="18"/>
      <c r="FZ260" s="18"/>
      <c r="GA260" s="18"/>
      <c r="GB260" s="18"/>
      <c r="GC260" s="18"/>
      <c r="GD260" s="18"/>
      <c r="GE260" s="18"/>
      <c r="GF260" s="18"/>
      <c r="GG260" s="18"/>
      <c r="GH260" s="18"/>
      <c r="GI260" s="18"/>
      <c r="GJ260" s="18"/>
      <c r="GK260" s="18"/>
      <c r="GL260" s="18"/>
      <c r="GM260" s="18"/>
      <c r="GN260" s="18"/>
      <c r="GO260" s="18"/>
      <c r="GP260" s="18"/>
      <c r="GQ260" s="18"/>
      <c r="GR260" s="18"/>
      <c r="GS260" s="18"/>
      <c r="GT260" s="18"/>
      <c r="GU260" s="18"/>
      <c r="GV260" s="18"/>
      <c r="GW260" s="18"/>
      <c r="GX260" s="18"/>
      <c r="GY260" s="18"/>
      <c r="GZ260" s="18"/>
      <c r="HA260" s="18"/>
      <c r="HB260" s="18"/>
      <c r="HC260" s="18"/>
      <c r="HD260" s="18"/>
      <c r="HE260" s="18"/>
      <c r="HF260" s="18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278" t="str">
        <f>IF(AL261=1,AB260,"")</f>
        <v/>
      </c>
      <c r="HV260" s="277">
        <f>IF(AL261=2,AB260,"")</f>
        <v>0</v>
      </c>
      <c r="HW260" s="277" t="str">
        <f>IF(AL261=3,AB260,"")</f>
        <v/>
      </c>
      <c r="HX260" s="277" t="str">
        <f>IF(AL261=4,AB260,"")</f>
        <v/>
      </c>
      <c r="HY260" s="277" t="str">
        <f>IF(AL261=5,AB260,"")</f>
        <v/>
      </c>
      <c r="HZ260" s="277" t="str">
        <f>IF(AL261=6,AB260,"")</f>
        <v/>
      </c>
      <c r="IA260" s="277" t="str">
        <f>IF(AL261=7,AB260,"")</f>
        <v/>
      </c>
      <c r="IB260" s="277" t="str">
        <f>IF(AL261=8,AB260,"")</f>
        <v/>
      </c>
      <c r="IC260" s="277" t="str">
        <f>IF(AL261=9,AB260,"")</f>
        <v/>
      </c>
      <c r="ID260" s="277" t="str">
        <f>IF(AL261=10,AB260,"")</f>
        <v/>
      </c>
      <c r="IE260" s="277" t="str">
        <f>IF(AL261=11,AB260,"")</f>
        <v/>
      </c>
      <c r="IF260" s="277" t="str">
        <f>IF(AL261=12,AB260,"")</f>
        <v/>
      </c>
      <c r="IG260" s="277" t="str">
        <f>IF(AL261=13,AB260,"")</f>
        <v/>
      </c>
      <c r="IH260" s="277" t="str">
        <f>IF(AL261=14,AB260,"")</f>
        <v/>
      </c>
      <c r="II260" s="277" t="str">
        <f>IF(AL261=15,AB260,"")</f>
        <v/>
      </c>
      <c r="IJ260" s="277" t="str">
        <f>IF(AL261=16,AB260,"")</f>
        <v/>
      </c>
      <c r="IK260" s="277" t="str">
        <f>IF(AL261=17,AB260,"")</f>
        <v/>
      </c>
      <c r="IL260" s="277" t="str">
        <f>IF(AL261=18,AB260,"")</f>
        <v/>
      </c>
      <c r="IM260" s="277" t="str">
        <f>IF(AL261=19,AB260,"")</f>
        <v/>
      </c>
      <c r="IN260" s="277" t="str">
        <f>IF(AL261=20,AB260,"")</f>
        <v/>
      </c>
      <c r="IO260" s="277" t="str">
        <f>IF(AL261=21,AB260,"")</f>
        <v/>
      </c>
      <c r="IP260" s="277" t="str">
        <f>IF(AL261=22,AB260,"")</f>
        <v/>
      </c>
    </row>
    <row r="261" spans="1:302" ht="11.1" hidden="1" customHeight="1" outlineLevel="1">
      <c r="A261" s="1" t="s">
        <v>119</v>
      </c>
      <c r="F261" s="301"/>
      <c r="I261" s="294"/>
      <c r="J261" s="294"/>
      <c r="K261" s="185">
        <f>AP260</f>
        <v>0</v>
      </c>
      <c r="M261" s="136"/>
      <c r="N261" s="136"/>
      <c r="O261" s="136"/>
      <c r="P261" s="246">
        <v>24.74</v>
      </c>
      <c r="Q261" s="1"/>
      <c r="T261" s="293"/>
      <c r="U261" s="293"/>
      <c r="V261" s="293"/>
      <c r="W261" s="293"/>
      <c r="X261" s="292"/>
      <c r="Y261" s="292"/>
      <c r="Z261" s="292"/>
      <c r="AA261" s="292"/>
      <c r="AB261" s="947"/>
      <c r="AC261" s="947"/>
      <c r="AD261" s="183">
        <f>((P260-I260)/I260)</f>
        <v>-0.18239202657807316</v>
      </c>
      <c r="AE261" s="183"/>
      <c r="AL261" s="275">
        <f>VLOOKUP(AL260,'[2]IBAN CONTI'!A$106:B$122,2,FALSE)</f>
        <v>2</v>
      </c>
      <c r="AN261" s="213"/>
      <c r="AO261" s="38"/>
      <c r="AP261" s="38"/>
      <c r="AT261" s="51"/>
      <c r="AU261" s="15"/>
      <c r="AV261" s="15"/>
      <c r="AW261" s="15"/>
      <c r="AX261" s="15"/>
      <c r="AY261" s="15"/>
      <c r="AZ261" s="15"/>
      <c r="BA261" s="51"/>
      <c r="BB261" s="15"/>
      <c r="BC261" s="15"/>
      <c r="BD261" s="15"/>
      <c r="BE261" s="15"/>
      <c r="BF261" s="15"/>
      <c r="BG261" s="51"/>
      <c r="BH261" s="15"/>
      <c r="BI261" s="15"/>
      <c r="BJ261" s="15"/>
      <c r="BK261" s="51"/>
      <c r="BL261" s="15"/>
      <c r="BM261" s="15"/>
      <c r="BN261" s="15"/>
      <c r="BO261" s="15"/>
      <c r="BP261" s="15"/>
      <c r="BQ261" s="18"/>
      <c r="BR261" s="18"/>
      <c r="BS261" s="18"/>
      <c r="BT261" s="18"/>
      <c r="BU261" s="18"/>
      <c r="BV261" s="18"/>
      <c r="BW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  <c r="FR261" s="18"/>
      <c r="FS261" s="18"/>
      <c r="FT261" s="18"/>
      <c r="FU261" s="18"/>
      <c r="FV261" s="18"/>
      <c r="FW261" s="18"/>
      <c r="FX261" s="18"/>
      <c r="FY261" s="18"/>
      <c r="FZ261" s="18"/>
      <c r="GA261" s="18"/>
      <c r="GB261" s="18"/>
      <c r="GC261" s="18"/>
      <c r="GD261" s="18"/>
      <c r="GE261" s="18"/>
      <c r="GF261" s="18"/>
      <c r="GG261" s="18"/>
      <c r="GH261" s="18"/>
      <c r="GI261" s="18"/>
      <c r="GJ261" s="18"/>
      <c r="GK261" s="18"/>
      <c r="GL261" s="18"/>
      <c r="GM261" s="18"/>
      <c r="GN261" s="18"/>
      <c r="GO261" s="18"/>
      <c r="GP261" s="18"/>
      <c r="GQ261" s="18"/>
      <c r="GR261" s="18"/>
      <c r="GS261" s="18"/>
      <c r="GT261" s="18"/>
      <c r="GU261" s="18"/>
      <c r="GV261" s="18"/>
      <c r="GW261" s="18"/>
      <c r="GX261" s="18"/>
      <c r="GY261" s="18"/>
      <c r="GZ261" s="18"/>
      <c r="HA261" s="18"/>
      <c r="HB261" s="18"/>
      <c r="HC261" s="18"/>
      <c r="HD261" s="18"/>
      <c r="HE261" s="18"/>
      <c r="HF261" s="18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V261" s="18"/>
      <c r="HW261" s="18"/>
      <c r="HX261" s="18"/>
      <c r="HY261" s="18"/>
      <c r="HZ261" s="18"/>
      <c r="IA261" s="18"/>
      <c r="IB261" s="18"/>
      <c r="IC261" s="18"/>
      <c r="ID261" s="18"/>
      <c r="IE261" s="18"/>
      <c r="IF261" s="18"/>
      <c r="IG261" s="18"/>
      <c r="IH261" s="18"/>
      <c r="II261" s="18"/>
      <c r="IJ261" s="18"/>
      <c r="IK261" s="18"/>
      <c r="IL261" s="18"/>
      <c r="IM261" s="18"/>
      <c r="IN261" s="18"/>
      <c r="IO261" s="18"/>
      <c r="JR261" s="3"/>
      <c r="JS261" s="3"/>
      <c r="JT261" s="3"/>
      <c r="JU261" s="3"/>
      <c r="JV261" s="3"/>
      <c r="JW261" s="3"/>
      <c r="JX261" s="3"/>
      <c r="JY261" s="3"/>
      <c r="JZ261" s="3"/>
      <c r="KA261" s="3"/>
      <c r="KB261" s="3"/>
      <c r="KC261" s="3"/>
      <c r="KD261" s="3"/>
      <c r="KE261" s="3"/>
      <c r="KF261" s="3"/>
      <c r="KG261" s="3"/>
      <c r="KH261" s="3"/>
      <c r="KI261" s="3"/>
      <c r="KJ261" s="3"/>
      <c r="KK261" s="3"/>
      <c r="KL261" s="3"/>
      <c r="KM261" s="3"/>
      <c r="KN261" s="3"/>
      <c r="KO261" s="3"/>
      <c r="KP261" s="3"/>
    </row>
    <row r="262" spans="1:302" ht="11.1" hidden="1" customHeight="1" outlineLevel="1">
      <c r="M262" s="136" t="s">
        <v>37</v>
      </c>
      <c r="N262" s="136"/>
      <c r="O262" s="136"/>
      <c r="P262" s="300">
        <v>28.76</v>
      </c>
      <c r="Y262" s="14"/>
      <c r="Z262" s="14"/>
      <c r="AN262" s="18"/>
      <c r="AT262" s="51"/>
      <c r="AU262" s="15"/>
      <c r="AV262" s="15"/>
      <c r="AW262" s="15"/>
      <c r="AX262" s="15"/>
      <c r="AY262" s="15"/>
      <c r="AZ262" s="15"/>
      <c r="BA262" s="51"/>
      <c r="BB262" s="15"/>
      <c r="BC262" s="15"/>
      <c r="BD262" s="15"/>
      <c r="BE262" s="15"/>
      <c r="BF262" s="15"/>
      <c r="BG262" s="51"/>
      <c r="BH262" s="15"/>
      <c r="BI262" s="15"/>
      <c r="BJ262" s="15"/>
      <c r="BK262" s="51"/>
      <c r="BL262" s="15"/>
      <c r="BM262" s="15"/>
      <c r="BN262" s="15"/>
      <c r="BO262" s="15"/>
      <c r="BP262" s="15"/>
      <c r="BQ262" s="18"/>
      <c r="BR262" s="18"/>
      <c r="BS262" s="18"/>
      <c r="BT262" s="18"/>
      <c r="BU262" s="18"/>
      <c r="BV262" s="18"/>
      <c r="BW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  <c r="FR262" s="18"/>
      <c r="FS262" s="18"/>
      <c r="FT262" s="18"/>
      <c r="FU262" s="18"/>
      <c r="FV262" s="18"/>
      <c r="FW262" s="18"/>
      <c r="FX262" s="18"/>
      <c r="FY262" s="18"/>
      <c r="FZ262" s="18"/>
      <c r="GA262" s="18"/>
      <c r="GB262" s="18"/>
      <c r="GC262" s="18"/>
      <c r="GD262" s="18"/>
      <c r="GE262" s="18"/>
      <c r="GF262" s="18"/>
      <c r="GG262" s="18"/>
      <c r="GH262" s="18"/>
      <c r="GI262" s="18"/>
      <c r="GJ262" s="18"/>
      <c r="GK262" s="18"/>
      <c r="GL262" s="18"/>
      <c r="GM262" s="18"/>
      <c r="GN262" s="18"/>
      <c r="GO262" s="18"/>
      <c r="GP262" s="18"/>
      <c r="GQ262" s="18"/>
      <c r="GR262" s="18"/>
      <c r="GS262" s="18"/>
      <c r="GT262" s="18"/>
      <c r="GU262" s="18"/>
      <c r="GV262" s="18"/>
      <c r="GW262" s="18"/>
      <c r="GX262" s="18"/>
      <c r="GY262" s="18"/>
      <c r="GZ262" s="18"/>
      <c r="HA262" s="18"/>
      <c r="HB262" s="18"/>
      <c r="HC262" s="18"/>
      <c r="HD262" s="18"/>
      <c r="HE262" s="18"/>
      <c r="HF262" s="18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V262" s="18"/>
      <c r="HW262" s="18"/>
      <c r="HX262" s="18"/>
      <c r="HY262" s="18"/>
      <c r="HZ262" s="18"/>
      <c r="IA262" s="18"/>
      <c r="IB262" s="18"/>
      <c r="IC262" s="18"/>
      <c r="ID262" s="18"/>
      <c r="IE262" s="18"/>
      <c r="IF262" s="18"/>
      <c r="IG262" s="18"/>
      <c r="IH262" s="18"/>
      <c r="II262" s="18"/>
      <c r="IJ262" s="18"/>
      <c r="IK262" s="18"/>
      <c r="IL262" s="18"/>
      <c r="IM262" s="18"/>
      <c r="IN262" s="18"/>
      <c r="IO262" s="18"/>
    </row>
    <row r="263" spans="1:302" ht="11.1" hidden="1" customHeight="1" outlineLevel="1">
      <c r="M263" s="136" t="s">
        <v>36</v>
      </c>
      <c r="N263" s="136"/>
      <c r="O263" s="136"/>
      <c r="P263" s="299">
        <v>29.09</v>
      </c>
      <c r="Y263" s="14"/>
      <c r="Z263" s="14"/>
      <c r="AN263" s="18"/>
      <c r="AT263" s="51"/>
      <c r="AU263" s="15"/>
      <c r="AV263" s="15"/>
      <c r="AW263" s="15"/>
      <c r="AX263" s="15"/>
      <c r="AY263" s="15"/>
      <c r="AZ263" s="15"/>
      <c r="BA263" s="51"/>
      <c r="BB263" s="15"/>
      <c r="BC263" s="15"/>
      <c r="BD263" s="15"/>
      <c r="BE263" s="15"/>
      <c r="BF263" s="15"/>
      <c r="BG263" s="51"/>
      <c r="BH263" s="15"/>
      <c r="BI263" s="15"/>
      <c r="BJ263" s="15"/>
      <c r="BK263" s="51"/>
      <c r="BL263" s="15"/>
      <c r="BM263" s="15"/>
      <c r="BN263" s="15"/>
      <c r="BO263" s="15"/>
      <c r="BP263" s="15"/>
      <c r="BQ263" s="18"/>
      <c r="BR263" s="18"/>
      <c r="BS263" s="18"/>
      <c r="BT263" s="18"/>
      <c r="BU263" s="18"/>
      <c r="BV263" s="18"/>
      <c r="BW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  <c r="FR263" s="18"/>
      <c r="FS263" s="18"/>
      <c r="FT263" s="18"/>
      <c r="FU263" s="18"/>
      <c r="FV263" s="18"/>
      <c r="FW263" s="18"/>
      <c r="FX263" s="18"/>
      <c r="FY263" s="18"/>
      <c r="FZ263" s="18"/>
      <c r="GA263" s="18"/>
      <c r="GB263" s="18"/>
      <c r="GC263" s="18"/>
      <c r="GD263" s="18"/>
      <c r="GE263" s="18"/>
      <c r="GF263" s="18"/>
      <c r="GG263" s="18"/>
      <c r="GH263" s="18"/>
      <c r="GI263" s="18"/>
      <c r="GJ263" s="18"/>
      <c r="GK263" s="18"/>
      <c r="GL263" s="18"/>
      <c r="GM263" s="18"/>
      <c r="GN263" s="18"/>
      <c r="GO263" s="18"/>
      <c r="GP263" s="18"/>
      <c r="GQ263" s="18"/>
      <c r="GR263" s="18"/>
      <c r="GS263" s="18"/>
      <c r="GT263" s="18"/>
      <c r="GU263" s="18"/>
      <c r="GV263" s="18"/>
      <c r="GW263" s="18"/>
      <c r="GX263" s="18"/>
      <c r="GY263" s="18"/>
      <c r="GZ263" s="18"/>
      <c r="HA263" s="18"/>
      <c r="HB263" s="18"/>
      <c r="HC263" s="18"/>
      <c r="HD263" s="18"/>
      <c r="HE263" s="18"/>
      <c r="HF263" s="18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V263" s="18"/>
      <c r="HW263" s="18"/>
      <c r="HX263" s="18"/>
      <c r="HY263" s="18"/>
      <c r="HZ263" s="18"/>
      <c r="IA263" s="18"/>
      <c r="IB263" s="18"/>
      <c r="IC263" s="18"/>
      <c r="ID263" s="18"/>
      <c r="IE263" s="18"/>
      <c r="IF263" s="18"/>
      <c r="IG263" s="18"/>
      <c r="IH263" s="18"/>
      <c r="II263" s="18"/>
      <c r="IJ263" s="18"/>
      <c r="IK263" s="18"/>
      <c r="IL263" s="18"/>
      <c r="IM263" s="18"/>
      <c r="IN263" s="18"/>
      <c r="IO263" s="18"/>
    </row>
    <row r="264" spans="1:302" ht="11.1" hidden="1" customHeight="1" outlineLevel="1">
      <c r="M264" s="136" t="s">
        <v>35</v>
      </c>
      <c r="N264" s="136"/>
      <c r="O264" s="136"/>
      <c r="P264" s="298">
        <v>28.26</v>
      </c>
      <c r="Y264" s="14"/>
      <c r="Z264" s="14"/>
      <c r="AN264" s="18"/>
      <c r="AT264" s="51"/>
      <c r="AU264" s="15"/>
      <c r="AV264" s="15"/>
      <c r="AW264" s="15"/>
      <c r="AX264" s="15"/>
      <c r="AY264" s="15"/>
      <c r="AZ264" s="15"/>
      <c r="BA264" s="51"/>
      <c r="BB264" s="15"/>
      <c r="BC264" s="15"/>
      <c r="BD264" s="15"/>
      <c r="BE264" s="15"/>
      <c r="BF264" s="15"/>
      <c r="BG264" s="51"/>
      <c r="BH264" s="15"/>
      <c r="BI264" s="15"/>
      <c r="BJ264" s="15"/>
      <c r="BK264" s="51"/>
      <c r="BL264" s="15"/>
      <c r="BM264" s="15"/>
      <c r="BN264" s="15"/>
      <c r="BO264" s="15"/>
      <c r="BP264" s="15"/>
      <c r="BQ264" s="18"/>
      <c r="BR264" s="18"/>
      <c r="BS264" s="18"/>
      <c r="BT264" s="18"/>
      <c r="BU264" s="18"/>
      <c r="BV264" s="18"/>
      <c r="BW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  <c r="FR264" s="18"/>
      <c r="FS264" s="18"/>
      <c r="FT264" s="18"/>
      <c r="FU264" s="18"/>
      <c r="FV264" s="18"/>
      <c r="FW264" s="18"/>
      <c r="FX264" s="18"/>
      <c r="FY264" s="18"/>
      <c r="FZ264" s="18"/>
      <c r="GA264" s="18"/>
      <c r="GB264" s="18"/>
      <c r="GC264" s="18"/>
      <c r="GD264" s="18"/>
      <c r="GE264" s="18"/>
      <c r="GF264" s="18"/>
      <c r="GG264" s="18"/>
      <c r="GH264" s="18"/>
      <c r="GI264" s="18"/>
      <c r="GJ264" s="18"/>
      <c r="GK264" s="18"/>
      <c r="GL264" s="18"/>
      <c r="GM264" s="18"/>
      <c r="GN264" s="18"/>
      <c r="GO264" s="18"/>
      <c r="GP264" s="18"/>
      <c r="GQ264" s="18"/>
      <c r="GR264" s="18"/>
      <c r="GS264" s="18"/>
      <c r="GT264" s="18"/>
      <c r="GU264" s="18"/>
      <c r="GV264" s="18"/>
      <c r="GW264" s="18"/>
      <c r="GX264" s="18"/>
      <c r="GY264" s="18"/>
      <c r="GZ264" s="18"/>
      <c r="HA264" s="18"/>
      <c r="HB264" s="18"/>
      <c r="HC264" s="18"/>
      <c r="HD264" s="18"/>
      <c r="HE264" s="18"/>
      <c r="HF264" s="18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V264" s="18"/>
      <c r="HW264" s="18"/>
      <c r="HX264" s="18"/>
      <c r="HY264" s="18"/>
      <c r="HZ264" s="18"/>
      <c r="IA264" s="18"/>
      <c r="IB264" s="18"/>
      <c r="IC264" s="18"/>
      <c r="ID264" s="18"/>
      <c r="IE264" s="18"/>
      <c r="IF264" s="18"/>
      <c r="IG264" s="18"/>
      <c r="IH264" s="18"/>
      <c r="II264" s="18"/>
      <c r="IJ264" s="18"/>
      <c r="IK264" s="18"/>
      <c r="IL264" s="18"/>
      <c r="IM264" s="18"/>
      <c r="IN264" s="18"/>
      <c r="IO264" s="18"/>
    </row>
    <row r="265" spans="1:302" ht="11.1" hidden="1" customHeight="1" outlineLevel="1">
      <c r="M265" s="136" t="s">
        <v>34</v>
      </c>
      <c r="N265" s="136"/>
      <c r="O265" s="136"/>
      <c r="P265" s="940">
        <v>28.42</v>
      </c>
      <c r="Y265" s="14"/>
      <c r="Z265" s="14"/>
      <c r="AN265" s="18"/>
      <c r="AT265" s="51"/>
      <c r="AU265" s="15"/>
      <c r="AV265" s="15"/>
      <c r="AW265" s="15"/>
      <c r="AX265" s="15"/>
      <c r="AY265" s="15"/>
      <c r="AZ265" s="15"/>
      <c r="BA265" s="51"/>
      <c r="BB265" s="15"/>
      <c r="BC265" s="15"/>
      <c r="BD265" s="15"/>
      <c r="BE265" s="15"/>
      <c r="BF265" s="15"/>
      <c r="BG265" s="51"/>
      <c r="BH265" s="15"/>
      <c r="BI265" s="15"/>
      <c r="BJ265" s="15"/>
      <c r="BK265" s="51"/>
      <c r="BL265" s="15"/>
      <c r="BM265" s="15"/>
      <c r="BN265" s="15"/>
      <c r="BO265" s="15"/>
      <c r="BP265" s="15"/>
      <c r="BQ265" s="18"/>
      <c r="BR265" s="18"/>
      <c r="BS265" s="18"/>
      <c r="BT265" s="18"/>
      <c r="BU265" s="18"/>
      <c r="BV265" s="18"/>
      <c r="BW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  <c r="FR265" s="18"/>
      <c r="FS265" s="18"/>
      <c r="FT265" s="18"/>
      <c r="FU265" s="18"/>
      <c r="FV265" s="18"/>
      <c r="FW265" s="18"/>
      <c r="FX265" s="18"/>
      <c r="FY265" s="18"/>
      <c r="FZ265" s="18"/>
      <c r="GA265" s="18"/>
      <c r="GB265" s="18"/>
      <c r="GC265" s="18"/>
      <c r="GD265" s="18"/>
      <c r="GE265" s="18"/>
      <c r="GF265" s="18"/>
      <c r="GG265" s="18"/>
      <c r="GH265" s="18"/>
      <c r="GI265" s="18"/>
      <c r="GJ265" s="18"/>
      <c r="GK265" s="18"/>
      <c r="GL265" s="18"/>
      <c r="GM265" s="18"/>
      <c r="GN265" s="18"/>
      <c r="GO265" s="18"/>
      <c r="GP265" s="18"/>
      <c r="GQ265" s="18"/>
      <c r="GR265" s="18"/>
      <c r="GS265" s="18"/>
      <c r="GT265" s="18"/>
      <c r="GU265" s="18"/>
      <c r="GV265" s="18"/>
      <c r="GW265" s="18"/>
      <c r="GX265" s="18"/>
      <c r="GY265" s="18"/>
      <c r="GZ265" s="18"/>
      <c r="HA265" s="18"/>
      <c r="HB265" s="18"/>
      <c r="HC265" s="18"/>
      <c r="HD265" s="18"/>
      <c r="HE265" s="18"/>
      <c r="HF265" s="18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V265" s="18"/>
      <c r="HW265" s="18"/>
      <c r="HX265" s="18"/>
      <c r="HY265" s="18"/>
      <c r="HZ265" s="18"/>
      <c r="IA265" s="18"/>
      <c r="IB265" s="18"/>
      <c r="IC265" s="18"/>
      <c r="ID265" s="18"/>
      <c r="IE265" s="18"/>
      <c r="IF265" s="18"/>
      <c r="IG265" s="18"/>
      <c r="IH265" s="18"/>
      <c r="II265" s="18"/>
      <c r="IJ265" s="18"/>
      <c r="IK265" s="18"/>
      <c r="IL265" s="18"/>
      <c r="IM265" s="18"/>
      <c r="IN265" s="18"/>
      <c r="IO265" s="18"/>
    </row>
    <row r="266" spans="1:302" ht="11.1" hidden="1" customHeight="1" outlineLevel="1">
      <c r="M266" s="136" t="s">
        <v>62</v>
      </c>
      <c r="N266" s="136"/>
      <c r="O266" s="136"/>
      <c r="P266" s="297">
        <v>30.35</v>
      </c>
      <c r="Y266" s="14"/>
      <c r="Z266" s="14"/>
      <c r="AN266" s="18"/>
      <c r="AT266" s="51"/>
      <c r="AU266" s="15"/>
      <c r="AV266" s="15"/>
      <c r="AW266" s="15"/>
      <c r="AX266" s="15"/>
      <c r="AY266" s="15"/>
      <c r="AZ266" s="15"/>
      <c r="BA266" s="51"/>
      <c r="BB266" s="15"/>
      <c r="BC266" s="15"/>
      <c r="BD266" s="15"/>
      <c r="BE266" s="15"/>
      <c r="BF266" s="15"/>
      <c r="BG266" s="51"/>
      <c r="BH266" s="15"/>
      <c r="BI266" s="15"/>
      <c r="BJ266" s="15"/>
      <c r="BK266" s="51"/>
      <c r="BL266" s="15"/>
      <c r="BM266" s="15"/>
      <c r="BN266" s="15"/>
      <c r="BO266" s="15"/>
      <c r="BP266" s="15"/>
      <c r="BQ266" s="18"/>
      <c r="BR266" s="18"/>
      <c r="BS266" s="18"/>
      <c r="BT266" s="18"/>
      <c r="BU266" s="18"/>
      <c r="BV266" s="18"/>
      <c r="BW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  <c r="FR266" s="18"/>
      <c r="FS266" s="18"/>
      <c r="FT266" s="18"/>
      <c r="FU266" s="18"/>
      <c r="FV266" s="18"/>
      <c r="FW266" s="18"/>
      <c r="FX266" s="18"/>
      <c r="FY266" s="18"/>
      <c r="FZ266" s="18"/>
      <c r="GA266" s="18"/>
      <c r="GB266" s="18"/>
      <c r="GC266" s="18"/>
      <c r="GD266" s="18"/>
      <c r="GE266" s="18"/>
      <c r="GF266" s="18"/>
      <c r="GG266" s="18"/>
      <c r="GH266" s="18"/>
      <c r="GI266" s="18"/>
      <c r="GJ266" s="18"/>
      <c r="GK266" s="18"/>
      <c r="GL266" s="18"/>
      <c r="GM266" s="18"/>
      <c r="GN266" s="18"/>
      <c r="GO266" s="18"/>
      <c r="GP266" s="18"/>
      <c r="GQ266" s="18"/>
      <c r="GR266" s="18"/>
      <c r="GS266" s="18"/>
      <c r="GT266" s="18"/>
      <c r="GU266" s="18"/>
      <c r="GV266" s="18"/>
      <c r="GW266" s="18"/>
      <c r="GX266" s="18"/>
      <c r="GY266" s="18"/>
      <c r="GZ266" s="18"/>
      <c r="HA266" s="18"/>
      <c r="HB266" s="18"/>
      <c r="HC266" s="18"/>
      <c r="HD266" s="18"/>
      <c r="HE266" s="18"/>
      <c r="HF266" s="18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V266" s="18"/>
      <c r="HW266" s="18"/>
      <c r="HX266" s="18"/>
      <c r="HY266" s="18"/>
      <c r="HZ266" s="18"/>
      <c r="IA266" s="18"/>
      <c r="IB266" s="18"/>
      <c r="IC266" s="18"/>
      <c r="ID266" s="18"/>
      <c r="IE266" s="18"/>
      <c r="IF266" s="18"/>
      <c r="IG266" s="18"/>
      <c r="IH266" s="18"/>
      <c r="II266" s="18"/>
      <c r="IJ266" s="18"/>
      <c r="IK266" s="18"/>
      <c r="IL266" s="18"/>
      <c r="IM266" s="18"/>
      <c r="IN266" s="18"/>
      <c r="IO266" s="18"/>
    </row>
    <row r="267" spans="1:302" ht="11.1" hidden="1" customHeight="1" outlineLevel="1">
      <c r="M267" s="136" t="s">
        <v>61</v>
      </c>
      <c r="N267" s="136"/>
      <c r="O267" s="136"/>
      <c r="P267" s="297" t="s">
        <v>118</v>
      </c>
      <c r="Y267" s="14"/>
      <c r="Z267" s="14"/>
      <c r="AN267" s="18"/>
      <c r="AT267" s="51"/>
      <c r="AU267" s="15"/>
      <c r="AV267" s="15"/>
      <c r="AW267" s="15"/>
      <c r="AX267" s="15"/>
      <c r="AY267" s="15"/>
      <c r="AZ267" s="15"/>
      <c r="BA267" s="51"/>
      <c r="BB267" s="15"/>
      <c r="BC267" s="15"/>
      <c r="BD267" s="15"/>
      <c r="BE267" s="15"/>
      <c r="BF267" s="15"/>
      <c r="BG267" s="51"/>
      <c r="BH267" s="15"/>
      <c r="BI267" s="15"/>
      <c r="BJ267" s="15"/>
      <c r="BK267" s="51"/>
      <c r="BL267" s="15"/>
      <c r="BM267" s="15"/>
      <c r="BN267" s="15"/>
      <c r="BO267" s="15"/>
      <c r="BP267" s="15"/>
      <c r="BQ267" s="18"/>
      <c r="BR267" s="18"/>
      <c r="BS267" s="18"/>
      <c r="BT267" s="18"/>
      <c r="BU267" s="18"/>
      <c r="BV267" s="18"/>
      <c r="BW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  <c r="FR267" s="18"/>
      <c r="FS267" s="18"/>
      <c r="FT267" s="18"/>
      <c r="FU267" s="18"/>
      <c r="FV267" s="18"/>
      <c r="FW267" s="18"/>
      <c r="FX267" s="18"/>
      <c r="FY267" s="18"/>
      <c r="FZ267" s="18"/>
      <c r="GA267" s="18"/>
      <c r="GB267" s="18"/>
      <c r="GC267" s="18"/>
      <c r="GD267" s="18"/>
      <c r="GE267" s="18"/>
      <c r="GF267" s="18"/>
      <c r="GG267" s="18"/>
      <c r="GH267" s="18"/>
      <c r="GI267" s="18"/>
      <c r="GJ267" s="18"/>
      <c r="GK267" s="18"/>
      <c r="GL267" s="18"/>
      <c r="GM267" s="18"/>
      <c r="GN267" s="18"/>
      <c r="GO267" s="18"/>
      <c r="GP267" s="18"/>
      <c r="GQ267" s="18"/>
      <c r="GR267" s="18"/>
      <c r="GS267" s="18"/>
      <c r="GT267" s="18"/>
      <c r="GU267" s="18"/>
      <c r="GV267" s="18"/>
      <c r="GW267" s="18"/>
      <c r="GX267" s="18"/>
      <c r="GY267" s="18"/>
      <c r="GZ267" s="18"/>
      <c r="HA267" s="18"/>
      <c r="HB267" s="18"/>
      <c r="HC267" s="18"/>
      <c r="HD267" s="18"/>
      <c r="HE267" s="18"/>
      <c r="HF267" s="18"/>
      <c r="HG267" s="13"/>
      <c r="HH267" s="13"/>
      <c r="HI267" s="13"/>
      <c r="HJ267" s="13"/>
      <c r="HK267" s="13"/>
      <c r="HL267" s="13"/>
      <c r="HM267" s="13"/>
      <c r="HN267" s="13"/>
      <c r="HO267" s="13"/>
      <c r="HP267" s="13"/>
      <c r="HQ267" s="13"/>
      <c r="HR267" s="13"/>
      <c r="HS267" s="13"/>
      <c r="HT267" s="13"/>
      <c r="HV267" s="18"/>
      <c r="HW267" s="18"/>
      <c r="HX267" s="18"/>
      <c r="HY267" s="18"/>
      <c r="HZ267" s="18"/>
      <c r="IA267" s="18"/>
      <c r="IB267" s="18"/>
      <c r="IC267" s="18"/>
      <c r="ID267" s="18"/>
      <c r="IE267" s="18"/>
      <c r="IF267" s="18"/>
      <c r="IG267" s="18"/>
      <c r="IH267" s="18"/>
      <c r="II267" s="18"/>
      <c r="IJ267" s="18"/>
      <c r="IK267" s="18"/>
      <c r="IL267" s="18"/>
      <c r="IM267" s="18"/>
      <c r="IN267" s="18"/>
      <c r="IO267" s="18"/>
    </row>
    <row r="268" spans="1:302" ht="11.1" hidden="1" customHeight="1" outlineLevel="1">
      <c r="M268" s="136" t="s">
        <v>59</v>
      </c>
      <c r="N268" s="136"/>
      <c r="O268" s="136"/>
      <c r="P268" s="297">
        <v>0.10780000000000001</v>
      </c>
      <c r="Y268" s="14"/>
      <c r="Z268" s="14"/>
      <c r="AN268" s="18"/>
      <c r="AT268" s="51"/>
      <c r="AU268" s="15"/>
      <c r="AV268" s="15"/>
      <c r="AW268" s="15"/>
      <c r="AX268" s="15"/>
      <c r="AY268" s="15"/>
      <c r="AZ268" s="15"/>
      <c r="BA268" s="51"/>
      <c r="BB268" s="15"/>
      <c r="BC268" s="15"/>
      <c r="BD268" s="15"/>
      <c r="BE268" s="15"/>
      <c r="BF268" s="15"/>
      <c r="BG268" s="51"/>
      <c r="BH268" s="15"/>
      <c r="BI268" s="15"/>
      <c r="BJ268" s="15"/>
      <c r="BK268" s="51"/>
      <c r="BL268" s="15"/>
      <c r="BM268" s="15"/>
      <c r="BN268" s="15"/>
      <c r="BO268" s="15"/>
      <c r="BP268" s="15"/>
      <c r="BQ268" s="18"/>
      <c r="BR268" s="18"/>
      <c r="BS268" s="18"/>
      <c r="BT268" s="18"/>
      <c r="BU268" s="18"/>
      <c r="BV268" s="18"/>
      <c r="BW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  <c r="FR268" s="18"/>
      <c r="FS268" s="18"/>
      <c r="FT268" s="18"/>
      <c r="FU268" s="18"/>
      <c r="FV268" s="18"/>
      <c r="FW268" s="18"/>
      <c r="FX268" s="18"/>
      <c r="FY268" s="18"/>
      <c r="FZ268" s="18"/>
      <c r="GA268" s="18"/>
      <c r="GB268" s="18"/>
      <c r="GC268" s="18"/>
      <c r="GD268" s="18"/>
      <c r="GE268" s="18"/>
      <c r="GF268" s="18"/>
      <c r="GG268" s="18"/>
      <c r="GH268" s="18"/>
      <c r="GI268" s="18"/>
      <c r="GJ268" s="18"/>
      <c r="GK268" s="18"/>
      <c r="GL268" s="18"/>
      <c r="GM268" s="18"/>
      <c r="GN268" s="18"/>
      <c r="GO268" s="18"/>
      <c r="GP268" s="18"/>
      <c r="GQ268" s="18"/>
      <c r="GR268" s="18"/>
      <c r="GS268" s="18"/>
      <c r="GT268" s="18"/>
      <c r="GU268" s="18"/>
      <c r="GV268" s="18"/>
      <c r="GW268" s="18"/>
      <c r="GX268" s="18"/>
      <c r="GY268" s="18"/>
      <c r="GZ268" s="18"/>
      <c r="HA268" s="18"/>
      <c r="HB268" s="18"/>
      <c r="HC268" s="18"/>
      <c r="HD268" s="18"/>
      <c r="HE268" s="18"/>
      <c r="HF268" s="18"/>
      <c r="HG268" s="13"/>
      <c r="HH268" s="13"/>
      <c r="HI268" s="13"/>
      <c r="HJ268" s="13"/>
      <c r="HK268" s="13"/>
      <c r="HL268" s="13"/>
      <c r="HM268" s="13"/>
      <c r="HN268" s="13"/>
      <c r="HO268" s="13"/>
      <c r="HP268" s="13"/>
      <c r="HQ268" s="13"/>
      <c r="HR268" s="13"/>
      <c r="HS268" s="13"/>
      <c r="HT268" s="13"/>
      <c r="HV268" s="18"/>
      <c r="HW268" s="18"/>
      <c r="HX268" s="18"/>
      <c r="HY268" s="18"/>
      <c r="HZ268" s="18"/>
      <c r="IA268" s="18"/>
      <c r="IB268" s="18"/>
      <c r="IC268" s="18"/>
      <c r="ID268" s="18"/>
      <c r="IE268" s="18"/>
      <c r="IF268" s="18"/>
      <c r="IG268" s="18"/>
      <c r="IH268" s="18"/>
      <c r="II268" s="18"/>
      <c r="IJ268" s="18"/>
      <c r="IK268" s="18"/>
      <c r="IL268" s="18"/>
      <c r="IM268" s="18"/>
      <c r="IN268" s="18"/>
      <c r="IO268" s="18"/>
    </row>
    <row r="269" spans="1:302" ht="11.1" hidden="1" customHeight="1" outlineLevel="1">
      <c r="M269" s="136"/>
      <c r="N269" s="136"/>
      <c r="O269" s="136"/>
      <c r="P269" s="67">
        <v>36.44</v>
      </c>
      <c r="AN269" s="18"/>
      <c r="AT269" s="51"/>
      <c r="AU269" s="15"/>
      <c r="AV269" s="15"/>
      <c r="AW269" s="15"/>
      <c r="AX269" s="15"/>
      <c r="AY269" s="15"/>
      <c r="AZ269" s="15"/>
      <c r="BA269" s="51"/>
      <c r="BB269" s="15"/>
      <c r="BC269" s="15"/>
      <c r="BD269" s="15"/>
      <c r="BE269" s="15"/>
      <c r="BF269" s="15"/>
      <c r="BG269" s="51"/>
      <c r="BH269" s="15"/>
      <c r="BI269" s="15"/>
      <c r="BJ269" s="15"/>
      <c r="BK269" s="51"/>
      <c r="BL269" s="15"/>
      <c r="BM269" s="15"/>
      <c r="BN269" s="15"/>
      <c r="BO269" s="15"/>
      <c r="BP269" s="15"/>
      <c r="BQ269" s="18"/>
      <c r="BR269" s="18"/>
      <c r="BS269" s="18"/>
      <c r="BT269" s="18"/>
      <c r="BU269" s="18"/>
      <c r="BV269" s="18"/>
      <c r="BW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  <c r="FR269" s="18"/>
      <c r="FS269" s="18"/>
      <c r="FT269" s="18"/>
      <c r="FU269" s="18"/>
      <c r="FV269" s="18"/>
      <c r="FW269" s="18"/>
      <c r="FX269" s="18"/>
      <c r="FY269" s="18"/>
      <c r="FZ269" s="18"/>
      <c r="GA269" s="18"/>
      <c r="GB269" s="18"/>
      <c r="GC269" s="18"/>
      <c r="GD269" s="18"/>
      <c r="GE269" s="18"/>
      <c r="GF269" s="18"/>
      <c r="GG269" s="18"/>
      <c r="GH269" s="18"/>
      <c r="GI269" s="18"/>
      <c r="GJ269" s="18"/>
      <c r="GK269" s="18"/>
      <c r="GL269" s="18"/>
      <c r="GM269" s="18"/>
      <c r="GN269" s="18"/>
      <c r="GO269" s="18"/>
      <c r="GP269" s="18"/>
      <c r="GQ269" s="18"/>
      <c r="GR269" s="18"/>
      <c r="GS269" s="18"/>
      <c r="GT269" s="18"/>
      <c r="GU269" s="18"/>
      <c r="GV269" s="18"/>
      <c r="GW269" s="18"/>
      <c r="GX269" s="18"/>
      <c r="GY269" s="18"/>
      <c r="GZ269" s="18"/>
      <c r="HA269" s="18"/>
      <c r="HB269" s="18"/>
      <c r="HC269" s="18"/>
      <c r="HD269" s="18"/>
      <c r="HE269" s="18"/>
      <c r="HF269" s="18"/>
      <c r="HG269" s="13"/>
      <c r="HH269" s="13"/>
      <c r="HI269" s="13"/>
      <c r="HJ269" s="13"/>
      <c r="HK269" s="13"/>
      <c r="HL269" s="13"/>
      <c r="HM269" s="13"/>
      <c r="HN269" s="13"/>
      <c r="HO269" s="13"/>
      <c r="HP269" s="13"/>
      <c r="HQ269" s="13"/>
      <c r="HR269" s="13"/>
      <c r="HS269" s="13"/>
      <c r="HT269" s="13"/>
      <c r="HV269" s="18"/>
      <c r="HW269" s="18"/>
      <c r="HX269" s="18"/>
      <c r="HY269" s="18"/>
      <c r="HZ269" s="18"/>
      <c r="IA269" s="18"/>
      <c r="IB269" s="18"/>
      <c r="IC269" s="18"/>
      <c r="ID269" s="18"/>
      <c r="IE269" s="18"/>
      <c r="IF269" s="18"/>
      <c r="IG269" s="18"/>
      <c r="IH269" s="18"/>
      <c r="II269" s="18"/>
      <c r="IJ269" s="18"/>
      <c r="IK269" s="18"/>
      <c r="IL269" s="18"/>
      <c r="IM269" s="18"/>
      <c r="IN269" s="18"/>
      <c r="IO269" s="18"/>
    </row>
    <row r="270" spans="1:302" s="3" customFormat="1" ht="5.0999999999999996" hidden="1" customHeight="1" outlineLevel="1" collapsed="1">
      <c r="B270" s="192"/>
      <c r="K270" s="40"/>
      <c r="L270" s="40"/>
      <c r="M270" s="136"/>
      <c r="N270" s="136"/>
      <c r="O270" s="136"/>
      <c r="P270" s="246">
        <v>36.5</v>
      </c>
      <c r="AG270" s="35"/>
      <c r="AH270" s="35"/>
      <c r="AI270" s="35"/>
      <c r="AJ270" s="35"/>
      <c r="AK270" s="296"/>
      <c r="AN270" s="13"/>
      <c r="AR270" s="7"/>
      <c r="AT270" s="24"/>
      <c r="AU270" s="981"/>
      <c r="AV270" s="981"/>
      <c r="AW270" s="981"/>
      <c r="AX270" s="981"/>
      <c r="AY270" s="981"/>
      <c r="AZ270" s="981"/>
      <c r="BA270" s="24"/>
      <c r="BB270" s="981"/>
      <c r="BC270" s="981"/>
      <c r="BD270" s="981"/>
      <c r="BE270" s="981"/>
      <c r="BF270" s="981"/>
      <c r="BG270" s="24"/>
      <c r="BH270" s="981"/>
      <c r="BI270" s="981"/>
      <c r="BJ270" s="981"/>
      <c r="BK270" s="24"/>
      <c r="BL270" s="981"/>
      <c r="BM270" s="981"/>
      <c r="BN270" s="981"/>
      <c r="BO270" s="981"/>
      <c r="BP270" s="981"/>
      <c r="BQ270" s="13"/>
      <c r="BR270" s="13"/>
      <c r="BS270" s="13"/>
      <c r="BT270" s="13"/>
      <c r="BU270" s="13"/>
      <c r="BV270" s="13"/>
      <c r="BW270" s="13"/>
      <c r="BX270" s="31"/>
      <c r="BY270" s="13"/>
      <c r="BZ270" s="13"/>
      <c r="CA270" s="13"/>
      <c r="CB270" s="13"/>
      <c r="CC270" s="13"/>
      <c r="CD270" s="13"/>
      <c r="CE270" s="13"/>
      <c r="CF270" s="13"/>
      <c r="CG270" s="13"/>
      <c r="CH270" s="13"/>
      <c r="CI270" s="13"/>
      <c r="CJ270" s="13"/>
      <c r="CK270" s="13"/>
      <c r="CL270" s="13"/>
      <c r="CM270" s="13"/>
      <c r="CN270" s="13"/>
      <c r="CO270" s="13"/>
      <c r="CP270" s="13"/>
      <c r="CQ270" s="13"/>
      <c r="CR270" s="13"/>
      <c r="CS270" s="31"/>
      <c r="CT270" s="13"/>
      <c r="CU270" s="13"/>
      <c r="CV270" s="13"/>
      <c r="CW270" s="13"/>
      <c r="CX270" s="13"/>
      <c r="CY270" s="13"/>
      <c r="CZ270" s="13"/>
      <c r="DA270" s="13"/>
      <c r="DB270" s="13"/>
      <c r="DC270" s="13"/>
      <c r="DD270" s="13"/>
      <c r="DE270" s="13"/>
      <c r="DF270" s="13"/>
      <c r="DG270" s="13"/>
      <c r="DH270" s="13"/>
      <c r="DI270" s="13"/>
      <c r="DJ270" s="13"/>
      <c r="DK270" s="13"/>
      <c r="DL270" s="13"/>
      <c r="DM270" s="13"/>
      <c r="DN270" s="13"/>
      <c r="DO270" s="31"/>
      <c r="DP270" s="13"/>
      <c r="DQ270" s="13"/>
      <c r="DR270" s="13"/>
      <c r="DS270" s="13"/>
      <c r="DT270" s="13"/>
      <c r="DU270" s="13"/>
      <c r="DV270" s="13"/>
      <c r="DW270" s="13"/>
      <c r="DX270" s="13"/>
      <c r="DY270" s="13"/>
      <c r="DZ270" s="13"/>
      <c r="EA270" s="13"/>
      <c r="EB270" s="13"/>
      <c r="EC270" s="13"/>
      <c r="ED270" s="13"/>
      <c r="EE270" s="13"/>
      <c r="EF270" s="13"/>
      <c r="EG270" s="13"/>
      <c r="EH270" s="13"/>
      <c r="EI270" s="13"/>
      <c r="EJ270" s="13"/>
      <c r="EK270" s="13"/>
      <c r="EL270" s="13"/>
      <c r="EM270" s="13"/>
      <c r="EN270" s="13"/>
      <c r="EO270" s="13"/>
      <c r="EP270" s="13"/>
      <c r="EQ270" s="13"/>
      <c r="ER270" s="13"/>
      <c r="ES270" s="13"/>
      <c r="ET270" s="13"/>
      <c r="EU270" s="13"/>
      <c r="EV270" s="13"/>
      <c r="EW270" s="13"/>
      <c r="EX270" s="13"/>
      <c r="EY270" s="13"/>
      <c r="EZ270" s="13"/>
      <c r="FA270" s="13"/>
      <c r="FB270" s="13"/>
      <c r="FC270" s="13"/>
      <c r="FD270" s="13"/>
      <c r="FE270" s="13"/>
      <c r="FF270" s="13"/>
      <c r="FG270" s="13"/>
      <c r="FH270" s="13"/>
      <c r="FI270" s="13"/>
      <c r="FJ270" s="13"/>
      <c r="FK270" s="13"/>
      <c r="FL270" s="13"/>
      <c r="FM270" s="13"/>
      <c r="FN270" s="13"/>
      <c r="FO270" s="13"/>
      <c r="FP270" s="13"/>
      <c r="FQ270" s="13"/>
      <c r="FR270" s="13"/>
      <c r="FS270" s="13"/>
      <c r="FT270" s="13"/>
      <c r="FU270" s="13"/>
      <c r="FV270" s="13"/>
      <c r="FW270" s="13"/>
      <c r="FX270" s="13"/>
      <c r="FY270" s="13"/>
      <c r="FZ270" s="13"/>
      <c r="GA270" s="13"/>
      <c r="GB270" s="13"/>
      <c r="GC270" s="13"/>
      <c r="GD270" s="13"/>
      <c r="GE270" s="13"/>
      <c r="GF270" s="13"/>
      <c r="GG270" s="13"/>
      <c r="GH270" s="13"/>
      <c r="GI270" s="13"/>
      <c r="GJ270" s="13"/>
      <c r="GK270" s="13"/>
      <c r="GL270" s="13"/>
      <c r="GM270" s="13"/>
      <c r="GN270" s="13"/>
      <c r="GO270" s="13"/>
      <c r="GP270" s="13"/>
      <c r="GQ270" s="13"/>
      <c r="GR270" s="13"/>
      <c r="GS270" s="13"/>
      <c r="GT270" s="13"/>
      <c r="GU270" s="13"/>
      <c r="GV270" s="13"/>
      <c r="GW270" s="13"/>
      <c r="GX270" s="13"/>
      <c r="GY270" s="13"/>
      <c r="GZ270" s="13"/>
      <c r="HA270" s="13"/>
      <c r="HB270" s="13"/>
      <c r="HC270" s="13"/>
      <c r="HD270" s="13"/>
      <c r="HE270" s="13"/>
      <c r="HF270" s="13"/>
      <c r="HG270" s="13"/>
      <c r="HH270" s="13"/>
      <c r="HI270" s="13"/>
      <c r="HJ270" s="13"/>
      <c r="HK270" s="13"/>
      <c r="HL270" s="13"/>
      <c r="HM270" s="13"/>
      <c r="HN270" s="13"/>
      <c r="HO270" s="13"/>
      <c r="HP270" s="13"/>
      <c r="HQ270" s="13"/>
      <c r="HR270" s="13"/>
      <c r="HS270" s="13"/>
      <c r="HT270" s="13"/>
      <c r="HU270" s="31"/>
      <c r="HV270" s="13"/>
      <c r="HW270" s="13"/>
      <c r="HX270" s="13"/>
      <c r="HY270" s="13"/>
      <c r="HZ270" s="13"/>
      <c r="IA270" s="13"/>
      <c r="IB270" s="13"/>
      <c r="IC270" s="13"/>
      <c r="ID270" s="13"/>
      <c r="IE270" s="13"/>
      <c r="IF270" s="13"/>
      <c r="IG270" s="13"/>
      <c r="IH270" s="13"/>
      <c r="II270" s="13"/>
      <c r="IJ270" s="13"/>
      <c r="IK270" s="13"/>
      <c r="IL270" s="13"/>
      <c r="IM270" s="13"/>
      <c r="IN270" s="13"/>
      <c r="IO270" s="13"/>
      <c r="JR270" s="14"/>
      <c r="JS270" s="14"/>
      <c r="JT270" s="14"/>
      <c r="JU270" s="14"/>
      <c r="JV270" s="14"/>
      <c r="JW270" s="14"/>
      <c r="JX270" s="14"/>
      <c r="JY270" s="14"/>
      <c r="JZ270" s="14"/>
      <c r="KA270" s="14"/>
      <c r="KB270" s="14"/>
      <c r="KC270" s="14"/>
      <c r="KD270" s="14"/>
      <c r="KE270" s="14"/>
      <c r="KF270" s="14"/>
      <c r="KG270" s="14"/>
      <c r="KH270" s="14"/>
      <c r="KI270" s="14"/>
      <c r="KJ270" s="14"/>
      <c r="KK270" s="14"/>
      <c r="KL270" s="14"/>
      <c r="KM270" s="14"/>
      <c r="KN270" s="14"/>
      <c r="KO270" s="14"/>
      <c r="KP270" s="14"/>
    </row>
    <row r="271" spans="1:302" ht="11.1" hidden="1" customHeight="1" outlineLevel="1">
      <c r="A271" s="30" t="s">
        <v>117</v>
      </c>
      <c r="D271" s="38" t="s">
        <v>116</v>
      </c>
      <c r="F271" s="11">
        <v>0</v>
      </c>
      <c r="G271" s="946">
        <v>41282</v>
      </c>
      <c r="H271" s="946"/>
      <c r="I271" s="1067">
        <v>39.13128571</v>
      </c>
      <c r="J271" s="1067"/>
      <c r="K271" s="1067"/>
      <c r="M271" s="136"/>
      <c r="N271" s="136"/>
      <c r="O271" s="136"/>
      <c r="P271" s="280">
        <v>36.49</v>
      </c>
      <c r="Q271" s="1"/>
      <c r="T271" s="193"/>
      <c r="U271" s="193"/>
      <c r="V271" s="193"/>
      <c r="W271" s="193"/>
      <c r="X271" s="295"/>
      <c r="Y271" s="295"/>
      <c r="Z271" s="295"/>
      <c r="AA271" s="295"/>
      <c r="AB271" s="947">
        <f>F271*P271</f>
        <v>0</v>
      </c>
      <c r="AC271" s="947"/>
      <c r="AD271" s="190">
        <f>-((I271*F271)-(P271*F271))</f>
        <v>0</v>
      </c>
      <c r="AE271" s="290"/>
      <c r="AF271" s="205" t="e">
        <f>IF(#REF!-AP271&lt;0,#REF!-AP271,(#REF!-AP271)*0.8)</f>
        <v>#REF!</v>
      </c>
      <c r="AG271" s="934"/>
      <c r="AH271" s="934"/>
      <c r="AI271" s="289"/>
      <c r="AJ271" s="34" t="s">
        <v>115</v>
      </c>
      <c r="AL271" s="279" t="s">
        <v>114</v>
      </c>
      <c r="AN271" s="213"/>
      <c r="AO271" s="38"/>
      <c r="AP271" s="188">
        <f>F271*I271+AN271+AN272</f>
        <v>0</v>
      </c>
      <c r="AT271" s="51"/>
      <c r="AU271" s="15"/>
      <c r="AV271" s="15"/>
      <c r="AW271" s="15"/>
      <c r="AX271" s="15"/>
      <c r="AY271" s="15"/>
      <c r="AZ271" s="15"/>
      <c r="BA271" s="51"/>
      <c r="BB271" s="15"/>
      <c r="BC271" s="15"/>
      <c r="BD271" s="15"/>
      <c r="BE271" s="15"/>
      <c r="BF271" s="15"/>
      <c r="BG271" s="51"/>
      <c r="BH271" s="15"/>
      <c r="BI271" s="15"/>
      <c r="BJ271" s="15"/>
      <c r="BK271" s="51"/>
      <c r="BL271" s="15"/>
      <c r="BM271" s="15"/>
      <c r="BN271" s="15"/>
      <c r="BO271" s="15"/>
      <c r="BP271" s="15"/>
      <c r="BQ271" s="18"/>
      <c r="BR271" s="18"/>
      <c r="BS271" s="18"/>
      <c r="BT271" s="18"/>
      <c r="BU271" s="18"/>
      <c r="BV271" s="18"/>
      <c r="BW271" s="18"/>
      <c r="BX271" s="139"/>
      <c r="BY271" s="139"/>
      <c r="BZ271" s="139"/>
      <c r="CA271" s="139"/>
      <c r="CB271" s="139"/>
      <c r="CC271" s="139"/>
      <c r="CD271" s="139"/>
      <c r="CE271" s="139"/>
      <c r="CF271" s="139"/>
      <c r="CG271" s="139"/>
      <c r="CH271" s="139"/>
      <c r="CI271" s="139"/>
      <c r="CJ271" s="139"/>
      <c r="CK271" s="139"/>
      <c r="CL271" s="139"/>
      <c r="CM271" s="139"/>
      <c r="CN271" s="139"/>
      <c r="CO271" s="139"/>
      <c r="CP271" s="139"/>
      <c r="CQ271" s="139"/>
      <c r="CR271" s="139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  <c r="FR271" s="18"/>
      <c r="FS271" s="18"/>
      <c r="FT271" s="18"/>
      <c r="FU271" s="18"/>
      <c r="FV271" s="18"/>
      <c r="FW271" s="18"/>
      <c r="FX271" s="18"/>
      <c r="FY271" s="18"/>
      <c r="FZ271" s="18"/>
      <c r="GA271" s="18"/>
      <c r="GB271" s="18"/>
      <c r="GC271" s="18"/>
      <c r="GD271" s="18"/>
      <c r="GE271" s="18"/>
      <c r="GF271" s="18"/>
      <c r="GG271" s="18"/>
      <c r="GH271" s="18"/>
      <c r="GI271" s="18"/>
      <c r="GJ271" s="18"/>
      <c r="GK271" s="18"/>
      <c r="GL271" s="18"/>
      <c r="GM271" s="18"/>
      <c r="GN271" s="18"/>
      <c r="GO271" s="18"/>
      <c r="GP271" s="18"/>
      <c r="GQ271" s="18"/>
      <c r="GR271" s="18"/>
      <c r="GS271" s="18"/>
      <c r="GT271" s="18"/>
      <c r="GU271" s="18"/>
      <c r="GV271" s="18"/>
      <c r="GW271" s="18"/>
      <c r="GX271" s="18"/>
      <c r="GY271" s="18"/>
      <c r="GZ271" s="18"/>
      <c r="HA271" s="18"/>
      <c r="HB271" s="18"/>
      <c r="HC271" s="18"/>
      <c r="HD271" s="18"/>
      <c r="HE271" s="18"/>
      <c r="HF271" s="18"/>
      <c r="HG271" s="13"/>
      <c r="HH271" s="13"/>
      <c r="HI271" s="13"/>
      <c r="HJ271" s="13"/>
      <c r="HK271" s="13"/>
      <c r="HL271" s="13"/>
      <c r="HM271" s="13"/>
      <c r="HN271" s="13"/>
      <c r="HO271" s="13"/>
      <c r="HP271" s="13"/>
      <c r="HQ271" s="13"/>
      <c r="HR271" s="13"/>
      <c r="HS271" s="13"/>
      <c r="HT271" s="13"/>
      <c r="HU271" s="278" t="str">
        <f>IF(AL272=1,AB271,"")</f>
        <v/>
      </c>
      <c r="HV271" s="277" t="str">
        <f>IF(AL272=2,AB271,"")</f>
        <v/>
      </c>
      <c r="HW271" s="277" t="str">
        <f>IF(AL272=3,AB271,"")</f>
        <v/>
      </c>
      <c r="HX271" s="277">
        <f>IF(AL272=4,AB271,"")</f>
        <v>0</v>
      </c>
      <c r="HY271" s="277" t="str">
        <f>IF(AL272=5,AB271,"")</f>
        <v/>
      </c>
      <c r="HZ271" s="277" t="str">
        <f>IF(AL272=6,AB271,"")</f>
        <v/>
      </c>
      <c r="IA271" s="277" t="str">
        <f>IF(AL272=7,AB271,"")</f>
        <v/>
      </c>
      <c r="IB271" s="277" t="str">
        <f>IF(AL272=8,AB271,"")</f>
        <v/>
      </c>
      <c r="IC271" s="277" t="str">
        <f>IF(AL272=9,AB271,"")</f>
        <v/>
      </c>
      <c r="ID271" s="277" t="str">
        <f>IF(AL272=10,AB271,"")</f>
        <v/>
      </c>
      <c r="IE271" s="277" t="str">
        <f>IF(AL272=11,AB271,"")</f>
        <v/>
      </c>
      <c r="IF271" s="277" t="str">
        <f>IF(AL272=12,AB271,"")</f>
        <v/>
      </c>
      <c r="IG271" s="277" t="str">
        <f>IF(AL272=13,AB271,"")</f>
        <v/>
      </c>
      <c r="IH271" s="277" t="str">
        <f>IF(AL272=14,AB271,"")</f>
        <v/>
      </c>
      <c r="II271" s="277" t="str">
        <f>IF(AL272=15,AB271,"")</f>
        <v/>
      </c>
      <c r="IJ271" s="277" t="str">
        <f>IF(AL272=16,AB271,"")</f>
        <v/>
      </c>
      <c r="IK271" s="277" t="str">
        <f>IF(AL272=17,AB271,"")</f>
        <v/>
      </c>
      <c r="IL271" s="277" t="str">
        <f>IF(AL272=18,AB271,"")</f>
        <v/>
      </c>
      <c r="IM271" s="277" t="str">
        <f>IF(AL272=19,AB271,"")</f>
        <v/>
      </c>
      <c r="IN271" s="277" t="str">
        <f>IF(AL272=20,AB271,"")</f>
        <v/>
      </c>
      <c r="IO271" s="277" t="str">
        <f>IF(AL272=21,AB271,"")</f>
        <v/>
      </c>
      <c r="IP271" s="277" t="str">
        <f>IF(AL272=22,AB271,"")</f>
        <v/>
      </c>
    </row>
    <row r="272" spans="1:302" ht="11.1" hidden="1" customHeight="1" outlineLevel="1">
      <c r="A272" s="3" t="s">
        <v>113</v>
      </c>
      <c r="F272" s="301"/>
      <c r="I272" s="294"/>
      <c r="J272" s="294"/>
      <c r="K272" s="185">
        <f>AP271</f>
        <v>0</v>
      </c>
      <c r="M272" s="136"/>
      <c r="N272" s="136"/>
      <c r="O272" s="136"/>
      <c r="P272" s="246">
        <v>36.6</v>
      </c>
      <c r="Q272" s="1"/>
      <c r="T272" s="293"/>
      <c r="U272" s="293"/>
      <c r="V272" s="293"/>
      <c r="W272" s="293"/>
      <c r="X272" s="292"/>
      <c r="Y272" s="292"/>
      <c r="Z272" s="292"/>
      <c r="AA272" s="292"/>
      <c r="AB272" s="947"/>
      <c r="AC272" s="947"/>
      <c r="AD272" s="183">
        <f>((P271-I271)/I271)</f>
        <v>-6.749805589252636E-2</v>
      </c>
      <c r="AE272" s="183"/>
      <c r="AL272" s="275">
        <f>VLOOKUP(AL271,'[2]IBAN CONTI'!A$106:B$122,2,FALSE)</f>
        <v>4</v>
      </c>
      <c r="AN272" s="213"/>
      <c r="AO272" s="38"/>
      <c r="AP272" s="38"/>
      <c r="AT272" s="51"/>
      <c r="AU272" s="15"/>
      <c r="AV272" s="15"/>
      <c r="AW272" s="15"/>
      <c r="AX272" s="15"/>
      <c r="AY272" s="15"/>
      <c r="AZ272" s="15"/>
      <c r="BA272" s="51"/>
      <c r="BB272" s="15"/>
      <c r="BC272" s="15"/>
      <c r="BD272" s="15"/>
      <c r="BE272" s="15"/>
      <c r="BF272" s="15"/>
      <c r="BG272" s="51"/>
      <c r="BH272" s="15"/>
      <c r="BI272" s="15"/>
      <c r="BJ272" s="15"/>
      <c r="BK272" s="51"/>
      <c r="BL272" s="15"/>
      <c r="BM272" s="15"/>
      <c r="BN272" s="15"/>
      <c r="BO272" s="15"/>
      <c r="BP272" s="15"/>
      <c r="BQ272" s="18"/>
      <c r="BR272" s="18"/>
      <c r="BS272" s="18"/>
      <c r="BT272" s="18"/>
      <c r="BU272" s="18"/>
      <c r="BV272" s="18"/>
      <c r="BW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  <c r="FR272" s="18"/>
      <c r="FS272" s="18"/>
      <c r="FT272" s="18"/>
      <c r="FU272" s="18"/>
      <c r="FV272" s="18"/>
      <c r="FW272" s="18"/>
      <c r="FX272" s="18"/>
      <c r="FY272" s="18"/>
      <c r="FZ272" s="18"/>
      <c r="GA272" s="18"/>
      <c r="GB272" s="18"/>
      <c r="GC272" s="18"/>
      <c r="GD272" s="18"/>
      <c r="GE272" s="18"/>
      <c r="GF272" s="18"/>
      <c r="GG272" s="18"/>
      <c r="GH272" s="18"/>
      <c r="GI272" s="18"/>
      <c r="GJ272" s="18"/>
      <c r="GK272" s="18"/>
      <c r="GL272" s="18"/>
      <c r="GM272" s="18"/>
      <c r="GN272" s="18"/>
      <c r="GO272" s="18"/>
      <c r="GP272" s="18"/>
      <c r="GQ272" s="18"/>
      <c r="GR272" s="18"/>
      <c r="GS272" s="18"/>
      <c r="GT272" s="18"/>
      <c r="GU272" s="18"/>
      <c r="GV272" s="18"/>
      <c r="GW272" s="18"/>
      <c r="GX272" s="18"/>
      <c r="GY272" s="18"/>
      <c r="GZ272" s="18"/>
      <c r="HA272" s="18"/>
      <c r="HB272" s="18"/>
      <c r="HC272" s="18"/>
      <c r="HD272" s="18"/>
      <c r="HE272" s="18"/>
      <c r="HF272" s="18"/>
      <c r="HG272" s="13"/>
      <c r="HH272" s="13"/>
      <c r="HI272" s="13"/>
      <c r="HJ272" s="13"/>
      <c r="HK272" s="13"/>
      <c r="HL272" s="13"/>
      <c r="HM272" s="13"/>
      <c r="HN272" s="13"/>
      <c r="HO272" s="13"/>
      <c r="HP272" s="13"/>
      <c r="HQ272" s="13"/>
      <c r="HR272" s="13"/>
      <c r="HS272" s="13"/>
      <c r="HT272" s="13"/>
      <c r="HV272" s="18"/>
      <c r="HW272" s="18"/>
      <c r="HX272" s="18"/>
      <c r="HY272" s="18"/>
      <c r="HZ272" s="18"/>
      <c r="IA272" s="18"/>
      <c r="IB272" s="18"/>
      <c r="IC272" s="18"/>
      <c r="ID272" s="18"/>
      <c r="IE272" s="18"/>
      <c r="IF272" s="18"/>
      <c r="IG272" s="18"/>
      <c r="IH272" s="18"/>
      <c r="II272" s="18"/>
      <c r="IJ272" s="18"/>
      <c r="IK272" s="18"/>
      <c r="IL272" s="18"/>
      <c r="IM272" s="18"/>
      <c r="IN272" s="18"/>
      <c r="IO272" s="18"/>
      <c r="JR272" s="3"/>
      <c r="JS272" s="3"/>
      <c r="JT272" s="3"/>
      <c r="JU272" s="3"/>
      <c r="JV272" s="3"/>
      <c r="JW272" s="3"/>
      <c r="JX272" s="3"/>
      <c r="JY272" s="3"/>
      <c r="JZ272" s="3"/>
      <c r="KA272" s="3"/>
      <c r="KB272" s="3"/>
      <c r="KC272" s="3"/>
      <c r="KD272" s="3"/>
      <c r="KE272" s="3"/>
      <c r="KF272" s="3"/>
      <c r="KG272" s="3"/>
      <c r="KH272" s="3"/>
      <c r="KI272" s="3"/>
      <c r="KJ272" s="3"/>
      <c r="KK272" s="3"/>
      <c r="KL272" s="3"/>
      <c r="KM272" s="3"/>
      <c r="KN272" s="3"/>
      <c r="KO272" s="3"/>
      <c r="KP272" s="3"/>
    </row>
    <row r="273" spans="1:302" ht="11.1" hidden="1" customHeight="1" outlineLevel="1">
      <c r="M273" s="136" t="s">
        <v>37</v>
      </c>
      <c r="N273" s="136"/>
      <c r="O273" s="136"/>
      <c r="P273" s="300">
        <v>42.38</v>
      </c>
      <c r="Y273" s="14"/>
      <c r="Z273" s="14"/>
      <c r="AN273" s="18"/>
      <c r="AT273" s="51"/>
      <c r="AU273" s="15"/>
      <c r="AV273" s="15"/>
      <c r="AW273" s="15"/>
      <c r="AX273" s="15"/>
      <c r="AY273" s="15"/>
      <c r="AZ273" s="15"/>
      <c r="BA273" s="51"/>
      <c r="BB273" s="15"/>
      <c r="BC273" s="15"/>
      <c r="BD273" s="15"/>
      <c r="BE273" s="15"/>
      <c r="BF273" s="15"/>
      <c r="BG273" s="51"/>
      <c r="BH273" s="15"/>
      <c r="BI273" s="15"/>
      <c r="BJ273" s="15"/>
      <c r="BK273" s="51"/>
      <c r="BL273" s="15"/>
      <c r="BM273" s="15"/>
      <c r="BN273" s="15"/>
      <c r="BO273" s="15"/>
      <c r="BP273" s="15"/>
      <c r="BQ273" s="18"/>
      <c r="BR273" s="18"/>
      <c r="BS273" s="18"/>
      <c r="BT273" s="18"/>
      <c r="BU273" s="18"/>
      <c r="BV273" s="18"/>
      <c r="BW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  <c r="FR273" s="18"/>
      <c r="FS273" s="18"/>
      <c r="FT273" s="18"/>
      <c r="FU273" s="18"/>
      <c r="FV273" s="18"/>
      <c r="FW273" s="18"/>
      <c r="FX273" s="18"/>
      <c r="FY273" s="18"/>
      <c r="FZ273" s="18"/>
      <c r="GA273" s="18"/>
      <c r="GB273" s="18"/>
      <c r="GC273" s="18"/>
      <c r="GD273" s="18"/>
      <c r="GE273" s="18"/>
      <c r="GF273" s="18"/>
      <c r="GG273" s="18"/>
      <c r="GH273" s="18"/>
      <c r="GI273" s="18"/>
      <c r="GJ273" s="18"/>
      <c r="GK273" s="18"/>
      <c r="GL273" s="18"/>
      <c r="GM273" s="18"/>
      <c r="GN273" s="18"/>
      <c r="GO273" s="18"/>
      <c r="GP273" s="18"/>
      <c r="GQ273" s="18"/>
      <c r="GR273" s="18"/>
      <c r="GS273" s="18"/>
      <c r="GT273" s="18"/>
      <c r="GU273" s="18"/>
      <c r="GV273" s="18"/>
      <c r="GW273" s="18"/>
      <c r="GX273" s="18"/>
      <c r="GY273" s="18"/>
      <c r="GZ273" s="18"/>
      <c r="HA273" s="18"/>
      <c r="HB273" s="18"/>
      <c r="HC273" s="18"/>
      <c r="HD273" s="18"/>
      <c r="HE273" s="18"/>
      <c r="HF273" s="18"/>
      <c r="HG273" s="13"/>
      <c r="HH273" s="13"/>
      <c r="HI273" s="13"/>
      <c r="HJ273" s="13"/>
      <c r="HK273" s="13"/>
      <c r="HL273" s="13"/>
      <c r="HM273" s="13"/>
      <c r="HN273" s="13"/>
      <c r="HO273" s="13"/>
      <c r="HP273" s="13"/>
      <c r="HQ273" s="13"/>
      <c r="HR273" s="13"/>
      <c r="HS273" s="13"/>
      <c r="HT273" s="13"/>
      <c r="HV273" s="18"/>
      <c r="HW273" s="18"/>
      <c r="HX273" s="18"/>
      <c r="HY273" s="18"/>
      <c r="HZ273" s="18"/>
      <c r="IA273" s="18"/>
      <c r="IB273" s="18"/>
      <c r="IC273" s="18"/>
      <c r="ID273" s="18"/>
      <c r="IE273" s="18"/>
      <c r="IF273" s="18"/>
      <c r="IG273" s="18"/>
      <c r="IH273" s="18"/>
      <c r="II273" s="18"/>
      <c r="IJ273" s="18"/>
      <c r="IK273" s="18"/>
      <c r="IL273" s="18"/>
      <c r="IM273" s="18"/>
      <c r="IN273" s="18"/>
      <c r="IO273" s="18"/>
    </row>
    <row r="274" spans="1:302" ht="11.1" hidden="1" customHeight="1" outlineLevel="1">
      <c r="M274" s="136" t="s">
        <v>36</v>
      </c>
      <c r="N274" s="136"/>
      <c r="O274" s="136"/>
      <c r="P274" s="299">
        <v>41.85</v>
      </c>
      <c r="Y274" s="14"/>
      <c r="Z274" s="14"/>
      <c r="AN274" s="18"/>
      <c r="AT274" s="51"/>
      <c r="AU274" s="15"/>
      <c r="AV274" s="15"/>
      <c r="AW274" s="15"/>
      <c r="AX274" s="15"/>
      <c r="AY274" s="15"/>
      <c r="AZ274" s="15"/>
      <c r="BA274" s="51"/>
      <c r="BB274" s="15"/>
      <c r="BC274" s="15"/>
      <c r="BD274" s="15"/>
      <c r="BE274" s="15"/>
      <c r="BF274" s="15"/>
      <c r="BG274" s="51"/>
      <c r="BH274" s="15"/>
      <c r="BI274" s="15"/>
      <c r="BJ274" s="15"/>
      <c r="BK274" s="51"/>
      <c r="BL274" s="15"/>
      <c r="BM274" s="15"/>
      <c r="BN274" s="15"/>
      <c r="BO274" s="15"/>
      <c r="BP274" s="15"/>
      <c r="BQ274" s="18"/>
      <c r="BR274" s="18"/>
      <c r="BS274" s="18"/>
      <c r="BT274" s="18"/>
      <c r="BU274" s="18"/>
      <c r="BV274" s="18"/>
      <c r="BW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  <c r="FR274" s="18"/>
      <c r="FS274" s="18"/>
      <c r="FT274" s="18"/>
      <c r="FU274" s="18"/>
      <c r="FV274" s="18"/>
      <c r="FW274" s="18"/>
      <c r="FX274" s="18"/>
      <c r="FY274" s="18"/>
      <c r="FZ274" s="18"/>
      <c r="GA274" s="18"/>
      <c r="GB274" s="18"/>
      <c r="GC274" s="18"/>
      <c r="GD274" s="18"/>
      <c r="GE274" s="18"/>
      <c r="GF274" s="18"/>
      <c r="GG274" s="18"/>
      <c r="GH274" s="18"/>
      <c r="GI274" s="18"/>
      <c r="GJ274" s="18"/>
      <c r="GK274" s="18"/>
      <c r="GL274" s="18"/>
      <c r="GM274" s="18"/>
      <c r="GN274" s="18"/>
      <c r="GO274" s="18"/>
      <c r="GP274" s="18"/>
      <c r="GQ274" s="18"/>
      <c r="GR274" s="18"/>
      <c r="GS274" s="18"/>
      <c r="GT274" s="18"/>
      <c r="GU274" s="18"/>
      <c r="GV274" s="18"/>
      <c r="GW274" s="18"/>
      <c r="GX274" s="18"/>
      <c r="GY274" s="18"/>
      <c r="GZ274" s="18"/>
      <c r="HA274" s="18"/>
      <c r="HB274" s="18"/>
      <c r="HC274" s="18"/>
      <c r="HD274" s="18"/>
      <c r="HE274" s="18"/>
      <c r="HF274" s="18"/>
      <c r="HG274" s="13"/>
      <c r="HH274" s="13"/>
      <c r="HI274" s="13"/>
      <c r="HJ274" s="13"/>
      <c r="HK274" s="13"/>
      <c r="HL274" s="13"/>
      <c r="HM274" s="13"/>
      <c r="HN274" s="13"/>
      <c r="HO274" s="13"/>
      <c r="HP274" s="13"/>
      <c r="HQ274" s="13"/>
      <c r="HR274" s="13"/>
      <c r="HS274" s="13"/>
      <c r="HT274" s="13"/>
      <c r="HV274" s="18"/>
      <c r="HW274" s="18"/>
      <c r="HX274" s="18"/>
      <c r="HY274" s="18"/>
      <c r="HZ274" s="18"/>
      <c r="IA274" s="18"/>
      <c r="IB274" s="18"/>
      <c r="IC274" s="18"/>
      <c r="ID274" s="18"/>
      <c r="IE274" s="18"/>
      <c r="IF274" s="18"/>
      <c r="IG274" s="18"/>
      <c r="IH274" s="18"/>
      <c r="II274" s="18"/>
      <c r="IJ274" s="18"/>
      <c r="IK274" s="18"/>
      <c r="IL274" s="18"/>
      <c r="IM274" s="18"/>
      <c r="IN274" s="18"/>
      <c r="IO274" s="18"/>
    </row>
    <row r="275" spans="1:302" ht="11.1" hidden="1" customHeight="1" outlineLevel="1">
      <c r="M275" s="136" t="s">
        <v>35</v>
      </c>
      <c r="N275" s="136"/>
      <c r="O275" s="136"/>
      <c r="P275" s="298">
        <v>41.76</v>
      </c>
      <c r="Y275" s="14"/>
      <c r="Z275" s="14"/>
      <c r="AN275" s="18"/>
      <c r="AT275" s="51"/>
      <c r="AU275" s="15"/>
      <c r="AV275" s="15"/>
      <c r="AW275" s="15"/>
      <c r="AX275" s="15"/>
      <c r="AY275" s="15"/>
      <c r="AZ275" s="15"/>
      <c r="BA275" s="51"/>
      <c r="BB275" s="15"/>
      <c r="BC275" s="15"/>
      <c r="BD275" s="15"/>
      <c r="BE275" s="15"/>
      <c r="BF275" s="15"/>
      <c r="BG275" s="51"/>
      <c r="BH275" s="15"/>
      <c r="BI275" s="15"/>
      <c r="BJ275" s="15"/>
      <c r="BK275" s="51"/>
      <c r="BL275" s="15"/>
      <c r="BM275" s="15"/>
      <c r="BN275" s="15"/>
      <c r="BO275" s="15"/>
      <c r="BP275" s="15"/>
      <c r="BQ275" s="18"/>
      <c r="BR275" s="18"/>
      <c r="BS275" s="18"/>
      <c r="BT275" s="18"/>
      <c r="BU275" s="18"/>
      <c r="BV275" s="18"/>
      <c r="BW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  <c r="FC275" s="18"/>
      <c r="FD275" s="18"/>
      <c r="FE275" s="18"/>
      <c r="FF275" s="18"/>
      <c r="FG275" s="18"/>
      <c r="FH275" s="18"/>
      <c r="FI275" s="18"/>
      <c r="FJ275" s="18"/>
      <c r="FK275" s="18"/>
      <c r="FL275" s="18"/>
      <c r="FM275" s="18"/>
      <c r="FN275" s="18"/>
      <c r="FO275" s="18"/>
      <c r="FP275" s="18"/>
      <c r="FQ275" s="18"/>
      <c r="FR275" s="18"/>
      <c r="FS275" s="18"/>
      <c r="FT275" s="18"/>
      <c r="FU275" s="18"/>
      <c r="FV275" s="18"/>
      <c r="FW275" s="18"/>
      <c r="FX275" s="18"/>
      <c r="FY275" s="18"/>
      <c r="FZ275" s="18"/>
      <c r="GA275" s="18"/>
      <c r="GB275" s="18"/>
      <c r="GC275" s="18"/>
      <c r="GD275" s="18"/>
      <c r="GE275" s="18"/>
      <c r="GF275" s="18"/>
      <c r="GG275" s="18"/>
      <c r="GH275" s="18"/>
      <c r="GI275" s="18"/>
      <c r="GJ275" s="18"/>
      <c r="GK275" s="18"/>
      <c r="GL275" s="18"/>
      <c r="GM275" s="18"/>
      <c r="GN275" s="18"/>
      <c r="GO275" s="18"/>
      <c r="GP275" s="18"/>
      <c r="GQ275" s="18"/>
      <c r="GR275" s="18"/>
      <c r="GS275" s="18"/>
      <c r="GT275" s="18"/>
      <c r="GU275" s="18"/>
      <c r="GV275" s="18"/>
      <c r="GW275" s="18"/>
      <c r="GX275" s="18"/>
      <c r="GY275" s="18"/>
      <c r="GZ275" s="18"/>
      <c r="HA275" s="18"/>
      <c r="HB275" s="18"/>
      <c r="HC275" s="18"/>
      <c r="HD275" s="18"/>
      <c r="HE275" s="18"/>
      <c r="HF275" s="18"/>
      <c r="HG275" s="13"/>
      <c r="HH275" s="13"/>
      <c r="HI275" s="13"/>
      <c r="HJ275" s="13"/>
      <c r="HK275" s="13"/>
      <c r="HL275" s="13"/>
      <c r="HM275" s="13"/>
      <c r="HN275" s="13"/>
      <c r="HO275" s="13"/>
      <c r="HP275" s="13"/>
      <c r="HQ275" s="13"/>
      <c r="HR275" s="13"/>
      <c r="HS275" s="13"/>
      <c r="HT275" s="13"/>
      <c r="HV275" s="18"/>
      <c r="HW275" s="18"/>
      <c r="HX275" s="18"/>
      <c r="HY275" s="18"/>
      <c r="HZ275" s="18"/>
      <c r="IA275" s="18"/>
      <c r="IB275" s="18"/>
      <c r="IC275" s="18"/>
      <c r="ID275" s="18"/>
      <c r="IE275" s="18"/>
      <c r="IF275" s="18"/>
      <c r="IG275" s="18"/>
      <c r="IH275" s="18"/>
      <c r="II275" s="18"/>
      <c r="IJ275" s="18"/>
      <c r="IK275" s="18"/>
      <c r="IL275" s="18"/>
      <c r="IM275" s="18"/>
      <c r="IN275" s="18"/>
      <c r="IO275" s="18"/>
    </row>
    <row r="276" spans="1:302" ht="11.1" hidden="1" customHeight="1" outlineLevel="1">
      <c r="M276" s="136" t="s">
        <v>34</v>
      </c>
      <c r="N276" s="136"/>
      <c r="O276" s="136"/>
      <c r="P276" s="940">
        <v>41.86</v>
      </c>
      <c r="Y276" s="14"/>
      <c r="Z276" s="14"/>
      <c r="AN276" s="18"/>
      <c r="AT276" s="51"/>
      <c r="AU276" s="15"/>
      <c r="AV276" s="15"/>
      <c r="AW276" s="15"/>
      <c r="AX276" s="15"/>
      <c r="AY276" s="15"/>
      <c r="AZ276" s="15"/>
      <c r="BA276" s="51"/>
      <c r="BB276" s="15"/>
      <c r="BC276" s="15"/>
      <c r="BD276" s="15"/>
      <c r="BE276" s="15"/>
      <c r="BF276" s="15"/>
      <c r="BG276" s="51"/>
      <c r="BH276" s="15"/>
      <c r="BI276" s="15"/>
      <c r="BJ276" s="15"/>
      <c r="BK276" s="51"/>
      <c r="BL276" s="15"/>
      <c r="BM276" s="15"/>
      <c r="BN276" s="15"/>
      <c r="BO276" s="15"/>
      <c r="BP276" s="15"/>
      <c r="BQ276" s="18"/>
      <c r="BR276" s="18"/>
      <c r="BS276" s="18"/>
      <c r="BT276" s="18"/>
      <c r="BU276" s="18"/>
      <c r="BV276" s="18"/>
      <c r="BW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  <c r="FR276" s="18"/>
      <c r="FS276" s="18"/>
      <c r="FT276" s="18"/>
      <c r="FU276" s="18"/>
      <c r="FV276" s="18"/>
      <c r="FW276" s="18"/>
      <c r="FX276" s="18"/>
      <c r="FY276" s="18"/>
      <c r="FZ276" s="18"/>
      <c r="GA276" s="18"/>
      <c r="GB276" s="18"/>
      <c r="GC276" s="18"/>
      <c r="GD276" s="18"/>
      <c r="GE276" s="18"/>
      <c r="GF276" s="18"/>
      <c r="GG276" s="18"/>
      <c r="GH276" s="18"/>
      <c r="GI276" s="18"/>
      <c r="GJ276" s="18"/>
      <c r="GK276" s="18"/>
      <c r="GL276" s="18"/>
      <c r="GM276" s="18"/>
      <c r="GN276" s="18"/>
      <c r="GO276" s="18"/>
      <c r="GP276" s="18"/>
      <c r="GQ276" s="18"/>
      <c r="GR276" s="18"/>
      <c r="GS276" s="18"/>
      <c r="GT276" s="18"/>
      <c r="GU276" s="18"/>
      <c r="GV276" s="18"/>
      <c r="GW276" s="18"/>
      <c r="GX276" s="18"/>
      <c r="GY276" s="18"/>
      <c r="GZ276" s="18"/>
      <c r="HA276" s="18"/>
      <c r="HB276" s="18"/>
      <c r="HC276" s="18"/>
      <c r="HD276" s="18"/>
      <c r="HE276" s="18"/>
      <c r="HF276" s="18"/>
      <c r="HG276" s="13"/>
      <c r="HH276" s="13"/>
      <c r="HI276" s="13"/>
      <c r="HJ276" s="13"/>
      <c r="HK276" s="13"/>
      <c r="HL276" s="13"/>
      <c r="HM276" s="13"/>
      <c r="HN276" s="13"/>
      <c r="HO276" s="13"/>
      <c r="HP276" s="13"/>
      <c r="HQ276" s="13"/>
      <c r="HR276" s="13"/>
      <c r="HS276" s="13"/>
      <c r="HT276" s="13"/>
      <c r="HV276" s="18"/>
      <c r="HW276" s="18"/>
      <c r="HX276" s="18"/>
      <c r="HY276" s="18"/>
      <c r="HZ276" s="18"/>
      <c r="IA276" s="18"/>
      <c r="IB276" s="18"/>
      <c r="IC276" s="18"/>
      <c r="ID276" s="18"/>
      <c r="IE276" s="18"/>
      <c r="IF276" s="18"/>
      <c r="IG276" s="18"/>
      <c r="IH276" s="18"/>
      <c r="II276" s="18"/>
      <c r="IJ276" s="18"/>
      <c r="IK276" s="18"/>
      <c r="IL276" s="18"/>
      <c r="IM276" s="18"/>
      <c r="IN276" s="18"/>
      <c r="IO276" s="18"/>
    </row>
    <row r="277" spans="1:302" ht="11.1" hidden="1" customHeight="1" outlineLevel="1">
      <c r="M277" s="136" t="s">
        <v>112</v>
      </c>
      <c r="N277" s="136"/>
      <c r="O277" s="136"/>
      <c r="P277" s="297" t="s">
        <v>30</v>
      </c>
      <c r="Y277" s="14"/>
      <c r="Z277" s="14"/>
      <c r="AN277" s="18"/>
      <c r="AT277" s="51"/>
      <c r="AU277" s="15"/>
      <c r="AV277" s="15"/>
      <c r="AW277" s="15"/>
      <c r="AX277" s="15"/>
      <c r="AY277" s="15"/>
      <c r="AZ277" s="15"/>
      <c r="BA277" s="51"/>
      <c r="BB277" s="15"/>
      <c r="BC277" s="15"/>
      <c r="BD277" s="15"/>
      <c r="BE277" s="15"/>
      <c r="BF277" s="15"/>
      <c r="BG277" s="51"/>
      <c r="BH277" s="15"/>
      <c r="BI277" s="15"/>
      <c r="BJ277" s="15"/>
      <c r="BK277" s="51"/>
      <c r="BL277" s="15"/>
      <c r="BM277" s="15"/>
      <c r="BN277" s="15"/>
      <c r="BO277" s="15"/>
      <c r="BP277" s="15"/>
      <c r="BQ277" s="18"/>
      <c r="BR277" s="18"/>
      <c r="BS277" s="18"/>
      <c r="BT277" s="18"/>
      <c r="BU277" s="18"/>
      <c r="BV277" s="18"/>
      <c r="BW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  <c r="FR277" s="18"/>
      <c r="FS277" s="18"/>
      <c r="FT277" s="18"/>
      <c r="FU277" s="18"/>
      <c r="FV277" s="18"/>
      <c r="FW277" s="18"/>
      <c r="FX277" s="18"/>
      <c r="FY277" s="18"/>
      <c r="FZ277" s="18"/>
      <c r="GA277" s="18"/>
      <c r="GB277" s="18"/>
      <c r="GC277" s="18"/>
      <c r="GD277" s="18"/>
      <c r="GE277" s="18"/>
      <c r="GF277" s="18"/>
      <c r="GG277" s="18"/>
      <c r="GH277" s="18"/>
      <c r="GI277" s="18"/>
      <c r="GJ277" s="18"/>
      <c r="GK277" s="18"/>
      <c r="GL277" s="18"/>
      <c r="GM277" s="18"/>
      <c r="GN277" s="18"/>
      <c r="GO277" s="18"/>
      <c r="GP277" s="18"/>
      <c r="GQ277" s="18"/>
      <c r="GR277" s="18"/>
      <c r="GS277" s="18"/>
      <c r="GT277" s="18"/>
      <c r="GU277" s="18"/>
      <c r="GV277" s="18"/>
      <c r="GW277" s="18"/>
      <c r="GX277" s="18"/>
      <c r="GY277" s="18"/>
      <c r="GZ277" s="18"/>
      <c r="HA277" s="18"/>
      <c r="HB277" s="18"/>
      <c r="HC277" s="18"/>
      <c r="HD277" s="18"/>
      <c r="HE277" s="18"/>
      <c r="HF277" s="18"/>
      <c r="HG277" s="13"/>
      <c r="HH277" s="13"/>
      <c r="HI277" s="13"/>
      <c r="HJ277" s="13"/>
      <c r="HK277" s="13"/>
      <c r="HL277" s="13"/>
      <c r="HM277" s="13"/>
      <c r="HN277" s="13"/>
      <c r="HO277" s="13"/>
      <c r="HP277" s="13"/>
      <c r="HQ277" s="13"/>
      <c r="HR277" s="13"/>
      <c r="HS277" s="13"/>
      <c r="HT277" s="13"/>
      <c r="HV277" s="18"/>
      <c r="HW277" s="18"/>
      <c r="HX277" s="18"/>
      <c r="HY277" s="18"/>
      <c r="HZ277" s="18"/>
      <c r="IA277" s="18"/>
      <c r="IB277" s="18"/>
      <c r="IC277" s="18"/>
      <c r="ID277" s="18"/>
      <c r="IE277" s="18"/>
      <c r="IF277" s="18"/>
      <c r="IG277" s="18"/>
      <c r="IH277" s="18"/>
      <c r="II277" s="18"/>
      <c r="IJ277" s="18"/>
      <c r="IK277" s="18"/>
      <c r="IL277" s="18"/>
      <c r="IM277" s="18"/>
      <c r="IN277" s="18"/>
      <c r="IO277" s="18"/>
    </row>
    <row r="278" spans="1:302" ht="11.1" hidden="1" customHeight="1" outlineLevel="1">
      <c r="M278" s="136" t="s">
        <v>111</v>
      </c>
      <c r="N278" s="136"/>
      <c r="O278" s="136"/>
      <c r="P278" s="297" t="s">
        <v>30</v>
      </c>
      <c r="Y278" s="14"/>
      <c r="Z278" s="14"/>
      <c r="AN278" s="18"/>
      <c r="AT278" s="51"/>
      <c r="AU278" s="15"/>
      <c r="AV278" s="15"/>
      <c r="AW278" s="15"/>
      <c r="AX278" s="15"/>
      <c r="AY278" s="15"/>
      <c r="AZ278" s="15"/>
      <c r="BA278" s="51"/>
      <c r="BB278" s="15"/>
      <c r="BC278" s="15"/>
      <c r="BD278" s="15"/>
      <c r="BE278" s="15"/>
      <c r="BF278" s="15"/>
      <c r="BG278" s="51"/>
      <c r="BH278" s="15"/>
      <c r="BI278" s="15"/>
      <c r="BJ278" s="15"/>
      <c r="BK278" s="51"/>
      <c r="BL278" s="15"/>
      <c r="BM278" s="15"/>
      <c r="BN278" s="15"/>
      <c r="BO278" s="15"/>
      <c r="BP278" s="15"/>
      <c r="BQ278" s="18"/>
      <c r="BR278" s="18"/>
      <c r="BS278" s="18"/>
      <c r="BT278" s="18"/>
      <c r="BU278" s="18"/>
      <c r="BV278" s="18"/>
      <c r="BW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  <c r="FR278" s="18"/>
      <c r="FS278" s="18"/>
      <c r="FT278" s="18"/>
      <c r="FU278" s="18"/>
      <c r="FV278" s="18"/>
      <c r="FW278" s="18"/>
      <c r="FX278" s="18"/>
      <c r="FY278" s="18"/>
      <c r="FZ278" s="18"/>
      <c r="GA278" s="18"/>
      <c r="GB278" s="18"/>
      <c r="GC278" s="18"/>
      <c r="GD278" s="18"/>
      <c r="GE278" s="18"/>
      <c r="GF278" s="18"/>
      <c r="GG278" s="18"/>
      <c r="GH278" s="18"/>
      <c r="GI278" s="18"/>
      <c r="GJ278" s="18"/>
      <c r="GK278" s="18"/>
      <c r="GL278" s="18"/>
      <c r="GM278" s="18"/>
      <c r="GN278" s="18"/>
      <c r="GO278" s="18"/>
      <c r="GP278" s="18"/>
      <c r="GQ278" s="18"/>
      <c r="GR278" s="18"/>
      <c r="GS278" s="18"/>
      <c r="GT278" s="18"/>
      <c r="GU278" s="18"/>
      <c r="GV278" s="18"/>
      <c r="GW278" s="18"/>
      <c r="GX278" s="18"/>
      <c r="GY278" s="18"/>
      <c r="GZ278" s="18"/>
      <c r="HA278" s="18"/>
      <c r="HB278" s="18"/>
      <c r="HC278" s="18"/>
      <c r="HD278" s="18"/>
      <c r="HE278" s="18"/>
      <c r="HF278" s="18"/>
      <c r="HG278" s="13"/>
      <c r="HH278" s="13"/>
      <c r="HI278" s="13"/>
      <c r="HJ278" s="13"/>
      <c r="HK278" s="13"/>
      <c r="HL278" s="13"/>
      <c r="HM278" s="13"/>
      <c r="HN278" s="13"/>
      <c r="HO278" s="13"/>
      <c r="HP278" s="13"/>
      <c r="HQ278" s="13"/>
      <c r="HR278" s="13"/>
      <c r="HS278" s="13"/>
      <c r="HT278" s="13"/>
      <c r="HV278" s="18"/>
      <c r="HW278" s="18"/>
      <c r="HX278" s="18"/>
      <c r="HY278" s="18"/>
      <c r="HZ278" s="18"/>
      <c r="IA278" s="18"/>
      <c r="IB278" s="18"/>
      <c r="IC278" s="18"/>
      <c r="ID278" s="18"/>
      <c r="IE278" s="18"/>
      <c r="IF278" s="18"/>
      <c r="IG278" s="18"/>
      <c r="IH278" s="18"/>
      <c r="II278" s="18"/>
      <c r="IJ278" s="18"/>
      <c r="IK278" s="18"/>
      <c r="IL278" s="18"/>
      <c r="IM278" s="18"/>
      <c r="IN278" s="18"/>
      <c r="IO278" s="18"/>
    </row>
    <row r="279" spans="1:302" ht="11.1" hidden="1" customHeight="1" outlineLevel="1">
      <c r="M279" s="136" t="s">
        <v>110</v>
      </c>
      <c r="N279" s="136"/>
      <c r="O279" s="136"/>
      <c r="P279" s="297" t="s">
        <v>30</v>
      </c>
      <c r="Y279" s="14"/>
      <c r="Z279" s="14"/>
      <c r="AN279" s="18"/>
      <c r="AT279" s="51"/>
      <c r="AU279" s="15"/>
      <c r="AV279" s="15"/>
      <c r="AW279" s="15"/>
      <c r="AX279" s="15"/>
      <c r="AY279" s="15"/>
      <c r="AZ279" s="15"/>
      <c r="BA279" s="51"/>
      <c r="BB279" s="15"/>
      <c r="BC279" s="15"/>
      <c r="BD279" s="15"/>
      <c r="BE279" s="15"/>
      <c r="BF279" s="15"/>
      <c r="BG279" s="51"/>
      <c r="BH279" s="15"/>
      <c r="BI279" s="15"/>
      <c r="BJ279" s="15"/>
      <c r="BK279" s="51"/>
      <c r="BL279" s="15"/>
      <c r="BM279" s="15"/>
      <c r="BN279" s="15"/>
      <c r="BO279" s="15"/>
      <c r="BP279" s="15"/>
      <c r="BQ279" s="18"/>
      <c r="BR279" s="18"/>
      <c r="BS279" s="18"/>
      <c r="BT279" s="18"/>
      <c r="BU279" s="18"/>
      <c r="BV279" s="18"/>
      <c r="BW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  <c r="FR279" s="18"/>
      <c r="FS279" s="18"/>
      <c r="FT279" s="18"/>
      <c r="FU279" s="18"/>
      <c r="FV279" s="18"/>
      <c r="FW279" s="18"/>
      <c r="FX279" s="18"/>
      <c r="FY279" s="18"/>
      <c r="FZ279" s="18"/>
      <c r="GA279" s="18"/>
      <c r="GB279" s="18"/>
      <c r="GC279" s="18"/>
      <c r="GD279" s="18"/>
      <c r="GE279" s="18"/>
      <c r="GF279" s="18"/>
      <c r="GG279" s="18"/>
      <c r="GH279" s="18"/>
      <c r="GI279" s="18"/>
      <c r="GJ279" s="18"/>
      <c r="GK279" s="18"/>
      <c r="GL279" s="18"/>
      <c r="GM279" s="18"/>
      <c r="GN279" s="18"/>
      <c r="GO279" s="18"/>
      <c r="GP279" s="18"/>
      <c r="GQ279" s="18"/>
      <c r="GR279" s="18"/>
      <c r="GS279" s="18"/>
      <c r="GT279" s="18"/>
      <c r="GU279" s="18"/>
      <c r="GV279" s="18"/>
      <c r="GW279" s="18"/>
      <c r="GX279" s="18"/>
      <c r="GY279" s="18"/>
      <c r="GZ279" s="18"/>
      <c r="HA279" s="18"/>
      <c r="HB279" s="18"/>
      <c r="HC279" s="18"/>
      <c r="HD279" s="18"/>
      <c r="HE279" s="18"/>
      <c r="HF279" s="18"/>
      <c r="HG279" s="13"/>
      <c r="HH279" s="13"/>
      <c r="HI279" s="13"/>
      <c r="HJ279" s="13"/>
      <c r="HK279" s="13"/>
      <c r="HL279" s="13"/>
      <c r="HM279" s="13"/>
      <c r="HN279" s="13"/>
      <c r="HO279" s="13"/>
      <c r="HP279" s="13"/>
      <c r="HQ279" s="13"/>
      <c r="HR279" s="13"/>
      <c r="HS279" s="13"/>
      <c r="HT279" s="13"/>
      <c r="HV279" s="18"/>
      <c r="HW279" s="18"/>
      <c r="HX279" s="18"/>
      <c r="HY279" s="18"/>
      <c r="HZ279" s="18"/>
      <c r="IA279" s="18"/>
      <c r="IB279" s="18"/>
      <c r="IC279" s="18"/>
      <c r="ID279" s="18"/>
      <c r="IE279" s="18"/>
      <c r="IF279" s="18"/>
      <c r="IG279" s="18"/>
      <c r="IH279" s="18"/>
      <c r="II279" s="18"/>
      <c r="IJ279" s="18"/>
      <c r="IK279" s="18"/>
      <c r="IL279" s="18"/>
      <c r="IM279" s="18"/>
      <c r="IN279" s="18"/>
      <c r="IO279" s="18"/>
    </row>
    <row r="280" spans="1:302" ht="10.5" hidden="1" customHeight="1" outlineLevel="1">
      <c r="M280" s="136"/>
      <c r="N280" s="136"/>
      <c r="O280" s="136"/>
      <c r="P280" s="67"/>
      <c r="Y280" s="14"/>
      <c r="Z280" s="14"/>
      <c r="AN280" s="18"/>
      <c r="AT280" s="51"/>
      <c r="AU280" s="15"/>
      <c r="AV280" s="15"/>
      <c r="AW280" s="15"/>
      <c r="AX280" s="15"/>
      <c r="AY280" s="15"/>
      <c r="AZ280" s="15"/>
      <c r="BA280" s="51"/>
      <c r="BB280" s="15"/>
      <c r="BC280" s="15"/>
      <c r="BD280" s="15"/>
      <c r="BE280" s="15"/>
      <c r="BF280" s="15"/>
      <c r="BG280" s="51"/>
      <c r="BH280" s="15"/>
      <c r="BI280" s="15"/>
      <c r="BJ280" s="15"/>
      <c r="BK280" s="51"/>
      <c r="BL280" s="15"/>
      <c r="BM280" s="15"/>
      <c r="BN280" s="15"/>
      <c r="BO280" s="15"/>
      <c r="BP280" s="15"/>
      <c r="BQ280" s="18"/>
      <c r="BR280" s="18"/>
      <c r="BS280" s="18"/>
      <c r="BT280" s="18"/>
      <c r="BU280" s="18"/>
      <c r="BV280" s="18"/>
      <c r="BW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  <c r="FR280" s="18"/>
      <c r="FS280" s="18"/>
      <c r="FT280" s="18"/>
      <c r="FU280" s="18"/>
      <c r="FV280" s="18"/>
      <c r="FW280" s="18"/>
      <c r="FX280" s="18"/>
      <c r="FY280" s="18"/>
      <c r="FZ280" s="18"/>
      <c r="GA280" s="18"/>
      <c r="GB280" s="18"/>
      <c r="GC280" s="18"/>
      <c r="GD280" s="18"/>
      <c r="GE280" s="18"/>
      <c r="GF280" s="18"/>
      <c r="GG280" s="18"/>
      <c r="GH280" s="18"/>
      <c r="GI280" s="18"/>
      <c r="GJ280" s="18"/>
      <c r="GK280" s="18"/>
      <c r="GL280" s="18"/>
      <c r="GM280" s="18"/>
      <c r="GN280" s="18"/>
      <c r="GO280" s="18"/>
      <c r="GP280" s="18"/>
      <c r="GQ280" s="18"/>
      <c r="GR280" s="18"/>
      <c r="GS280" s="18"/>
      <c r="GT280" s="18"/>
      <c r="GU280" s="18"/>
      <c r="GV280" s="18"/>
      <c r="GW280" s="18"/>
      <c r="GX280" s="18"/>
      <c r="GY280" s="18"/>
      <c r="GZ280" s="18"/>
      <c r="HA280" s="18"/>
      <c r="HB280" s="18"/>
      <c r="HC280" s="18"/>
      <c r="HD280" s="18"/>
      <c r="HE280" s="18"/>
      <c r="HF280" s="18"/>
      <c r="HG280" s="13"/>
      <c r="HH280" s="13"/>
      <c r="HI280" s="13"/>
      <c r="HJ280" s="13"/>
      <c r="HK280" s="13"/>
      <c r="HL280" s="13"/>
      <c r="HM280" s="13"/>
      <c r="HN280" s="13"/>
      <c r="HO280" s="13"/>
      <c r="HP280" s="13"/>
      <c r="HQ280" s="13"/>
      <c r="HR280" s="13"/>
      <c r="HS280" s="13"/>
      <c r="HT280" s="13"/>
      <c r="HV280" s="18"/>
      <c r="HW280" s="18"/>
      <c r="HX280" s="18"/>
      <c r="HY280" s="18"/>
      <c r="HZ280" s="18"/>
      <c r="IA280" s="18"/>
      <c r="IB280" s="18"/>
      <c r="IC280" s="18"/>
      <c r="ID280" s="18"/>
      <c r="IE280" s="18"/>
      <c r="IF280" s="18"/>
      <c r="IG280" s="18"/>
      <c r="IH280" s="18"/>
      <c r="II280" s="18"/>
      <c r="IJ280" s="18"/>
      <c r="IK280" s="18"/>
      <c r="IL280" s="18"/>
      <c r="IM280" s="18"/>
      <c r="IN280" s="18"/>
      <c r="IO280" s="18"/>
    </row>
    <row r="281" spans="1:302" ht="11.1" hidden="1" customHeight="1" outlineLevel="1">
      <c r="M281" s="136"/>
      <c r="N281" s="136"/>
      <c r="O281" s="136"/>
      <c r="P281" s="297"/>
      <c r="Y281" s="14"/>
      <c r="Z281" s="14"/>
      <c r="AN281" s="18"/>
      <c r="AT281" s="51"/>
      <c r="AU281" s="15"/>
      <c r="AV281" s="15"/>
      <c r="AW281" s="15"/>
      <c r="AX281" s="15"/>
      <c r="AY281" s="15"/>
      <c r="AZ281" s="15"/>
      <c r="BA281" s="51"/>
      <c r="BB281" s="15"/>
      <c r="BC281" s="15"/>
      <c r="BD281" s="15"/>
      <c r="BE281" s="15"/>
      <c r="BF281" s="15"/>
      <c r="BG281" s="51"/>
      <c r="BH281" s="15"/>
      <c r="BI281" s="15"/>
      <c r="BJ281" s="15"/>
      <c r="BK281" s="51"/>
      <c r="BL281" s="15"/>
      <c r="BM281" s="15"/>
      <c r="BN281" s="15"/>
      <c r="BO281" s="15"/>
      <c r="BP281" s="15"/>
      <c r="BQ281" s="18"/>
      <c r="BR281" s="18"/>
      <c r="BS281" s="18"/>
      <c r="BT281" s="18"/>
      <c r="BU281" s="18"/>
      <c r="BV281" s="18"/>
      <c r="BW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  <c r="FR281" s="18"/>
      <c r="FS281" s="18"/>
      <c r="FT281" s="18"/>
      <c r="FU281" s="18"/>
      <c r="FV281" s="18"/>
      <c r="FW281" s="18"/>
      <c r="FX281" s="18"/>
      <c r="FY281" s="18"/>
      <c r="FZ281" s="18"/>
      <c r="GA281" s="18"/>
      <c r="GB281" s="18"/>
      <c r="GC281" s="18"/>
      <c r="GD281" s="18"/>
      <c r="GE281" s="18"/>
      <c r="GF281" s="18"/>
      <c r="GG281" s="18"/>
      <c r="GH281" s="18"/>
      <c r="GI281" s="18"/>
      <c r="GJ281" s="18"/>
      <c r="GK281" s="18"/>
      <c r="GL281" s="18"/>
      <c r="GM281" s="18"/>
      <c r="GN281" s="18"/>
      <c r="GO281" s="18"/>
      <c r="GP281" s="18"/>
      <c r="GQ281" s="18"/>
      <c r="GR281" s="18"/>
      <c r="GS281" s="18"/>
      <c r="GT281" s="18"/>
      <c r="GU281" s="18"/>
      <c r="GV281" s="18"/>
      <c r="GW281" s="18"/>
      <c r="GX281" s="18"/>
      <c r="GY281" s="18"/>
      <c r="GZ281" s="18"/>
      <c r="HA281" s="18"/>
      <c r="HB281" s="18"/>
      <c r="HC281" s="18"/>
      <c r="HD281" s="18"/>
      <c r="HE281" s="18"/>
      <c r="HF281" s="18"/>
      <c r="HG281" s="13"/>
      <c r="HH281" s="13"/>
      <c r="HI281" s="13"/>
      <c r="HJ281" s="13"/>
      <c r="HK281" s="13"/>
      <c r="HL281" s="13"/>
      <c r="HM281" s="13"/>
      <c r="HN281" s="13"/>
      <c r="HO281" s="13"/>
      <c r="HP281" s="13"/>
      <c r="HQ281" s="13"/>
      <c r="HR281" s="13"/>
      <c r="HS281" s="13"/>
      <c r="HT281" s="13"/>
      <c r="HV281" s="18"/>
      <c r="HW281" s="18"/>
      <c r="HX281" s="18"/>
      <c r="HY281" s="18"/>
      <c r="HZ281" s="18"/>
      <c r="IA281" s="18"/>
      <c r="IB281" s="18"/>
      <c r="IC281" s="18"/>
      <c r="ID281" s="18"/>
      <c r="IE281" s="18"/>
      <c r="IF281" s="18"/>
      <c r="IG281" s="18"/>
      <c r="IH281" s="18"/>
      <c r="II281" s="18"/>
      <c r="IJ281" s="18"/>
      <c r="IK281" s="18"/>
      <c r="IL281" s="18"/>
      <c r="IM281" s="18"/>
      <c r="IN281" s="18"/>
      <c r="IO281" s="18"/>
    </row>
    <row r="282" spans="1:302" ht="11.1" hidden="1" customHeight="1" outlineLevel="1">
      <c r="M282" s="136"/>
      <c r="N282" s="136"/>
      <c r="O282" s="136"/>
      <c r="P282" s="67">
        <v>10.14</v>
      </c>
      <c r="AN282" s="18"/>
      <c r="AT282" s="51"/>
      <c r="AU282" s="15"/>
      <c r="AV282" s="15"/>
      <c r="AW282" s="15"/>
      <c r="AX282" s="15"/>
      <c r="AY282" s="15"/>
      <c r="AZ282" s="15"/>
      <c r="BA282" s="51"/>
      <c r="BB282" s="15"/>
      <c r="BC282" s="15"/>
      <c r="BD282" s="15"/>
      <c r="BE282" s="15"/>
      <c r="BF282" s="15"/>
      <c r="BG282" s="51"/>
      <c r="BH282" s="15"/>
      <c r="BI282" s="15"/>
      <c r="BJ282" s="15"/>
      <c r="BK282" s="51"/>
      <c r="BL282" s="15"/>
      <c r="BM282" s="15"/>
      <c r="BN282" s="15"/>
      <c r="BO282" s="15"/>
      <c r="BP282" s="15"/>
      <c r="BQ282" s="18"/>
      <c r="BR282" s="18"/>
      <c r="BS282" s="18"/>
      <c r="BT282" s="18"/>
      <c r="BU282" s="18"/>
      <c r="BV282" s="18"/>
      <c r="BW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  <c r="FR282" s="18"/>
      <c r="FS282" s="18"/>
      <c r="FT282" s="18"/>
      <c r="FU282" s="18"/>
      <c r="FV282" s="18"/>
      <c r="FW282" s="18"/>
      <c r="FX282" s="18"/>
      <c r="FY282" s="18"/>
      <c r="FZ282" s="18"/>
      <c r="GA282" s="18"/>
      <c r="GB282" s="18"/>
      <c r="GC282" s="18"/>
      <c r="GD282" s="18"/>
      <c r="GE282" s="18"/>
      <c r="GF282" s="18"/>
      <c r="GG282" s="18"/>
      <c r="GH282" s="18"/>
      <c r="GI282" s="18"/>
      <c r="GJ282" s="18"/>
      <c r="GK282" s="18"/>
      <c r="GL282" s="18"/>
      <c r="GM282" s="18"/>
      <c r="GN282" s="18"/>
      <c r="GO282" s="18"/>
      <c r="GP282" s="18"/>
      <c r="GQ282" s="18"/>
      <c r="GR282" s="18"/>
      <c r="GS282" s="18"/>
      <c r="GT282" s="18"/>
      <c r="GU282" s="18"/>
      <c r="GV282" s="18"/>
      <c r="GW282" s="18"/>
      <c r="GX282" s="18"/>
      <c r="GY282" s="18"/>
      <c r="GZ282" s="18"/>
      <c r="HA282" s="18"/>
      <c r="HB282" s="18"/>
      <c r="HC282" s="18"/>
      <c r="HD282" s="18"/>
      <c r="HE282" s="18"/>
      <c r="HF282" s="18"/>
      <c r="HG282" s="13"/>
      <c r="HH282" s="13"/>
      <c r="HI282" s="13"/>
      <c r="HJ282" s="13"/>
      <c r="HK282" s="13"/>
      <c r="HL282" s="13"/>
      <c r="HM282" s="13"/>
      <c r="HN282" s="13"/>
      <c r="HO282" s="13"/>
      <c r="HP282" s="13"/>
      <c r="HQ282" s="13"/>
      <c r="HR282" s="13"/>
      <c r="HS282" s="13"/>
      <c r="HT282" s="13"/>
      <c r="HV282" s="18"/>
      <c r="HW282" s="18"/>
      <c r="HX282" s="18"/>
      <c r="HY282" s="18"/>
      <c r="HZ282" s="18"/>
      <c r="IA282" s="18"/>
      <c r="IB282" s="18"/>
      <c r="IC282" s="18"/>
      <c r="ID282" s="18"/>
      <c r="IE282" s="18"/>
      <c r="IF282" s="18"/>
      <c r="IG282" s="18"/>
      <c r="IH282" s="18"/>
      <c r="II282" s="18"/>
      <c r="IJ282" s="18"/>
      <c r="IK282" s="18"/>
      <c r="IL282" s="18"/>
      <c r="IM282" s="18"/>
      <c r="IN282" s="18"/>
      <c r="IO282" s="18"/>
    </row>
    <row r="283" spans="1:302" s="3" customFormat="1" ht="5.0999999999999996" hidden="1" customHeight="1" outlineLevel="1" collapsed="1">
      <c r="B283" s="192"/>
      <c r="K283" s="40"/>
      <c r="L283" s="40"/>
      <c r="M283" s="136"/>
      <c r="N283" s="136"/>
      <c r="O283" s="136"/>
      <c r="P283" s="246">
        <v>10.220000000000001</v>
      </c>
      <c r="AG283" s="35"/>
      <c r="AH283" s="35"/>
      <c r="AI283" s="35"/>
      <c r="AJ283" s="35"/>
      <c r="AK283" s="296"/>
      <c r="AN283" s="13"/>
      <c r="AR283" s="7"/>
      <c r="AT283" s="24"/>
      <c r="AU283" s="981"/>
      <c r="AV283" s="981"/>
      <c r="AW283" s="981"/>
      <c r="AX283" s="981"/>
      <c r="AY283" s="981"/>
      <c r="AZ283" s="981"/>
      <c r="BA283" s="24"/>
      <c r="BB283" s="981"/>
      <c r="BC283" s="981"/>
      <c r="BD283" s="981"/>
      <c r="BE283" s="981"/>
      <c r="BF283" s="981"/>
      <c r="BG283" s="24"/>
      <c r="BH283" s="981"/>
      <c r="BI283" s="981"/>
      <c r="BJ283" s="981"/>
      <c r="BK283" s="24"/>
      <c r="BL283" s="981"/>
      <c r="BM283" s="981"/>
      <c r="BN283" s="981"/>
      <c r="BO283" s="981"/>
      <c r="BP283" s="981"/>
      <c r="BQ283" s="13"/>
      <c r="BR283" s="13"/>
      <c r="BS283" s="13"/>
      <c r="BT283" s="13"/>
      <c r="BU283" s="13"/>
      <c r="BV283" s="13"/>
      <c r="BW283" s="13"/>
      <c r="BX283" s="31"/>
      <c r="BY283" s="13"/>
      <c r="BZ283" s="13"/>
      <c r="CA283" s="13"/>
      <c r="CB283" s="13"/>
      <c r="CC283" s="13"/>
      <c r="CD283" s="13"/>
      <c r="CE283" s="13"/>
      <c r="CF283" s="13"/>
      <c r="CG283" s="13"/>
      <c r="CH283" s="13"/>
      <c r="CI283" s="13"/>
      <c r="CJ283" s="13"/>
      <c r="CK283" s="13"/>
      <c r="CL283" s="13"/>
      <c r="CM283" s="13"/>
      <c r="CN283" s="13"/>
      <c r="CO283" s="13"/>
      <c r="CP283" s="13"/>
      <c r="CQ283" s="13"/>
      <c r="CR283" s="13"/>
      <c r="CS283" s="31"/>
      <c r="CT283" s="13"/>
      <c r="CU283" s="13"/>
      <c r="CV283" s="13"/>
      <c r="CW283" s="13"/>
      <c r="CX283" s="13"/>
      <c r="CY283" s="13"/>
      <c r="CZ283" s="13"/>
      <c r="DA283" s="13"/>
      <c r="DB283" s="13"/>
      <c r="DC283" s="13"/>
      <c r="DD283" s="13"/>
      <c r="DE283" s="13"/>
      <c r="DF283" s="13"/>
      <c r="DG283" s="13"/>
      <c r="DH283" s="13"/>
      <c r="DI283" s="13"/>
      <c r="DJ283" s="13"/>
      <c r="DK283" s="13"/>
      <c r="DL283" s="13"/>
      <c r="DM283" s="13"/>
      <c r="DN283" s="13"/>
      <c r="DO283" s="31"/>
      <c r="DP283" s="13"/>
      <c r="DQ283" s="13"/>
      <c r="DR283" s="13"/>
      <c r="DS283" s="13"/>
      <c r="DT283" s="13"/>
      <c r="DU283" s="13"/>
      <c r="DV283" s="13"/>
      <c r="DW283" s="13"/>
      <c r="DX283" s="13"/>
      <c r="DY283" s="13"/>
      <c r="DZ283" s="13"/>
      <c r="EA283" s="13"/>
      <c r="EB283" s="13"/>
      <c r="EC283" s="13"/>
      <c r="ED283" s="13"/>
      <c r="EE283" s="13"/>
      <c r="EF283" s="13"/>
      <c r="EG283" s="13"/>
      <c r="EH283" s="13"/>
      <c r="EI283" s="13"/>
      <c r="EJ283" s="13"/>
      <c r="EK283" s="13"/>
      <c r="EL283" s="13"/>
      <c r="EM283" s="13"/>
      <c r="EN283" s="13"/>
      <c r="EO283" s="13"/>
      <c r="EP283" s="13"/>
      <c r="EQ283" s="13"/>
      <c r="ER283" s="13"/>
      <c r="ES283" s="13"/>
      <c r="ET283" s="13"/>
      <c r="EU283" s="13"/>
      <c r="EV283" s="13"/>
      <c r="EW283" s="13"/>
      <c r="EX283" s="13"/>
      <c r="EY283" s="13"/>
      <c r="EZ283" s="13"/>
      <c r="FA283" s="13"/>
      <c r="FB283" s="13"/>
      <c r="FC283" s="13"/>
      <c r="FD283" s="13"/>
      <c r="FE283" s="13"/>
      <c r="FF283" s="13"/>
      <c r="FG283" s="13"/>
      <c r="FH283" s="13"/>
      <c r="FI283" s="13"/>
      <c r="FJ283" s="13"/>
      <c r="FK283" s="13"/>
      <c r="FL283" s="13"/>
      <c r="FM283" s="13"/>
      <c r="FN283" s="13"/>
      <c r="FO283" s="13"/>
      <c r="FP283" s="13"/>
      <c r="FQ283" s="13"/>
      <c r="FR283" s="13"/>
      <c r="FS283" s="13"/>
      <c r="FT283" s="13"/>
      <c r="FU283" s="13"/>
      <c r="FV283" s="13"/>
      <c r="FW283" s="13"/>
      <c r="FX283" s="13"/>
      <c r="FY283" s="13"/>
      <c r="FZ283" s="13"/>
      <c r="GA283" s="13"/>
      <c r="GB283" s="13"/>
      <c r="GC283" s="13"/>
      <c r="GD283" s="13"/>
      <c r="GE283" s="13"/>
      <c r="GF283" s="13"/>
      <c r="GG283" s="13"/>
      <c r="GH283" s="13"/>
      <c r="GI283" s="13"/>
      <c r="GJ283" s="13"/>
      <c r="GK283" s="13"/>
      <c r="GL283" s="13"/>
      <c r="GM283" s="13"/>
      <c r="GN283" s="13"/>
      <c r="GO283" s="13"/>
      <c r="GP283" s="13"/>
      <c r="GQ283" s="13"/>
      <c r="GR283" s="13"/>
      <c r="GS283" s="13"/>
      <c r="GT283" s="13"/>
      <c r="GU283" s="13"/>
      <c r="GV283" s="13"/>
      <c r="GW283" s="13"/>
      <c r="GX283" s="13"/>
      <c r="GY283" s="13"/>
      <c r="GZ283" s="13"/>
      <c r="HA283" s="13"/>
      <c r="HB283" s="13"/>
      <c r="HC283" s="13"/>
      <c r="HD283" s="13"/>
      <c r="HE283" s="13"/>
      <c r="HF283" s="13"/>
      <c r="HG283" s="13"/>
      <c r="HH283" s="13"/>
      <c r="HI283" s="13"/>
      <c r="HJ283" s="13"/>
      <c r="HK283" s="13"/>
      <c r="HL283" s="13"/>
      <c r="HM283" s="13"/>
      <c r="HN283" s="13"/>
      <c r="HO283" s="13"/>
      <c r="HP283" s="13"/>
      <c r="HQ283" s="13"/>
      <c r="HR283" s="13"/>
      <c r="HS283" s="13"/>
      <c r="HT283" s="13"/>
      <c r="HU283" s="31"/>
      <c r="HV283" s="13"/>
      <c r="HW283" s="13"/>
      <c r="HX283" s="13"/>
      <c r="HY283" s="13"/>
      <c r="HZ283" s="13"/>
      <c r="IA283" s="13"/>
      <c r="IB283" s="13"/>
      <c r="IC283" s="13"/>
      <c r="ID283" s="13"/>
      <c r="IE283" s="13"/>
      <c r="IF283" s="13"/>
      <c r="IG283" s="13"/>
      <c r="IH283" s="13"/>
      <c r="II283" s="13"/>
      <c r="IJ283" s="13"/>
      <c r="IK283" s="13"/>
      <c r="IL283" s="13"/>
      <c r="IM283" s="13"/>
      <c r="IN283" s="13"/>
      <c r="IO283" s="13"/>
      <c r="JR283" s="14"/>
      <c r="JS283" s="14"/>
      <c r="JT283" s="14"/>
      <c r="JU283" s="14"/>
      <c r="JV283" s="14"/>
      <c r="JW283" s="14"/>
      <c r="JX283" s="14"/>
      <c r="JY283" s="14"/>
      <c r="JZ283" s="14"/>
      <c r="KA283" s="14"/>
      <c r="KB283" s="14"/>
      <c r="KC283" s="14"/>
      <c r="KD283" s="14"/>
      <c r="KE283" s="14"/>
      <c r="KF283" s="14"/>
      <c r="KG283" s="14"/>
      <c r="KH283" s="14"/>
      <c r="KI283" s="14"/>
      <c r="KJ283" s="14"/>
      <c r="KK283" s="14"/>
      <c r="KL283" s="14"/>
      <c r="KM283" s="14"/>
      <c r="KN283" s="14"/>
      <c r="KO283" s="14"/>
      <c r="KP283" s="14"/>
    </row>
    <row r="284" spans="1:302" ht="11.1" hidden="1" customHeight="1" outlineLevel="1">
      <c r="A284" s="30" t="s">
        <v>109</v>
      </c>
      <c r="D284" s="38" t="s">
        <v>108</v>
      </c>
      <c r="F284" s="11">
        <v>0</v>
      </c>
      <c r="G284" s="946">
        <v>42814</v>
      </c>
      <c r="H284" s="946"/>
      <c r="I284" s="1067">
        <v>21.835000000000001</v>
      </c>
      <c r="J284" s="1067"/>
      <c r="K284" s="1067"/>
      <c r="M284" s="136"/>
      <c r="N284" s="136"/>
      <c r="O284" s="136"/>
      <c r="P284" s="215">
        <v>22.045000076293945</v>
      </c>
      <c r="Q284" s="1"/>
      <c r="T284" s="193"/>
      <c r="U284" s="193"/>
      <c r="V284" s="193"/>
      <c r="W284" s="193"/>
      <c r="X284" s="295"/>
      <c r="Y284" s="295"/>
      <c r="Z284" s="295"/>
      <c r="AA284" s="295"/>
      <c r="AB284" s="947">
        <f>F284*P284</f>
        <v>0</v>
      </c>
      <c r="AC284" s="947"/>
      <c r="AD284" s="190">
        <f>-((I284*F284)-(P284*F284))</f>
        <v>0</v>
      </c>
      <c r="AE284" s="290"/>
      <c r="AF284" s="205" t="e">
        <f>IF(#REF!-AP284&lt;0,#REF!-AP284,(#REF!-AP284)*0.8)</f>
        <v>#REF!</v>
      </c>
      <c r="AG284" s="934"/>
      <c r="AH284" s="934" t="s">
        <v>107</v>
      </c>
      <c r="AI284" s="289"/>
      <c r="AJ284" s="34" t="s">
        <v>106</v>
      </c>
      <c r="AL284" s="279"/>
      <c r="AN284" s="179"/>
      <c r="AO284" s="38"/>
      <c r="AP284" s="188">
        <f>F284*I284+AN284+AN285</f>
        <v>0</v>
      </c>
      <c r="AT284" s="51"/>
      <c r="AU284" s="15"/>
      <c r="AV284" s="15"/>
      <c r="AW284" s="15"/>
      <c r="AX284" s="15"/>
      <c r="AY284" s="15"/>
      <c r="AZ284" s="15"/>
      <c r="BA284" s="51"/>
      <c r="BB284" s="15"/>
      <c r="BC284" s="15"/>
      <c r="BD284" s="15"/>
      <c r="BE284" s="15"/>
      <c r="BF284" s="15"/>
      <c r="BG284" s="51"/>
      <c r="BH284" s="15"/>
      <c r="BI284" s="15"/>
      <c r="BJ284" s="15"/>
      <c r="BK284" s="51"/>
      <c r="BL284" s="15"/>
      <c r="BM284" s="15"/>
      <c r="BN284" s="15"/>
      <c r="BO284" s="15"/>
      <c r="BP284" s="15"/>
      <c r="BQ284" s="18"/>
      <c r="BR284" s="18"/>
      <c r="BS284" s="18"/>
      <c r="BT284" s="18"/>
      <c r="BU284" s="18"/>
      <c r="BV284" s="18"/>
      <c r="BW284" s="18"/>
      <c r="BX284" s="139"/>
      <c r="BY284" s="139"/>
      <c r="BZ284" s="139"/>
      <c r="CA284" s="139"/>
      <c r="CB284" s="139"/>
      <c r="CC284" s="139"/>
      <c r="CD284" s="139"/>
      <c r="CE284" s="139"/>
      <c r="CF284" s="139"/>
      <c r="CG284" s="139"/>
      <c r="CH284" s="139"/>
      <c r="CI284" s="139"/>
      <c r="CJ284" s="139"/>
      <c r="CK284" s="139"/>
      <c r="CL284" s="139"/>
      <c r="CM284" s="139"/>
      <c r="CN284" s="139"/>
      <c r="CO284" s="139"/>
      <c r="CP284" s="139"/>
      <c r="CQ284" s="139"/>
      <c r="CR284" s="139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  <c r="FC284" s="18"/>
      <c r="FD284" s="18"/>
      <c r="FE284" s="18"/>
      <c r="FF284" s="18"/>
      <c r="FG284" s="18"/>
      <c r="FH284" s="18"/>
      <c r="FI284" s="18"/>
      <c r="FJ284" s="18"/>
      <c r="FK284" s="18"/>
      <c r="FL284" s="18"/>
      <c r="FM284" s="18"/>
      <c r="FN284" s="18"/>
      <c r="FO284" s="18"/>
      <c r="FP284" s="18"/>
      <c r="FQ284" s="18"/>
      <c r="FR284" s="18"/>
      <c r="FS284" s="18"/>
      <c r="FT284" s="18"/>
      <c r="FU284" s="18"/>
      <c r="FV284" s="18"/>
      <c r="FW284" s="18"/>
      <c r="FX284" s="18"/>
      <c r="FY284" s="18"/>
      <c r="FZ284" s="18"/>
      <c r="GA284" s="18"/>
      <c r="GB284" s="18"/>
      <c r="GC284" s="18"/>
      <c r="GD284" s="18"/>
      <c r="GE284" s="18"/>
      <c r="GF284" s="18"/>
      <c r="GG284" s="18"/>
      <c r="GH284" s="18"/>
      <c r="GI284" s="18"/>
      <c r="GJ284" s="18"/>
      <c r="GK284" s="18"/>
      <c r="GL284" s="18"/>
      <c r="GM284" s="18"/>
      <c r="GN284" s="18"/>
      <c r="GO284" s="18"/>
      <c r="GP284" s="18"/>
      <c r="GQ284" s="18"/>
      <c r="GR284" s="18"/>
      <c r="GS284" s="18"/>
      <c r="GT284" s="18"/>
      <c r="GU284" s="18"/>
      <c r="GV284" s="18"/>
      <c r="GW284" s="18"/>
      <c r="GX284" s="18"/>
      <c r="GY284" s="18"/>
      <c r="GZ284" s="18"/>
      <c r="HA284" s="18"/>
      <c r="HB284" s="18"/>
      <c r="HC284" s="18"/>
      <c r="HD284" s="18"/>
      <c r="HE284" s="18"/>
      <c r="HF284" s="18"/>
      <c r="HG284" s="13"/>
      <c r="HH284" s="13"/>
      <c r="HI284" s="13"/>
      <c r="HJ284" s="13"/>
      <c r="HK284" s="13"/>
      <c r="HL284" s="13"/>
      <c r="HM284" s="13"/>
      <c r="HN284" s="13"/>
      <c r="HO284" s="13"/>
      <c r="HP284" s="13"/>
      <c r="HQ284" s="13"/>
      <c r="HR284" s="13"/>
      <c r="HS284" s="13"/>
      <c r="HT284" s="13"/>
      <c r="HU284" s="278">
        <f>AB284</f>
        <v>0</v>
      </c>
      <c r="HV284" s="277"/>
      <c r="HW284" s="277"/>
      <c r="HX284" s="277"/>
      <c r="HY284" s="277"/>
      <c r="HZ284" s="277"/>
      <c r="IA284" s="277"/>
      <c r="IB284" s="277"/>
      <c r="IC284" s="277"/>
      <c r="ID284" s="277"/>
      <c r="IE284" s="277"/>
      <c r="IF284" s="277"/>
      <c r="IG284" s="277"/>
      <c r="IH284" s="277"/>
      <c r="II284" s="277"/>
      <c r="IJ284" s="277"/>
      <c r="IK284" s="277"/>
      <c r="IL284" s="277"/>
      <c r="IM284" s="277"/>
      <c r="IN284" s="277"/>
      <c r="IO284" s="277"/>
      <c r="IP284" s="277"/>
    </row>
    <row r="285" spans="1:302" ht="11.1" hidden="1" customHeight="1" outlineLevel="1">
      <c r="A285" s="12" t="s">
        <v>105</v>
      </c>
      <c r="B285" s="41" t="s">
        <v>104</v>
      </c>
      <c r="F285" s="301"/>
      <c r="I285" s="294"/>
      <c r="J285" s="294"/>
      <c r="K285" s="185">
        <f>AP284</f>
        <v>0</v>
      </c>
      <c r="M285" s="136"/>
      <c r="N285" s="136"/>
      <c r="O285" s="136"/>
      <c r="P285" s="246">
        <v>10.1</v>
      </c>
      <c r="Q285" s="1"/>
      <c r="T285" s="293"/>
      <c r="U285" s="293"/>
      <c r="V285" s="293"/>
      <c r="W285" s="293"/>
      <c r="X285" s="292"/>
      <c r="Y285" s="292"/>
      <c r="Z285" s="292"/>
      <c r="AA285" s="292"/>
      <c r="AB285" s="947"/>
      <c r="AC285" s="947"/>
      <c r="AD285" s="183">
        <f>((P284-I284)/I284)</f>
        <v>9.6175899378953267E-3</v>
      </c>
      <c r="AE285" s="183"/>
      <c r="AL285" s="275" t="e">
        <f>VLOOKUP(AL284,'[2]IBAN CONTI'!A$106:B$122,2,FALSE)</f>
        <v>#N/A</v>
      </c>
      <c r="AN285" s="213"/>
      <c r="AO285" s="38"/>
      <c r="AP285" s="38"/>
      <c r="AT285" s="51"/>
      <c r="AU285" s="15"/>
      <c r="AV285" s="15"/>
      <c r="AW285" s="15"/>
      <c r="AX285" s="15"/>
      <c r="AY285" s="15"/>
      <c r="AZ285" s="15"/>
      <c r="BA285" s="51"/>
      <c r="BB285" s="15"/>
      <c r="BC285" s="15"/>
      <c r="BD285" s="15"/>
      <c r="BE285" s="15"/>
      <c r="BF285" s="15"/>
      <c r="BG285" s="51"/>
      <c r="BH285" s="15"/>
      <c r="BI285" s="15"/>
      <c r="BJ285" s="15"/>
      <c r="BK285" s="51"/>
      <c r="BL285" s="15"/>
      <c r="BM285" s="15"/>
      <c r="BN285" s="15"/>
      <c r="BO285" s="15"/>
      <c r="BP285" s="15"/>
      <c r="BQ285" s="18"/>
      <c r="BR285" s="18"/>
      <c r="BS285" s="18"/>
      <c r="BT285" s="18"/>
      <c r="BU285" s="18"/>
      <c r="BV285" s="18"/>
      <c r="BW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  <c r="GN285" s="18"/>
      <c r="GO285" s="18"/>
      <c r="GP285" s="18"/>
      <c r="GQ285" s="18"/>
      <c r="GR285" s="18"/>
      <c r="GS285" s="18"/>
      <c r="GT285" s="18"/>
      <c r="GU285" s="18"/>
      <c r="GV285" s="18"/>
      <c r="GW285" s="18"/>
      <c r="GX285" s="18"/>
      <c r="GY285" s="18"/>
      <c r="GZ285" s="18"/>
      <c r="HA285" s="18"/>
      <c r="HB285" s="18"/>
      <c r="HC285" s="18"/>
      <c r="HD285" s="18"/>
      <c r="HE285" s="18"/>
      <c r="HF285" s="18"/>
      <c r="HG285" s="13"/>
      <c r="HH285" s="13"/>
      <c r="HI285" s="13"/>
      <c r="HJ285" s="13"/>
      <c r="HK285" s="13"/>
      <c r="HL285" s="13"/>
      <c r="HM285" s="13"/>
      <c r="HN285" s="13"/>
      <c r="HO285" s="13"/>
      <c r="HP285" s="13"/>
      <c r="HQ285" s="13"/>
      <c r="HR285" s="13"/>
      <c r="HS285" s="13"/>
      <c r="HT285" s="13"/>
      <c r="HV285" s="18"/>
      <c r="HW285" s="18"/>
      <c r="HX285" s="18"/>
      <c r="HY285" s="18"/>
      <c r="HZ285" s="18"/>
      <c r="IA285" s="18"/>
      <c r="IB285" s="18"/>
      <c r="IC285" s="18"/>
      <c r="ID285" s="18"/>
      <c r="IE285" s="18"/>
      <c r="IF285" s="18"/>
      <c r="IG285" s="18"/>
      <c r="IH285" s="18"/>
      <c r="II285" s="18"/>
      <c r="IJ285" s="18"/>
      <c r="IK285" s="18"/>
      <c r="IL285" s="18"/>
      <c r="IM285" s="18"/>
      <c r="IN285" s="18"/>
      <c r="IO285" s="18"/>
      <c r="JR285" s="3"/>
      <c r="JS285" s="3"/>
      <c r="JT285" s="3"/>
      <c r="JU285" s="3"/>
      <c r="JV285" s="3"/>
      <c r="JW285" s="3"/>
      <c r="JX285" s="3"/>
      <c r="JY285" s="3"/>
      <c r="JZ285" s="3"/>
      <c r="KA285" s="3"/>
      <c r="KB285" s="3"/>
      <c r="KC285" s="3"/>
      <c r="KD285" s="3"/>
      <c r="KE285" s="3"/>
      <c r="KF285" s="3"/>
      <c r="KG285" s="3"/>
      <c r="KH285" s="3"/>
      <c r="KI285" s="3"/>
      <c r="KJ285" s="3"/>
      <c r="KK285" s="3"/>
      <c r="KL285" s="3"/>
      <c r="KM285" s="3"/>
      <c r="KN285" s="3"/>
      <c r="KO285" s="3"/>
      <c r="KP285" s="3"/>
    </row>
    <row r="286" spans="1:302" s="3" customFormat="1" ht="5.0999999999999996" hidden="1" customHeight="1" outlineLevel="1" collapsed="1">
      <c r="B286" s="192"/>
      <c r="K286" s="40"/>
      <c r="L286" s="40"/>
      <c r="M286" s="136"/>
      <c r="N286" s="136"/>
      <c r="O286" s="136"/>
      <c r="P286" s="246">
        <v>10.220000000000001</v>
      </c>
      <c r="AG286" s="35"/>
      <c r="AH286" s="35"/>
      <c r="AI286" s="35"/>
      <c r="AJ286" s="35"/>
      <c r="AK286" s="296"/>
      <c r="AN286" s="13"/>
      <c r="AR286" s="7"/>
      <c r="AT286" s="24"/>
      <c r="AU286" s="981"/>
      <c r="AV286" s="981"/>
      <c r="AW286" s="981"/>
      <c r="AX286" s="981"/>
      <c r="AY286" s="981"/>
      <c r="AZ286" s="981"/>
      <c r="BA286" s="24"/>
      <c r="BB286" s="981"/>
      <c r="BC286" s="981"/>
      <c r="BD286" s="981"/>
      <c r="BE286" s="981"/>
      <c r="BF286" s="981"/>
      <c r="BG286" s="24"/>
      <c r="BH286" s="981"/>
      <c r="BI286" s="981"/>
      <c r="BJ286" s="981"/>
      <c r="BK286" s="24"/>
      <c r="BL286" s="981"/>
      <c r="BM286" s="981"/>
      <c r="BN286" s="981"/>
      <c r="BO286" s="981"/>
      <c r="BP286" s="981"/>
      <c r="BQ286" s="13"/>
      <c r="BR286" s="13"/>
      <c r="BS286" s="13"/>
      <c r="BT286" s="13"/>
      <c r="BU286" s="13"/>
      <c r="BV286" s="13"/>
      <c r="BW286" s="13"/>
      <c r="BX286" s="31"/>
      <c r="BY286" s="13"/>
      <c r="BZ286" s="13"/>
      <c r="CA286" s="13"/>
      <c r="CB286" s="13"/>
      <c r="CC286" s="13"/>
      <c r="CD286" s="13"/>
      <c r="CE286" s="13"/>
      <c r="CF286" s="13"/>
      <c r="CG286" s="13"/>
      <c r="CH286" s="13"/>
      <c r="CI286" s="13"/>
      <c r="CJ286" s="13"/>
      <c r="CK286" s="13"/>
      <c r="CL286" s="13"/>
      <c r="CM286" s="13"/>
      <c r="CN286" s="13"/>
      <c r="CO286" s="13"/>
      <c r="CP286" s="13"/>
      <c r="CQ286" s="13"/>
      <c r="CR286" s="13"/>
      <c r="CS286" s="31"/>
      <c r="CT286" s="13"/>
      <c r="CU286" s="13"/>
      <c r="CV286" s="13"/>
      <c r="CW286" s="13"/>
      <c r="CX286" s="13"/>
      <c r="CY286" s="13"/>
      <c r="CZ286" s="13"/>
      <c r="DA286" s="13"/>
      <c r="DB286" s="13"/>
      <c r="DC286" s="13"/>
      <c r="DD286" s="13"/>
      <c r="DE286" s="13"/>
      <c r="DF286" s="13"/>
      <c r="DG286" s="13"/>
      <c r="DH286" s="13"/>
      <c r="DI286" s="13"/>
      <c r="DJ286" s="13"/>
      <c r="DK286" s="13"/>
      <c r="DL286" s="13"/>
      <c r="DM286" s="13"/>
      <c r="DN286" s="13"/>
      <c r="DO286" s="31"/>
      <c r="DP286" s="13"/>
      <c r="DQ286" s="13"/>
      <c r="DR286" s="13"/>
      <c r="DS286" s="13"/>
      <c r="DT286" s="13"/>
      <c r="DU286" s="13"/>
      <c r="DV286" s="13"/>
      <c r="DW286" s="13"/>
      <c r="DX286" s="13"/>
      <c r="DY286" s="13"/>
      <c r="DZ286" s="13"/>
      <c r="EA286" s="13"/>
      <c r="EB286" s="13"/>
      <c r="EC286" s="13"/>
      <c r="ED286" s="13"/>
      <c r="EE286" s="13"/>
      <c r="EF286" s="13"/>
      <c r="EG286" s="13"/>
      <c r="EH286" s="13"/>
      <c r="EI286" s="13"/>
      <c r="EJ286" s="13"/>
      <c r="EK286" s="13"/>
      <c r="EL286" s="13"/>
      <c r="EM286" s="13"/>
      <c r="EN286" s="13"/>
      <c r="EO286" s="13"/>
      <c r="EP286" s="13"/>
      <c r="EQ286" s="13"/>
      <c r="ER286" s="13"/>
      <c r="ES286" s="13"/>
      <c r="ET286" s="13"/>
      <c r="EU286" s="13"/>
      <c r="EV286" s="13"/>
      <c r="EW286" s="13"/>
      <c r="EX286" s="13"/>
      <c r="EY286" s="13"/>
      <c r="EZ286" s="13"/>
      <c r="FA286" s="13"/>
      <c r="FB286" s="13"/>
      <c r="FC286" s="13"/>
      <c r="FD286" s="13"/>
      <c r="FE286" s="13"/>
      <c r="FF286" s="13"/>
      <c r="FG286" s="13"/>
      <c r="FH286" s="13"/>
      <c r="FI286" s="13"/>
      <c r="FJ286" s="13"/>
      <c r="FK286" s="13"/>
      <c r="FL286" s="13"/>
      <c r="FM286" s="13"/>
      <c r="FN286" s="13"/>
      <c r="FO286" s="13"/>
      <c r="FP286" s="13"/>
      <c r="FQ286" s="13"/>
      <c r="FR286" s="13"/>
      <c r="FS286" s="13"/>
      <c r="FT286" s="13"/>
      <c r="FU286" s="13"/>
      <c r="FV286" s="13"/>
      <c r="FW286" s="13"/>
      <c r="FX286" s="13"/>
      <c r="FY286" s="13"/>
      <c r="FZ286" s="13"/>
      <c r="GA286" s="13"/>
      <c r="GB286" s="13"/>
      <c r="GC286" s="13"/>
      <c r="GD286" s="13"/>
      <c r="GE286" s="13"/>
      <c r="GF286" s="13"/>
      <c r="GG286" s="13"/>
      <c r="GH286" s="13"/>
      <c r="GI286" s="13"/>
      <c r="GJ286" s="13"/>
      <c r="GK286" s="13"/>
      <c r="GL286" s="13"/>
      <c r="GM286" s="13"/>
      <c r="GN286" s="13"/>
      <c r="GO286" s="13"/>
      <c r="GP286" s="13"/>
      <c r="GQ286" s="13"/>
      <c r="GR286" s="13"/>
      <c r="GS286" s="13"/>
      <c r="GT286" s="13"/>
      <c r="GU286" s="13"/>
      <c r="GV286" s="13"/>
      <c r="GW286" s="13"/>
      <c r="GX286" s="13"/>
      <c r="GY286" s="13"/>
      <c r="GZ286" s="13"/>
      <c r="HA286" s="13"/>
      <c r="HB286" s="13"/>
      <c r="HC286" s="13"/>
      <c r="HD286" s="13"/>
      <c r="HE286" s="13"/>
      <c r="HF286" s="13"/>
      <c r="HG286" s="13"/>
      <c r="HH286" s="13"/>
      <c r="HI286" s="13"/>
      <c r="HJ286" s="13"/>
      <c r="HK286" s="13"/>
      <c r="HL286" s="13"/>
      <c r="HM286" s="13"/>
      <c r="HN286" s="13"/>
      <c r="HO286" s="13"/>
      <c r="HP286" s="13"/>
      <c r="HQ286" s="13"/>
      <c r="HR286" s="13"/>
      <c r="HS286" s="13"/>
      <c r="HT286" s="13"/>
      <c r="HU286" s="31"/>
      <c r="HV286" s="13"/>
      <c r="HW286" s="13"/>
      <c r="HX286" s="13"/>
      <c r="HY286" s="13"/>
      <c r="HZ286" s="13"/>
      <c r="IA286" s="13"/>
      <c r="IB286" s="13"/>
      <c r="IC286" s="13"/>
      <c r="ID286" s="13"/>
      <c r="IE286" s="13"/>
      <c r="IF286" s="13"/>
      <c r="IG286" s="13"/>
      <c r="IH286" s="13"/>
      <c r="II286" s="13"/>
      <c r="IJ286" s="13"/>
      <c r="IK286" s="13"/>
      <c r="IL286" s="13"/>
      <c r="IM286" s="13"/>
      <c r="IN286" s="13"/>
      <c r="IO286" s="13"/>
      <c r="JR286" s="14"/>
      <c r="JS286" s="14"/>
      <c r="JT286" s="14"/>
      <c r="JU286" s="14"/>
      <c r="JV286" s="14"/>
      <c r="JW286" s="14"/>
      <c r="JX286" s="14"/>
      <c r="JY286" s="14"/>
      <c r="JZ286" s="14"/>
      <c r="KA286" s="14"/>
      <c r="KB286" s="14"/>
      <c r="KC286" s="14"/>
      <c r="KD286" s="14"/>
      <c r="KE286" s="14"/>
      <c r="KF286" s="14"/>
      <c r="KG286" s="14"/>
      <c r="KH286" s="14"/>
      <c r="KI286" s="14"/>
      <c r="KJ286" s="14"/>
      <c r="KK286" s="14"/>
      <c r="KL286" s="14"/>
      <c r="KM286" s="14"/>
      <c r="KN286" s="14"/>
      <c r="KO286" s="14"/>
      <c r="KP286" s="14"/>
    </row>
    <row r="287" spans="1:302" ht="11.1" hidden="1" customHeight="1" outlineLevel="1">
      <c r="A287" s="302" t="s">
        <v>103</v>
      </c>
      <c r="D287" s="38" t="s">
        <v>102</v>
      </c>
      <c r="F287" s="11">
        <v>0</v>
      </c>
      <c r="G287" s="946">
        <v>43293</v>
      </c>
      <c r="H287" s="946"/>
      <c r="I287" s="1067">
        <v>50.046269000000002</v>
      </c>
      <c r="J287" s="1067"/>
      <c r="K287" s="1067"/>
      <c r="M287" s="136"/>
      <c r="N287" s="136"/>
      <c r="O287" s="136"/>
      <c r="P287" s="215"/>
      <c r="Q287" s="1"/>
      <c r="T287" s="193"/>
      <c r="U287" s="193"/>
      <c r="V287" s="193"/>
      <c r="W287" s="193"/>
      <c r="X287" s="295"/>
      <c r="Y287" s="295"/>
      <c r="Z287" s="295"/>
      <c r="AA287" s="295"/>
      <c r="AB287" s="947">
        <f>F287*P287</f>
        <v>0</v>
      </c>
      <c r="AC287" s="947"/>
      <c r="AD287" s="190">
        <f>-((I287*F287)-(P287*F287))</f>
        <v>0</v>
      </c>
      <c r="AE287" s="290"/>
      <c r="AF287" s="205" t="e">
        <f>IF(#REF!-AP287&lt;0,#REF!-AP287,(#REF!-AP287)*0.8)</f>
        <v>#REF!</v>
      </c>
      <c r="AG287" s="934"/>
      <c r="AH287" s="934"/>
      <c r="AI287" s="289"/>
      <c r="AJ287" s="34" t="s">
        <v>66</v>
      </c>
      <c r="AL287" s="279"/>
      <c r="AN287" s="179"/>
      <c r="AO287" s="38"/>
      <c r="AP287" s="188">
        <f>F287*I287+AN287+AN288</f>
        <v>0</v>
      </c>
      <c r="AT287" s="51"/>
      <c r="AU287" s="15"/>
      <c r="AV287" s="15"/>
      <c r="AW287" s="15"/>
      <c r="AX287" s="15"/>
      <c r="AY287" s="15"/>
      <c r="AZ287" s="15"/>
      <c r="BA287" s="51"/>
      <c r="BB287" s="15"/>
      <c r="BC287" s="15"/>
      <c r="BD287" s="15"/>
      <c r="BE287" s="15"/>
      <c r="BF287" s="15"/>
      <c r="BG287" s="51"/>
      <c r="BH287" s="15"/>
      <c r="BI287" s="15"/>
      <c r="BJ287" s="15"/>
      <c r="BK287" s="51"/>
      <c r="BL287" s="15"/>
      <c r="BM287" s="15"/>
      <c r="BN287" s="15"/>
      <c r="BO287" s="15"/>
      <c r="BP287" s="15"/>
      <c r="BQ287" s="18"/>
      <c r="BR287" s="18"/>
      <c r="BS287" s="18"/>
      <c r="BT287" s="18"/>
      <c r="BU287" s="18"/>
      <c r="BV287" s="18"/>
      <c r="BW287" s="18"/>
      <c r="BX287" s="139"/>
      <c r="BY287" s="139"/>
      <c r="BZ287" s="139"/>
      <c r="CA287" s="139"/>
      <c r="CB287" s="139"/>
      <c r="CC287" s="139"/>
      <c r="CD287" s="139"/>
      <c r="CE287" s="139"/>
      <c r="CF287" s="139"/>
      <c r="CG287" s="139"/>
      <c r="CH287" s="139"/>
      <c r="CI287" s="139"/>
      <c r="CJ287" s="139"/>
      <c r="CK287" s="139"/>
      <c r="CL287" s="139"/>
      <c r="CM287" s="139"/>
      <c r="CN287" s="139"/>
      <c r="CO287" s="139"/>
      <c r="CP287" s="139"/>
      <c r="CQ287" s="139"/>
      <c r="CR287" s="139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  <c r="FR287" s="18"/>
      <c r="FS287" s="18"/>
      <c r="FT287" s="18"/>
      <c r="FU287" s="18"/>
      <c r="FV287" s="18"/>
      <c r="FW287" s="18"/>
      <c r="FX287" s="18"/>
      <c r="FY287" s="18"/>
      <c r="FZ287" s="18"/>
      <c r="GA287" s="18"/>
      <c r="GB287" s="18"/>
      <c r="GC287" s="18"/>
      <c r="GD287" s="18"/>
      <c r="GE287" s="18"/>
      <c r="GF287" s="18"/>
      <c r="GG287" s="18"/>
      <c r="GH287" s="18"/>
      <c r="GI287" s="18"/>
      <c r="GJ287" s="18"/>
      <c r="GK287" s="18"/>
      <c r="GL287" s="18"/>
      <c r="GM287" s="18"/>
      <c r="GN287" s="18"/>
      <c r="GO287" s="18"/>
      <c r="GP287" s="18"/>
      <c r="GQ287" s="18"/>
      <c r="GR287" s="18"/>
      <c r="GS287" s="18"/>
      <c r="GT287" s="18"/>
      <c r="GU287" s="18"/>
      <c r="GV287" s="18"/>
      <c r="GW287" s="18"/>
      <c r="GX287" s="18"/>
      <c r="GY287" s="18"/>
      <c r="GZ287" s="18"/>
      <c r="HA287" s="18"/>
      <c r="HB287" s="18"/>
      <c r="HC287" s="18"/>
      <c r="HD287" s="18"/>
      <c r="HE287" s="18"/>
      <c r="HF287" s="18"/>
      <c r="HG287" s="13"/>
      <c r="HH287" s="13"/>
      <c r="HI287" s="13"/>
      <c r="HJ287" s="13"/>
      <c r="HK287" s="13"/>
      <c r="HL287" s="13"/>
      <c r="HM287" s="13"/>
      <c r="HN287" s="13"/>
      <c r="HO287" s="13"/>
      <c r="HP287" s="13"/>
      <c r="HQ287" s="13"/>
      <c r="HR287" s="13"/>
      <c r="HS287" s="13"/>
      <c r="HT287" s="13"/>
      <c r="HU287" s="278">
        <f>AB287</f>
        <v>0</v>
      </c>
      <c r="HV287" s="277"/>
      <c r="HW287" s="277"/>
      <c r="HX287" s="277"/>
      <c r="HY287" s="277"/>
      <c r="HZ287" s="277"/>
      <c r="IA287" s="277"/>
      <c r="IB287" s="277"/>
      <c r="IC287" s="277"/>
      <c r="ID287" s="277"/>
      <c r="IE287" s="277"/>
      <c r="IF287" s="277"/>
      <c r="IG287" s="277"/>
      <c r="IH287" s="277"/>
      <c r="II287" s="277"/>
      <c r="IJ287" s="277"/>
      <c r="IK287" s="277"/>
      <c r="IL287" s="277"/>
      <c r="IM287" s="277"/>
      <c r="IN287" s="277"/>
      <c r="IO287" s="277"/>
      <c r="IP287" s="277"/>
    </row>
    <row r="288" spans="1:302" ht="11.1" hidden="1" customHeight="1" outlineLevel="1">
      <c r="A288" s="12" t="s">
        <v>101</v>
      </c>
      <c r="B288" s="41" t="s">
        <v>100</v>
      </c>
      <c r="F288" s="301"/>
      <c r="G288" s="3" t="s">
        <v>99</v>
      </c>
      <c r="I288" s="294"/>
      <c r="J288" s="294"/>
      <c r="K288" s="185">
        <f>AP287</f>
        <v>0</v>
      </c>
      <c r="M288" s="136"/>
      <c r="N288" s="136"/>
      <c r="O288" s="136"/>
      <c r="P288" s="246">
        <v>10.1</v>
      </c>
      <c r="Q288" s="1"/>
      <c r="T288" s="293"/>
      <c r="U288" s="293"/>
      <c r="V288" s="293"/>
      <c r="W288" s="293"/>
      <c r="X288" s="292"/>
      <c r="Y288" s="292"/>
      <c r="Z288" s="292"/>
      <c r="AA288" s="292"/>
      <c r="AB288" s="947"/>
      <c r="AC288" s="947"/>
      <c r="AD288" s="183">
        <f>((P287-I287)/I287)</f>
        <v>-1</v>
      </c>
      <c r="AE288" s="183"/>
      <c r="AL288" s="275" t="e">
        <f>VLOOKUP(AL287,'[2]IBAN CONTI'!A$106:B$122,2,FALSE)</f>
        <v>#N/A</v>
      </c>
      <c r="AN288" s="213"/>
      <c r="AO288" s="38"/>
      <c r="AP288" s="38"/>
      <c r="AT288" s="51"/>
      <c r="AU288" s="15"/>
      <c r="AV288" s="15"/>
      <c r="AW288" s="15"/>
      <c r="AX288" s="15"/>
      <c r="AY288" s="15"/>
      <c r="AZ288" s="15"/>
      <c r="BA288" s="51"/>
      <c r="BB288" s="15"/>
      <c r="BC288" s="15"/>
      <c r="BD288" s="15"/>
      <c r="BE288" s="15"/>
      <c r="BF288" s="15"/>
      <c r="BG288" s="51"/>
      <c r="BH288" s="15"/>
      <c r="BI288" s="15"/>
      <c r="BJ288" s="15"/>
      <c r="BK288" s="51"/>
      <c r="BL288" s="15"/>
      <c r="BM288" s="15"/>
      <c r="BN288" s="15"/>
      <c r="BO288" s="15"/>
      <c r="BP288" s="15"/>
      <c r="BQ288" s="18"/>
      <c r="BR288" s="18"/>
      <c r="BS288" s="18"/>
      <c r="BT288" s="18"/>
      <c r="BU288" s="18"/>
      <c r="BV288" s="18"/>
      <c r="BW288" s="18"/>
      <c r="BY288" s="18"/>
      <c r="BZ288" s="18"/>
      <c r="CA288" s="18"/>
      <c r="CB288" s="18"/>
      <c r="CC288" s="18"/>
      <c r="CD288" s="18"/>
      <c r="CE288" s="18"/>
      <c r="CF288" s="18"/>
      <c r="CG288" s="18"/>
      <c r="CH288" s="18"/>
      <c r="CI288" s="18"/>
      <c r="CJ288" s="18"/>
      <c r="CK288" s="18"/>
      <c r="CL288" s="18"/>
      <c r="CM288" s="18"/>
      <c r="CN288" s="18"/>
      <c r="CO288" s="18"/>
      <c r="CP288" s="18"/>
      <c r="CQ288" s="18"/>
      <c r="CR288" s="18"/>
      <c r="CT288" s="18"/>
      <c r="CU288" s="18"/>
      <c r="CV288" s="18"/>
      <c r="CW288" s="18"/>
      <c r="CX288" s="18"/>
      <c r="CY288" s="18"/>
      <c r="CZ288" s="18"/>
      <c r="DA288" s="18"/>
      <c r="DB288" s="18"/>
      <c r="DC288" s="18"/>
      <c r="DD288" s="18"/>
      <c r="DE288" s="18"/>
      <c r="DF288" s="18"/>
      <c r="DG288" s="18"/>
      <c r="DH288" s="18"/>
      <c r="DI288" s="18"/>
      <c r="DJ288" s="18"/>
      <c r="DK288" s="18"/>
      <c r="DL288" s="18"/>
      <c r="DM288" s="18"/>
      <c r="DN288" s="18"/>
      <c r="DP288" s="18"/>
      <c r="DQ288" s="18"/>
      <c r="DR288" s="18"/>
      <c r="DS288" s="18"/>
      <c r="DT288" s="18"/>
      <c r="DU288" s="18"/>
      <c r="DV288" s="18"/>
      <c r="DW288" s="18"/>
      <c r="DX288" s="18"/>
      <c r="DY288" s="18"/>
      <c r="DZ288" s="18"/>
      <c r="EA288" s="18"/>
      <c r="EB288" s="18"/>
      <c r="EC288" s="18"/>
      <c r="ED288" s="18"/>
      <c r="EE288" s="18"/>
      <c r="EF288" s="18"/>
      <c r="EG288" s="18"/>
      <c r="EH288" s="18"/>
      <c r="EI288" s="18"/>
      <c r="EJ288" s="18"/>
      <c r="EK288" s="18"/>
      <c r="EL288" s="18"/>
      <c r="EM288" s="18"/>
      <c r="EN288" s="18"/>
      <c r="EO288" s="18"/>
      <c r="EP288" s="18"/>
      <c r="EQ288" s="18"/>
      <c r="ER288" s="18"/>
      <c r="ES288" s="18"/>
      <c r="ET288" s="18"/>
      <c r="EU288" s="18"/>
      <c r="EV288" s="18"/>
      <c r="EW288" s="18"/>
      <c r="EX288" s="18"/>
      <c r="EY288" s="18"/>
      <c r="EZ288" s="18"/>
      <c r="FA288" s="18"/>
      <c r="FB288" s="18"/>
      <c r="FC288" s="18"/>
      <c r="FD288" s="18"/>
      <c r="FE288" s="18"/>
      <c r="FF288" s="18"/>
      <c r="FG288" s="18"/>
      <c r="FH288" s="18"/>
      <c r="FI288" s="18"/>
      <c r="FJ288" s="18"/>
      <c r="FK288" s="18"/>
      <c r="FL288" s="18"/>
      <c r="FM288" s="18"/>
      <c r="FN288" s="18"/>
      <c r="FO288" s="18"/>
      <c r="FP288" s="18"/>
      <c r="FQ288" s="18"/>
      <c r="FR288" s="18"/>
      <c r="FS288" s="18"/>
      <c r="FT288" s="18"/>
      <c r="FU288" s="18"/>
      <c r="FV288" s="18"/>
      <c r="FW288" s="18"/>
      <c r="FX288" s="18"/>
      <c r="FY288" s="18"/>
      <c r="FZ288" s="18"/>
      <c r="GA288" s="18"/>
      <c r="GB288" s="18"/>
      <c r="GC288" s="18"/>
      <c r="GD288" s="18"/>
      <c r="GE288" s="18"/>
      <c r="GF288" s="18"/>
      <c r="GG288" s="18"/>
      <c r="GH288" s="18"/>
      <c r="GI288" s="18"/>
      <c r="GJ288" s="18"/>
      <c r="GK288" s="18"/>
      <c r="GL288" s="18"/>
      <c r="GM288" s="18"/>
      <c r="GN288" s="18"/>
      <c r="GO288" s="18"/>
      <c r="GP288" s="18"/>
      <c r="GQ288" s="18"/>
      <c r="GR288" s="18"/>
      <c r="GS288" s="18"/>
      <c r="GT288" s="18"/>
      <c r="GU288" s="18"/>
      <c r="GV288" s="18"/>
      <c r="GW288" s="18"/>
      <c r="GX288" s="18"/>
      <c r="GY288" s="18"/>
      <c r="GZ288" s="18"/>
      <c r="HA288" s="18"/>
      <c r="HB288" s="18"/>
      <c r="HC288" s="18"/>
      <c r="HD288" s="18"/>
      <c r="HE288" s="18"/>
      <c r="HF288" s="18"/>
      <c r="HG288" s="13"/>
      <c r="HH288" s="13"/>
      <c r="HI288" s="13"/>
      <c r="HJ288" s="13"/>
      <c r="HK288" s="13"/>
      <c r="HL288" s="13"/>
      <c r="HM288" s="13"/>
      <c r="HN288" s="13"/>
      <c r="HO288" s="13"/>
      <c r="HP288" s="13"/>
      <c r="HQ288" s="13"/>
      <c r="HR288" s="13"/>
      <c r="HS288" s="13"/>
      <c r="HT288" s="13"/>
      <c r="HV288" s="18"/>
      <c r="HW288" s="18"/>
      <c r="HX288" s="18"/>
      <c r="HY288" s="18"/>
      <c r="HZ288" s="18"/>
      <c r="IA288" s="18"/>
      <c r="IB288" s="18"/>
      <c r="IC288" s="18"/>
      <c r="ID288" s="18"/>
      <c r="IE288" s="18"/>
      <c r="IF288" s="18"/>
      <c r="IG288" s="18"/>
      <c r="IH288" s="18"/>
      <c r="II288" s="18"/>
      <c r="IJ288" s="18"/>
      <c r="IK288" s="18"/>
      <c r="IL288" s="18"/>
      <c r="IM288" s="18"/>
      <c r="IN288" s="18"/>
      <c r="IO288" s="18"/>
      <c r="JR288" s="3"/>
      <c r="JS288" s="3"/>
      <c r="JT288" s="3"/>
      <c r="JU288" s="3"/>
      <c r="JV288" s="3"/>
      <c r="JW288" s="3"/>
      <c r="JX288" s="3"/>
      <c r="JY288" s="3"/>
      <c r="JZ288" s="3"/>
      <c r="KA288" s="3"/>
      <c r="KB288" s="3"/>
      <c r="KC288" s="3"/>
      <c r="KD288" s="3"/>
      <c r="KE288" s="3"/>
      <c r="KF288" s="3"/>
      <c r="KG288" s="3"/>
      <c r="KH288" s="3"/>
      <c r="KI288" s="3"/>
      <c r="KJ288" s="3"/>
      <c r="KK288" s="3"/>
      <c r="KL288" s="3"/>
      <c r="KM288" s="3"/>
      <c r="KN288" s="3"/>
      <c r="KO288" s="3"/>
      <c r="KP288" s="3"/>
    </row>
    <row r="289" spans="1:302" ht="11.1" hidden="1" customHeight="1" outlineLevel="1">
      <c r="M289" s="136" t="s">
        <v>37</v>
      </c>
      <c r="N289" s="136"/>
      <c r="O289" s="136"/>
      <c r="P289" s="300">
        <v>13.24</v>
      </c>
      <c r="Y289" s="14"/>
      <c r="Z289" s="14"/>
      <c r="AN289" s="18"/>
      <c r="AT289" s="51"/>
      <c r="AU289" s="15"/>
      <c r="AV289" s="15"/>
      <c r="AW289" s="15"/>
      <c r="AX289" s="15"/>
      <c r="AY289" s="15"/>
      <c r="AZ289" s="15"/>
      <c r="BA289" s="51"/>
      <c r="BB289" s="15"/>
      <c r="BC289" s="15"/>
      <c r="BD289" s="15"/>
      <c r="BE289" s="15"/>
      <c r="BF289" s="15"/>
      <c r="BG289" s="51"/>
      <c r="BH289" s="15"/>
      <c r="BI289" s="15"/>
      <c r="BJ289" s="15"/>
      <c r="BK289" s="51"/>
      <c r="BL289" s="15"/>
      <c r="BM289" s="15"/>
      <c r="BN289" s="15"/>
      <c r="BO289" s="15"/>
      <c r="BP289" s="15"/>
      <c r="BQ289" s="18"/>
      <c r="BR289" s="18"/>
      <c r="BS289" s="18"/>
      <c r="BT289" s="18"/>
      <c r="BU289" s="18"/>
      <c r="BV289" s="18"/>
      <c r="BW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  <c r="FR289" s="18"/>
      <c r="FS289" s="18"/>
      <c r="FT289" s="18"/>
      <c r="FU289" s="18"/>
      <c r="FV289" s="18"/>
      <c r="FW289" s="18"/>
      <c r="FX289" s="18"/>
      <c r="FY289" s="18"/>
      <c r="FZ289" s="18"/>
      <c r="GA289" s="18"/>
      <c r="GB289" s="18"/>
      <c r="GC289" s="18"/>
      <c r="GD289" s="18"/>
      <c r="GE289" s="18"/>
      <c r="GF289" s="18"/>
      <c r="GG289" s="18"/>
      <c r="GH289" s="18"/>
      <c r="GI289" s="18"/>
      <c r="GJ289" s="18"/>
      <c r="GK289" s="18"/>
      <c r="GL289" s="18"/>
      <c r="GM289" s="18"/>
      <c r="GN289" s="18"/>
      <c r="GO289" s="18"/>
      <c r="GP289" s="18"/>
      <c r="GQ289" s="18"/>
      <c r="GR289" s="18"/>
      <c r="GS289" s="18"/>
      <c r="GT289" s="18"/>
      <c r="GU289" s="18"/>
      <c r="GV289" s="18"/>
      <c r="GW289" s="18"/>
      <c r="GX289" s="18"/>
      <c r="GY289" s="18"/>
      <c r="GZ289" s="18"/>
      <c r="HA289" s="18"/>
      <c r="HB289" s="18"/>
      <c r="HC289" s="18"/>
      <c r="HD289" s="18"/>
      <c r="HE289" s="18"/>
      <c r="HF289" s="18"/>
      <c r="HG289" s="13"/>
      <c r="HH289" s="13"/>
      <c r="HI289" s="13"/>
      <c r="HJ289" s="13"/>
      <c r="HK289" s="13"/>
      <c r="HL289" s="13"/>
      <c r="HM289" s="13"/>
      <c r="HN289" s="13"/>
      <c r="HO289" s="13"/>
      <c r="HP289" s="13"/>
      <c r="HQ289" s="13"/>
      <c r="HR289" s="13"/>
      <c r="HS289" s="13"/>
      <c r="HT289" s="13"/>
      <c r="HV289" s="18"/>
      <c r="HW289" s="18"/>
      <c r="HX289" s="18"/>
      <c r="HY289" s="18"/>
      <c r="HZ289" s="18"/>
      <c r="IA289" s="18"/>
      <c r="IB289" s="18"/>
      <c r="IC289" s="18"/>
      <c r="ID289" s="18"/>
      <c r="IE289" s="18"/>
      <c r="IF289" s="18"/>
      <c r="IG289" s="18"/>
      <c r="IH289" s="18"/>
      <c r="II289" s="18"/>
      <c r="IJ289" s="18"/>
      <c r="IK289" s="18"/>
      <c r="IL289" s="18"/>
      <c r="IM289" s="18"/>
      <c r="IN289" s="18"/>
      <c r="IO289" s="18"/>
    </row>
    <row r="290" spans="1:302" ht="11.1" hidden="1" customHeight="1" outlineLevel="1">
      <c r="M290" s="136" t="s">
        <v>36</v>
      </c>
      <c r="N290" s="136"/>
      <c r="O290" s="136"/>
      <c r="P290" s="299">
        <v>13.2</v>
      </c>
      <c r="Y290" s="14"/>
      <c r="Z290" s="14"/>
      <c r="AN290" s="18"/>
      <c r="AT290" s="51"/>
      <c r="AU290" s="15"/>
      <c r="AV290" s="15"/>
      <c r="AW290" s="15"/>
      <c r="AX290" s="15"/>
      <c r="AY290" s="15"/>
      <c r="AZ290" s="15"/>
      <c r="BA290" s="51"/>
      <c r="BB290" s="15"/>
      <c r="BC290" s="15"/>
      <c r="BD290" s="15"/>
      <c r="BE290" s="15"/>
      <c r="BF290" s="15"/>
      <c r="BG290" s="51"/>
      <c r="BH290" s="15"/>
      <c r="BI290" s="15"/>
      <c r="BJ290" s="15"/>
      <c r="BK290" s="51"/>
      <c r="BL290" s="15"/>
      <c r="BM290" s="15"/>
      <c r="BN290" s="15"/>
      <c r="BO290" s="15"/>
      <c r="BP290" s="15"/>
      <c r="BQ290" s="18"/>
      <c r="BR290" s="18"/>
      <c r="BS290" s="18"/>
      <c r="BT290" s="18"/>
      <c r="BU290" s="18"/>
      <c r="BV290" s="18"/>
      <c r="BW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  <c r="FR290" s="18"/>
      <c r="FS290" s="18"/>
      <c r="FT290" s="18"/>
      <c r="FU290" s="18"/>
      <c r="FV290" s="18"/>
      <c r="FW290" s="18"/>
      <c r="FX290" s="18"/>
      <c r="FY290" s="18"/>
      <c r="FZ290" s="18"/>
      <c r="GA290" s="18"/>
      <c r="GB290" s="18"/>
      <c r="GC290" s="18"/>
      <c r="GD290" s="18"/>
      <c r="GE290" s="18"/>
      <c r="GF290" s="18"/>
      <c r="GG290" s="18"/>
      <c r="GH290" s="18"/>
      <c r="GI290" s="18"/>
      <c r="GJ290" s="18"/>
      <c r="GK290" s="18"/>
      <c r="GL290" s="18"/>
      <c r="GM290" s="18"/>
      <c r="GN290" s="18"/>
      <c r="GO290" s="18"/>
      <c r="GP290" s="18"/>
      <c r="GQ290" s="18"/>
      <c r="GR290" s="18"/>
      <c r="GS290" s="18"/>
      <c r="GT290" s="18"/>
      <c r="GU290" s="18"/>
      <c r="GV290" s="18"/>
      <c r="GW290" s="18"/>
      <c r="GX290" s="18"/>
      <c r="GY290" s="18"/>
      <c r="GZ290" s="18"/>
      <c r="HA290" s="18"/>
      <c r="HB290" s="18"/>
      <c r="HC290" s="18"/>
      <c r="HD290" s="18"/>
      <c r="HE290" s="18"/>
      <c r="HF290" s="18"/>
      <c r="HG290" s="13"/>
      <c r="HH290" s="13"/>
      <c r="HI290" s="13"/>
      <c r="HJ290" s="13"/>
      <c r="HK290" s="13"/>
      <c r="HL290" s="13"/>
      <c r="HM290" s="13"/>
      <c r="HN290" s="13"/>
      <c r="HO290" s="13"/>
      <c r="HP290" s="13"/>
      <c r="HQ290" s="13"/>
      <c r="HR290" s="13"/>
      <c r="HS290" s="13"/>
      <c r="HT290" s="13"/>
      <c r="HV290" s="18"/>
      <c r="HW290" s="18"/>
      <c r="HX290" s="18"/>
      <c r="HY290" s="18"/>
      <c r="HZ290" s="18"/>
      <c r="IA290" s="18"/>
      <c r="IB290" s="18"/>
      <c r="IC290" s="18"/>
      <c r="ID290" s="18"/>
      <c r="IE290" s="18"/>
      <c r="IF290" s="18"/>
      <c r="IG290" s="18"/>
      <c r="IH290" s="18"/>
      <c r="II290" s="18"/>
      <c r="IJ290" s="18"/>
      <c r="IK290" s="18"/>
      <c r="IL290" s="18"/>
      <c r="IM290" s="18"/>
      <c r="IN290" s="18"/>
      <c r="IO290" s="18"/>
    </row>
    <row r="291" spans="1:302" ht="11.1" hidden="1" customHeight="1" outlineLevel="1">
      <c r="M291" s="136" t="s">
        <v>35</v>
      </c>
      <c r="N291" s="136"/>
      <c r="O291" s="136"/>
      <c r="P291" s="298"/>
      <c r="Y291" s="14"/>
      <c r="Z291" s="14"/>
      <c r="AN291" s="18"/>
      <c r="AT291" s="51"/>
      <c r="AU291" s="15"/>
      <c r="AV291" s="15"/>
      <c r="AW291" s="15"/>
      <c r="AX291" s="15"/>
      <c r="AY291" s="15"/>
      <c r="AZ291" s="15"/>
      <c r="BA291" s="51"/>
      <c r="BB291" s="15"/>
      <c r="BC291" s="15"/>
      <c r="BD291" s="15"/>
      <c r="BE291" s="15"/>
      <c r="BF291" s="15"/>
      <c r="BG291" s="51"/>
      <c r="BH291" s="15"/>
      <c r="BI291" s="15"/>
      <c r="BJ291" s="15"/>
      <c r="BK291" s="51"/>
      <c r="BL291" s="15"/>
      <c r="BM291" s="15"/>
      <c r="BN291" s="15"/>
      <c r="BO291" s="15"/>
      <c r="BP291" s="15"/>
      <c r="BQ291" s="18"/>
      <c r="BR291" s="18"/>
      <c r="BS291" s="18"/>
      <c r="BT291" s="18"/>
      <c r="BU291" s="18"/>
      <c r="BV291" s="18"/>
      <c r="BW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  <c r="FR291" s="18"/>
      <c r="FS291" s="18"/>
      <c r="FT291" s="18"/>
      <c r="FU291" s="18"/>
      <c r="FV291" s="18"/>
      <c r="FW291" s="18"/>
      <c r="FX291" s="18"/>
      <c r="FY291" s="18"/>
      <c r="FZ291" s="18"/>
      <c r="GA291" s="18"/>
      <c r="GB291" s="18"/>
      <c r="GC291" s="18"/>
      <c r="GD291" s="18"/>
      <c r="GE291" s="18"/>
      <c r="GF291" s="18"/>
      <c r="GG291" s="18"/>
      <c r="GH291" s="18"/>
      <c r="GI291" s="18"/>
      <c r="GJ291" s="18"/>
      <c r="GK291" s="18"/>
      <c r="GL291" s="18"/>
      <c r="GM291" s="18"/>
      <c r="GN291" s="18"/>
      <c r="GO291" s="18"/>
      <c r="GP291" s="18"/>
      <c r="GQ291" s="18"/>
      <c r="GR291" s="18"/>
      <c r="GS291" s="18"/>
      <c r="GT291" s="18"/>
      <c r="GU291" s="18"/>
      <c r="GV291" s="18"/>
      <c r="GW291" s="18"/>
      <c r="GX291" s="18"/>
      <c r="GY291" s="18"/>
      <c r="GZ291" s="18"/>
      <c r="HA291" s="18"/>
      <c r="HB291" s="18"/>
      <c r="HC291" s="18"/>
      <c r="HD291" s="18"/>
      <c r="HE291" s="18"/>
      <c r="HF291" s="18"/>
      <c r="HG291" s="13"/>
      <c r="HH291" s="13"/>
      <c r="HI291" s="13"/>
      <c r="HJ291" s="13"/>
      <c r="HK291" s="13"/>
      <c r="HL291" s="13"/>
      <c r="HM291" s="13"/>
      <c r="HN291" s="13"/>
      <c r="HO291" s="13"/>
      <c r="HP291" s="13"/>
      <c r="HQ291" s="13"/>
      <c r="HR291" s="13"/>
      <c r="HS291" s="13"/>
      <c r="HT291" s="13"/>
      <c r="HV291" s="18"/>
      <c r="HW291" s="18"/>
      <c r="HX291" s="18"/>
      <c r="HY291" s="18"/>
      <c r="HZ291" s="18"/>
      <c r="IA291" s="18"/>
      <c r="IB291" s="18"/>
      <c r="IC291" s="18"/>
      <c r="ID291" s="18"/>
      <c r="IE291" s="18"/>
      <c r="IF291" s="18"/>
      <c r="IG291" s="18"/>
      <c r="IH291" s="18"/>
      <c r="II291" s="18"/>
      <c r="IJ291" s="18"/>
      <c r="IK291" s="18"/>
      <c r="IL291" s="18"/>
      <c r="IM291" s="18"/>
      <c r="IN291" s="18"/>
      <c r="IO291" s="18"/>
    </row>
    <row r="292" spans="1:302" ht="11.1" hidden="1" customHeight="1" outlineLevel="1">
      <c r="M292" s="136" t="s">
        <v>34</v>
      </c>
      <c r="N292" s="136"/>
      <c r="O292" s="136"/>
      <c r="P292" s="940"/>
      <c r="Y292" s="14"/>
      <c r="Z292" s="14"/>
      <c r="AN292" s="18"/>
      <c r="AT292" s="51"/>
      <c r="AU292" s="15"/>
      <c r="AV292" s="15"/>
      <c r="AW292" s="15"/>
      <c r="AX292" s="15"/>
      <c r="AY292" s="15"/>
      <c r="AZ292" s="15"/>
      <c r="BA292" s="51"/>
      <c r="BB292" s="15"/>
      <c r="BC292" s="15"/>
      <c r="BD292" s="15"/>
      <c r="BE292" s="15"/>
      <c r="BF292" s="15"/>
      <c r="BG292" s="51"/>
      <c r="BH292" s="15"/>
      <c r="BI292" s="15"/>
      <c r="BJ292" s="15"/>
      <c r="BK292" s="51"/>
      <c r="BL292" s="15"/>
      <c r="BM292" s="15"/>
      <c r="BN292" s="15"/>
      <c r="BO292" s="15"/>
      <c r="BP292" s="15"/>
      <c r="BQ292" s="18"/>
      <c r="BR292" s="18"/>
      <c r="BS292" s="18"/>
      <c r="BT292" s="18"/>
      <c r="BU292" s="18"/>
      <c r="BV292" s="18"/>
      <c r="BW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  <c r="FR292" s="18"/>
      <c r="FS292" s="18"/>
      <c r="FT292" s="18"/>
      <c r="FU292" s="18"/>
      <c r="FV292" s="18"/>
      <c r="FW292" s="18"/>
      <c r="FX292" s="18"/>
      <c r="FY292" s="18"/>
      <c r="FZ292" s="18"/>
      <c r="GA292" s="18"/>
      <c r="GB292" s="18"/>
      <c r="GC292" s="18"/>
      <c r="GD292" s="18"/>
      <c r="GE292" s="18"/>
      <c r="GF292" s="18"/>
      <c r="GG292" s="18"/>
      <c r="GH292" s="18"/>
      <c r="GI292" s="18"/>
      <c r="GJ292" s="18"/>
      <c r="GK292" s="18"/>
      <c r="GL292" s="18"/>
      <c r="GM292" s="18"/>
      <c r="GN292" s="18"/>
      <c r="GO292" s="18"/>
      <c r="GP292" s="18"/>
      <c r="GQ292" s="18"/>
      <c r="GR292" s="18"/>
      <c r="GS292" s="18"/>
      <c r="GT292" s="18"/>
      <c r="GU292" s="18"/>
      <c r="GV292" s="18"/>
      <c r="GW292" s="18"/>
      <c r="GX292" s="18"/>
      <c r="GY292" s="18"/>
      <c r="GZ292" s="18"/>
      <c r="HA292" s="18"/>
      <c r="HB292" s="18"/>
      <c r="HC292" s="18"/>
      <c r="HD292" s="18"/>
      <c r="HE292" s="18"/>
      <c r="HF292" s="18"/>
      <c r="HG292" s="13"/>
      <c r="HH292" s="13"/>
      <c r="HI292" s="13"/>
      <c r="HJ292" s="13"/>
      <c r="HK292" s="13"/>
      <c r="HL292" s="13"/>
      <c r="HM292" s="13"/>
      <c r="HN292" s="13"/>
      <c r="HO292" s="13"/>
      <c r="HP292" s="13"/>
      <c r="HQ292" s="13"/>
      <c r="HR292" s="13"/>
      <c r="HS292" s="13"/>
      <c r="HT292" s="13"/>
      <c r="HV292" s="18"/>
      <c r="HW292" s="18"/>
      <c r="HX292" s="18"/>
      <c r="HY292" s="18"/>
      <c r="HZ292" s="18"/>
      <c r="IA292" s="18"/>
      <c r="IB292" s="18"/>
      <c r="IC292" s="18"/>
      <c r="ID292" s="18"/>
      <c r="IE292" s="18"/>
      <c r="IF292" s="18"/>
      <c r="IG292" s="18"/>
      <c r="IH292" s="18"/>
      <c r="II292" s="18"/>
      <c r="IJ292" s="18"/>
      <c r="IK292" s="18"/>
      <c r="IL292" s="18"/>
      <c r="IM292" s="18"/>
      <c r="IN292" s="18"/>
      <c r="IO292" s="18"/>
    </row>
    <row r="293" spans="1:302" ht="11.1" hidden="1" customHeight="1" outlineLevel="1">
      <c r="M293" s="136" t="s">
        <v>62</v>
      </c>
      <c r="N293" s="136"/>
      <c r="O293" s="136"/>
      <c r="P293" s="297"/>
      <c r="Y293" s="14"/>
      <c r="Z293" s="14"/>
      <c r="AN293" s="18"/>
      <c r="AT293" s="51"/>
      <c r="AU293" s="15"/>
      <c r="AV293" s="15"/>
      <c r="AW293" s="15"/>
      <c r="AX293" s="15"/>
      <c r="AY293" s="15"/>
      <c r="AZ293" s="15"/>
      <c r="BA293" s="51"/>
      <c r="BB293" s="15"/>
      <c r="BC293" s="15"/>
      <c r="BD293" s="15"/>
      <c r="BE293" s="15"/>
      <c r="BF293" s="15"/>
      <c r="BG293" s="51"/>
      <c r="BH293" s="15"/>
      <c r="BI293" s="15"/>
      <c r="BJ293" s="15"/>
      <c r="BK293" s="51"/>
      <c r="BL293" s="15"/>
      <c r="BM293" s="15"/>
      <c r="BN293" s="15"/>
      <c r="BO293" s="15"/>
      <c r="BP293" s="15"/>
      <c r="BQ293" s="18"/>
      <c r="BR293" s="18"/>
      <c r="BS293" s="18"/>
      <c r="BT293" s="18"/>
      <c r="BU293" s="18"/>
      <c r="BV293" s="18"/>
      <c r="BW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  <c r="FR293" s="18"/>
      <c r="FS293" s="18"/>
      <c r="FT293" s="18"/>
      <c r="FU293" s="18"/>
      <c r="FV293" s="18"/>
      <c r="FW293" s="18"/>
      <c r="FX293" s="18"/>
      <c r="FY293" s="18"/>
      <c r="FZ293" s="18"/>
      <c r="GA293" s="18"/>
      <c r="GB293" s="18"/>
      <c r="GC293" s="18"/>
      <c r="GD293" s="18"/>
      <c r="GE293" s="18"/>
      <c r="GF293" s="18"/>
      <c r="GG293" s="18"/>
      <c r="GH293" s="18"/>
      <c r="GI293" s="18"/>
      <c r="GJ293" s="18"/>
      <c r="GK293" s="18"/>
      <c r="GL293" s="18"/>
      <c r="GM293" s="18"/>
      <c r="GN293" s="18"/>
      <c r="GO293" s="18"/>
      <c r="GP293" s="18"/>
      <c r="GQ293" s="18"/>
      <c r="GR293" s="18"/>
      <c r="GS293" s="18"/>
      <c r="GT293" s="18"/>
      <c r="GU293" s="18"/>
      <c r="GV293" s="18"/>
      <c r="GW293" s="18"/>
      <c r="GX293" s="18"/>
      <c r="GY293" s="18"/>
      <c r="GZ293" s="18"/>
      <c r="HA293" s="18"/>
      <c r="HB293" s="18"/>
      <c r="HC293" s="18"/>
      <c r="HD293" s="18"/>
      <c r="HE293" s="18"/>
      <c r="HF293" s="18"/>
      <c r="HG293" s="13"/>
      <c r="HH293" s="13"/>
      <c r="HI293" s="13"/>
      <c r="HJ293" s="13"/>
      <c r="HK293" s="13"/>
      <c r="HL293" s="13"/>
      <c r="HM293" s="13"/>
      <c r="HN293" s="13"/>
      <c r="HO293" s="13"/>
      <c r="HP293" s="13"/>
      <c r="HQ293" s="13"/>
      <c r="HR293" s="13"/>
      <c r="HS293" s="13"/>
      <c r="HT293" s="13"/>
      <c r="HV293" s="18"/>
      <c r="HW293" s="18"/>
      <c r="HX293" s="18"/>
      <c r="HY293" s="18"/>
      <c r="HZ293" s="18"/>
      <c r="IA293" s="18"/>
      <c r="IB293" s="18"/>
      <c r="IC293" s="18"/>
      <c r="ID293" s="18"/>
      <c r="IE293" s="18"/>
      <c r="IF293" s="18"/>
      <c r="IG293" s="18"/>
      <c r="IH293" s="18"/>
      <c r="II293" s="18"/>
      <c r="IJ293" s="18"/>
      <c r="IK293" s="18"/>
      <c r="IL293" s="18"/>
      <c r="IM293" s="18"/>
      <c r="IN293" s="18"/>
      <c r="IO293" s="18"/>
    </row>
    <row r="294" spans="1:302" ht="11.1" hidden="1" customHeight="1" outlineLevel="1">
      <c r="M294" s="136" t="s">
        <v>61</v>
      </c>
      <c r="N294" s="136"/>
      <c r="O294" s="136"/>
      <c r="P294" s="297"/>
      <c r="Y294" s="14"/>
      <c r="Z294" s="14"/>
      <c r="AN294" s="18"/>
      <c r="AT294" s="51"/>
      <c r="AU294" s="15"/>
      <c r="AV294" s="15"/>
      <c r="AW294" s="15"/>
      <c r="AX294" s="15"/>
      <c r="AY294" s="15"/>
      <c r="AZ294" s="15"/>
      <c r="BA294" s="51"/>
      <c r="BB294" s="15"/>
      <c r="BC294" s="15"/>
      <c r="BD294" s="15"/>
      <c r="BE294" s="15"/>
      <c r="BF294" s="15"/>
      <c r="BG294" s="51"/>
      <c r="BH294" s="15"/>
      <c r="BI294" s="15"/>
      <c r="BJ294" s="15"/>
      <c r="BK294" s="51"/>
      <c r="BL294" s="15"/>
      <c r="BM294" s="15"/>
      <c r="BN294" s="15"/>
      <c r="BO294" s="15"/>
      <c r="BP294" s="15"/>
      <c r="BQ294" s="18"/>
      <c r="BR294" s="18"/>
      <c r="BS294" s="18"/>
      <c r="BT294" s="18"/>
      <c r="BU294" s="18"/>
      <c r="BV294" s="18"/>
      <c r="BW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  <c r="FR294" s="18"/>
      <c r="FS294" s="18"/>
      <c r="FT294" s="18"/>
      <c r="FU294" s="18"/>
      <c r="FV294" s="18"/>
      <c r="FW294" s="18"/>
      <c r="FX294" s="18"/>
      <c r="FY294" s="18"/>
      <c r="FZ294" s="18"/>
      <c r="GA294" s="18"/>
      <c r="GB294" s="18"/>
      <c r="GC294" s="18"/>
      <c r="GD294" s="18"/>
      <c r="GE294" s="18"/>
      <c r="GF294" s="18"/>
      <c r="GG294" s="18"/>
      <c r="GH294" s="18"/>
      <c r="GI294" s="18"/>
      <c r="GJ294" s="18"/>
      <c r="GK294" s="18"/>
      <c r="GL294" s="18"/>
      <c r="GM294" s="18"/>
      <c r="GN294" s="18"/>
      <c r="GO294" s="18"/>
      <c r="GP294" s="18"/>
      <c r="GQ294" s="18"/>
      <c r="GR294" s="18"/>
      <c r="GS294" s="18"/>
      <c r="GT294" s="18"/>
      <c r="GU294" s="18"/>
      <c r="GV294" s="18"/>
      <c r="GW294" s="18"/>
      <c r="GX294" s="18"/>
      <c r="GY294" s="18"/>
      <c r="GZ294" s="18"/>
      <c r="HA294" s="18"/>
      <c r="HB294" s="18"/>
      <c r="HC294" s="18"/>
      <c r="HD294" s="18"/>
      <c r="HE294" s="18"/>
      <c r="HF294" s="18"/>
      <c r="HG294" s="13"/>
      <c r="HH294" s="13"/>
      <c r="HI294" s="13"/>
      <c r="HJ294" s="13"/>
      <c r="HK294" s="13"/>
      <c r="HL294" s="13"/>
      <c r="HM294" s="13"/>
      <c r="HN294" s="13"/>
      <c r="HO294" s="13"/>
      <c r="HP294" s="13"/>
      <c r="HQ294" s="13"/>
      <c r="HR294" s="13"/>
      <c r="HS294" s="13"/>
      <c r="HT294" s="13"/>
      <c r="HV294" s="18"/>
      <c r="HW294" s="18"/>
      <c r="HX294" s="18"/>
      <c r="HY294" s="18"/>
      <c r="HZ294" s="18"/>
      <c r="IA294" s="18"/>
      <c r="IB294" s="18"/>
      <c r="IC294" s="18"/>
      <c r="ID294" s="18"/>
      <c r="IE294" s="18"/>
      <c r="IF294" s="18"/>
      <c r="IG294" s="18"/>
      <c r="IH294" s="18"/>
      <c r="II294" s="18"/>
      <c r="IJ294" s="18"/>
      <c r="IK294" s="18"/>
      <c r="IL294" s="18"/>
      <c r="IM294" s="18"/>
      <c r="IN294" s="18"/>
      <c r="IO294" s="18"/>
    </row>
    <row r="295" spans="1:302" ht="11.1" hidden="1" customHeight="1" outlineLevel="1">
      <c r="M295" s="136" t="s">
        <v>59</v>
      </c>
      <c r="N295" s="136"/>
      <c r="O295" s="136"/>
      <c r="P295" s="297"/>
      <c r="Y295" s="14"/>
      <c r="Z295" s="14"/>
      <c r="AN295" s="18"/>
      <c r="AT295" s="51"/>
      <c r="AU295" s="15"/>
      <c r="AV295" s="15"/>
      <c r="AW295" s="15"/>
      <c r="AX295" s="15"/>
      <c r="AY295" s="15"/>
      <c r="AZ295" s="15"/>
      <c r="BA295" s="51"/>
      <c r="BB295" s="15"/>
      <c r="BC295" s="15"/>
      <c r="BD295" s="15"/>
      <c r="BE295" s="15"/>
      <c r="BF295" s="15"/>
      <c r="BG295" s="51"/>
      <c r="BH295" s="15"/>
      <c r="BI295" s="15"/>
      <c r="BJ295" s="15"/>
      <c r="BK295" s="51"/>
      <c r="BL295" s="15"/>
      <c r="BM295" s="15"/>
      <c r="BN295" s="15"/>
      <c r="BO295" s="15"/>
      <c r="BP295" s="15"/>
      <c r="BQ295" s="18"/>
      <c r="BR295" s="18"/>
      <c r="BS295" s="18"/>
      <c r="BT295" s="18"/>
      <c r="BU295" s="18"/>
      <c r="BV295" s="18"/>
      <c r="BW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  <c r="FR295" s="18"/>
      <c r="FS295" s="18"/>
      <c r="FT295" s="18"/>
      <c r="FU295" s="18"/>
      <c r="FV295" s="18"/>
      <c r="FW295" s="18"/>
      <c r="FX295" s="18"/>
      <c r="FY295" s="18"/>
      <c r="FZ295" s="18"/>
      <c r="GA295" s="18"/>
      <c r="GB295" s="18"/>
      <c r="GC295" s="18"/>
      <c r="GD295" s="18"/>
      <c r="GE295" s="18"/>
      <c r="GF295" s="18"/>
      <c r="GG295" s="18"/>
      <c r="GH295" s="18"/>
      <c r="GI295" s="18"/>
      <c r="GJ295" s="18"/>
      <c r="GK295" s="18"/>
      <c r="GL295" s="18"/>
      <c r="GM295" s="18"/>
      <c r="GN295" s="18"/>
      <c r="GO295" s="18"/>
      <c r="GP295" s="18"/>
      <c r="GQ295" s="18"/>
      <c r="GR295" s="18"/>
      <c r="GS295" s="18"/>
      <c r="GT295" s="18"/>
      <c r="GU295" s="18"/>
      <c r="GV295" s="18"/>
      <c r="GW295" s="18"/>
      <c r="GX295" s="18"/>
      <c r="GY295" s="18"/>
      <c r="GZ295" s="18"/>
      <c r="HA295" s="18"/>
      <c r="HB295" s="18"/>
      <c r="HC295" s="18"/>
      <c r="HD295" s="18"/>
      <c r="HE295" s="18"/>
      <c r="HF295" s="18"/>
      <c r="HG295" s="13"/>
      <c r="HH295" s="13"/>
      <c r="HI295" s="13"/>
      <c r="HJ295" s="13"/>
      <c r="HK295" s="13"/>
      <c r="HL295" s="13"/>
      <c r="HM295" s="13"/>
      <c r="HN295" s="13"/>
      <c r="HO295" s="13"/>
      <c r="HP295" s="13"/>
      <c r="HQ295" s="13"/>
      <c r="HR295" s="13"/>
      <c r="HS295" s="13"/>
      <c r="HT295" s="13"/>
      <c r="HV295" s="18"/>
      <c r="HW295" s="18"/>
      <c r="HX295" s="18"/>
      <c r="HY295" s="18"/>
      <c r="HZ295" s="18"/>
      <c r="IA295" s="18"/>
      <c r="IB295" s="18"/>
      <c r="IC295" s="18"/>
      <c r="ID295" s="18"/>
      <c r="IE295" s="18"/>
      <c r="IF295" s="18"/>
      <c r="IG295" s="18"/>
      <c r="IH295" s="18"/>
      <c r="II295" s="18"/>
      <c r="IJ295" s="18"/>
      <c r="IK295" s="18"/>
      <c r="IL295" s="18"/>
      <c r="IM295" s="18"/>
      <c r="IN295" s="18"/>
      <c r="IO295" s="18"/>
    </row>
    <row r="296" spans="1:302" ht="10.5" hidden="1" customHeight="1" outlineLevel="1">
      <c r="M296" s="136"/>
      <c r="N296" s="136"/>
      <c r="O296" s="136"/>
      <c r="P296" s="67"/>
      <c r="Y296" s="14"/>
      <c r="Z296" s="14"/>
      <c r="AN296" s="18"/>
      <c r="AT296" s="51"/>
      <c r="AU296" s="15"/>
      <c r="AV296" s="15"/>
      <c r="AW296" s="15"/>
      <c r="AX296" s="15"/>
      <c r="AY296" s="15"/>
      <c r="AZ296" s="15"/>
      <c r="BA296" s="51"/>
      <c r="BB296" s="15"/>
      <c r="BC296" s="15"/>
      <c r="BD296" s="15"/>
      <c r="BE296" s="15"/>
      <c r="BF296" s="15"/>
      <c r="BG296" s="51"/>
      <c r="BH296" s="15"/>
      <c r="BI296" s="15"/>
      <c r="BJ296" s="15"/>
      <c r="BK296" s="51"/>
      <c r="BL296" s="15"/>
      <c r="BM296" s="15"/>
      <c r="BN296" s="15"/>
      <c r="BO296" s="15"/>
      <c r="BP296" s="15"/>
      <c r="BQ296" s="18"/>
      <c r="BR296" s="18"/>
      <c r="BS296" s="18"/>
      <c r="BT296" s="18"/>
      <c r="BU296" s="18"/>
      <c r="BV296" s="18"/>
      <c r="BW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  <c r="FR296" s="18"/>
      <c r="FS296" s="18"/>
      <c r="FT296" s="18"/>
      <c r="FU296" s="18"/>
      <c r="FV296" s="18"/>
      <c r="FW296" s="18"/>
      <c r="FX296" s="18"/>
      <c r="FY296" s="18"/>
      <c r="FZ296" s="18"/>
      <c r="GA296" s="18"/>
      <c r="GB296" s="18"/>
      <c r="GC296" s="18"/>
      <c r="GD296" s="18"/>
      <c r="GE296" s="18"/>
      <c r="GF296" s="18"/>
      <c r="GG296" s="18"/>
      <c r="GH296" s="18"/>
      <c r="GI296" s="18"/>
      <c r="GJ296" s="18"/>
      <c r="GK296" s="18"/>
      <c r="GL296" s="18"/>
      <c r="GM296" s="18"/>
      <c r="GN296" s="18"/>
      <c r="GO296" s="18"/>
      <c r="GP296" s="18"/>
      <c r="GQ296" s="18"/>
      <c r="GR296" s="18"/>
      <c r="GS296" s="18"/>
      <c r="GT296" s="18"/>
      <c r="GU296" s="18"/>
      <c r="GV296" s="18"/>
      <c r="GW296" s="18"/>
      <c r="GX296" s="18"/>
      <c r="GY296" s="18"/>
      <c r="GZ296" s="18"/>
      <c r="HA296" s="18"/>
      <c r="HB296" s="18"/>
      <c r="HC296" s="18"/>
      <c r="HD296" s="18"/>
      <c r="HE296" s="18"/>
      <c r="HF296" s="18"/>
      <c r="HG296" s="13"/>
      <c r="HH296" s="13"/>
      <c r="HI296" s="13"/>
      <c r="HJ296" s="13"/>
      <c r="HK296" s="13"/>
      <c r="HL296" s="13"/>
      <c r="HM296" s="13"/>
      <c r="HN296" s="13"/>
      <c r="HO296" s="13"/>
      <c r="HP296" s="13"/>
      <c r="HQ296" s="13"/>
      <c r="HR296" s="13"/>
      <c r="HS296" s="13"/>
      <c r="HT296" s="13"/>
      <c r="HV296" s="18"/>
      <c r="HW296" s="18"/>
      <c r="HX296" s="18"/>
      <c r="HY296" s="18"/>
      <c r="HZ296" s="18"/>
      <c r="IA296" s="18"/>
      <c r="IB296" s="18"/>
      <c r="IC296" s="18"/>
      <c r="ID296" s="18"/>
      <c r="IE296" s="18"/>
      <c r="IF296" s="18"/>
      <c r="IG296" s="18"/>
      <c r="IH296" s="18"/>
      <c r="II296" s="18"/>
      <c r="IJ296" s="18"/>
      <c r="IK296" s="18"/>
      <c r="IL296" s="18"/>
      <c r="IM296" s="18"/>
      <c r="IN296" s="18"/>
      <c r="IO296" s="18"/>
    </row>
    <row r="297" spans="1:302" s="3" customFormat="1" ht="5.0999999999999996" hidden="1" customHeight="1" outlineLevel="1" collapsed="1">
      <c r="B297" s="192"/>
      <c r="K297" s="40"/>
      <c r="L297" s="40"/>
      <c r="M297" s="136"/>
      <c r="N297" s="136"/>
      <c r="O297" s="136"/>
      <c r="P297" s="246">
        <v>10.220000000000001</v>
      </c>
      <c r="AG297" s="35"/>
      <c r="AH297" s="35"/>
      <c r="AI297" s="35"/>
      <c r="AJ297" s="35"/>
      <c r="AK297" s="296"/>
      <c r="AN297" s="13"/>
      <c r="AR297" s="7"/>
      <c r="AT297" s="24"/>
      <c r="AU297" s="981"/>
      <c r="AV297" s="981"/>
      <c r="AW297" s="981"/>
      <c r="AX297" s="981"/>
      <c r="AY297" s="981"/>
      <c r="AZ297" s="981"/>
      <c r="BA297" s="24"/>
      <c r="BB297" s="981"/>
      <c r="BC297" s="981"/>
      <c r="BD297" s="981"/>
      <c r="BE297" s="981"/>
      <c r="BF297" s="981"/>
      <c r="BG297" s="24"/>
      <c r="BH297" s="981"/>
      <c r="BI297" s="981"/>
      <c r="BJ297" s="981"/>
      <c r="BK297" s="24"/>
      <c r="BL297" s="981"/>
      <c r="BM297" s="981"/>
      <c r="BN297" s="981"/>
      <c r="BO297" s="981"/>
      <c r="BP297" s="981"/>
      <c r="BQ297" s="13"/>
      <c r="BR297" s="13"/>
      <c r="BS297" s="13"/>
      <c r="BT297" s="13"/>
      <c r="BU297" s="13"/>
      <c r="BV297" s="13"/>
      <c r="BW297" s="13"/>
      <c r="BX297" s="31"/>
      <c r="BY297" s="13"/>
      <c r="BZ297" s="13"/>
      <c r="CA297" s="13"/>
      <c r="CB297" s="13"/>
      <c r="CC297" s="13"/>
      <c r="CD297" s="13"/>
      <c r="CE297" s="13"/>
      <c r="CF297" s="13"/>
      <c r="CG297" s="13"/>
      <c r="CH297" s="13"/>
      <c r="CI297" s="13"/>
      <c r="CJ297" s="13"/>
      <c r="CK297" s="13"/>
      <c r="CL297" s="13"/>
      <c r="CM297" s="13"/>
      <c r="CN297" s="13"/>
      <c r="CO297" s="13"/>
      <c r="CP297" s="13"/>
      <c r="CQ297" s="13"/>
      <c r="CR297" s="13"/>
      <c r="CS297" s="31"/>
      <c r="CT297" s="13"/>
      <c r="CU297" s="13"/>
      <c r="CV297" s="13"/>
      <c r="CW297" s="13"/>
      <c r="CX297" s="13"/>
      <c r="CY297" s="13"/>
      <c r="CZ297" s="13"/>
      <c r="DA297" s="13"/>
      <c r="DB297" s="13"/>
      <c r="DC297" s="13"/>
      <c r="DD297" s="13"/>
      <c r="DE297" s="13"/>
      <c r="DF297" s="13"/>
      <c r="DG297" s="13"/>
      <c r="DH297" s="13"/>
      <c r="DI297" s="13"/>
      <c r="DJ297" s="13"/>
      <c r="DK297" s="13"/>
      <c r="DL297" s="13"/>
      <c r="DM297" s="13"/>
      <c r="DN297" s="13"/>
      <c r="DO297" s="31"/>
      <c r="DP297" s="13"/>
      <c r="DQ297" s="13"/>
      <c r="DR297" s="13"/>
      <c r="DS297" s="13"/>
      <c r="DT297" s="13"/>
      <c r="DU297" s="13"/>
      <c r="DV297" s="13"/>
      <c r="DW297" s="13"/>
      <c r="DX297" s="13"/>
      <c r="DY297" s="13"/>
      <c r="DZ297" s="13"/>
      <c r="EA297" s="13"/>
      <c r="EB297" s="13"/>
      <c r="EC297" s="13"/>
      <c r="ED297" s="13"/>
      <c r="EE297" s="13"/>
      <c r="EF297" s="13"/>
      <c r="EG297" s="13"/>
      <c r="EH297" s="13"/>
      <c r="EI297" s="13"/>
      <c r="EJ297" s="13"/>
      <c r="EK297" s="13"/>
      <c r="EL297" s="13"/>
      <c r="EM297" s="13"/>
      <c r="EN297" s="13"/>
      <c r="EO297" s="13"/>
      <c r="EP297" s="13"/>
      <c r="EQ297" s="13"/>
      <c r="ER297" s="13"/>
      <c r="ES297" s="13"/>
      <c r="ET297" s="13"/>
      <c r="EU297" s="13"/>
      <c r="EV297" s="13"/>
      <c r="EW297" s="13"/>
      <c r="EX297" s="13"/>
      <c r="EY297" s="13"/>
      <c r="EZ297" s="13"/>
      <c r="FA297" s="13"/>
      <c r="FB297" s="13"/>
      <c r="FC297" s="13"/>
      <c r="FD297" s="13"/>
      <c r="FE297" s="13"/>
      <c r="FF297" s="13"/>
      <c r="FG297" s="13"/>
      <c r="FH297" s="13"/>
      <c r="FI297" s="13"/>
      <c r="FJ297" s="13"/>
      <c r="FK297" s="13"/>
      <c r="FL297" s="13"/>
      <c r="FM297" s="13"/>
      <c r="FN297" s="13"/>
      <c r="FO297" s="13"/>
      <c r="FP297" s="13"/>
      <c r="FQ297" s="13"/>
      <c r="FR297" s="13"/>
      <c r="FS297" s="13"/>
      <c r="FT297" s="13"/>
      <c r="FU297" s="13"/>
      <c r="FV297" s="13"/>
      <c r="FW297" s="13"/>
      <c r="FX297" s="13"/>
      <c r="FY297" s="13"/>
      <c r="FZ297" s="13"/>
      <c r="GA297" s="13"/>
      <c r="GB297" s="13"/>
      <c r="GC297" s="13"/>
      <c r="GD297" s="13"/>
      <c r="GE297" s="13"/>
      <c r="GF297" s="13"/>
      <c r="GG297" s="13"/>
      <c r="GH297" s="13"/>
      <c r="GI297" s="13"/>
      <c r="GJ297" s="13"/>
      <c r="GK297" s="13"/>
      <c r="GL297" s="13"/>
      <c r="GM297" s="13"/>
      <c r="GN297" s="13"/>
      <c r="GO297" s="13"/>
      <c r="GP297" s="13"/>
      <c r="GQ297" s="13"/>
      <c r="GR297" s="13"/>
      <c r="GS297" s="13"/>
      <c r="GT297" s="13"/>
      <c r="GU297" s="13"/>
      <c r="GV297" s="13"/>
      <c r="GW297" s="13"/>
      <c r="GX297" s="13"/>
      <c r="GY297" s="13"/>
      <c r="GZ297" s="13"/>
      <c r="HA297" s="13"/>
      <c r="HB297" s="13"/>
      <c r="HC297" s="13"/>
      <c r="HD297" s="13"/>
      <c r="HE297" s="13"/>
      <c r="HF297" s="13"/>
      <c r="HG297" s="13"/>
      <c r="HH297" s="13"/>
      <c r="HI297" s="13"/>
      <c r="HJ297" s="13"/>
      <c r="HK297" s="13"/>
      <c r="HL297" s="13"/>
      <c r="HM297" s="13"/>
      <c r="HN297" s="13"/>
      <c r="HO297" s="13"/>
      <c r="HP297" s="13"/>
      <c r="HQ297" s="13"/>
      <c r="HR297" s="13"/>
      <c r="HS297" s="13"/>
      <c r="HT297" s="13"/>
      <c r="HU297" s="31"/>
      <c r="HV297" s="13"/>
      <c r="HW297" s="13"/>
      <c r="HX297" s="13"/>
      <c r="HY297" s="13"/>
      <c r="HZ297" s="13"/>
      <c r="IA297" s="13"/>
      <c r="IB297" s="13"/>
      <c r="IC297" s="13"/>
      <c r="ID297" s="13"/>
      <c r="IE297" s="13"/>
      <c r="IF297" s="13"/>
      <c r="IG297" s="13"/>
      <c r="IH297" s="13"/>
      <c r="II297" s="13"/>
      <c r="IJ297" s="13"/>
      <c r="IK297" s="13"/>
      <c r="IL297" s="13"/>
      <c r="IM297" s="13"/>
      <c r="IN297" s="13"/>
      <c r="IO297" s="13"/>
      <c r="JR297" s="14"/>
      <c r="JS297" s="14"/>
      <c r="JT297" s="14"/>
      <c r="JU297" s="14"/>
      <c r="JV297" s="14"/>
      <c r="JW297" s="14"/>
      <c r="JX297" s="14"/>
      <c r="JY297" s="14"/>
      <c r="JZ297" s="14"/>
      <c r="KA297" s="14"/>
      <c r="KB297" s="14"/>
      <c r="KC297" s="14"/>
      <c r="KD297" s="14"/>
      <c r="KE297" s="14"/>
      <c r="KF297" s="14"/>
      <c r="KG297" s="14"/>
      <c r="KH297" s="14"/>
      <c r="KI297" s="14"/>
      <c r="KJ297" s="14"/>
      <c r="KK297" s="14"/>
      <c r="KL297" s="14"/>
      <c r="KM297" s="14"/>
      <c r="KN297" s="14"/>
      <c r="KO297" s="14"/>
      <c r="KP297" s="14"/>
    </row>
    <row r="298" spans="1:302" ht="11.1" hidden="1" customHeight="1" outlineLevel="1">
      <c r="A298" s="30" t="s">
        <v>98</v>
      </c>
      <c r="D298" s="38" t="s">
        <v>97</v>
      </c>
      <c r="F298" s="11">
        <v>0</v>
      </c>
      <c r="G298" s="946">
        <v>41282</v>
      </c>
      <c r="H298" s="946"/>
      <c r="I298" s="1067">
        <v>10.8</v>
      </c>
      <c r="J298" s="1067"/>
      <c r="K298" s="1067"/>
      <c r="M298" s="136"/>
      <c r="N298" s="136"/>
      <c r="O298" s="136"/>
      <c r="P298" s="280">
        <v>10.08</v>
      </c>
      <c r="Q298" s="1"/>
      <c r="T298" s="193"/>
      <c r="U298" s="193"/>
      <c r="V298" s="193"/>
      <c r="W298" s="193"/>
      <c r="X298" s="295"/>
      <c r="Y298" s="295"/>
      <c r="Z298" s="295"/>
      <c r="AA298" s="295"/>
      <c r="AB298" s="947">
        <f>F298*P298</f>
        <v>0</v>
      </c>
      <c r="AC298" s="947"/>
      <c r="AD298" s="190">
        <f>-((I298*F298)-(P298*F298))</f>
        <v>0</v>
      </c>
      <c r="AE298" s="290"/>
      <c r="AF298" s="205" t="e">
        <f>IF(#REF!-AP298&lt;0,#REF!-AP298,(#REF!-AP298)*0.8)</f>
        <v>#REF!</v>
      </c>
      <c r="AG298" s="934"/>
      <c r="AH298" s="934"/>
      <c r="AI298" s="289"/>
      <c r="AJ298" s="34" t="s">
        <v>66</v>
      </c>
      <c r="AL298" s="279" t="s">
        <v>71</v>
      </c>
      <c r="AN298" s="179"/>
      <c r="AO298" s="38"/>
      <c r="AP298" s="188">
        <f>F298*I298+AN298+AN299</f>
        <v>0</v>
      </c>
      <c r="AT298" s="51"/>
      <c r="AU298" s="15"/>
      <c r="AV298" s="15"/>
      <c r="AW298" s="15"/>
      <c r="AX298" s="15"/>
      <c r="AY298" s="15"/>
      <c r="AZ298" s="15"/>
      <c r="BA298" s="51"/>
      <c r="BB298" s="15"/>
      <c r="BC298" s="15"/>
      <c r="BD298" s="15"/>
      <c r="BE298" s="15"/>
      <c r="BF298" s="15"/>
      <c r="BG298" s="51"/>
      <c r="BH298" s="15"/>
      <c r="BI298" s="15"/>
      <c r="BJ298" s="15"/>
      <c r="BK298" s="51"/>
      <c r="BL298" s="15"/>
      <c r="BM298" s="15"/>
      <c r="BN298" s="15"/>
      <c r="BO298" s="15"/>
      <c r="BP298" s="15"/>
      <c r="BQ298" s="18"/>
      <c r="BR298" s="18"/>
      <c r="BS298" s="18"/>
      <c r="BT298" s="18"/>
      <c r="BU298" s="18"/>
      <c r="BV298" s="18"/>
      <c r="BW298" s="18"/>
      <c r="BX298" s="139"/>
      <c r="BY298" s="139"/>
      <c r="BZ298" s="139"/>
      <c r="CA298" s="139"/>
      <c r="CB298" s="139"/>
      <c r="CC298" s="139"/>
      <c r="CD298" s="139"/>
      <c r="CE298" s="139"/>
      <c r="CF298" s="139"/>
      <c r="CG298" s="139"/>
      <c r="CH298" s="139"/>
      <c r="CI298" s="139"/>
      <c r="CJ298" s="139"/>
      <c r="CK298" s="139"/>
      <c r="CL298" s="139"/>
      <c r="CM298" s="139"/>
      <c r="CN298" s="139"/>
      <c r="CO298" s="139"/>
      <c r="CP298" s="139"/>
      <c r="CQ298" s="139"/>
      <c r="CR298" s="139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  <c r="FR298" s="18"/>
      <c r="FS298" s="18"/>
      <c r="FT298" s="18"/>
      <c r="FU298" s="18"/>
      <c r="FV298" s="18"/>
      <c r="FW298" s="18"/>
      <c r="FX298" s="18"/>
      <c r="FY298" s="18"/>
      <c r="FZ298" s="18"/>
      <c r="GA298" s="18"/>
      <c r="GB298" s="18"/>
      <c r="GC298" s="18"/>
      <c r="GD298" s="18"/>
      <c r="GE298" s="18"/>
      <c r="GF298" s="18"/>
      <c r="GG298" s="18"/>
      <c r="GH298" s="18"/>
      <c r="GI298" s="18"/>
      <c r="GJ298" s="18"/>
      <c r="GK298" s="18"/>
      <c r="GL298" s="18"/>
      <c r="GM298" s="18"/>
      <c r="GN298" s="18"/>
      <c r="GO298" s="18"/>
      <c r="GP298" s="18"/>
      <c r="GQ298" s="18"/>
      <c r="GR298" s="18"/>
      <c r="GS298" s="18"/>
      <c r="GT298" s="18"/>
      <c r="GU298" s="18"/>
      <c r="GV298" s="18"/>
      <c r="GW298" s="18"/>
      <c r="GX298" s="18"/>
      <c r="GY298" s="18"/>
      <c r="GZ298" s="18"/>
      <c r="HA298" s="18"/>
      <c r="HB298" s="18"/>
      <c r="HC298" s="18"/>
      <c r="HD298" s="18"/>
      <c r="HE298" s="18"/>
      <c r="HF298" s="18"/>
      <c r="HG298" s="13"/>
      <c r="HH298" s="13"/>
      <c r="HI298" s="13"/>
      <c r="HJ298" s="13"/>
      <c r="HK298" s="13"/>
      <c r="HL298" s="13"/>
      <c r="HM298" s="13"/>
      <c r="HN298" s="13"/>
      <c r="HO298" s="13"/>
      <c r="HP298" s="13"/>
      <c r="HQ298" s="13"/>
      <c r="HR298" s="13"/>
      <c r="HS298" s="13"/>
      <c r="HT298" s="13"/>
      <c r="HU298" s="278" t="str">
        <f>IF(AL299=1,AB298,"")</f>
        <v/>
      </c>
      <c r="HV298" s="277">
        <f>IF(AL299=2,AB298,"")</f>
        <v>0</v>
      </c>
      <c r="HW298" s="277" t="str">
        <f>IF(AL299=3,AB298,"")</f>
        <v/>
      </c>
      <c r="HX298" s="277" t="str">
        <f>IF(AL299=4,AB298,"")</f>
        <v/>
      </c>
      <c r="HY298" s="277" t="str">
        <f>IF(AL299=5,AB298,"")</f>
        <v/>
      </c>
      <c r="HZ298" s="277" t="str">
        <f>IF(AL299=6,AB298,"")</f>
        <v/>
      </c>
      <c r="IA298" s="277" t="str">
        <f>IF(AL299=7,AB298,"")</f>
        <v/>
      </c>
      <c r="IB298" s="277" t="str">
        <f>IF(AL299=8,AB298,"")</f>
        <v/>
      </c>
      <c r="IC298" s="277" t="str">
        <f>IF(AL299=9,AB298,"")</f>
        <v/>
      </c>
      <c r="ID298" s="277" t="str">
        <f>IF(AL299=10,AB298,"")</f>
        <v/>
      </c>
      <c r="IE298" s="277" t="str">
        <f>IF(AL299=11,AB298,"")</f>
        <v/>
      </c>
      <c r="IF298" s="277" t="str">
        <f>IF(AL299=12,AB298,"")</f>
        <v/>
      </c>
      <c r="IG298" s="277" t="str">
        <f>IF(AL299=13,AB298,"")</f>
        <v/>
      </c>
      <c r="IH298" s="277" t="str">
        <f>IF(AL299=14,AB298,"")</f>
        <v/>
      </c>
      <c r="II298" s="277" t="str">
        <f>IF(AL299=15,AB298,"")</f>
        <v/>
      </c>
      <c r="IJ298" s="277" t="str">
        <f>IF(AL299=16,AB298,"")</f>
        <v/>
      </c>
      <c r="IK298" s="277" t="str">
        <f>IF(AL299=17,AB298,"")</f>
        <v/>
      </c>
      <c r="IL298" s="277" t="str">
        <f>IF(AL299=18,AB298,"")</f>
        <v/>
      </c>
      <c r="IM298" s="277" t="str">
        <f>IF(AL299=19,AB298,"")</f>
        <v/>
      </c>
      <c r="IN298" s="277" t="str">
        <f>IF(AL299=20,AB298,"")</f>
        <v/>
      </c>
      <c r="IO298" s="277" t="str">
        <f>IF(AL299=21,AB298,"")</f>
        <v/>
      </c>
      <c r="IP298" s="277" t="str">
        <f>IF(AL299=22,AB298,"")</f>
        <v/>
      </c>
    </row>
    <row r="299" spans="1:302" ht="11.1" hidden="1" customHeight="1" outlineLevel="1">
      <c r="F299" s="301"/>
      <c r="I299" s="294"/>
      <c r="J299" s="294"/>
      <c r="K299" s="185">
        <f>AP298</f>
        <v>0</v>
      </c>
      <c r="M299" s="136"/>
      <c r="N299" s="136"/>
      <c r="O299" s="136"/>
      <c r="P299" s="246">
        <v>10.1</v>
      </c>
      <c r="Q299" s="1"/>
      <c r="T299" s="293"/>
      <c r="U299" s="293"/>
      <c r="V299" s="293"/>
      <c r="W299" s="293"/>
      <c r="X299" s="292"/>
      <c r="Y299" s="292"/>
      <c r="Z299" s="292"/>
      <c r="AA299" s="292"/>
      <c r="AB299" s="947"/>
      <c r="AC299" s="947"/>
      <c r="AD299" s="183">
        <f>((P298-I298)/I298)</f>
        <v>-6.6666666666666721E-2</v>
      </c>
      <c r="AE299" s="183"/>
      <c r="AL299" s="275">
        <f>VLOOKUP(AL298,'[2]IBAN CONTI'!A$106:B$122,2,FALSE)</f>
        <v>2</v>
      </c>
      <c r="AN299" s="179"/>
      <c r="AO299" s="38"/>
      <c r="AP299" s="38"/>
      <c r="AT299" s="51"/>
      <c r="AU299" s="15"/>
      <c r="AV299" s="15"/>
      <c r="AW299" s="15"/>
      <c r="AX299" s="15"/>
      <c r="AY299" s="15"/>
      <c r="AZ299" s="15"/>
      <c r="BA299" s="51"/>
      <c r="BB299" s="15"/>
      <c r="BC299" s="15"/>
      <c r="BD299" s="15"/>
      <c r="BE299" s="15"/>
      <c r="BF299" s="15"/>
      <c r="BG299" s="51"/>
      <c r="BH299" s="15"/>
      <c r="BI299" s="15"/>
      <c r="BJ299" s="15"/>
      <c r="BK299" s="51"/>
      <c r="BL299" s="15"/>
      <c r="BM299" s="15"/>
      <c r="BN299" s="15"/>
      <c r="BO299" s="15"/>
      <c r="BP299" s="15"/>
      <c r="BQ299" s="18"/>
      <c r="BR299" s="18"/>
      <c r="BS299" s="18"/>
      <c r="BT299" s="18"/>
      <c r="BU299" s="18"/>
      <c r="BV299" s="18"/>
      <c r="BW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  <c r="FR299" s="18"/>
      <c r="FS299" s="18"/>
      <c r="FT299" s="18"/>
      <c r="FU299" s="18"/>
      <c r="FV299" s="18"/>
      <c r="FW299" s="18"/>
      <c r="FX299" s="18"/>
      <c r="FY299" s="18"/>
      <c r="FZ299" s="18"/>
      <c r="GA299" s="18"/>
      <c r="GB299" s="18"/>
      <c r="GC299" s="18"/>
      <c r="GD299" s="18"/>
      <c r="GE299" s="18"/>
      <c r="GF299" s="18"/>
      <c r="GG299" s="18"/>
      <c r="GH299" s="18"/>
      <c r="GI299" s="18"/>
      <c r="GJ299" s="18"/>
      <c r="GK299" s="18"/>
      <c r="GL299" s="18"/>
      <c r="GM299" s="18"/>
      <c r="GN299" s="18"/>
      <c r="GO299" s="18"/>
      <c r="GP299" s="18"/>
      <c r="GQ299" s="18"/>
      <c r="GR299" s="18"/>
      <c r="GS299" s="18"/>
      <c r="GT299" s="18"/>
      <c r="GU299" s="18"/>
      <c r="GV299" s="18"/>
      <c r="GW299" s="18"/>
      <c r="GX299" s="18"/>
      <c r="GY299" s="18"/>
      <c r="GZ299" s="18"/>
      <c r="HA299" s="18"/>
      <c r="HB299" s="18"/>
      <c r="HC299" s="18"/>
      <c r="HD299" s="18"/>
      <c r="HE299" s="18"/>
      <c r="HF299" s="18"/>
      <c r="HG299" s="13"/>
      <c r="HH299" s="13"/>
      <c r="HI299" s="13"/>
      <c r="HJ299" s="13"/>
      <c r="HK299" s="13"/>
      <c r="HL299" s="13"/>
      <c r="HM299" s="13"/>
      <c r="HN299" s="13"/>
      <c r="HO299" s="13"/>
      <c r="HP299" s="13"/>
      <c r="HQ299" s="13"/>
      <c r="HR299" s="13"/>
      <c r="HS299" s="13"/>
      <c r="HT299" s="13"/>
      <c r="HV299" s="18"/>
      <c r="HW299" s="18"/>
      <c r="HX299" s="18"/>
      <c r="HY299" s="18"/>
      <c r="HZ299" s="18"/>
      <c r="IA299" s="18"/>
      <c r="IB299" s="18"/>
      <c r="IC299" s="18"/>
      <c r="ID299" s="18"/>
      <c r="IE299" s="18"/>
      <c r="IF299" s="18"/>
      <c r="IG299" s="18"/>
      <c r="IH299" s="18"/>
      <c r="II299" s="18"/>
      <c r="IJ299" s="18"/>
      <c r="IK299" s="18"/>
      <c r="IL299" s="18"/>
      <c r="IM299" s="18"/>
      <c r="IN299" s="18"/>
      <c r="IO299" s="18"/>
      <c r="JR299" s="3"/>
      <c r="JS299" s="3"/>
      <c r="JT299" s="3"/>
      <c r="JU299" s="3"/>
      <c r="JV299" s="3"/>
      <c r="JW299" s="3"/>
      <c r="JX299" s="3"/>
      <c r="JY299" s="3"/>
      <c r="JZ299" s="3"/>
      <c r="KA299" s="3"/>
      <c r="KB299" s="3"/>
      <c r="KC299" s="3"/>
      <c r="KD299" s="3"/>
      <c r="KE299" s="3"/>
      <c r="KF299" s="3"/>
      <c r="KG299" s="3"/>
      <c r="KH299" s="3"/>
      <c r="KI299" s="3"/>
      <c r="KJ299" s="3"/>
      <c r="KK299" s="3"/>
      <c r="KL299" s="3"/>
      <c r="KM299" s="3"/>
      <c r="KN299" s="3"/>
      <c r="KO299" s="3"/>
      <c r="KP299" s="3"/>
    </row>
    <row r="300" spans="1:302" ht="11.1" hidden="1" customHeight="1" outlineLevel="1">
      <c r="M300" s="136" t="s">
        <v>37</v>
      </c>
      <c r="N300" s="136"/>
      <c r="O300" s="136"/>
      <c r="P300" s="300">
        <v>13.24</v>
      </c>
      <c r="Y300" s="14"/>
      <c r="Z300" s="14"/>
      <c r="AN300" s="18"/>
      <c r="AT300" s="51"/>
      <c r="AU300" s="15"/>
      <c r="AV300" s="15"/>
      <c r="AW300" s="15"/>
      <c r="AX300" s="15"/>
      <c r="AY300" s="15"/>
      <c r="AZ300" s="15"/>
      <c r="BA300" s="51"/>
      <c r="BB300" s="15"/>
      <c r="BC300" s="15"/>
      <c r="BD300" s="15"/>
      <c r="BE300" s="15"/>
      <c r="BF300" s="15"/>
      <c r="BG300" s="51"/>
      <c r="BH300" s="15"/>
      <c r="BI300" s="15"/>
      <c r="BJ300" s="15"/>
      <c r="BK300" s="51"/>
      <c r="BL300" s="15"/>
      <c r="BM300" s="15"/>
      <c r="BN300" s="15"/>
      <c r="BO300" s="15"/>
      <c r="BP300" s="15"/>
      <c r="BQ300" s="18"/>
      <c r="BR300" s="18"/>
      <c r="BS300" s="18"/>
      <c r="BT300" s="18"/>
      <c r="BU300" s="18"/>
      <c r="BV300" s="18"/>
      <c r="BW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  <c r="FR300" s="18"/>
      <c r="FS300" s="18"/>
      <c r="FT300" s="18"/>
      <c r="FU300" s="18"/>
      <c r="FV300" s="18"/>
      <c r="FW300" s="18"/>
      <c r="FX300" s="18"/>
      <c r="FY300" s="18"/>
      <c r="FZ300" s="18"/>
      <c r="GA300" s="18"/>
      <c r="GB300" s="18"/>
      <c r="GC300" s="18"/>
      <c r="GD300" s="18"/>
      <c r="GE300" s="18"/>
      <c r="GF300" s="18"/>
      <c r="GG300" s="18"/>
      <c r="GH300" s="18"/>
      <c r="GI300" s="18"/>
      <c r="GJ300" s="18"/>
      <c r="GK300" s="18"/>
      <c r="GL300" s="18"/>
      <c r="GM300" s="18"/>
      <c r="GN300" s="18"/>
      <c r="GO300" s="18"/>
      <c r="GP300" s="18"/>
      <c r="GQ300" s="18"/>
      <c r="GR300" s="18"/>
      <c r="GS300" s="18"/>
      <c r="GT300" s="18"/>
      <c r="GU300" s="18"/>
      <c r="GV300" s="18"/>
      <c r="GW300" s="18"/>
      <c r="GX300" s="18"/>
      <c r="GY300" s="18"/>
      <c r="GZ300" s="18"/>
      <c r="HA300" s="18"/>
      <c r="HB300" s="18"/>
      <c r="HC300" s="18"/>
      <c r="HD300" s="18"/>
      <c r="HE300" s="18"/>
      <c r="HF300" s="18"/>
      <c r="HG300" s="13"/>
      <c r="HH300" s="13"/>
      <c r="HI300" s="13"/>
      <c r="HJ300" s="13"/>
      <c r="HK300" s="13"/>
      <c r="HL300" s="13"/>
      <c r="HM300" s="13"/>
      <c r="HN300" s="13"/>
      <c r="HO300" s="13"/>
      <c r="HP300" s="13"/>
      <c r="HQ300" s="13"/>
      <c r="HR300" s="13"/>
      <c r="HS300" s="13"/>
      <c r="HT300" s="13"/>
      <c r="HV300" s="18"/>
      <c r="HW300" s="18"/>
      <c r="HX300" s="18"/>
      <c r="HY300" s="18"/>
      <c r="HZ300" s="18"/>
      <c r="IA300" s="18"/>
      <c r="IB300" s="18"/>
      <c r="IC300" s="18"/>
      <c r="ID300" s="18"/>
      <c r="IE300" s="18"/>
      <c r="IF300" s="18"/>
      <c r="IG300" s="18"/>
      <c r="IH300" s="18"/>
      <c r="II300" s="18"/>
      <c r="IJ300" s="18"/>
      <c r="IK300" s="18"/>
      <c r="IL300" s="18"/>
      <c r="IM300" s="18"/>
      <c r="IN300" s="18"/>
      <c r="IO300" s="18"/>
    </row>
    <row r="301" spans="1:302" ht="11.1" hidden="1" customHeight="1" outlineLevel="1">
      <c r="M301" s="136" t="s">
        <v>36</v>
      </c>
      <c r="N301" s="136"/>
      <c r="O301" s="136"/>
      <c r="P301" s="299">
        <v>13.2</v>
      </c>
      <c r="Y301" s="14"/>
      <c r="Z301" s="14"/>
      <c r="AN301" s="18"/>
      <c r="AT301" s="51"/>
      <c r="AU301" s="15"/>
      <c r="AV301" s="15"/>
      <c r="AW301" s="15"/>
      <c r="AX301" s="15"/>
      <c r="AY301" s="15"/>
      <c r="AZ301" s="15"/>
      <c r="BA301" s="51"/>
      <c r="BB301" s="15"/>
      <c r="BC301" s="15"/>
      <c r="BD301" s="15"/>
      <c r="BE301" s="15"/>
      <c r="BF301" s="15"/>
      <c r="BG301" s="51"/>
      <c r="BH301" s="15"/>
      <c r="BI301" s="15"/>
      <c r="BJ301" s="15"/>
      <c r="BK301" s="51"/>
      <c r="BL301" s="15"/>
      <c r="BM301" s="15"/>
      <c r="BN301" s="15"/>
      <c r="BO301" s="15"/>
      <c r="BP301" s="15"/>
      <c r="BQ301" s="18"/>
      <c r="BR301" s="18"/>
      <c r="BS301" s="18"/>
      <c r="BT301" s="18"/>
      <c r="BU301" s="18"/>
      <c r="BV301" s="18"/>
      <c r="BW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  <c r="FR301" s="18"/>
      <c r="FS301" s="18"/>
      <c r="FT301" s="18"/>
      <c r="FU301" s="18"/>
      <c r="FV301" s="18"/>
      <c r="FW301" s="18"/>
      <c r="FX301" s="18"/>
      <c r="FY301" s="18"/>
      <c r="FZ301" s="18"/>
      <c r="GA301" s="18"/>
      <c r="GB301" s="18"/>
      <c r="GC301" s="18"/>
      <c r="GD301" s="18"/>
      <c r="GE301" s="18"/>
      <c r="GF301" s="18"/>
      <c r="GG301" s="18"/>
      <c r="GH301" s="18"/>
      <c r="GI301" s="18"/>
      <c r="GJ301" s="18"/>
      <c r="GK301" s="18"/>
      <c r="GL301" s="18"/>
      <c r="GM301" s="18"/>
      <c r="GN301" s="18"/>
      <c r="GO301" s="18"/>
      <c r="GP301" s="18"/>
      <c r="GQ301" s="18"/>
      <c r="GR301" s="18"/>
      <c r="GS301" s="18"/>
      <c r="GT301" s="18"/>
      <c r="GU301" s="18"/>
      <c r="GV301" s="18"/>
      <c r="GW301" s="18"/>
      <c r="GX301" s="18"/>
      <c r="GY301" s="18"/>
      <c r="GZ301" s="18"/>
      <c r="HA301" s="18"/>
      <c r="HB301" s="18"/>
      <c r="HC301" s="18"/>
      <c r="HD301" s="18"/>
      <c r="HE301" s="18"/>
      <c r="HF301" s="18"/>
      <c r="HG301" s="13"/>
      <c r="HH301" s="13"/>
      <c r="HI301" s="13"/>
      <c r="HJ301" s="13"/>
      <c r="HK301" s="13"/>
      <c r="HL301" s="13"/>
      <c r="HM301" s="13"/>
      <c r="HN301" s="13"/>
      <c r="HO301" s="13"/>
      <c r="HP301" s="13"/>
      <c r="HQ301" s="13"/>
      <c r="HR301" s="13"/>
      <c r="HS301" s="13"/>
      <c r="HT301" s="13"/>
      <c r="HV301" s="18"/>
      <c r="HW301" s="18"/>
      <c r="HX301" s="18"/>
      <c r="HY301" s="18"/>
      <c r="HZ301" s="18"/>
      <c r="IA301" s="18"/>
      <c r="IB301" s="18"/>
      <c r="IC301" s="18"/>
      <c r="ID301" s="18"/>
      <c r="IE301" s="18"/>
      <c r="IF301" s="18"/>
      <c r="IG301" s="18"/>
      <c r="IH301" s="18"/>
      <c r="II301" s="18"/>
      <c r="IJ301" s="18"/>
      <c r="IK301" s="18"/>
      <c r="IL301" s="18"/>
      <c r="IM301" s="18"/>
      <c r="IN301" s="18"/>
      <c r="IO301" s="18"/>
    </row>
    <row r="302" spans="1:302" ht="11.1" hidden="1" customHeight="1" outlineLevel="1">
      <c r="M302" s="136" t="s">
        <v>35</v>
      </c>
      <c r="N302" s="136"/>
      <c r="O302" s="136"/>
      <c r="P302" s="298">
        <v>13.06</v>
      </c>
      <c r="Y302" s="14"/>
      <c r="Z302" s="14"/>
      <c r="AN302" s="18"/>
      <c r="AT302" s="51"/>
      <c r="AU302" s="15"/>
      <c r="AV302" s="15"/>
      <c r="AW302" s="15"/>
      <c r="AX302" s="15"/>
      <c r="AY302" s="15"/>
      <c r="AZ302" s="15"/>
      <c r="BA302" s="51"/>
      <c r="BB302" s="15"/>
      <c r="BC302" s="15"/>
      <c r="BD302" s="15"/>
      <c r="BE302" s="15"/>
      <c r="BF302" s="15"/>
      <c r="BG302" s="51"/>
      <c r="BH302" s="15"/>
      <c r="BI302" s="15"/>
      <c r="BJ302" s="15"/>
      <c r="BK302" s="51"/>
      <c r="BL302" s="15"/>
      <c r="BM302" s="15"/>
      <c r="BN302" s="15"/>
      <c r="BO302" s="15"/>
      <c r="BP302" s="15"/>
      <c r="BQ302" s="18"/>
      <c r="BR302" s="18"/>
      <c r="BS302" s="18"/>
      <c r="BT302" s="18"/>
      <c r="BU302" s="18"/>
      <c r="BV302" s="18"/>
      <c r="BW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  <c r="FR302" s="18"/>
      <c r="FS302" s="18"/>
      <c r="FT302" s="18"/>
      <c r="FU302" s="18"/>
      <c r="FV302" s="18"/>
      <c r="FW302" s="18"/>
      <c r="FX302" s="18"/>
      <c r="FY302" s="18"/>
      <c r="FZ302" s="18"/>
      <c r="GA302" s="18"/>
      <c r="GB302" s="18"/>
      <c r="GC302" s="18"/>
      <c r="GD302" s="18"/>
      <c r="GE302" s="18"/>
      <c r="GF302" s="18"/>
      <c r="GG302" s="18"/>
      <c r="GH302" s="18"/>
      <c r="GI302" s="18"/>
      <c r="GJ302" s="18"/>
      <c r="GK302" s="18"/>
      <c r="GL302" s="18"/>
      <c r="GM302" s="18"/>
      <c r="GN302" s="18"/>
      <c r="GO302" s="18"/>
      <c r="GP302" s="18"/>
      <c r="GQ302" s="18"/>
      <c r="GR302" s="18"/>
      <c r="GS302" s="18"/>
      <c r="GT302" s="18"/>
      <c r="GU302" s="18"/>
      <c r="GV302" s="18"/>
      <c r="GW302" s="18"/>
      <c r="GX302" s="18"/>
      <c r="GY302" s="18"/>
      <c r="GZ302" s="18"/>
      <c r="HA302" s="18"/>
      <c r="HB302" s="18"/>
      <c r="HC302" s="18"/>
      <c r="HD302" s="18"/>
      <c r="HE302" s="18"/>
      <c r="HF302" s="18"/>
      <c r="HG302" s="13"/>
      <c r="HH302" s="13"/>
      <c r="HI302" s="13"/>
      <c r="HJ302" s="13"/>
      <c r="HK302" s="13"/>
      <c r="HL302" s="13"/>
      <c r="HM302" s="13"/>
      <c r="HN302" s="13"/>
      <c r="HO302" s="13"/>
      <c r="HP302" s="13"/>
      <c r="HQ302" s="13"/>
      <c r="HR302" s="13"/>
      <c r="HS302" s="13"/>
      <c r="HT302" s="13"/>
      <c r="HV302" s="18"/>
      <c r="HW302" s="18"/>
      <c r="HX302" s="18"/>
      <c r="HY302" s="18"/>
      <c r="HZ302" s="18"/>
      <c r="IA302" s="18"/>
      <c r="IB302" s="18"/>
      <c r="IC302" s="18"/>
      <c r="ID302" s="18"/>
      <c r="IE302" s="18"/>
      <c r="IF302" s="18"/>
      <c r="IG302" s="18"/>
      <c r="IH302" s="18"/>
      <c r="II302" s="18"/>
      <c r="IJ302" s="18"/>
      <c r="IK302" s="18"/>
      <c r="IL302" s="18"/>
      <c r="IM302" s="18"/>
      <c r="IN302" s="18"/>
      <c r="IO302" s="18"/>
    </row>
    <row r="303" spans="1:302" ht="11.1" hidden="1" customHeight="1" outlineLevel="1">
      <c r="M303" s="136" t="s">
        <v>34</v>
      </c>
      <c r="N303" s="136"/>
      <c r="O303" s="136"/>
      <c r="P303" s="940">
        <v>13.08</v>
      </c>
      <c r="Y303" s="14"/>
      <c r="Z303" s="14"/>
      <c r="AN303" s="18"/>
      <c r="AT303" s="51"/>
      <c r="AU303" s="15"/>
      <c r="AV303" s="15"/>
      <c r="AW303" s="15"/>
      <c r="AX303" s="15"/>
      <c r="AY303" s="15"/>
      <c r="AZ303" s="15"/>
      <c r="BA303" s="51"/>
      <c r="BB303" s="15"/>
      <c r="BC303" s="15"/>
      <c r="BD303" s="15"/>
      <c r="BE303" s="15"/>
      <c r="BF303" s="15"/>
      <c r="BG303" s="51"/>
      <c r="BH303" s="15"/>
      <c r="BI303" s="15"/>
      <c r="BJ303" s="15"/>
      <c r="BK303" s="51"/>
      <c r="BL303" s="15"/>
      <c r="BM303" s="15"/>
      <c r="BN303" s="15"/>
      <c r="BO303" s="15"/>
      <c r="BP303" s="15"/>
      <c r="BQ303" s="18"/>
      <c r="BR303" s="18"/>
      <c r="BS303" s="18"/>
      <c r="BT303" s="18"/>
      <c r="BU303" s="18"/>
      <c r="BV303" s="18"/>
      <c r="BW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  <c r="FR303" s="18"/>
      <c r="FS303" s="18"/>
      <c r="FT303" s="18"/>
      <c r="FU303" s="18"/>
      <c r="FV303" s="18"/>
      <c r="FW303" s="18"/>
      <c r="FX303" s="18"/>
      <c r="FY303" s="18"/>
      <c r="FZ303" s="18"/>
      <c r="GA303" s="18"/>
      <c r="GB303" s="18"/>
      <c r="GC303" s="18"/>
      <c r="GD303" s="18"/>
      <c r="GE303" s="18"/>
      <c r="GF303" s="18"/>
      <c r="GG303" s="18"/>
      <c r="GH303" s="18"/>
      <c r="GI303" s="18"/>
      <c r="GJ303" s="18"/>
      <c r="GK303" s="18"/>
      <c r="GL303" s="18"/>
      <c r="GM303" s="18"/>
      <c r="GN303" s="18"/>
      <c r="GO303" s="18"/>
      <c r="GP303" s="18"/>
      <c r="GQ303" s="18"/>
      <c r="GR303" s="18"/>
      <c r="GS303" s="18"/>
      <c r="GT303" s="18"/>
      <c r="GU303" s="18"/>
      <c r="GV303" s="18"/>
      <c r="GW303" s="18"/>
      <c r="GX303" s="18"/>
      <c r="GY303" s="18"/>
      <c r="GZ303" s="18"/>
      <c r="HA303" s="18"/>
      <c r="HB303" s="18"/>
      <c r="HC303" s="18"/>
      <c r="HD303" s="18"/>
      <c r="HE303" s="18"/>
      <c r="HF303" s="18"/>
      <c r="HG303" s="13"/>
      <c r="HH303" s="13"/>
      <c r="HI303" s="13"/>
      <c r="HJ303" s="13"/>
      <c r="HK303" s="13"/>
      <c r="HL303" s="13"/>
      <c r="HM303" s="13"/>
      <c r="HN303" s="13"/>
      <c r="HO303" s="13"/>
      <c r="HP303" s="13"/>
      <c r="HQ303" s="13"/>
      <c r="HR303" s="13"/>
      <c r="HS303" s="13"/>
      <c r="HT303" s="13"/>
      <c r="HV303" s="18"/>
      <c r="HW303" s="18"/>
      <c r="HX303" s="18"/>
      <c r="HY303" s="18"/>
      <c r="HZ303" s="18"/>
      <c r="IA303" s="18"/>
      <c r="IB303" s="18"/>
      <c r="IC303" s="18"/>
      <c r="ID303" s="18"/>
      <c r="IE303" s="18"/>
      <c r="IF303" s="18"/>
      <c r="IG303" s="18"/>
      <c r="IH303" s="18"/>
      <c r="II303" s="18"/>
      <c r="IJ303" s="18"/>
      <c r="IK303" s="18"/>
      <c r="IL303" s="18"/>
      <c r="IM303" s="18"/>
      <c r="IN303" s="18"/>
      <c r="IO303" s="18"/>
    </row>
    <row r="304" spans="1:302" ht="11.1" hidden="1" customHeight="1" outlineLevel="1">
      <c r="M304" s="136" t="s">
        <v>62</v>
      </c>
      <c r="N304" s="136"/>
      <c r="O304" s="136"/>
      <c r="P304" s="297">
        <v>10.94</v>
      </c>
      <c r="Y304" s="14"/>
      <c r="Z304" s="14"/>
      <c r="AN304" s="18"/>
      <c r="AT304" s="51"/>
      <c r="AU304" s="15"/>
      <c r="AV304" s="15"/>
      <c r="AW304" s="15"/>
      <c r="AX304" s="15"/>
      <c r="AY304" s="15"/>
      <c r="AZ304" s="15"/>
      <c r="BA304" s="51"/>
      <c r="BB304" s="15"/>
      <c r="BC304" s="15"/>
      <c r="BD304" s="15"/>
      <c r="BE304" s="15"/>
      <c r="BF304" s="15"/>
      <c r="BG304" s="51"/>
      <c r="BH304" s="15"/>
      <c r="BI304" s="15"/>
      <c r="BJ304" s="15"/>
      <c r="BK304" s="51"/>
      <c r="BL304" s="15"/>
      <c r="BM304" s="15"/>
      <c r="BN304" s="15"/>
      <c r="BO304" s="15"/>
      <c r="BP304" s="15"/>
      <c r="BQ304" s="18"/>
      <c r="BR304" s="18"/>
      <c r="BS304" s="18"/>
      <c r="BT304" s="18"/>
      <c r="BU304" s="18"/>
      <c r="BV304" s="18"/>
      <c r="BW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  <c r="FR304" s="18"/>
      <c r="FS304" s="18"/>
      <c r="FT304" s="18"/>
      <c r="FU304" s="18"/>
      <c r="FV304" s="18"/>
      <c r="FW304" s="18"/>
      <c r="FX304" s="18"/>
      <c r="FY304" s="18"/>
      <c r="FZ304" s="18"/>
      <c r="GA304" s="18"/>
      <c r="GB304" s="18"/>
      <c r="GC304" s="18"/>
      <c r="GD304" s="18"/>
      <c r="GE304" s="18"/>
      <c r="GF304" s="18"/>
      <c r="GG304" s="18"/>
      <c r="GH304" s="18"/>
      <c r="GI304" s="18"/>
      <c r="GJ304" s="18"/>
      <c r="GK304" s="18"/>
      <c r="GL304" s="18"/>
      <c r="GM304" s="18"/>
      <c r="GN304" s="18"/>
      <c r="GO304" s="18"/>
      <c r="GP304" s="18"/>
      <c r="GQ304" s="18"/>
      <c r="GR304" s="18"/>
      <c r="GS304" s="18"/>
      <c r="GT304" s="18"/>
      <c r="GU304" s="18"/>
      <c r="GV304" s="18"/>
      <c r="GW304" s="18"/>
      <c r="GX304" s="18"/>
      <c r="GY304" s="18"/>
      <c r="GZ304" s="18"/>
      <c r="HA304" s="18"/>
      <c r="HB304" s="18"/>
      <c r="HC304" s="18"/>
      <c r="HD304" s="18"/>
      <c r="HE304" s="18"/>
      <c r="HF304" s="18"/>
      <c r="HG304" s="13"/>
      <c r="HH304" s="13"/>
      <c r="HI304" s="13"/>
      <c r="HJ304" s="13"/>
      <c r="HK304" s="13"/>
      <c r="HL304" s="13"/>
      <c r="HM304" s="13"/>
      <c r="HN304" s="13"/>
      <c r="HO304" s="13"/>
      <c r="HP304" s="13"/>
      <c r="HQ304" s="13"/>
      <c r="HR304" s="13"/>
      <c r="HS304" s="13"/>
      <c r="HT304" s="13"/>
      <c r="HV304" s="18"/>
      <c r="HW304" s="18"/>
      <c r="HX304" s="18"/>
      <c r="HY304" s="18"/>
      <c r="HZ304" s="18"/>
      <c r="IA304" s="18"/>
      <c r="IB304" s="18"/>
      <c r="IC304" s="18"/>
      <c r="ID304" s="18"/>
      <c r="IE304" s="18"/>
      <c r="IF304" s="18"/>
      <c r="IG304" s="18"/>
      <c r="IH304" s="18"/>
      <c r="II304" s="18"/>
      <c r="IJ304" s="18"/>
      <c r="IK304" s="18"/>
      <c r="IL304" s="18"/>
      <c r="IM304" s="18"/>
      <c r="IN304" s="18"/>
      <c r="IO304" s="18"/>
    </row>
    <row r="305" spans="1:302" ht="11.1" hidden="1" customHeight="1" outlineLevel="1">
      <c r="M305" s="136" t="s">
        <v>61</v>
      </c>
      <c r="N305" s="136"/>
      <c r="O305" s="136"/>
      <c r="P305" s="297" t="s">
        <v>96</v>
      </c>
      <c r="Y305" s="14"/>
      <c r="Z305" s="14"/>
      <c r="AN305" s="18"/>
      <c r="AT305" s="51"/>
      <c r="AU305" s="15"/>
      <c r="AV305" s="15"/>
      <c r="AW305" s="15"/>
      <c r="AX305" s="15"/>
      <c r="AY305" s="15"/>
      <c r="AZ305" s="15"/>
      <c r="BA305" s="51"/>
      <c r="BB305" s="15"/>
      <c r="BC305" s="15"/>
      <c r="BD305" s="15"/>
      <c r="BE305" s="15"/>
      <c r="BF305" s="15"/>
      <c r="BG305" s="51"/>
      <c r="BH305" s="15"/>
      <c r="BI305" s="15"/>
      <c r="BJ305" s="15"/>
      <c r="BK305" s="51"/>
      <c r="BL305" s="15"/>
      <c r="BM305" s="15"/>
      <c r="BN305" s="15"/>
      <c r="BO305" s="15"/>
      <c r="BP305" s="15"/>
      <c r="BQ305" s="18"/>
      <c r="BR305" s="18"/>
      <c r="BS305" s="18"/>
      <c r="BT305" s="18"/>
      <c r="BU305" s="18"/>
      <c r="BV305" s="18"/>
      <c r="BW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  <c r="FR305" s="18"/>
      <c r="FS305" s="18"/>
      <c r="FT305" s="18"/>
      <c r="FU305" s="18"/>
      <c r="FV305" s="18"/>
      <c r="FW305" s="18"/>
      <c r="FX305" s="18"/>
      <c r="FY305" s="18"/>
      <c r="FZ305" s="18"/>
      <c r="GA305" s="18"/>
      <c r="GB305" s="18"/>
      <c r="GC305" s="18"/>
      <c r="GD305" s="18"/>
      <c r="GE305" s="18"/>
      <c r="GF305" s="18"/>
      <c r="GG305" s="18"/>
      <c r="GH305" s="18"/>
      <c r="GI305" s="18"/>
      <c r="GJ305" s="18"/>
      <c r="GK305" s="18"/>
      <c r="GL305" s="18"/>
      <c r="GM305" s="18"/>
      <c r="GN305" s="18"/>
      <c r="GO305" s="18"/>
      <c r="GP305" s="18"/>
      <c r="GQ305" s="18"/>
      <c r="GR305" s="18"/>
      <c r="GS305" s="18"/>
      <c r="GT305" s="18"/>
      <c r="GU305" s="18"/>
      <c r="GV305" s="18"/>
      <c r="GW305" s="18"/>
      <c r="GX305" s="18"/>
      <c r="GY305" s="18"/>
      <c r="GZ305" s="18"/>
      <c r="HA305" s="18"/>
      <c r="HB305" s="18"/>
      <c r="HC305" s="18"/>
      <c r="HD305" s="18"/>
      <c r="HE305" s="18"/>
      <c r="HF305" s="18"/>
      <c r="HG305" s="13"/>
      <c r="HH305" s="13"/>
      <c r="HI305" s="13"/>
      <c r="HJ305" s="13"/>
      <c r="HK305" s="13"/>
      <c r="HL305" s="13"/>
      <c r="HM305" s="13"/>
      <c r="HN305" s="13"/>
      <c r="HO305" s="13"/>
      <c r="HP305" s="13"/>
      <c r="HQ305" s="13"/>
      <c r="HR305" s="13"/>
      <c r="HS305" s="13"/>
      <c r="HT305" s="13"/>
      <c r="HV305" s="18"/>
      <c r="HW305" s="18"/>
      <c r="HX305" s="18"/>
      <c r="HY305" s="18"/>
      <c r="HZ305" s="18"/>
      <c r="IA305" s="18"/>
      <c r="IB305" s="18"/>
      <c r="IC305" s="18"/>
      <c r="ID305" s="18"/>
      <c r="IE305" s="18"/>
      <c r="IF305" s="18"/>
      <c r="IG305" s="18"/>
      <c r="IH305" s="18"/>
      <c r="II305" s="18"/>
      <c r="IJ305" s="18"/>
      <c r="IK305" s="18"/>
      <c r="IL305" s="18"/>
      <c r="IM305" s="18"/>
      <c r="IN305" s="18"/>
      <c r="IO305" s="18"/>
    </row>
    <row r="306" spans="1:302" ht="11.1" hidden="1" customHeight="1" outlineLevel="1">
      <c r="M306" s="136" t="s">
        <v>59</v>
      </c>
      <c r="N306" s="136"/>
      <c r="O306" s="136"/>
      <c r="P306" s="297">
        <v>-8.14E-2</v>
      </c>
      <c r="Y306" s="14"/>
      <c r="Z306" s="14"/>
      <c r="AN306" s="18"/>
      <c r="AT306" s="51"/>
      <c r="AU306" s="15"/>
      <c r="AV306" s="15"/>
      <c r="AW306" s="15"/>
      <c r="AX306" s="15"/>
      <c r="AY306" s="15"/>
      <c r="AZ306" s="15"/>
      <c r="BA306" s="51"/>
      <c r="BB306" s="15"/>
      <c r="BC306" s="15"/>
      <c r="BD306" s="15"/>
      <c r="BE306" s="15"/>
      <c r="BF306" s="15"/>
      <c r="BG306" s="51"/>
      <c r="BH306" s="15"/>
      <c r="BI306" s="15"/>
      <c r="BJ306" s="15"/>
      <c r="BK306" s="51"/>
      <c r="BL306" s="15"/>
      <c r="BM306" s="15"/>
      <c r="BN306" s="15"/>
      <c r="BO306" s="15"/>
      <c r="BP306" s="15"/>
      <c r="BQ306" s="18"/>
      <c r="BR306" s="18"/>
      <c r="BS306" s="18"/>
      <c r="BT306" s="18"/>
      <c r="BU306" s="18"/>
      <c r="BV306" s="18"/>
      <c r="BW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  <c r="FR306" s="18"/>
      <c r="FS306" s="18"/>
      <c r="FT306" s="18"/>
      <c r="FU306" s="18"/>
      <c r="FV306" s="18"/>
      <c r="FW306" s="18"/>
      <c r="FX306" s="18"/>
      <c r="FY306" s="18"/>
      <c r="FZ306" s="18"/>
      <c r="GA306" s="18"/>
      <c r="GB306" s="18"/>
      <c r="GC306" s="18"/>
      <c r="GD306" s="18"/>
      <c r="GE306" s="18"/>
      <c r="GF306" s="18"/>
      <c r="GG306" s="18"/>
      <c r="GH306" s="18"/>
      <c r="GI306" s="18"/>
      <c r="GJ306" s="18"/>
      <c r="GK306" s="18"/>
      <c r="GL306" s="18"/>
      <c r="GM306" s="18"/>
      <c r="GN306" s="18"/>
      <c r="GO306" s="18"/>
      <c r="GP306" s="18"/>
      <c r="GQ306" s="18"/>
      <c r="GR306" s="18"/>
      <c r="GS306" s="18"/>
      <c r="GT306" s="18"/>
      <c r="GU306" s="18"/>
      <c r="GV306" s="18"/>
      <c r="GW306" s="18"/>
      <c r="GX306" s="18"/>
      <c r="GY306" s="18"/>
      <c r="GZ306" s="18"/>
      <c r="HA306" s="18"/>
      <c r="HB306" s="18"/>
      <c r="HC306" s="18"/>
      <c r="HD306" s="18"/>
      <c r="HE306" s="18"/>
      <c r="HF306" s="18"/>
      <c r="HG306" s="13"/>
      <c r="HH306" s="13"/>
      <c r="HI306" s="13"/>
      <c r="HJ306" s="13"/>
      <c r="HK306" s="13"/>
      <c r="HL306" s="13"/>
      <c r="HM306" s="13"/>
      <c r="HN306" s="13"/>
      <c r="HO306" s="13"/>
      <c r="HP306" s="13"/>
      <c r="HQ306" s="13"/>
      <c r="HR306" s="13"/>
      <c r="HS306" s="13"/>
      <c r="HT306" s="13"/>
      <c r="HV306" s="18"/>
      <c r="HW306" s="18"/>
      <c r="HX306" s="18"/>
      <c r="HY306" s="18"/>
      <c r="HZ306" s="18"/>
      <c r="IA306" s="18"/>
      <c r="IB306" s="18"/>
      <c r="IC306" s="18"/>
      <c r="ID306" s="18"/>
      <c r="IE306" s="18"/>
      <c r="IF306" s="18"/>
      <c r="IG306" s="18"/>
      <c r="IH306" s="18"/>
      <c r="II306" s="18"/>
      <c r="IJ306" s="18"/>
      <c r="IK306" s="18"/>
      <c r="IL306" s="18"/>
      <c r="IM306" s="18"/>
      <c r="IN306" s="18"/>
      <c r="IO306" s="18"/>
    </row>
    <row r="307" spans="1:302" ht="10.5" hidden="1" customHeight="1" outlineLevel="1">
      <c r="M307" s="136"/>
      <c r="N307" s="136"/>
      <c r="O307" s="136"/>
      <c r="P307" s="67"/>
      <c r="Y307" s="14"/>
      <c r="Z307" s="14"/>
      <c r="AN307" s="18"/>
      <c r="AT307" s="51"/>
      <c r="AU307" s="15"/>
      <c r="AV307" s="15"/>
      <c r="AW307" s="15"/>
      <c r="AX307" s="15"/>
      <c r="AY307" s="15"/>
      <c r="AZ307" s="15"/>
      <c r="BA307" s="51"/>
      <c r="BB307" s="15"/>
      <c r="BC307" s="15"/>
      <c r="BD307" s="15"/>
      <c r="BE307" s="15"/>
      <c r="BF307" s="15"/>
      <c r="BG307" s="51"/>
      <c r="BH307" s="15"/>
      <c r="BI307" s="15"/>
      <c r="BJ307" s="15"/>
      <c r="BK307" s="51"/>
      <c r="BL307" s="15"/>
      <c r="BM307" s="15"/>
      <c r="BN307" s="15"/>
      <c r="BO307" s="15"/>
      <c r="BP307" s="15"/>
      <c r="BQ307" s="18"/>
      <c r="BR307" s="18"/>
      <c r="BS307" s="18"/>
      <c r="BT307" s="18"/>
      <c r="BU307" s="18"/>
      <c r="BV307" s="18"/>
      <c r="BW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  <c r="FR307" s="18"/>
      <c r="FS307" s="18"/>
      <c r="FT307" s="18"/>
      <c r="FU307" s="18"/>
      <c r="FV307" s="18"/>
      <c r="FW307" s="18"/>
      <c r="FX307" s="18"/>
      <c r="FY307" s="18"/>
      <c r="FZ307" s="18"/>
      <c r="GA307" s="18"/>
      <c r="GB307" s="18"/>
      <c r="GC307" s="18"/>
      <c r="GD307" s="18"/>
      <c r="GE307" s="18"/>
      <c r="GF307" s="18"/>
      <c r="GG307" s="18"/>
      <c r="GH307" s="18"/>
      <c r="GI307" s="18"/>
      <c r="GJ307" s="18"/>
      <c r="GK307" s="18"/>
      <c r="GL307" s="18"/>
      <c r="GM307" s="18"/>
      <c r="GN307" s="18"/>
      <c r="GO307" s="18"/>
      <c r="GP307" s="18"/>
      <c r="GQ307" s="18"/>
      <c r="GR307" s="18"/>
      <c r="GS307" s="18"/>
      <c r="GT307" s="18"/>
      <c r="GU307" s="18"/>
      <c r="GV307" s="18"/>
      <c r="GW307" s="18"/>
      <c r="GX307" s="18"/>
      <c r="GY307" s="18"/>
      <c r="GZ307" s="18"/>
      <c r="HA307" s="18"/>
      <c r="HB307" s="18"/>
      <c r="HC307" s="18"/>
      <c r="HD307" s="18"/>
      <c r="HE307" s="18"/>
      <c r="HF307" s="18"/>
      <c r="HG307" s="13"/>
      <c r="HH307" s="13"/>
      <c r="HI307" s="13"/>
      <c r="HJ307" s="13"/>
      <c r="HK307" s="13"/>
      <c r="HL307" s="13"/>
      <c r="HM307" s="13"/>
      <c r="HN307" s="13"/>
      <c r="HO307" s="13"/>
      <c r="HP307" s="13"/>
      <c r="HQ307" s="13"/>
      <c r="HR307" s="13"/>
      <c r="HS307" s="13"/>
      <c r="HT307" s="13"/>
      <c r="HV307" s="18"/>
      <c r="HW307" s="18"/>
      <c r="HX307" s="18"/>
      <c r="HY307" s="18"/>
      <c r="HZ307" s="18"/>
      <c r="IA307" s="18"/>
      <c r="IB307" s="18"/>
      <c r="IC307" s="18"/>
      <c r="ID307" s="18"/>
      <c r="IE307" s="18"/>
      <c r="IF307" s="18"/>
      <c r="IG307" s="18"/>
      <c r="IH307" s="18"/>
      <c r="II307" s="18"/>
      <c r="IJ307" s="18"/>
      <c r="IK307" s="18"/>
      <c r="IL307" s="18"/>
      <c r="IM307" s="18"/>
      <c r="IN307" s="18"/>
      <c r="IO307" s="18"/>
    </row>
    <row r="308" spans="1:302" s="3" customFormat="1" ht="5.0999999999999996" hidden="1" customHeight="1" outlineLevel="1" collapsed="1">
      <c r="B308" s="192"/>
      <c r="K308" s="40"/>
      <c r="L308" s="40"/>
      <c r="M308" s="136"/>
      <c r="N308" s="136"/>
      <c r="O308" s="136"/>
      <c r="P308" s="246"/>
      <c r="AG308" s="35"/>
      <c r="AH308" s="35"/>
      <c r="AI308" s="35"/>
      <c r="AJ308" s="35"/>
      <c r="AK308" s="296"/>
      <c r="AN308" s="13"/>
      <c r="AR308" s="7"/>
      <c r="AT308" s="24"/>
      <c r="AU308" s="981"/>
      <c r="AV308" s="981"/>
      <c r="AW308" s="981"/>
      <c r="AX308" s="981"/>
      <c r="AY308" s="981"/>
      <c r="AZ308" s="981"/>
      <c r="BA308" s="24"/>
      <c r="BB308" s="981"/>
      <c r="BC308" s="981"/>
      <c r="BD308" s="981"/>
      <c r="BE308" s="981"/>
      <c r="BF308" s="981"/>
      <c r="BG308" s="24"/>
      <c r="BH308" s="981"/>
      <c r="BI308" s="981"/>
      <c r="BJ308" s="981"/>
      <c r="BK308" s="24"/>
      <c r="BL308" s="981"/>
      <c r="BM308" s="981"/>
      <c r="BN308" s="981"/>
      <c r="BO308" s="981"/>
      <c r="BP308" s="981"/>
      <c r="BQ308" s="13"/>
      <c r="BR308" s="13"/>
      <c r="BS308" s="13"/>
      <c r="BT308" s="13"/>
      <c r="BU308" s="13"/>
      <c r="BV308" s="13"/>
      <c r="BW308" s="13"/>
      <c r="BX308" s="31"/>
      <c r="BY308" s="13"/>
      <c r="BZ308" s="13"/>
      <c r="CA308" s="13"/>
      <c r="CB308" s="13"/>
      <c r="CC308" s="13"/>
      <c r="CD308" s="13"/>
      <c r="CE308" s="13"/>
      <c r="CF308" s="13"/>
      <c r="CG308" s="13"/>
      <c r="CH308" s="13"/>
      <c r="CI308" s="13"/>
      <c r="CJ308" s="13"/>
      <c r="CK308" s="13"/>
      <c r="CL308" s="13"/>
      <c r="CM308" s="13"/>
      <c r="CN308" s="13"/>
      <c r="CO308" s="13"/>
      <c r="CP308" s="13"/>
      <c r="CQ308" s="13"/>
      <c r="CR308" s="13"/>
      <c r="CS308" s="31"/>
      <c r="CT308" s="13"/>
      <c r="CU308" s="13"/>
      <c r="CV308" s="13"/>
      <c r="CW308" s="13"/>
      <c r="CX308" s="13"/>
      <c r="CY308" s="13"/>
      <c r="CZ308" s="13"/>
      <c r="DA308" s="13"/>
      <c r="DB308" s="13"/>
      <c r="DC308" s="13"/>
      <c r="DD308" s="13"/>
      <c r="DE308" s="13"/>
      <c r="DF308" s="13"/>
      <c r="DG308" s="13"/>
      <c r="DH308" s="13"/>
      <c r="DI308" s="13"/>
      <c r="DJ308" s="13"/>
      <c r="DK308" s="13"/>
      <c r="DL308" s="13"/>
      <c r="DM308" s="13"/>
      <c r="DN308" s="13"/>
      <c r="DO308" s="31"/>
      <c r="DP308" s="13"/>
      <c r="DQ308" s="13"/>
      <c r="DR308" s="13"/>
      <c r="DS308" s="13"/>
      <c r="DT308" s="13"/>
      <c r="DU308" s="13"/>
      <c r="DV308" s="13"/>
      <c r="DW308" s="13"/>
      <c r="DX308" s="13"/>
      <c r="DY308" s="13"/>
      <c r="DZ308" s="13"/>
      <c r="EA308" s="13"/>
      <c r="EB308" s="13"/>
      <c r="EC308" s="13"/>
      <c r="ED308" s="13"/>
      <c r="EE308" s="13"/>
      <c r="EF308" s="13"/>
      <c r="EG308" s="13"/>
      <c r="EH308" s="13"/>
      <c r="EI308" s="13"/>
      <c r="EJ308" s="13"/>
      <c r="EK308" s="13"/>
      <c r="EL308" s="13"/>
      <c r="EM308" s="13"/>
      <c r="EN308" s="13"/>
      <c r="EO308" s="13"/>
      <c r="EP308" s="13"/>
      <c r="EQ308" s="13"/>
      <c r="ER308" s="13"/>
      <c r="ES308" s="13"/>
      <c r="ET308" s="13"/>
      <c r="EU308" s="13"/>
      <c r="EV308" s="13"/>
      <c r="EW308" s="13"/>
      <c r="EX308" s="13"/>
      <c r="EY308" s="13"/>
      <c r="EZ308" s="13"/>
      <c r="FA308" s="13"/>
      <c r="FB308" s="13"/>
      <c r="FC308" s="13"/>
      <c r="FD308" s="13"/>
      <c r="FE308" s="13"/>
      <c r="FF308" s="13"/>
      <c r="FG308" s="13"/>
      <c r="FH308" s="13"/>
      <c r="FI308" s="13"/>
      <c r="FJ308" s="13"/>
      <c r="FK308" s="13"/>
      <c r="FL308" s="13"/>
      <c r="FM308" s="13"/>
      <c r="FN308" s="13"/>
      <c r="FO308" s="13"/>
      <c r="FP308" s="13"/>
      <c r="FQ308" s="13"/>
      <c r="FR308" s="13"/>
      <c r="FS308" s="13"/>
      <c r="FT308" s="13"/>
      <c r="FU308" s="13"/>
      <c r="FV308" s="13"/>
      <c r="FW308" s="13"/>
      <c r="FX308" s="13"/>
      <c r="FY308" s="13"/>
      <c r="FZ308" s="13"/>
      <c r="GA308" s="13"/>
      <c r="GB308" s="13"/>
      <c r="GC308" s="13"/>
      <c r="GD308" s="13"/>
      <c r="GE308" s="13"/>
      <c r="GF308" s="13"/>
      <c r="GG308" s="13"/>
      <c r="GH308" s="13"/>
      <c r="GI308" s="13"/>
      <c r="GJ308" s="13"/>
      <c r="GK308" s="13"/>
      <c r="GL308" s="13"/>
      <c r="GM308" s="13"/>
      <c r="GN308" s="13"/>
      <c r="GO308" s="13"/>
      <c r="GP308" s="13"/>
      <c r="GQ308" s="13"/>
      <c r="GR308" s="13"/>
      <c r="GS308" s="13"/>
      <c r="GT308" s="13"/>
      <c r="GU308" s="13"/>
      <c r="GV308" s="13"/>
      <c r="GW308" s="13"/>
      <c r="GX308" s="13"/>
      <c r="GY308" s="13"/>
      <c r="GZ308" s="13"/>
      <c r="HA308" s="13"/>
      <c r="HB308" s="13"/>
      <c r="HC308" s="13"/>
      <c r="HD308" s="13"/>
      <c r="HE308" s="13"/>
      <c r="HF308" s="13"/>
      <c r="HG308" s="13"/>
      <c r="HH308" s="13"/>
      <c r="HI308" s="13"/>
      <c r="HJ308" s="13"/>
      <c r="HK308" s="13"/>
      <c r="HL308" s="13"/>
      <c r="HM308" s="13"/>
      <c r="HN308" s="13"/>
      <c r="HO308" s="13"/>
      <c r="HP308" s="13"/>
      <c r="HQ308" s="13"/>
      <c r="HR308" s="13"/>
      <c r="HS308" s="13"/>
      <c r="HT308" s="13"/>
      <c r="HU308" s="31"/>
      <c r="HV308" s="13"/>
      <c r="HW308" s="13"/>
      <c r="HX308" s="13"/>
      <c r="HY308" s="13"/>
      <c r="HZ308" s="13"/>
      <c r="IA308" s="13"/>
      <c r="IB308" s="13"/>
      <c r="IC308" s="13"/>
      <c r="ID308" s="13"/>
      <c r="IE308" s="13"/>
      <c r="IF308" s="13"/>
      <c r="IG308" s="13"/>
      <c r="IH308" s="13"/>
      <c r="II308" s="13"/>
      <c r="IJ308" s="13"/>
      <c r="IK308" s="13"/>
      <c r="IL308" s="13"/>
      <c r="IM308" s="13"/>
      <c r="IN308" s="13"/>
      <c r="IO308" s="13"/>
      <c r="JR308" s="14"/>
      <c r="JS308" s="14"/>
      <c r="JT308" s="14"/>
      <c r="JU308" s="14"/>
      <c r="JV308" s="14"/>
      <c r="JW308" s="14"/>
      <c r="JX308" s="14"/>
      <c r="JY308" s="14"/>
      <c r="JZ308" s="14"/>
      <c r="KA308" s="14"/>
      <c r="KB308" s="14"/>
      <c r="KC308" s="14"/>
      <c r="KD308" s="14"/>
      <c r="KE308" s="14"/>
      <c r="KF308" s="14"/>
      <c r="KG308" s="14"/>
      <c r="KH308" s="14"/>
      <c r="KI308" s="14"/>
      <c r="KJ308" s="14"/>
      <c r="KK308" s="14"/>
      <c r="KL308" s="14"/>
      <c r="KM308" s="14"/>
      <c r="KN308" s="14"/>
      <c r="KO308" s="14"/>
      <c r="KP308" s="14"/>
    </row>
    <row r="309" spans="1:302" ht="11.1" hidden="1" customHeight="1" outlineLevel="1">
      <c r="A309" s="30" t="s">
        <v>95</v>
      </c>
      <c r="D309" s="38" t="s">
        <v>94</v>
      </c>
      <c r="F309" s="11">
        <v>0</v>
      </c>
      <c r="G309" s="946">
        <v>41165</v>
      </c>
      <c r="H309" s="946"/>
      <c r="I309" s="1067">
        <v>33.9</v>
      </c>
      <c r="J309" s="1067"/>
      <c r="K309" s="1067"/>
      <c r="M309" s="136"/>
      <c r="N309" s="136"/>
      <c r="O309" s="136"/>
      <c r="P309" s="280"/>
      <c r="Q309" s="1"/>
      <c r="T309" s="193"/>
      <c r="U309" s="193"/>
      <c r="V309" s="193"/>
      <c r="W309" s="193"/>
      <c r="X309" s="295"/>
      <c r="Y309" s="295"/>
      <c r="Z309" s="295"/>
      <c r="AA309" s="295"/>
      <c r="AB309" s="947">
        <f>F309*P309</f>
        <v>0</v>
      </c>
      <c r="AC309" s="947"/>
      <c r="AD309" s="190">
        <f>-((I309*F309)-(P309*F309))</f>
        <v>0</v>
      </c>
      <c r="AE309" s="290"/>
      <c r="AF309" s="239" t="e">
        <f>IF(#REF!-AP309&lt;0,#REF!-AP309,(#REF!-AP309)*0.8)</f>
        <v>#REF!</v>
      </c>
      <c r="AG309" s="934"/>
      <c r="AH309" s="934"/>
      <c r="AI309" s="289"/>
      <c r="AJ309" s="34" t="s">
        <v>66</v>
      </c>
      <c r="AL309" s="14" t="s">
        <v>71</v>
      </c>
      <c r="AN309" s="179"/>
      <c r="AO309" s="38"/>
      <c r="AP309" s="188">
        <f>F309*I309+AN309+AN310</f>
        <v>0</v>
      </c>
      <c r="AT309" s="51"/>
      <c r="AU309" s="15"/>
      <c r="AV309" s="15"/>
      <c r="AW309" s="15"/>
      <c r="AX309" s="15"/>
      <c r="AY309" s="15"/>
      <c r="AZ309" s="15"/>
      <c r="BA309" s="51"/>
      <c r="BB309" s="15"/>
      <c r="BC309" s="15"/>
      <c r="BD309" s="15"/>
      <c r="BE309" s="15"/>
      <c r="BF309" s="15"/>
      <c r="BG309" s="51"/>
      <c r="BH309" s="15"/>
      <c r="BI309" s="15"/>
      <c r="BJ309" s="15"/>
      <c r="BK309" s="51"/>
      <c r="BL309" s="15"/>
      <c r="BM309" s="15"/>
      <c r="BN309" s="15"/>
      <c r="BO309" s="15"/>
      <c r="BP309" s="15"/>
      <c r="BQ309" s="18"/>
      <c r="BR309" s="18"/>
      <c r="BS309" s="18"/>
      <c r="BT309" s="18"/>
      <c r="BU309" s="18"/>
      <c r="BV309" s="18"/>
      <c r="BW309" s="18"/>
      <c r="BX309" s="139"/>
      <c r="BY309" s="139" t="str">
        <f>IF($AB309=0,"",$AB309)</f>
        <v/>
      </c>
      <c r="BZ309" s="139"/>
      <c r="CA309" s="139"/>
      <c r="CB309" s="139"/>
      <c r="CC309" s="139"/>
      <c r="CD309" s="139"/>
      <c r="CE309" s="139"/>
      <c r="CF309" s="139"/>
      <c r="CG309" s="139"/>
      <c r="CH309" s="139"/>
      <c r="CI309" s="139"/>
      <c r="CJ309" s="139"/>
      <c r="CK309" s="139"/>
      <c r="CL309" s="139"/>
      <c r="CM309" s="139"/>
      <c r="CN309" s="139"/>
      <c r="CO309" s="139"/>
      <c r="CP309" s="139"/>
      <c r="CQ309" s="139"/>
      <c r="CR309" s="139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  <c r="FR309" s="18"/>
      <c r="FS309" s="18"/>
      <c r="FT309" s="18"/>
      <c r="FU309" s="18"/>
      <c r="FV309" s="18"/>
      <c r="FW309" s="18"/>
      <c r="FX309" s="18"/>
      <c r="FY309" s="18"/>
      <c r="FZ309" s="18"/>
      <c r="GA309" s="18"/>
      <c r="GB309" s="18"/>
      <c r="GC309" s="18"/>
      <c r="GD309" s="18"/>
      <c r="GE309" s="18"/>
      <c r="GF309" s="18"/>
      <c r="GG309" s="18"/>
      <c r="GH309" s="18"/>
      <c r="GI309" s="18"/>
      <c r="GJ309" s="18"/>
      <c r="GK309" s="18"/>
      <c r="GL309" s="18"/>
      <c r="GM309" s="18"/>
      <c r="GN309" s="18"/>
      <c r="GO309" s="18"/>
      <c r="GP309" s="18"/>
      <c r="GQ309" s="18"/>
      <c r="GR309" s="18"/>
      <c r="GS309" s="18"/>
      <c r="GT309" s="18"/>
      <c r="GU309" s="18"/>
      <c r="GV309" s="18"/>
      <c r="GW309" s="18"/>
      <c r="GX309" s="18"/>
      <c r="GY309" s="18"/>
      <c r="GZ309" s="18"/>
      <c r="HA309" s="18"/>
      <c r="HB309" s="18"/>
      <c r="HC309" s="18"/>
      <c r="HD309" s="18"/>
      <c r="HE309" s="18"/>
      <c r="HF309" s="18"/>
      <c r="HG309" s="13"/>
      <c r="HH309" s="13"/>
      <c r="HI309" s="13"/>
      <c r="HJ309" s="13"/>
      <c r="HK309" s="13"/>
      <c r="HL309" s="13"/>
      <c r="HM309" s="13"/>
      <c r="HN309" s="13"/>
      <c r="HO309" s="13"/>
      <c r="HP309" s="13"/>
      <c r="HQ309" s="13"/>
      <c r="HR309" s="13"/>
      <c r="HS309" s="13"/>
      <c r="HT309" s="13"/>
      <c r="HV309" s="278">
        <f>AB309</f>
        <v>0</v>
      </c>
      <c r="HW309" s="18"/>
      <c r="HX309" s="18"/>
      <c r="HY309" s="18"/>
      <c r="HZ309" s="18"/>
      <c r="IA309" s="18"/>
      <c r="IB309" s="18"/>
      <c r="IC309" s="18"/>
      <c r="ID309" s="18"/>
      <c r="IE309" s="139"/>
      <c r="IF309" s="139"/>
      <c r="IG309" s="139"/>
      <c r="IH309" s="139"/>
      <c r="II309" s="139"/>
      <c r="IJ309" s="139"/>
      <c r="IK309" s="139"/>
      <c r="IL309" s="139"/>
      <c r="IM309" s="139"/>
      <c r="IN309" s="139"/>
      <c r="IO309" s="139"/>
    </row>
    <row r="310" spans="1:302" ht="11.1" hidden="1" customHeight="1" outlineLevel="1">
      <c r="A310" s="3" t="s">
        <v>93</v>
      </c>
      <c r="F310" s="275">
        <v>370</v>
      </c>
      <c r="I310" s="294"/>
      <c r="J310" s="294"/>
      <c r="K310" s="185">
        <f>AP309</f>
        <v>0</v>
      </c>
      <c r="M310" s="136"/>
      <c r="N310" s="136"/>
      <c r="O310" s="136"/>
      <c r="P310" s="246"/>
      <c r="Q310" s="1"/>
      <c r="T310" s="293"/>
      <c r="U310" s="293"/>
      <c r="V310" s="293"/>
      <c r="W310" s="293"/>
      <c r="X310" s="292"/>
      <c r="Y310" s="292"/>
      <c r="Z310" s="292"/>
      <c r="AA310" s="292"/>
      <c r="AB310" s="947"/>
      <c r="AC310" s="947"/>
      <c r="AD310" s="183">
        <f>((P309-I309)/I309)</f>
        <v>-1</v>
      </c>
      <c r="AE310" s="183"/>
      <c r="AJ310" s="34" t="s">
        <v>92</v>
      </c>
      <c r="AN310" s="179"/>
      <c r="AO310" s="38"/>
      <c r="AP310" s="38"/>
      <c r="AT310" s="51"/>
      <c r="AU310" s="15"/>
      <c r="AV310" s="15"/>
      <c r="AW310" s="15"/>
      <c r="AX310" s="15"/>
      <c r="AY310" s="15"/>
      <c r="AZ310" s="15"/>
      <c r="BA310" s="51"/>
      <c r="BB310" s="15"/>
      <c r="BC310" s="15"/>
      <c r="BD310" s="15"/>
      <c r="BE310" s="15"/>
      <c r="BF310" s="15"/>
      <c r="BG310" s="51"/>
      <c r="BH310" s="15"/>
      <c r="BI310" s="15"/>
      <c r="BJ310" s="15"/>
      <c r="BK310" s="51"/>
      <c r="BL310" s="15"/>
      <c r="BM310" s="15"/>
      <c r="BN310" s="15"/>
      <c r="BO310" s="15"/>
      <c r="BP310" s="15"/>
      <c r="BQ310" s="18"/>
      <c r="BR310" s="18"/>
      <c r="BS310" s="18"/>
      <c r="BT310" s="18"/>
      <c r="BU310" s="18"/>
      <c r="BV310" s="18"/>
      <c r="BW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  <c r="FR310" s="18"/>
      <c r="FS310" s="18"/>
      <c r="FT310" s="18"/>
      <c r="FU310" s="18"/>
      <c r="FV310" s="18"/>
      <c r="FW310" s="18"/>
      <c r="FX310" s="18"/>
      <c r="FY310" s="18"/>
      <c r="FZ310" s="18"/>
      <c r="GA310" s="18"/>
      <c r="GB310" s="18"/>
      <c r="GC310" s="18"/>
      <c r="GD310" s="18"/>
      <c r="GE310" s="18"/>
      <c r="GF310" s="18"/>
      <c r="GG310" s="18"/>
      <c r="GH310" s="18"/>
      <c r="GI310" s="18"/>
      <c r="GJ310" s="18"/>
      <c r="GK310" s="18"/>
      <c r="GL310" s="18"/>
      <c r="GM310" s="18"/>
      <c r="GN310" s="18"/>
      <c r="GO310" s="18"/>
      <c r="GP310" s="18"/>
      <c r="GQ310" s="18"/>
      <c r="GR310" s="18"/>
      <c r="GS310" s="18"/>
      <c r="GT310" s="18"/>
      <c r="GU310" s="18"/>
      <c r="GV310" s="18"/>
      <c r="GW310" s="18"/>
      <c r="GX310" s="18"/>
      <c r="GY310" s="18"/>
      <c r="GZ310" s="18"/>
      <c r="HA310" s="18"/>
      <c r="HB310" s="18"/>
      <c r="HC310" s="18"/>
      <c r="HD310" s="18"/>
      <c r="HE310" s="18"/>
      <c r="HF310" s="18"/>
      <c r="HG310" s="13"/>
      <c r="HH310" s="13"/>
      <c r="HI310" s="13"/>
      <c r="HJ310" s="13"/>
      <c r="HK310" s="13"/>
      <c r="HL310" s="13"/>
      <c r="HM310" s="13"/>
      <c r="HN310" s="13"/>
      <c r="HO310" s="13"/>
      <c r="HP310" s="13"/>
      <c r="HQ310" s="13"/>
      <c r="HR310" s="13"/>
      <c r="HS310" s="13"/>
      <c r="HT310" s="13"/>
      <c r="HV310" s="18"/>
      <c r="HW310" s="18"/>
      <c r="HX310" s="18"/>
      <c r="HY310" s="18"/>
      <c r="HZ310" s="18"/>
      <c r="IA310" s="18"/>
      <c r="IB310" s="18"/>
      <c r="IC310" s="18"/>
      <c r="ID310" s="18"/>
      <c r="IE310" s="18"/>
      <c r="IF310" s="18"/>
      <c r="IG310" s="18"/>
      <c r="IH310" s="18"/>
      <c r="II310" s="18"/>
      <c r="IJ310" s="18"/>
      <c r="IK310" s="18"/>
      <c r="IL310" s="18"/>
      <c r="IM310" s="18"/>
      <c r="IN310" s="18"/>
      <c r="IO310" s="18"/>
      <c r="JR310" s="3"/>
      <c r="JS310" s="3"/>
      <c r="JT310" s="3"/>
      <c r="JU310" s="3"/>
      <c r="JV310" s="3"/>
      <c r="JW310" s="3"/>
      <c r="JX310" s="3"/>
      <c r="JY310" s="3"/>
      <c r="JZ310" s="3"/>
      <c r="KA310" s="3"/>
      <c r="KB310" s="3"/>
      <c r="KC310" s="3"/>
      <c r="KD310" s="3"/>
      <c r="KE310" s="3"/>
      <c r="KF310" s="3"/>
      <c r="KG310" s="3"/>
      <c r="KH310" s="3"/>
      <c r="KI310" s="3"/>
      <c r="KJ310" s="3"/>
      <c r="KK310" s="3"/>
      <c r="KL310" s="3"/>
      <c r="KM310" s="3"/>
      <c r="KN310" s="3"/>
      <c r="KO310" s="3"/>
      <c r="KP310" s="3"/>
    </row>
    <row r="311" spans="1:302" ht="11.1" hidden="1" customHeight="1" outlineLevel="1">
      <c r="M311" s="136"/>
      <c r="N311" s="136"/>
      <c r="O311" s="136"/>
      <c r="P311" s="283"/>
      <c r="Y311" s="14"/>
      <c r="Z311" s="14"/>
      <c r="AN311" s="18"/>
      <c r="AT311" s="51"/>
      <c r="AU311" s="15"/>
      <c r="AV311" s="15"/>
      <c r="AW311" s="15"/>
      <c r="AX311" s="15"/>
      <c r="AY311" s="15"/>
      <c r="AZ311" s="15"/>
      <c r="BA311" s="51"/>
      <c r="BB311" s="15"/>
      <c r="BC311" s="15"/>
      <c r="BD311" s="15"/>
      <c r="BE311" s="15"/>
      <c r="BF311" s="15"/>
      <c r="BG311" s="51"/>
      <c r="BH311" s="15"/>
      <c r="BI311" s="15"/>
      <c r="BJ311" s="15"/>
      <c r="BK311" s="51"/>
      <c r="BL311" s="15"/>
      <c r="BM311" s="15"/>
      <c r="BN311" s="15"/>
      <c r="BO311" s="15"/>
      <c r="BP311" s="15"/>
      <c r="BQ311" s="18"/>
      <c r="BR311" s="18"/>
      <c r="BS311" s="18"/>
      <c r="BT311" s="18"/>
      <c r="BU311" s="18"/>
      <c r="BV311" s="18"/>
      <c r="BW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  <c r="FR311" s="18"/>
      <c r="FS311" s="18"/>
      <c r="FT311" s="18"/>
      <c r="FU311" s="18"/>
      <c r="FV311" s="18"/>
      <c r="FW311" s="18"/>
      <c r="FX311" s="18"/>
      <c r="FY311" s="18"/>
      <c r="FZ311" s="18"/>
      <c r="GA311" s="18"/>
      <c r="GB311" s="18"/>
      <c r="GC311" s="18"/>
      <c r="GD311" s="18"/>
      <c r="GE311" s="18"/>
      <c r="GF311" s="18"/>
      <c r="GG311" s="18"/>
      <c r="GH311" s="18"/>
      <c r="GI311" s="18"/>
      <c r="GJ311" s="18"/>
      <c r="GK311" s="18"/>
      <c r="GL311" s="18"/>
      <c r="GM311" s="18"/>
      <c r="GN311" s="18"/>
      <c r="GO311" s="18"/>
      <c r="GP311" s="18"/>
      <c r="GQ311" s="18"/>
      <c r="GR311" s="18"/>
      <c r="GS311" s="18"/>
      <c r="GT311" s="18"/>
      <c r="GU311" s="18"/>
      <c r="GV311" s="18"/>
      <c r="GW311" s="18"/>
      <c r="GX311" s="18"/>
      <c r="GY311" s="18"/>
      <c r="GZ311" s="18"/>
      <c r="HA311" s="18"/>
      <c r="HB311" s="18"/>
      <c r="HC311" s="18"/>
      <c r="HD311" s="18"/>
      <c r="HE311" s="18"/>
      <c r="HF311" s="18"/>
      <c r="HG311" s="13"/>
      <c r="HH311" s="13"/>
      <c r="HI311" s="13"/>
      <c r="HJ311" s="13"/>
      <c r="HK311" s="13"/>
      <c r="HL311" s="13"/>
      <c r="HM311" s="13"/>
      <c r="HN311" s="13"/>
      <c r="HO311" s="13"/>
      <c r="HP311" s="13"/>
      <c r="HQ311" s="13"/>
      <c r="HR311" s="13"/>
      <c r="HS311" s="13"/>
      <c r="HT311" s="13"/>
      <c r="HV311" s="18"/>
      <c r="HW311" s="18"/>
      <c r="HX311" s="18"/>
      <c r="HY311" s="18"/>
      <c r="HZ311" s="18"/>
      <c r="IA311" s="18"/>
      <c r="IB311" s="18"/>
      <c r="IC311" s="18"/>
      <c r="ID311" s="18"/>
      <c r="IE311" s="18"/>
      <c r="IF311" s="18"/>
      <c r="IG311" s="18"/>
      <c r="IH311" s="18"/>
      <c r="II311" s="18"/>
      <c r="IJ311" s="18"/>
      <c r="IK311" s="18"/>
      <c r="IL311" s="18"/>
      <c r="IM311" s="18"/>
      <c r="IN311" s="18"/>
      <c r="IO311" s="18"/>
    </row>
    <row r="312" spans="1:302" ht="11.1" hidden="1" customHeight="1" outlineLevel="1">
      <c r="M312" s="136"/>
      <c r="N312" s="136"/>
      <c r="O312" s="136"/>
      <c r="P312" s="199"/>
      <c r="Y312" s="14"/>
      <c r="Z312" s="14"/>
      <c r="AN312" s="18"/>
      <c r="AT312" s="51"/>
      <c r="AU312" s="15"/>
      <c r="AV312" s="15"/>
      <c r="AW312" s="15"/>
      <c r="AX312" s="15"/>
      <c r="AY312" s="15"/>
      <c r="AZ312" s="15"/>
      <c r="BA312" s="51"/>
      <c r="BB312" s="15"/>
      <c r="BC312" s="15"/>
      <c r="BD312" s="15"/>
      <c r="BE312" s="15"/>
      <c r="BF312" s="15"/>
      <c r="BG312" s="51"/>
      <c r="BH312" s="15"/>
      <c r="BI312" s="15"/>
      <c r="BJ312" s="15"/>
      <c r="BK312" s="51"/>
      <c r="BL312" s="15"/>
      <c r="BM312" s="15"/>
      <c r="BN312" s="15"/>
      <c r="BO312" s="15"/>
      <c r="BP312" s="15"/>
      <c r="BQ312" s="18"/>
      <c r="BR312" s="18"/>
      <c r="BS312" s="18"/>
      <c r="BT312" s="18"/>
      <c r="BU312" s="18"/>
      <c r="BV312" s="18"/>
      <c r="BW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  <c r="FR312" s="18"/>
      <c r="FS312" s="18"/>
      <c r="FT312" s="18"/>
      <c r="FU312" s="18"/>
      <c r="FV312" s="18"/>
      <c r="FW312" s="18"/>
      <c r="FX312" s="18"/>
      <c r="FY312" s="18"/>
      <c r="FZ312" s="18"/>
      <c r="GA312" s="18"/>
      <c r="GB312" s="18"/>
      <c r="GC312" s="18"/>
      <c r="GD312" s="18"/>
      <c r="GE312" s="18"/>
      <c r="GF312" s="18"/>
      <c r="GG312" s="18"/>
      <c r="GH312" s="18"/>
      <c r="GI312" s="18"/>
      <c r="GJ312" s="18"/>
      <c r="GK312" s="18"/>
      <c r="GL312" s="18"/>
      <c r="GM312" s="18"/>
      <c r="GN312" s="18"/>
      <c r="GO312" s="18"/>
      <c r="GP312" s="18"/>
      <c r="GQ312" s="18"/>
      <c r="GR312" s="18"/>
      <c r="GS312" s="18"/>
      <c r="GT312" s="18"/>
      <c r="GU312" s="18"/>
      <c r="GV312" s="18"/>
      <c r="GW312" s="18"/>
      <c r="GX312" s="18"/>
      <c r="GY312" s="18"/>
      <c r="GZ312" s="18"/>
      <c r="HA312" s="18"/>
      <c r="HB312" s="18"/>
      <c r="HC312" s="18"/>
      <c r="HD312" s="18"/>
      <c r="HE312" s="18"/>
      <c r="HF312" s="18"/>
      <c r="HG312" s="13"/>
      <c r="HH312" s="13"/>
      <c r="HI312" s="13"/>
      <c r="HJ312" s="13"/>
      <c r="HK312" s="13"/>
      <c r="HL312" s="13"/>
      <c r="HM312" s="13"/>
      <c r="HN312" s="13"/>
      <c r="HO312" s="13"/>
      <c r="HP312" s="13"/>
      <c r="HQ312" s="13"/>
      <c r="HR312" s="13"/>
      <c r="HS312" s="13"/>
      <c r="HT312" s="13"/>
      <c r="HV312" s="18"/>
      <c r="HW312" s="18"/>
      <c r="HX312" s="18"/>
      <c r="HY312" s="18"/>
      <c r="HZ312" s="18"/>
      <c r="IA312" s="18"/>
      <c r="IB312" s="18"/>
      <c r="IC312" s="18"/>
      <c r="ID312" s="18"/>
      <c r="IE312" s="18"/>
      <c r="IF312" s="18"/>
      <c r="IG312" s="18"/>
      <c r="IH312" s="18"/>
      <c r="II312" s="18"/>
      <c r="IJ312" s="18"/>
      <c r="IK312" s="18"/>
      <c r="IL312" s="18"/>
      <c r="IM312" s="18"/>
      <c r="IN312" s="18"/>
      <c r="IO312" s="18"/>
    </row>
    <row r="313" spans="1:302" ht="11.1" hidden="1" customHeight="1" outlineLevel="1">
      <c r="M313" s="136"/>
      <c r="N313" s="136"/>
      <c r="O313" s="136"/>
      <c r="P313" s="282"/>
      <c r="Y313" s="14"/>
      <c r="Z313" s="14"/>
      <c r="AN313" s="18"/>
      <c r="AT313" s="51"/>
      <c r="AU313" s="15"/>
      <c r="AV313" s="15"/>
      <c r="AW313" s="15"/>
      <c r="AX313" s="15"/>
      <c r="AY313" s="15"/>
      <c r="AZ313" s="15"/>
      <c r="BA313" s="51"/>
      <c r="BB313" s="15"/>
      <c r="BC313" s="15"/>
      <c r="BD313" s="15"/>
      <c r="BE313" s="15"/>
      <c r="BF313" s="15"/>
      <c r="BG313" s="51"/>
      <c r="BH313" s="15"/>
      <c r="BI313" s="15"/>
      <c r="BJ313" s="15"/>
      <c r="BK313" s="51"/>
      <c r="BL313" s="15"/>
      <c r="BM313" s="15"/>
      <c r="BN313" s="15"/>
      <c r="BO313" s="15"/>
      <c r="BP313" s="15"/>
      <c r="BQ313" s="18"/>
      <c r="BR313" s="18"/>
      <c r="BS313" s="18"/>
      <c r="BT313" s="18"/>
      <c r="BU313" s="18"/>
      <c r="BV313" s="18"/>
      <c r="BW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  <c r="FR313" s="18"/>
      <c r="FS313" s="18"/>
      <c r="FT313" s="18"/>
      <c r="FU313" s="18"/>
      <c r="FV313" s="18"/>
      <c r="FW313" s="18"/>
      <c r="FX313" s="18"/>
      <c r="FY313" s="18"/>
      <c r="FZ313" s="18"/>
      <c r="GA313" s="18"/>
      <c r="GB313" s="18"/>
      <c r="GC313" s="18"/>
      <c r="GD313" s="18"/>
      <c r="GE313" s="18"/>
      <c r="GF313" s="18"/>
      <c r="GG313" s="18"/>
      <c r="GH313" s="18"/>
      <c r="GI313" s="18"/>
      <c r="GJ313" s="18"/>
      <c r="GK313" s="18"/>
      <c r="GL313" s="18"/>
      <c r="GM313" s="18"/>
      <c r="GN313" s="18"/>
      <c r="GO313" s="18"/>
      <c r="GP313" s="18"/>
      <c r="GQ313" s="18"/>
      <c r="GR313" s="18"/>
      <c r="GS313" s="18"/>
      <c r="GT313" s="18"/>
      <c r="GU313" s="18"/>
      <c r="GV313" s="18"/>
      <c r="GW313" s="18"/>
      <c r="GX313" s="18"/>
      <c r="GY313" s="18"/>
      <c r="GZ313" s="18"/>
      <c r="HA313" s="18"/>
      <c r="HB313" s="18"/>
      <c r="HC313" s="18"/>
      <c r="HD313" s="18"/>
      <c r="HE313" s="18"/>
      <c r="HF313" s="18"/>
      <c r="HG313" s="13"/>
      <c r="HH313" s="13"/>
      <c r="HI313" s="13"/>
      <c r="HJ313" s="13"/>
      <c r="HK313" s="13"/>
      <c r="HL313" s="13"/>
      <c r="HM313" s="13"/>
      <c r="HN313" s="13"/>
      <c r="HO313" s="13"/>
      <c r="HP313" s="13"/>
      <c r="HQ313" s="13"/>
      <c r="HR313" s="13"/>
      <c r="HS313" s="13"/>
      <c r="HT313" s="13"/>
      <c r="HV313" s="18"/>
      <c r="HW313" s="18"/>
      <c r="HX313" s="18"/>
      <c r="HY313" s="18"/>
      <c r="HZ313" s="18"/>
      <c r="IA313" s="18"/>
      <c r="IB313" s="18"/>
      <c r="IC313" s="18"/>
      <c r="ID313" s="18"/>
      <c r="IE313" s="18"/>
      <c r="IF313" s="18"/>
      <c r="IG313" s="18"/>
      <c r="IH313" s="18"/>
      <c r="II313" s="18"/>
      <c r="IJ313" s="18"/>
      <c r="IK313" s="18"/>
      <c r="IL313" s="18"/>
      <c r="IM313" s="18"/>
      <c r="IN313" s="18"/>
      <c r="IO313" s="18"/>
    </row>
    <row r="314" spans="1:302" ht="11.1" hidden="1" customHeight="1" outlineLevel="1">
      <c r="M314" s="136"/>
      <c r="N314" s="136"/>
      <c r="O314" s="136"/>
      <c r="Y314" s="14"/>
      <c r="Z314" s="14"/>
      <c r="AN314" s="18"/>
      <c r="AT314" s="51"/>
      <c r="AU314" s="15"/>
      <c r="AV314" s="15"/>
      <c r="AW314" s="15"/>
      <c r="AX314" s="15"/>
      <c r="AY314" s="15"/>
      <c r="AZ314" s="15"/>
      <c r="BA314" s="51"/>
      <c r="BB314" s="15"/>
      <c r="BC314" s="15"/>
      <c r="BD314" s="15"/>
      <c r="BE314" s="15"/>
      <c r="BF314" s="15"/>
      <c r="BG314" s="51"/>
      <c r="BH314" s="15"/>
      <c r="BI314" s="15"/>
      <c r="BJ314" s="15"/>
      <c r="BK314" s="51"/>
      <c r="BL314" s="15"/>
      <c r="BM314" s="15"/>
      <c r="BN314" s="15"/>
      <c r="BO314" s="15"/>
      <c r="BP314" s="15"/>
      <c r="BQ314" s="18"/>
      <c r="BR314" s="18"/>
      <c r="BS314" s="18"/>
      <c r="BT314" s="18"/>
      <c r="BU314" s="18"/>
      <c r="BV314" s="18"/>
      <c r="BW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  <c r="FR314" s="18"/>
      <c r="FS314" s="18"/>
      <c r="FT314" s="18"/>
      <c r="FU314" s="18"/>
      <c r="FV314" s="18"/>
      <c r="FW314" s="18"/>
      <c r="FX314" s="18"/>
      <c r="FY314" s="18"/>
      <c r="FZ314" s="18"/>
      <c r="GA314" s="18"/>
      <c r="GB314" s="18"/>
      <c r="GC314" s="18"/>
      <c r="GD314" s="18"/>
      <c r="GE314" s="18"/>
      <c r="GF314" s="18"/>
      <c r="GG314" s="18"/>
      <c r="GH314" s="18"/>
      <c r="GI314" s="18"/>
      <c r="GJ314" s="18"/>
      <c r="GK314" s="18"/>
      <c r="GL314" s="18"/>
      <c r="GM314" s="18"/>
      <c r="GN314" s="18"/>
      <c r="GO314" s="18"/>
      <c r="GP314" s="18"/>
      <c r="GQ314" s="18"/>
      <c r="GR314" s="18"/>
      <c r="GS314" s="18"/>
      <c r="GT314" s="18"/>
      <c r="GU314" s="18"/>
      <c r="GV314" s="18"/>
      <c r="GW314" s="18"/>
      <c r="GX314" s="18"/>
      <c r="GY314" s="18"/>
      <c r="GZ314" s="18"/>
      <c r="HA314" s="18"/>
      <c r="HB314" s="18"/>
      <c r="HC314" s="18"/>
      <c r="HD314" s="18"/>
      <c r="HE314" s="18"/>
      <c r="HF314" s="18"/>
      <c r="HG314" s="13"/>
      <c r="HH314" s="13"/>
      <c r="HI314" s="13"/>
      <c r="HJ314" s="13"/>
      <c r="HK314" s="13"/>
      <c r="HL314" s="13"/>
      <c r="HM314" s="13"/>
      <c r="HN314" s="13"/>
      <c r="HO314" s="13"/>
      <c r="HP314" s="13"/>
      <c r="HQ314" s="13"/>
      <c r="HR314" s="13"/>
      <c r="HS314" s="13"/>
      <c r="HT314" s="13"/>
      <c r="HV314" s="18"/>
      <c r="HW314" s="18"/>
      <c r="HX314" s="18"/>
      <c r="HY314" s="18"/>
      <c r="HZ314" s="18"/>
      <c r="IA314" s="18"/>
      <c r="IB314" s="18"/>
      <c r="IC314" s="18"/>
      <c r="ID314" s="18"/>
      <c r="IE314" s="18"/>
      <c r="IF314" s="18"/>
      <c r="IG314" s="18"/>
      <c r="IH314" s="18"/>
      <c r="II314" s="18"/>
      <c r="IJ314" s="18"/>
      <c r="IK314" s="18"/>
      <c r="IL314" s="18"/>
      <c r="IM314" s="18"/>
      <c r="IN314" s="18"/>
      <c r="IO314" s="18"/>
    </row>
    <row r="315" spans="1:302" ht="11.1" hidden="1" customHeight="1" outlineLevel="1">
      <c r="M315" s="136"/>
      <c r="N315" s="136"/>
      <c r="O315" s="136"/>
      <c r="P315" s="288"/>
      <c r="Y315" s="14"/>
      <c r="Z315" s="14"/>
      <c r="AN315" s="18"/>
      <c r="AT315" s="51"/>
      <c r="AU315" s="15"/>
      <c r="AV315" s="15"/>
      <c r="AW315" s="15"/>
      <c r="AX315" s="15"/>
      <c r="AY315" s="15"/>
      <c r="AZ315" s="15"/>
      <c r="BA315" s="51"/>
      <c r="BB315" s="15"/>
      <c r="BC315" s="15"/>
      <c r="BD315" s="15"/>
      <c r="BE315" s="15"/>
      <c r="BF315" s="15"/>
      <c r="BG315" s="51"/>
      <c r="BH315" s="15"/>
      <c r="BI315" s="15"/>
      <c r="BJ315" s="15"/>
      <c r="BK315" s="51"/>
      <c r="BL315" s="15"/>
      <c r="BM315" s="15"/>
      <c r="BN315" s="15"/>
      <c r="BO315" s="15"/>
      <c r="BP315" s="15"/>
      <c r="BQ315" s="18"/>
      <c r="BR315" s="18"/>
      <c r="BS315" s="18"/>
      <c r="BT315" s="18"/>
      <c r="BU315" s="18"/>
      <c r="BV315" s="18"/>
      <c r="BW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/>
      <c r="FO315" s="18"/>
      <c r="FP315" s="18"/>
      <c r="FQ315" s="18"/>
      <c r="FR315" s="18"/>
      <c r="FS315" s="18"/>
      <c r="FT315" s="18"/>
      <c r="FU315" s="18"/>
      <c r="FV315" s="18"/>
      <c r="FW315" s="18"/>
      <c r="FX315" s="18"/>
      <c r="FY315" s="18"/>
      <c r="FZ315" s="18"/>
      <c r="GA315" s="18"/>
      <c r="GB315" s="18"/>
      <c r="GC315" s="18"/>
      <c r="GD315" s="18"/>
      <c r="GE315" s="18"/>
      <c r="GF315" s="18"/>
      <c r="GG315" s="18"/>
      <c r="GH315" s="18"/>
      <c r="GI315" s="18"/>
      <c r="GJ315" s="18"/>
      <c r="GK315" s="18"/>
      <c r="GL315" s="18"/>
      <c r="GM315" s="18"/>
      <c r="GN315" s="18"/>
      <c r="GO315" s="18"/>
      <c r="GP315" s="18"/>
      <c r="GQ315" s="18"/>
      <c r="GR315" s="18"/>
      <c r="GS315" s="18"/>
      <c r="GT315" s="18"/>
      <c r="GU315" s="18"/>
      <c r="GV315" s="18"/>
      <c r="GW315" s="18"/>
      <c r="GX315" s="18"/>
      <c r="GY315" s="18"/>
      <c r="GZ315" s="18"/>
      <c r="HA315" s="18"/>
      <c r="HB315" s="18"/>
      <c r="HC315" s="18"/>
      <c r="HD315" s="18"/>
      <c r="HE315" s="18"/>
      <c r="HF315" s="18"/>
      <c r="HG315" s="13"/>
      <c r="HH315" s="13"/>
      <c r="HI315" s="13"/>
      <c r="HJ315" s="13"/>
      <c r="HK315" s="13"/>
      <c r="HL315" s="13"/>
      <c r="HM315" s="13"/>
      <c r="HN315" s="13"/>
      <c r="HO315" s="13"/>
      <c r="HP315" s="13"/>
      <c r="HQ315" s="13"/>
      <c r="HR315" s="13"/>
      <c r="HS315" s="13"/>
      <c r="HT315" s="13"/>
      <c r="HV315" s="18"/>
      <c r="HW315" s="18"/>
      <c r="HX315" s="18"/>
      <c r="HY315" s="18"/>
      <c r="HZ315" s="18"/>
      <c r="IA315" s="18"/>
      <c r="IB315" s="18"/>
      <c r="IC315" s="18"/>
      <c r="ID315" s="18"/>
      <c r="IE315" s="18"/>
      <c r="IF315" s="18"/>
      <c r="IG315" s="18"/>
      <c r="IH315" s="18"/>
      <c r="II315" s="18"/>
      <c r="IJ315" s="18"/>
      <c r="IK315" s="18"/>
      <c r="IL315" s="18"/>
      <c r="IM315" s="18"/>
      <c r="IN315" s="18"/>
      <c r="IO315" s="18"/>
    </row>
    <row r="316" spans="1:302" ht="10.5" hidden="1" customHeight="1" outlineLevel="1">
      <c r="M316" s="136"/>
      <c r="N316" s="136"/>
      <c r="O316" s="136"/>
      <c r="Y316" s="14"/>
      <c r="Z316" s="14"/>
      <c r="AN316" s="18"/>
      <c r="AT316" s="51"/>
      <c r="AU316" s="15"/>
      <c r="AV316" s="15"/>
      <c r="AW316" s="15"/>
      <c r="AX316" s="15"/>
      <c r="AY316" s="15"/>
      <c r="AZ316" s="15"/>
      <c r="BA316" s="51"/>
      <c r="BB316" s="15"/>
      <c r="BC316" s="15"/>
      <c r="BD316" s="15"/>
      <c r="BE316" s="15"/>
      <c r="BF316" s="15"/>
      <c r="BG316" s="51"/>
      <c r="BH316" s="15"/>
      <c r="BI316" s="15"/>
      <c r="BJ316" s="15"/>
      <c r="BK316" s="51"/>
      <c r="BL316" s="15"/>
      <c r="BM316" s="15"/>
      <c r="BN316" s="15"/>
      <c r="BO316" s="15"/>
      <c r="BP316" s="15"/>
      <c r="BQ316" s="18"/>
      <c r="BR316" s="18"/>
      <c r="BS316" s="18"/>
      <c r="BT316" s="18"/>
      <c r="BU316" s="18"/>
      <c r="BV316" s="18"/>
      <c r="BW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  <c r="GN316" s="18"/>
      <c r="GO316" s="18"/>
      <c r="GP316" s="18"/>
      <c r="GQ316" s="18"/>
      <c r="GR316" s="18"/>
      <c r="GS316" s="18"/>
      <c r="GT316" s="18"/>
      <c r="GU316" s="18"/>
      <c r="GV316" s="18"/>
      <c r="GW316" s="18"/>
      <c r="GX316" s="18"/>
      <c r="GY316" s="18"/>
      <c r="GZ316" s="18"/>
      <c r="HA316" s="18"/>
      <c r="HB316" s="18"/>
      <c r="HC316" s="18"/>
      <c r="HD316" s="18"/>
      <c r="HE316" s="18"/>
      <c r="HF316" s="18"/>
      <c r="HG316" s="13"/>
      <c r="HH316" s="13"/>
      <c r="HI316" s="13"/>
      <c r="HJ316" s="13"/>
      <c r="HK316" s="13"/>
      <c r="HL316" s="13"/>
      <c r="HM316" s="13"/>
      <c r="HN316" s="13"/>
      <c r="HO316" s="13"/>
      <c r="HP316" s="13"/>
      <c r="HQ316" s="13"/>
      <c r="HR316" s="13"/>
      <c r="HS316" s="13"/>
      <c r="HT316" s="13"/>
      <c r="HV316" s="18"/>
      <c r="HW316" s="18"/>
      <c r="HX316" s="18"/>
      <c r="HY316" s="18"/>
      <c r="HZ316" s="18"/>
      <c r="IA316" s="18"/>
      <c r="IB316" s="18"/>
      <c r="IC316" s="18"/>
      <c r="ID316" s="18"/>
      <c r="IE316" s="18"/>
      <c r="IF316" s="18"/>
      <c r="IG316" s="18"/>
      <c r="IH316" s="18"/>
      <c r="II316" s="18"/>
      <c r="IJ316" s="18"/>
      <c r="IK316" s="18"/>
      <c r="IL316" s="18"/>
      <c r="IM316" s="18"/>
      <c r="IN316" s="18"/>
      <c r="IO316" s="18"/>
    </row>
    <row r="317" spans="1:302" ht="4.5" hidden="1" customHeight="1" outlineLevel="1">
      <c r="M317" s="136"/>
      <c r="N317" s="136"/>
      <c r="O317" s="136"/>
      <c r="P317" s="288"/>
      <c r="Y317" s="14"/>
      <c r="Z317" s="14"/>
      <c r="AN317" s="18"/>
      <c r="AT317" s="51"/>
      <c r="AU317" s="15"/>
      <c r="AV317" s="15"/>
      <c r="AW317" s="15"/>
      <c r="AX317" s="15"/>
      <c r="AY317" s="15"/>
      <c r="AZ317" s="15"/>
      <c r="BA317" s="51"/>
      <c r="BB317" s="15"/>
      <c r="BC317" s="15"/>
      <c r="BD317" s="15"/>
      <c r="BE317" s="15"/>
      <c r="BF317" s="15"/>
      <c r="BG317" s="51"/>
      <c r="BH317" s="15"/>
      <c r="BI317" s="15"/>
      <c r="BJ317" s="15"/>
      <c r="BK317" s="51"/>
      <c r="BL317" s="15"/>
      <c r="BM317" s="15"/>
      <c r="BN317" s="15"/>
      <c r="BO317" s="15"/>
      <c r="BP317" s="15"/>
      <c r="BQ317" s="18"/>
      <c r="BR317" s="18"/>
      <c r="BS317" s="18"/>
      <c r="BT317" s="18"/>
      <c r="BU317" s="18"/>
      <c r="BV317" s="18"/>
      <c r="BW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  <c r="FC317" s="18"/>
      <c r="FD317" s="18"/>
      <c r="FE317" s="18"/>
      <c r="FF317" s="18"/>
      <c r="FG317" s="18"/>
      <c r="FH317" s="18"/>
      <c r="FI317" s="18"/>
      <c r="FJ317" s="18"/>
      <c r="FK317" s="18"/>
      <c r="FL317" s="18"/>
      <c r="FM317" s="18"/>
      <c r="FN317" s="18"/>
      <c r="FO317" s="18"/>
      <c r="FP317" s="18"/>
      <c r="FQ317" s="18"/>
      <c r="FR317" s="18"/>
      <c r="FS317" s="18"/>
      <c r="FT317" s="18"/>
      <c r="FU317" s="18"/>
      <c r="FV317" s="18"/>
      <c r="FW317" s="18"/>
      <c r="FX317" s="18"/>
      <c r="FY317" s="18"/>
      <c r="FZ317" s="18"/>
      <c r="GA317" s="18"/>
      <c r="GB317" s="18"/>
      <c r="GC317" s="18"/>
      <c r="GD317" s="18"/>
      <c r="GE317" s="18"/>
      <c r="GF317" s="18"/>
      <c r="GG317" s="18"/>
      <c r="GH317" s="18"/>
      <c r="GI317" s="18"/>
      <c r="GJ317" s="18"/>
      <c r="GK317" s="18"/>
      <c r="GL317" s="18"/>
      <c r="GM317" s="18"/>
      <c r="GN317" s="18"/>
      <c r="GO317" s="18"/>
      <c r="GP317" s="18"/>
      <c r="GQ317" s="18"/>
      <c r="GR317" s="18"/>
      <c r="GS317" s="18"/>
      <c r="GT317" s="18"/>
      <c r="GU317" s="18"/>
      <c r="GV317" s="18"/>
      <c r="GW317" s="18"/>
      <c r="GX317" s="18"/>
      <c r="GY317" s="18"/>
      <c r="GZ317" s="18"/>
      <c r="HA317" s="18"/>
      <c r="HB317" s="18"/>
      <c r="HC317" s="18"/>
      <c r="HD317" s="18"/>
      <c r="HE317" s="18"/>
      <c r="HF317" s="18"/>
      <c r="HG317" s="13"/>
      <c r="HH317" s="13"/>
      <c r="HI317" s="13"/>
      <c r="HJ317" s="13"/>
      <c r="HK317" s="13"/>
      <c r="HL317" s="13"/>
      <c r="HM317" s="13"/>
      <c r="HN317" s="13"/>
      <c r="HO317" s="13"/>
      <c r="HP317" s="13"/>
      <c r="HQ317" s="13"/>
      <c r="HR317" s="13"/>
      <c r="HS317" s="13"/>
      <c r="HT317" s="13"/>
      <c r="HV317" s="18"/>
      <c r="HW317" s="18"/>
      <c r="HX317" s="18"/>
      <c r="HY317" s="18"/>
      <c r="HZ317" s="18"/>
      <c r="IA317" s="18"/>
      <c r="IB317" s="18"/>
      <c r="IC317" s="18"/>
      <c r="ID317" s="18"/>
      <c r="IE317" s="18"/>
      <c r="IF317" s="18"/>
      <c r="IG317" s="18"/>
      <c r="IH317" s="18"/>
      <c r="II317" s="18"/>
      <c r="IJ317" s="18"/>
      <c r="IK317" s="18"/>
      <c r="IL317" s="18"/>
      <c r="IM317" s="18"/>
      <c r="IN317" s="18"/>
      <c r="IO317" s="18"/>
    </row>
    <row r="318" spans="1:302" ht="10.5" hidden="1" customHeight="1" outlineLevel="1">
      <c r="A318" s="208" t="s">
        <v>91</v>
      </c>
      <c r="D318" s="38" t="s">
        <v>90</v>
      </c>
      <c r="F318" s="11">
        <v>0</v>
      </c>
      <c r="G318" s="946">
        <v>40723</v>
      </c>
      <c r="H318" s="946"/>
      <c r="I318" s="1067">
        <v>71.2</v>
      </c>
      <c r="J318" s="1067"/>
      <c r="K318" s="1067"/>
      <c r="M318" s="136"/>
      <c r="N318" s="136"/>
      <c r="O318" s="136"/>
      <c r="Y318" s="14"/>
      <c r="Z318" s="14"/>
      <c r="AB318" s="947"/>
      <c r="AC318" s="947"/>
      <c r="AD318" s="290"/>
      <c r="AE318" s="290"/>
      <c r="AG318" s="934"/>
      <c r="AH318" s="934"/>
      <c r="AI318" s="289"/>
      <c r="AJ318" s="34" t="s">
        <v>66</v>
      </c>
      <c r="AL318" s="25"/>
      <c r="AN318" s="179"/>
      <c r="AO318" s="38"/>
      <c r="AP318" s="188">
        <f>F318*I318+AN318+AN319</f>
        <v>0</v>
      </c>
      <c r="AT318" s="51"/>
      <c r="AU318" s="15"/>
      <c r="AV318" s="15"/>
      <c r="AW318" s="15"/>
      <c r="AX318" s="15"/>
      <c r="AY318" s="15"/>
      <c r="AZ318" s="15"/>
      <c r="BA318" s="51"/>
      <c r="BB318" s="15"/>
      <c r="BC318" s="15"/>
      <c r="BD318" s="15"/>
      <c r="BE318" s="15"/>
      <c r="BF318" s="15"/>
      <c r="BG318" s="51"/>
      <c r="BH318" s="15"/>
      <c r="BI318" s="15"/>
      <c r="BJ318" s="15"/>
      <c r="BK318" s="51"/>
      <c r="BL318" s="15"/>
      <c r="BM318" s="15"/>
      <c r="BN318" s="15"/>
      <c r="BO318" s="15"/>
      <c r="BP318" s="15"/>
      <c r="BQ318" s="15"/>
      <c r="BR318" s="18"/>
      <c r="BS318" s="18"/>
      <c r="BT318" s="18"/>
      <c r="BU318" s="18"/>
      <c r="BV318" s="18"/>
      <c r="BW318" s="18"/>
      <c r="BX318" s="139" t="str">
        <f>IF($AB318=0,"",$AB318)</f>
        <v/>
      </c>
      <c r="BY318" s="139"/>
      <c r="BZ318" s="139"/>
      <c r="CA318" s="139"/>
      <c r="CB318" s="139"/>
      <c r="CC318" s="139"/>
      <c r="CD318" s="139"/>
      <c r="CE318" s="139"/>
      <c r="CF318" s="139"/>
      <c r="CG318" s="139"/>
      <c r="CH318" s="139"/>
      <c r="CI318" s="139"/>
      <c r="CJ318" s="139"/>
      <c r="CK318" s="139"/>
      <c r="CL318" s="139"/>
      <c r="CM318" s="139"/>
      <c r="CN318" s="139"/>
      <c r="CO318" s="139"/>
      <c r="CP318" s="139"/>
      <c r="CQ318" s="139"/>
      <c r="CR318" s="139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  <c r="FR318" s="18"/>
      <c r="FS318" s="18"/>
      <c r="FT318" s="18"/>
      <c r="FU318" s="18"/>
      <c r="FV318" s="18"/>
      <c r="FW318" s="18"/>
      <c r="FX318" s="18"/>
      <c r="FY318" s="18"/>
      <c r="FZ318" s="18"/>
      <c r="GA318" s="18"/>
      <c r="GB318" s="18"/>
      <c r="GC318" s="18"/>
      <c r="GD318" s="18"/>
      <c r="GE318" s="18"/>
      <c r="GF318" s="18"/>
      <c r="GG318" s="18"/>
      <c r="GH318" s="18"/>
      <c r="GI318" s="18"/>
      <c r="GJ318" s="18"/>
      <c r="GK318" s="18"/>
      <c r="GL318" s="18"/>
      <c r="GM318" s="18"/>
      <c r="GN318" s="18"/>
      <c r="GO318" s="18"/>
      <c r="GP318" s="18"/>
      <c r="GQ318" s="18"/>
      <c r="GR318" s="18"/>
      <c r="GS318" s="18"/>
      <c r="GT318" s="18"/>
      <c r="GU318" s="18"/>
      <c r="GV318" s="18"/>
      <c r="GW318" s="18"/>
      <c r="GX318" s="18"/>
      <c r="GY318" s="18"/>
      <c r="GZ318" s="18"/>
      <c r="HA318" s="18"/>
      <c r="HB318" s="18"/>
      <c r="HC318" s="18"/>
      <c r="HD318" s="18"/>
      <c r="HE318" s="18"/>
      <c r="HF318" s="18"/>
      <c r="HG318" s="13"/>
      <c r="HH318" s="13"/>
      <c r="HI318" s="13"/>
      <c r="HJ318" s="13"/>
      <c r="HK318" s="13"/>
      <c r="HL318" s="13"/>
      <c r="HM318" s="13"/>
      <c r="HN318" s="13"/>
      <c r="HO318" s="13"/>
      <c r="HP318" s="13"/>
      <c r="HQ318" s="13"/>
      <c r="HR318" s="13"/>
      <c r="HS318" s="13"/>
      <c r="HT318" s="13"/>
      <c r="HV318" s="18"/>
      <c r="HW318" s="18"/>
      <c r="HX318" s="18"/>
      <c r="HY318" s="18"/>
      <c r="HZ318" s="18"/>
      <c r="IA318" s="18"/>
      <c r="IB318" s="18"/>
      <c r="IC318" s="18"/>
      <c r="ID318" s="18"/>
      <c r="IE318" s="139"/>
      <c r="IF318" s="139"/>
      <c r="IG318" s="139"/>
      <c r="IH318" s="139"/>
      <c r="II318" s="139"/>
      <c r="IJ318" s="139"/>
      <c r="IK318" s="139"/>
      <c r="IL318" s="139"/>
      <c r="IM318" s="139"/>
      <c r="IN318" s="139"/>
      <c r="IO318" s="139"/>
    </row>
    <row r="319" spans="1:302" ht="10.5" hidden="1" customHeight="1" outlineLevel="1">
      <c r="F319" s="275">
        <v>370</v>
      </c>
      <c r="K319" s="185">
        <f>AP318</f>
        <v>0</v>
      </c>
      <c r="M319" s="136"/>
      <c r="N319" s="136"/>
      <c r="O319" s="136"/>
      <c r="P319" s="184"/>
      <c r="Y319" s="14"/>
      <c r="Z319" s="14"/>
      <c r="AB319" s="947"/>
      <c r="AC319" s="947"/>
      <c r="AD319" s="183"/>
      <c r="AE319" s="183"/>
      <c r="AL319" s="25"/>
      <c r="AN319" s="179"/>
      <c r="AO319" s="38"/>
      <c r="AP319" s="38"/>
      <c r="AT319" s="51"/>
      <c r="AU319" s="15"/>
      <c r="AV319" s="15"/>
      <c r="AW319" s="15"/>
      <c r="AX319" s="15"/>
      <c r="AY319" s="15"/>
      <c r="AZ319" s="15"/>
      <c r="BA319" s="51"/>
      <c r="BB319" s="15"/>
      <c r="BC319" s="15"/>
      <c r="BD319" s="15"/>
      <c r="BE319" s="15"/>
      <c r="BF319" s="15"/>
      <c r="BG319" s="51"/>
      <c r="BH319" s="15"/>
      <c r="BI319" s="15"/>
      <c r="BJ319" s="15"/>
      <c r="BK319" s="51"/>
      <c r="BL319" s="15"/>
      <c r="BM319" s="15"/>
      <c r="BN319" s="15"/>
      <c r="BO319" s="15"/>
      <c r="BP319" s="15"/>
      <c r="BQ319" s="15"/>
      <c r="BR319" s="18"/>
      <c r="BS319" s="18"/>
      <c r="BT319" s="18"/>
      <c r="BU319" s="18"/>
      <c r="BV319" s="18"/>
      <c r="BW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  <c r="FR319" s="18"/>
      <c r="FS319" s="18"/>
      <c r="FT319" s="18"/>
      <c r="FU319" s="18"/>
      <c r="FV319" s="18"/>
      <c r="FW319" s="18"/>
      <c r="FX319" s="18"/>
      <c r="FY319" s="18"/>
      <c r="FZ319" s="18"/>
      <c r="GA319" s="18"/>
      <c r="GB319" s="18"/>
      <c r="GC319" s="18"/>
      <c r="GD319" s="18"/>
      <c r="GE319" s="18"/>
      <c r="GF319" s="18"/>
      <c r="GG319" s="18"/>
      <c r="GH319" s="18"/>
      <c r="GI319" s="18"/>
      <c r="GJ319" s="18"/>
      <c r="GK319" s="18"/>
      <c r="GL319" s="18"/>
      <c r="GM319" s="18"/>
      <c r="GN319" s="18"/>
      <c r="GO319" s="18"/>
      <c r="GP319" s="18"/>
      <c r="GQ319" s="18"/>
      <c r="GR319" s="18"/>
      <c r="GS319" s="18"/>
      <c r="GT319" s="18"/>
      <c r="GU319" s="18"/>
      <c r="GV319" s="18"/>
      <c r="GW319" s="18"/>
      <c r="GX319" s="18"/>
      <c r="GY319" s="18"/>
      <c r="GZ319" s="18"/>
      <c r="HA319" s="18"/>
      <c r="HB319" s="18"/>
      <c r="HC319" s="18"/>
      <c r="HD319" s="18"/>
      <c r="HE319" s="18"/>
      <c r="HF319" s="18"/>
      <c r="HG319" s="13"/>
      <c r="HH319" s="13"/>
      <c r="HI319" s="13"/>
      <c r="HJ319" s="13"/>
      <c r="HK319" s="13"/>
      <c r="HL319" s="13"/>
      <c r="HM319" s="13"/>
      <c r="HN319" s="13"/>
      <c r="HO319" s="13"/>
      <c r="HP319" s="13"/>
      <c r="HQ319" s="13"/>
      <c r="HR319" s="13"/>
      <c r="HS319" s="13"/>
      <c r="HT319" s="13"/>
      <c r="HV319" s="18"/>
      <c r="HW319" s="18"/>
      <c r="HX319" s="18"/>
      <c r="HY319" s="18"/>
      <c r="HZ319" s="18"/>
      <c r="IA319" s="18"/>
      <c r="IB319" s="18"/>
      <c r="IC319" s="18"/>
      <c r="ID319" s="18"/>
      <c r="IE319" s="18"/>
      <c r="IF319" s="18"/>
      <c r="IG319" s="18"/>
      <c r="IH319" s="18"/>
      <c r="II319" s="18"/>
      <c r="IJ319" s="18"/>
      <c r="IK319" s="18"/>
      <c r="IL319" s="18"/>
      <c r="IM319" s="18"/>
      <c r="IN319" s="18"/>
      <c r="IO319" s="18"/>
    </row>
    <row r="320" spans="1:302" ht="10.5" hidden="1" customHeight="1" outlineLevel="1">
      <c r="M320" s="136"/>
      <c r="N320" s="136"/>
      <c r="O320" s="136"/>
      <c r="Y320" s="14"/>
      <c r="Z320" s="14"/>
      <c r="AN320" s="18"/>
      <c r="AT320" s="51"/>
      <c r="AU320" s="15"/>
      <c r="AV320" s="15"/>
      <c r="AW320" s="15"/>
      <c r="AX320" s="15"/>
      <c r="AY320" s="15"/>
      <c r="AZ320" s="15"/>
      <c r="BA320" s="51"/>
      <c r="BB320" s="15"/>
      <c r="BC320" s="15"/>
      <c r="BD320" s="15"/>
      <c r="BE320" s="15"/>
      <c r="BF320" s="15"/>
      <c r="BG320" s="51"/>
      <c r="BH320" s="15"/>
      <c r="BI320" s="15"/>
      <c r="BJ320" s="15"/>
      <c r="BK320" s="51"/>
      <c r="BL320" s="15"/>
      <c r="BM320" s="15"/>
      <c r="BN320" s="15"/>
      <c r="BO320" s="15"/>
      <c r="BP320" s="15"/>
      <c r="BQ320" s="15"/>
      <c r="BR320" s="18"/>
      <c r="BS320" s="18"/>
      <c r="BT320" s="18"/>
      <c r="BU320" s="18"/>
      <c r="BV320" s="18"/>
      <c r="BW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/>
      <c r="FO320" s="18"/>
      <c r="FP320" s="18"/>
      <c r="FQ320" s="18"/>
      <c r="FR320" s="18"/>
      <c r="FS320" s="18"/>
      <c r="FT320" s="18"/>
      <c r="FU320" s="18"/>
      <c r="FV320" s="18"/>
      <c r="FW320" s="18"/>
      <c r="FX320" s="18"/>
      <c r="FY320" s="18"/>
      <c r="FZ320" s="18"/>
      <c r="GA320" s="18"/>
      <c r="GB320" s="18"/>
      <c r="GC320" s="18"/>
      <c r="GD320" s="18"/>
      <c r="GE320" s="18"/>
      <c r="GF320" s="18"/>
      <c r="GG320" s="18"/>
      <c r="GH320" s="18"/>
      <c r="GI320" s="18"/>
      <c r="GJ320" s="18"/>
      <c r="GK320" s="18"/>
      <c r="GL320" s="18"/>
      <c r="GM320" s="18"/>
      <c r="GN320" s="18"/>
      <c r="GO320" s="18"/>
      <c r="GP320" s="18"/>
      <c r="GQ320" s="18"/>
      <c r="GR320" s="18"/>
      <c r="GS320" s="18"/>
      <c r="GT320" s="18"/>
      <c r="GU320" s="18"/>
      <c r="GV320" s="18"/>
      <c r="GW320" s="18"/>
      <c r="GX320" s="18"/>
      <c r="GY320" s="18"/>
      <c r="GZ320" s="18"/>
      <c r="HA320" s="18"/>
      <c r="HB320" s="18"/>
      <c r="HC320" s="18"/>
      <c r="HD320" s="18"/>
      <c r="HE320" s="18"/>
      <c r="HF320" s="18"/>
      <c r="HG320" s="13"/>
      <c r="HH320" s="13"/>
      <c r="HI320" s="13"/>
      <c r="HJ320" s="13"/>
      <c r="HK320" s="13"/>
      <c r="HL320" s="13"/>
      <c r="HM320" s="13"/>
      <c r="HN320" s="13"/>
      <c r="HO320" s="13"/>
      <c r="HP320" s="13"/>
      <c r="HQ320" s="13"/>
      <c r="HR320" s="13"/>
      <c r="HS320" s="13"/>
      <c r="HT320" s="13"/>
      <c r="HV320" s="18"/>
      <c r="HW320" s="18"/>
      <c r="HX320" s="18"/>
      <c r="HY320" s="18"/>
      <c r="HZ320" s="18"/>
      <c r="IA320" s="18"/>
      <c r="IB320" s="18"/>
      <c r="IC320" s="18"/>
      <c r="ID320" s="18"/>
      <c r="IE320" s="18"/>
      <c r="IF320" s="18"/>
      <c r="IG320" s="18"/>
      <c r="IH320" s="18"/>
      <c r="II320" s="18"/>
      <c r="IJ320" s="18"/>
      <c r="IK320" s="18"/>
      <c r="IL320" s="18"/>
      <c r="IM320" s="18"/>
      <c r="IN320" s="18"/>
      <c r="IO320" s="18"/>
      <c r="IP320" s="18"/>
      <c r="IQ320" s="18"/>
      <c r="IR320" s="18"/>
      <c r="IS320" s="18"/>
      <c r="IT320" s="18"/>
      <c r="IU320" s="18"/>
      <c r="IV320" s="18"/>
      <c r="IW320" s="18"/>
      <c r="IX320" s="18"/>
      <c r="IY320" s="18"/>
      <c r="IZ320" s="18"/>
      <c r="JA320" s="18"/>
      <c r="JB320" s="18"/>
      <c r="JC320" s="18"/>
      <c r="JD320" s="18"/>
      <c r="JE320" s="18"/>
      <c r="JF320" s="18"/>
      <c r="JG320" s="18"/>
      <c r="JH320" s="18"/>
      <c r="JI320" s="18"/>
      <c r="JJ320" s="18"/>
      <c r="JK320" s="18"/>
      <c r="JL320" s="18"/>
      <c r="JM320" s="18"/>
      <c r="JN320" s="18"/>
      <c r="JO320" s="18"/>
      <c r="JP320" s="18"/>
      <c r="JQ320" s="18"/>
      <c r="JR320" s="18"/>
      <c r="JS320" s="18"/>
      <c r="JT320" s="18"/>
      <c r="JU320" s="18"/>
      <c r="JV320" s="18"/>
      <c r="JW320" s="18"/>
      <c r="JX320" s="18"/>
      <c r="JY320" s="18"/>
      <c r="JZ320" s="18"/>
      <c r="KA320" s="18"/>
      <c r="KB320" s="18"/>
      <c r="KC320" s="18"/>
      <c r="KD320" s="18"/>
      <c r="KE320" s="18"/>
      <c r="KF320" s="18"/>
      <c r="KG320" s="18"/>
      <c r="KH320" s="18"/>
      <c r="KI320" s="18"/>
      <c r="KJ320" s="18"/>
      <c r="KK320" s="18"/>
      <c r="KL320" s="18"/>
      <c r="KM320" s="18"/>
      <c r="KN320" s="18"/>
      <c r="KO320" s="18"/>
      <c r="KP320" s="18"/>
    </row>
    <row r="321" spans="1:302" ht="10.5" hidden="1" customHeight="1" outlineLevel="1">
      <c r="M321" s="136"/>
      <c r="N321" s="136"/>
      <c r="O321" s="136"/>
      <c r="Y321" s="14"/>
      <c r="Z321" s="14"/>
      <c r="AN321" s="18"/>
      <c r="AT321" s="51"/>
      <c r="AU321" s="15"/>
      <c r="AV321" s="15"/>
      <c r="AW321" s="15"/>
      <c r="AX321" s="15"/>
      <c r="AY321" s="15"/>
      <c r="AZ321" s="15"/>
      <c r="BA321" s="51"/>
      <c r="BB321" s="15"/>
      <c r="BC321" s="15"/>
      <c r="BD321" s="15"/>
      <c r="BE321" s="15"/>
      <c r="BF321" s="15"/>
      <c r="BG321" s="51"/>
      <c r="BH321" s="15"/>
      <c r="BI321" s="15"/>
      <c r="BJ321" s="15"/>
      <c r="BK321" s="51"/>
      <c r="BL321" s="15"/>
      <c r="BM321" s="15"/>
      <c r="BN321" s="15"/>
      <c r="BO321" s="15"/>
      <c r="BP321" s="15"/>
      <c r="BQ321" s="15"/>
      <c r="BR321" s="18"/>
      <c r="BS321" s="18"/>
      <c r="BT321" s="18"/>
      <c r="BU321" s="18"/>
      <c r="BV321" s="18"/>
      <c r="BW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  <c r="FR321" s="18"/>
      <c r="FS321" s="18"/>
      <c r="FT321" s="18"/>
      <c r="FU321" s="18"/>
      <c r="FV321" s="18"/>
      <c r="FW321" s="18"/>
      <c r="FX321" s="18"/>
      <c r="FY321" s="18"/>
      <c r="FZ321" s="18"/>
      <c r="GA321" s="18"/>
      <c r="GB321" s="18"/>
      <c r="GC321" s="18"/>
      <c r="GD321" s="18"/>
      <c r="GE321" s="18"/>
      <c r="GF321" s="18"/>
      <c r="GG321" s="18"/>
      <c r="GH321" s="18"/>
      <c r="GI321" s="18"/>
      <c r="GJ321" s="18"/>
      <c r="GK321" s="18"/>
      <c r="GL321" s="18"/>
      <c r="GM321" s="18"/>
      <c r="GN321" s="18"/>
      <c r="GO321" s="18"/>
      <c r="GP321" s="18"/>
      <c r="GQ321" s="18"/>
      <c r="GR321" s="18"/>
      <c r="GS321" s="18"/>
      <c r="GT321" s="18"/>
      <c r="GU321" s="18"/>
      <c r="GV321" s="18"/>
      <c r="GW321" s="18"/>
      <c r="GX321" s="18"/>
      <c r="GY321" s="18"/>
      <c r="GZ321" s="18"/>
      <c r="HA321" s="18"/>
      <c r="HB321" s="18"/>
      <c r="HC321" s="18"/>
      <c r="HD321" s="18"/>
      <c r="HE321" s="18"/>
      <c r="HF321" s="18"/>
      <c r="HG321" s="13"/>
      <c r="HH321" s="13"/>
      <c r="HI321" s="13"/>
      <c r="HJ321" s="13"/>
      <c r="HK321" s="13"/>
      <c r="HL321" s="13"/>
      <c r="HM321" s="13"/>
      <c r="HN321" s="13"/>
      <c r="HO321" s="13"/>
      <c r="HP321" s="13"/>
      <c r="HQ321" s="13"/>
      <c r="HR321" s="13"/>
      <c r="HS321" s="13"/>
      <c r="HT321" s="13"/>
      <c r="HV321" s="18"/>
      <c r="HW321" s="18"/>
      <c r="HX321" s="18"/>
      <c r="HY321" s="18"/>
      <c r="HZ321" s="18"/>
      <c r="IA321" s="18"/>
      <c r="IB321" s="18"/>
      <c r="IC321" s="18"/>
      <c r="ID321" s="18"/>
      <c r="IE321" s="18"/>
      <c r="IF321" s="18"/>
      <c r="IG321" s="18"/>
      <c r="IH321" s="18"/>
      <c r="II321" s="18"/>
      <c r="IJ321" s="18"/>
      <c r="IK321" s="18"/>
      <c r="IL321" s="18"/>
      <c r="IM321" s="18"/>
      <c r="IN321" s="18"/>
      <c r="IO321" s="18"/>
      <c r="IP321" s="18"/>
      <c r="IQ321" s="18"/>
      <c r="IR321" s="18"/>
      <c r="IS321" s="18"/>
      <c r="IT321" s="18"/>
      <c r="IU321" s="18"/>
      <c r="IV321" s="18"/>
      <c r="IW321" s="18"/>
      <c r="IX321" s="18"/>
      <c r="IY321" s="18"/>
      <c r="IZ321" s="18"/>
      <c r="JA321" s="18"/>
      <c r="JB321" s="18"/>
      <c r="JC321" s="18"/>
      <c r="JD321" s="18"/>
      <c r="JE321" s="18"/>
      <c r="JF321" s="18"/>
      <c r="JG321" s="18"/>
      <c r="JH321" s="18"/>
      <c r="JI321" s="18"/>
      <c r="JJ321" s="18"/>
      <c r="JK321" s="18"/>
      <c r="JL321" s="18"/>
      <c r="JM321" s="18"/>
      <c r="JN321" s="18"/>
      <c r="JO321" s="18"/>
      <c r="JP321" s="18"/>
      <c r="JQ321" s="18"/>
      <c r="JR321" s="18"/>
      <c r="JS321" s="18"/>
      <c r="JT321" s="18"/>
      <c r="JU321" s="18"/>
      <c r="JV321" s="18"/>
      <c r="JW321" s="18"/>
      <c r="JX321" s="18"/>
      <c r="JY321" s="18"/>
      <c r="JZ321" s="18"/>
      <c r="KA321" s="18"/>
      <c r="KB321" s="18"/>
      <c r="KC321" s="18"/>
      <c r="KD321" s="18"/>
      <c r="KE321" s="18"/>
      <c r="KF321" s="18"/>
      <c r="KG321" s="18"/>
      <c r="KH321" s="18"/>
      <c r="KI321" s="18"/>
      <c r="KJ321" s="18"/>
      <c r="KK321" s="18"/>
      <c r="KL321" s="18"/>
      <c r="KM321" s="18"/>
      <c r="KN321" s="18"/>
      <c r="KO321" s="18"/>
      <c r="KP321" s="18"/>
    </row>
    <row r="322" spans="1:302" ht="10.5" hidden="1" customHeight="1" outlineLevel="1">
      <c r="M322" s="136"/>
      <c r="N322" s="136"/>
      <c r="O322" s="136"/>
      <c r="Y322" s="14"/>
      <c r="Z322" s="14"/>
      <c r="AN322" s="18"/>
      <c r="AT322" s="51"/>
      <c r="AU322" s="15"/>
      <c r="AV322" s="15"/>
      <c r="AW322" s="15"/>
      <c r="AX322" s="15"/>
      <c r="AY322" s="15"/>
      <c r="AZ322" s="15"/>
      <c r="BA322" s="51"/>
      <c r="BB322" s="15"/>
      <c r="BC322" s="15"/>
      <c r="BD322" s="15"/>
      <c r="BE322" s="15"/>
      <c r="BF322" s="15"/>
      <c r="BG322" s="51"/>
      <c r="BH322" s="15"/>
      <c r="BI322" s="15"/>
      <c r="BJ322" s="15"/>
      <c r="BK322" s="51"/>
      <c r="BL322" s="15"/>
      <c r="BM322" s="15"/>
      <c r="BN322" s="15"/>
      <c r="BO322" s="15"/>
      <c r="BP322" s="15"/>
      <c r="BQ322" s="15"/>
      <c r="BR322" s="18"/>
      <c r="BS322" s="18"/>
      <c r="BT322" s="18"/>
      <c r="BU322" s="18"/>
      <c r="BV322" s="18"/>
      <c r="BW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  <c r="FR322" s="18"/>
      <c r="FS322" s="18"/>
      <c r="FT322" s="18"/>
      <c r="FU322" s="18"/>
      <c r="FV322" s="18"/>
      <c r="FW322" s="18"/>
      <c r="FX322" s="18"/>
      <c r="FY322" s="18"/>
      <c r="FZ322" s="18"/>
      <c r="GA322" s="18"/>
      <c r="GB322" s="18"/>
      <c r="GC322" s="18"/>
      <c r="GD322" s="18"/>
      <c r="GE322" s="18"/>
      <c r="GF322" s="18"/>
      <c r="GG322" s="18"/>
      <c r="GH322" s="18"/>
      <c r="GI322" s="18"/>
      <c r="GJ322" s="18"/>
      <c r="GK322" s="18"/>
      <c r="GL322" s="18"/>
      <c r="GM322" s="18"/>
      <c r="GN322" s="18"/>
      <c r="GO322" s="18"/>
      <c r="GP322" s="18"/>
      <c r="GQ322" s="18"/>
      <c r="GR322" s="18"/>
      <c r="GS322" s="18"/>
      <c r="GT322" s="18"/>
      <c r="GU322" s="18"/>
      <c r="GV322" s="18"/>
      <c r="GW322" s="18"/>
      <c r="GX322" s="18"/>
      <c r="GY322" s="18"/>
      <c r="GZ322" s="18"/>
      <c r="HA322" s="18"/>
      <c r="HB322" s="18"/>
      <c r="HC322" s="18"/>
      <c r="HD322" s="18"/>
      <c r="HE322" s="18"/>
      <c r="HF322" s="18"/>
      <c r="HG322" s="13"/>
      <c r="HH322" s="13"/>
      <c r="HI322" s="13"/>
      <c r="HJ322" s="13"/>
      <c r="HK322" s="13"/>
      <c r="HL322" s="13"/>
      <c r="HM322" s="13"/>
      <c r="HN322" s="13"/>
      <c r="HO322" s="13"/>
      <c r="HP322" s="13"/>
      <c r="HQ322" s="13"/>
      <c r="HR322" s="13"/>
      <c r="HS322" s="13"/>
      <c r="HT322" s="13"/>
      <c r="HV322" s="18"/>
      <c r="HW322" s="18"/>
      <c r="HX322" s="18"/>
      <c r="HY322" s="18"/>
      <c r="HZ322" s="18"/>
      <c r="IA322" s="18"/>
      <c r="IB322" s="18"/>
      <c r="IC322" s="18"/>
      <c r="ID322" s="18"/>
      <c r="IE322" s="18"/>
      <c r="IF322" s="18"/>
      <c r="IG322" s="18"/>
      <c r="IH322" s="18"/>
      <c r="II322" s="18"/>
      <c r="IJ322" s="18"/>
      <c r="IK322" s="18"/>
      <c r="IL322" s="18"/>
      <c r="IM322" s="18"/>
      <c r="IN322" s="18"/>
      <c r="IO322" s="18"/>
      <c r="IP322" s="18"/>
      <c r="IQ322" s="18"/>
      <c r="IR322" s="18"/>
      <c r="IS322" s="18"/>
      <c r="IT322" s="18"/>
      <c r="IU322" s="18"/>
      <c r="IV322" s="18"/>
      <c r="IW322" s="18"/>
      <c r="IX322" s="18"/>
      <c r="IY322" s="18"/>
      <c r="IZ322" s="18"/>
      <c r="JA322" s="18"/>
      <c r="JB322" s="18"/>
      <c r="JC322" s="18"/>
      <c r="JD322" s="18"/>
      <c r="JE322" s="18"/>
      <c r="JF322" s="18"/>
      <c r="JG322" s="18"/>
      <c r="JH322" s="18"/>
      <c r="JI322" s="18"/>
      <c r="JJ322" s="18"/>
      <c r="JK322" s="18"/>
      <c r="JL322" s="18"/>
      <c r="JM322" s="18"/>
      <c r="JN322" s="18"/>
      <c r="JO322" s="18"/>
      <c r="JP322" s="18"/>
      <c r="JQ322" s="18"/>
      <c r="JR322" s="18"/>
      <c r="JS322" s="18"/>
      <c r="JT322" s="18"/>
      <c r="JU322" s="18"/>
      <c r="JV322" s="18"/>
      <c r="JW322" s="18"/>
      <c r="JX322" s="18"/>
      <c r="JY322" s="18"/>
      <c r="JZ322" s="18"/>
      <c r="KA322" s="18"/>
      <c r="KB322" s="18"/>
      <c r="KC322" s="18"/>
      <c r="KD322" s="18"/>
      <c r="KE322" s="18"/>
      <c r="KF322" s="18"/>
      <c r="KG322" s="18"/>
      <c r="KH322" s="18"/>
      <c r="KI322" s="18"/>
      <c r="KJ322" s="18"/>
      <c r="KK322" s="18"/>
      <c r="KL322" s="18"/>
      <c r="KM322" s="18"/>
      <c r="KN322" s="18"/>
      <c r="KO322" s="18"/>
      <c r="KP322" s="18"/>
    </row>
    <row r="323" spans="1:302" ht="10.5" hidden="1" customHeight="1" outlineLevel="1">
      <c r="M323" s="136"/>
      <c r="N323" s="136"/>
      <c r="O323" s="136"/>
      <c r="Y323" s="14"/>
      <c r="Z323" s="14"/>
      <c r="AN323" s="18"/>
      <c r="AT323" s="51"/>
      <c r="AU323" s="15"/>
      <c r="AV323" s="15"/>
      <c r="AW323" s="15"/>
      <c r="AX323" s="15"/>
      <c r="AY323" s="15"/>
      <c r="AZ323" s="15"/>
      <c r="BA323" s="51"/>
      <c r="BB323" s="15"/>
      <c r="BC323" s="15"/>
      <c r="BD323" s="15"/>
      <c r="BE323" s="15"/>
      <c r="BF323" s="15"/>
      <c r="BG323" s="51"/>
      <c r="BH323" s="15"/>
      <c r="BI323" s="15"/>
      <c r="BJ323" s="15"/>
      <c r="BK323" s="51"/>
      <c r="BL323" s="15"/>
      <c r="BM323" s="15"/>
      <c r="BN323" s="15"/>
      <c r="BO323" s="15"/>
      <c r="BP323" s="15"/>
      <c r="BQ323" s="15"/>
      <c r="BR323" s="18"/>
      <c r="BS323" s="18"/>
      <c r="BT323" s="18"/>
      <c r="BU323" s="18"/>
      <c r="BV323" s="18"/>
      <c r="BW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  <c r="FR323" s="18"/>
      <c r="FS323" s="18"/>
      <c r="FT323" s="18"/>
      <c r="FU323" s="18"/>
      <c r="FV323" s="18"/>
      <c r="FW323" s="18"/>
      <c r="FX323" s="18"/>
      <c r="FY323" s="18"/>
      <c r="FZ323" s="18"/>
      <c r="GA323" s="18"/>
      <c r="GB323" s="18"/>
      <c r="GC323" s="18"/>
      <c r="GD323" s="18"/>
      <c r="GE323" s="18"/>
      <c r="GF323" s="18"/>
      <c r="GG323" s="18"/>
      <c r="GH323" s="18"/>
      <c r="GI323" s="18"/>
      <c r="GJ323" s="18"/>
      <c r="GK323" s="18"/>
      <c r="GL323" s="18"/>
      <c r="GM323" s="18"/>
      <c r="GN323" s="18"/>
      <c r="GO323" s="18"/>
      <c r="GP323" s="18"/>
      <c r="GQ323" s="18"/>
      <c r="GR323" s="18"/>
      <c r="GS323" s="18"/>
      <c r="GT323" s="18"/>
      <c r="GU323" s="18"/>
      <c r="GV323" s="18"/>
      <c r="GW323" s="18"/>
      <c r="GX323" s="18"/>
      <c r="GY323" s="18"/>
      <c r="GZ323" s="18"/>
      <c r="HA323" s="18"/>
      <c r="HB323" s="18"/>
      <c r="HC323" s="18"/>
      <c r="HD323" s="18"/>
      <c r="HE323" s="18"/>
      <c r="HF323" s="18"/>
      <c r="HG323" s="13"/>
      <c r="HH323" s="13"/>
      <c r="HI323" s="13"/>
      <c r="HJ323" s="13"/>
      <c r="HK323" s="13"/>
      <c r="HL323" s="13"/>
      <c r="HM323" s="13"/>
      <c r="HN323" s="13"/>
      <c r="HO323" s="13"/>
      <c r="HP323" s="13"/>
      <c r="HQ323" s="13"/>
      <c r="HR323" s="13"/>
      <c r="HS323" s="13"/>
      <c r="HT323" s="13"/>
      <c r="HV323" s="18"/>
      <c r="HW323" s="18"/>
      <c r="HX323" s="18"/>
      <c r="HY323" s="18"/>
      <c r="HZ323" s="18"/>
      <c r="IA323" s="18"/>
      <c r="IB323" s="18"/>
      <c r="IC323" s="18"/>
      <c r="ID323" s="18"/>
      <c r="IE323" s="18"/>
      <c r="IF323" s="18"/>
      <c r="IG323" s="18"/>
      <c r="IH323" s="18"/>
      <c r="II323" s="18"/>
      <c r="IJ323" s="18"/>
      <c r="IK323" s="18"/>
      <c r="IL323" s="18"/>
      <c r="IM323" s="18"/>
      <c r="IN323" s="18"/>
      <c r="IO323" s="18"/>
      <c r="IP323" s="18"/>
      <c r="IQ323" s="18"/>
      <c r="IR323" s="18"/>
      <c r="IS323" s="18"/>
      <c r="IT323" s="18"/>
      <c r="IU323" s="18"/>
      <c r="IV323" s="18"/>
      <c r="IW323" s="18"/>
      <c r="IX323" s="18"/>
      <c r="IY323" s="18"/>
      <c r="IZ323" s="18"/>
      <c r="JA323" s="18"/>
      <c r="JB323" s="18"/>
      <c r="JC323" s="18"/>
      <c r="JD323" s="18"/>
      <c r="JE323" s="18"/>
      <c r="JF323" s="18"/>
      <c r="JG323" s="18"/>
      <c r="JH323" s="18"/>
      <c r="JI323" s="18"/>
      <c r="JJ323" s="18"/>
      <c r="JK323" s="18"/>
      <c r="JL323" s="18"/>
      <c r="JM323" s="18"/>
      <c r="JN323" s="18"/>
      <c r="JO323" s="18"/>
      <c r="JP323" s="18"/>
      <c r="JQ323" s="18"/>
      <c r="JR323" s="18"/>
      <c r="JS323" s="18"/>
      <c r="JT323" s="18"/>
      <c r="JU323" s="18"/>
      <c r="JV323" s="18"/>
      <c r="JW323" s="18"/>
      <c r="JX323" s="18"/>
      <c r="JY323" s="18"/>
      <c r="JZ323" s="18"/>
      <c r="KA323" s="18"/>
      <c r="KB323" s="18"/>
      <c r="KC323" s="18"/>
      <c r="KD323" s="18"/>
      <c r="KE323" s="18"/>
      <c r="KF323" s="18"/>
      <c r="KG323" s="18"/>
      <c r="KH323" s="18"/>
      <c r="KI323" s="18"/>
      <c r="KJ323" s="18"/>
      <c r="KK323" s="18"/>
      <c r="KL323" s="18"/>
      <c r="KM323" s="18"/>
      <c r="KN323" s="18"/>
      <c r="KO323" s="18"/>
      <c r="KP323" s="18"/>
    </row>
    <row r="324" spans="1:302" ht="11.1" hidden="1" customHeight="1" outlineLevel="1">
      <c r="M324" s="136"/>
      <c r="N324" s="136"/>
      <c r="O324" s="136"/>
      <c r="Y324" s="14"/>
      <c r="Z324" s="14"/>
      <c r="AN324" s="18"/>
      <c r="AT324" s="51"/>
      <c r="AU324" s="15"/>
      <c r="AV324" s="15"/>
      <c r="AW324" s="15"/>
      <c r="AX324" s="15"/>
      <c r="AY324" s="15"/>
      <c r="AZ324" s="15"/>
      <c r="BA324" s="51"/>
      <c r="BB324" s="15"/>
      <c r="BC324" s="15"/>
      <c r="BD324" s="15"/>
      <c r="BE324" s="15"/>
      <c r="BF324" s="15"/>
      <c r="BG324" s="51"/>
      <c r="BH324" s="15"/>
      <c r="BI324" s="15"/>
      <c r="BJ324" s="15"/>
      <c r="BK324" s="51"/>
      <c r="BL324" s="15"/>
      <c r="BM324" s="15"/>
      <c r="BN324" s="15"/>
      <c r="BO324" s="15"/>
      <c r="BP324" s="15"/>
      <c r="BQ324" s="15"/>
      <c r="BR324" s="18"/>
      <c r="BS324" s="18"/>
      <c r="BT324" s="18"/>
      <c r="BU324" s="18"/>
      <c r="BV324" s="18"/>
      <c r="BW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  <c r="EZ324" s="18"/>
      <c r="FA324" s="18"/>
      <c r="FB324" s="18"/>
      <c r="FC324" s="18"/>
      <c r="FD324" s="18"/>
      <c r="FE324" s="18"/>
      <c r="FF324" s="18"/>
      <c r="FG324" s="18"/>
      <c r="FH324" s="18"/>
      <c r="FI324" s="18"/>
      <c r="FJ324" s="18"/>
      <c r="FK324" s="18"/>
      <c r="FL324" s="18"/>
      <c r="FM324" s="18"/>
      <c r="FN324" s="18"/>
      <c r="FO324" s="18"/>
      <c r="FP324" s="18"/>
      <c r="FQ324" s="18"/>
      <c r="FR324" s="18"/>
      <c r="FS324" s="18"/>
      <c r="FT324" s="18"/>
      <c r="FU324" s="18"/>
      <c r="FV324" s="18"/>
      <c r="FW324" s="18"/>
      <c r="FX324" s="18"/>
      <c r="FY324" s="18"/>
      <c r="FZ324" s="18"/>
      <c r="GA324" s="18"/>
      <c r="GB324" s="18"/>
      <c r="GC324" s="18"/>
      <c r="GD324" s="18"/>
      <c r="GE324" s="18"/>
      <c r="GF324" s="18"/>
      <c r="GG324" s="18"/>
      <c r="GH324" s="18"/>
      <c r="GI324" s="18"/>
      <c r="GJ324" s="18"/>
      <c r="GK324" s="18"/>
      <c r="GL324" s="18"/>
      <c r="GM324" s="18"/>
      <c r="GN324" s="18"/>
      <c r="GO324" s="18"/>
      <c r="GP324" s="18"/>
      <c r="GQ324" s="18"/>
      <c r="GR324" s="18"/>
      <c r="GS324" s="18"/>
      <c r="GT324" s="18"/>
      <c r="GU324" s="18"/>
      <c r="GV324" s="18"/>
      <c r="GW324" s="18"/>
      <c r="GX324" s="18"/>
      <c r="GY324" s="18"/>
      <c r="GZ324" s="18"/>
      <c r="HA324" s="18"/>
      <c r="HB324" s="18"/>
      <c r="HC324" s="18"/>
      <c r="HD324" s="18"/>
      <c r="HE324" s="18"/>
      <c r="HF324" s="18"/>
      <c r="HG324" s="13"/>
      <c r="HH324" s="13"/>
      <c r="HI324" s="13"/>
      <c r="HJ324" s="13"/>
      <c r="HK324" s="13"/>
      <c r="HL324" s="13"/>
      <c r="HM324" s="13"/>
      <c r="HN324" s="13"/>
      <c r="HO324" s="13"/>
      <c r="HP324" s="13"/>
      <c r="HQ324" s="13"/>
      <c r="HR324" s="13"/>
      <c r="HS324" s="13"/>
      <c r="HT324" s="13"/>
      <c r="HV324" s="18"/>
      <c r="HW324" s="18"/>
      <c r="HX324" s="18"/>
      <c r="HY324" s="18"/>
      <c r="HZ324" s="18"/>
      <c r="IA324" s="18"/>
      <c r="IB324" s="18"/>
      <c r="IC324" s="18"/>
      <c r="ID324" s="18"/>
      <c r="IE324" s="18"/>
      <c r="IF324" s="18"/>
      <c r="IG324" s="18"/>
      <c r="IH324" s="18"/>
      <c r="II324" s="18"/>
      <c r="IJ324" s="18"/>
      <c r="IK324" s="18"/>
      <c r="IL324" s="18"/>
      <c r="IM324" s="18"/>
      <c r="IN324" s="18"/>
      <c r="IO324" s="18"/>
      <c r="IP324" s="18"/>
      <c r="IQ324" s="18"/>
      <c r="IR324" s="18"/>
      <c r="IS324" s="18"/>
      <c r="IT324" s="18"/>
      <c r="IU324" s="18"/>
      <c r="IV324" s="18"/>
      <c r="IW324" s="18"/>
      <c r="IX324" s="18"/>
      <c r="IY324" s="18"/>
      <c r="IZ324" s="18"/>
      <c r="JA324" s="18"/>
      <c r="JB324" s="18"/>
      <c r="JC324" s="18"/>
      <c r="JD324" s="18"/>
      <c r="JE324" s="18"/>
      <c r="JF324" s="18"/>
      <c r="JG324" s="18"/>
      <c r="JH324" s="18"/>
      <c r="JI324" s="18"/>
      <c r="JJ324" s="18"/>
      <c r="JK324" s="18"/>
      <c r="JL324" s="18"/>
      <c r="JM324" s="18"/>
      <c r="JN324" s="18"/>
      <c r="JO324" s="18"/>
      <c r="JP324" s="18"/>
      <c r="JQ324" s="18"/>
      <c r="JR324" s="18"/>
      <c r="JS324" s="18"/>
      <c r="JT324" s="18"/>
      <c r="JU324" s="18"/>
      <c r="JV324" s="18"/>
      <c r="JW324" s="18"/>
      <c r="JX324" s="18"/>
      <c r="JY324" s="18"/>
      <c r="JZ324" s="18"/>
      <c r="KA324" s="18"/>
      <c r="KB324" s="18"/>
      <c r="KC324" s="18"/>
      <c r="KD324" s="18"/>
      <c r="KE324" s="18"/>
      <c r="KF324" s="18"/>
      <c r="KG324" s="18"/>
      <c r="KH324" s="18"/>
      <c r="KI324" s="18"/>
      <c r="KJ324" s="18"/>
      <c r="KK324" s="18"/>
      <c r="KL324" s="18"/>
      <c r="KM324" s="18"/>
      <c r="KN324" s="18"/>
      <c r="KO324" s="18"/>
      <c r="KP324" s="18"/>
    </row>
    <row r="325" spans="1:302" ht="10.5" hidden="1" customHeight="1" outlineLevel="1">
      <c r="M325" s="136"/>
      <c r="N325" s="136"/>
      <c r="O325" s="136"/>
      <c r="Y325" s="14"/>
      <c r="Z325" s="14"/>
      <c r="AN325" s="18"/>
      <c r="AT325" s="51"/>
      <c r="AU325" s="15"/>
      <c r="AV325" s="15"/>
      <c r="AW325" s="15"/>
      <c r="AX325" s="15"/>
      <c r="AY325" s="15"/>
      <c r="AZ325" s="15"/>
      <c r="BA325" s="51"/>
      <c r="BB325" s="15"/>
      <c r="BC325" s="15"/>
      <c r="BD325" s="15"/>
      <c r="BE325" s="15"/>
      <c r="BF325" s="15"/>
      <c r="BG325" s="51"/>
      <c r="BH325" s="15"/>
      <c r="BI325" s="15"/>
      <c r="BJ325" s="15"/>
      <c r="BK325" s="51"/>
      <c r="BL325" s="15"/>
      <c r="BM325" s="15"/>
      <c r="BN325" s="15"/>
      <c r="BO325" s="15"/>
      <c r="BP325" s="15"/>
      <c r="BQ325" s="15"/>
      <c r="BR325" s="18"/>
      <c r="BS325" s="18"/>
      <c r="BT325" s="18"/>
      <c r="BU325" s="18"/>
      <c r="BV325" s="18"/>
      <c r="BW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  <c r="FR325" s="18"/>
      <c r="FS325" s="18"/>
      <c r="FT325" s="18"/>
      <c r="FU325" s="18"/>
      <c r="FV325" s="18"/>
      <c r="FW325" s="18"/>
      <c r="FX325" s="18"/>
      <c r="FY325" s="18"/>
      <c r="FZ325" s="18"/>
      <c r="GA325" s="18"/>
      <c r="GB325" s="18"/>
      <c r="GC325" s="18"/>
      <c r="GD325" s="18"/>
      <c r="GE325" s="18"/>
      <c r="GF325" s="18"/>
      <c r="GG325" s="18"/>
      <c r="GH325" s="18"/>
      <c r="GI325" s="18"/>
      <c r="GJ325" s="18"/>
      <c r="GK325" s="18"/>
      <c r="GL325" s="18"/>
      <c r="GM325" s="18"/>
      <c r="GN325" s="18"/>
      <c r="GO325" s="18"/>
      <c r="GP325" s="18"/>
      <c r="GQ325" s="18"/>
      <c r="GR325" s="18"/>
      <c r="GS325" s="18"/>
      <c r="GT325" s="18"/>
      <c r="GU325" s="18"/>
      <c r="GV325" s="18"/>
      <c r="GW325" s="18"/>
      <c r="GX325" s="18"/>
      <c r="GY325" s="18"/>
      <c r="GZ325" s="18"/>
      <c r="HA325" s="18"/>
      <c r="HB325" s="18"/>
      <c r="HC325" s="18"/>
      <c r="HD325" s="18"/>
      <c r="HE325" s="18"/>
      <c r="HF325" s="18"/>
      <c r="HG325" s="13"/>
      <c r="HH325" s="13"/>
      <c r="HI325" s="13"/>
      <c r="HJ325" s="13"/>
      <c r="HK325" s="13"/>
      <c r="HL325" s="13"/>
      <c r="HM325" s="13"/>
      <c r="HN325" s="13"/>
      <c r="HO325" s="13"/>
      <c r="HP325" s="13"/>
      <c r="HQ325" s="13"/>
      <c r="HR325" s="13"/>
      <c r="HS325" s="13"/>
      <c r="HT325" s="13"/>
      <c r="HV325" s="18"/>
      <c r="HW325" s="18"/>
      <c r="HX325" s="18"/>
      <c r="HY325" s="18"/>
      <c r="HZ325" s="18"/>
      <c r="IA325" s="18"/>
      <c r="IB325" s="18"/>
      <c r="IC325" s="18"/>
      <c r="ID325" s="18"/>
      <c r="IE325" s="18"/>
      <c r="IF325" s="18"/>
      <c r="IG325" s="18"/>
      <c r="IH325" s="18"/>
      <c r="II325" s="18"/>
      <c r="IJ325" s="18"/>
      <c r="IK325" s="18"/>
      <c r="IL325" s="18"/>
      <c r="IM325" s="18"/>
      <c r="IN325" s="18"/>
      <c r="IO325" s="18"/>
      <c r="IP325" s="18"/>
      <c r="IQ325" s="18"/>
      <c r="IR325" s="18"/>
      <c r="IS325" s="18"/>
      <c r="IT325" s="18"/>
      <c r="IU325" s="18"/>
      <c r="IV325" s="18"/>
      <c r="IW325" s="18"/>
      <c r="IX325" s="18"/>
      <c r="IY325" s="18"/>
      <c r="IZ325" s="18"/>
      <c r="JA325" s="18"/>
      <c r="JB325" s="18"/>
      <c r="JC325" s="18"/>
      <c r="JD325" s="18"/>
      <c r="JE325" s="18"/>
      <c r="JF325" s="18"/>
      <c r="JG325" s="18"/>
      <c r="JH325" s="18"/>
      <c r="JI325" s="18"/>
      <c r="JJ325" s="18"/>
      <c r="JK325" s="18"/>
      <c r="JL325" s="18"/>
      <c r="JM325" s="18"/>
      <c r="JN325" s="18"/>
      <c r="JO325" s="18"/>
      <c r="JP325" s="18"/>
      <c r="JQ325" s="18"/>
      <c r="JR325" s="18"/>
      <c r="JS325" s="18"/>
      <c r="JT325" s="18"/>
      <c r="JU325" s="18"/>
      <c r="JV325" s="18"/>
      <c r="JW325" s="18"/>
      <c r="JX325" s="18"/>
      <c r="JY325" s="18"/>
      <c r="JZ325" s="18"/>
      <c r="KA325" s="18"/>
      <c r="KB325" s="18"/>
      <c r="KC325" s="18"/>
      <c r="KD325" s="18"/>
      <c r="KE325" s="18"/>
      <c r="KF325" s="18"/>
      <c r="KG325" s="18"/>
      <c r="KH325" s="18"/>
      <c r="KI325" s="18"/>
      <c r="KJ325" s="18"/>
      <c r="KK325" s="18"/>
      <c r="KL325" s="18"/>
      <c r="KM325" s="18"/>
      <c r="KN325" s="18"/>
      <c r="KO325" s="18"/>
      <c r="KP325" s="18"/>
    </row>
    <row r="326" spans="1:302" ht="4.5" hidden="1" customHeight="1" outlineLevel="1">
      <c r="A326" s="1"/>
      <c r="B326" s="57"/>
      <c r="C326" s="52"/>
      <c r="E326" s="57"/>
      <c r="F326" s="940"/>
      <c r="G326" s="176"/>
      <c r="H326" s="176"/>
      <c r="I326" s="176"/>
      <c r="J326" s="176"/>
      <c r="K326" s="941"/>
      <c r="L326" s="57"/>
      <c r="M326" s="136"/>
      <c r="N326" s="136"/>
      <c r="O326" s="136"/>
      <c r="P326" s="57"/>
      <c r="Q326" s="1"/>
      <c r="T326" s="57"/>
      <c r="U326" s="57"/>
      <c r="V326" s="57"/>
      <c r="W326" s="57"/>
      <c r="X326" s="57"/>
      <c r="Y326" s="175"/>
      <c r="Z326" s="175"/>
      <c r="AA326" s="57"/>
      <c r="AB326" s="174"/>
      <c r="AC326" s="174"/>
      <c r="AD326" s="173"/>
      <c r="AE326" s="173"/>
      <c r="AF326" s="69"/>
      <c r="AG326" s="38"/>
      <c r="AH326" s="38"/>
      <c r="AI326" s="38"/>
      <c r="AJ326" s="38"/>
      <c r="AK326" s="172"/>
      <c r="AL326" s="38"/>
      <c r="AM326" s="38"/>
      <c r="AN326" s="38"/>
      <c r="AO326" s="38"/>
      <c r="AP326" s="38"/>
      <c r="AQ326" s="38"/>
      <c r="AR326" s="67"/>
      <c r="AS326" s="38"/>
      <c r="AT326" s="171"/>
      <c r="AU326" s="21"/>
      <c r="AV326" s="21"/>
      <c r="AW326" s="21"/>
      <c r="AX326" s="21"/>
      <c r="AY326" s="21"/>
      <c r="AZ326" s="21"/>
      <c r="BA326" s="171"/>
      <c r="BB326" s="21"/>
      <c r="BC326" s="21"/>
      <c r="BD326" s="18"/>
      <c r="BE326" s="18"/>
      <c r="BF326" s="18"/>
      <c r="BH326" s="18"/>
      <c r="BI326" s="18"/>
      <c r="BJ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  <c r="FC326" s="18"/>
      <c r="FD326" s="18"/>
      <c r="FE326" s="18"/>
      <c r="FF326" s="18"/>
      <c r="FG326" s="18"/>
      <c r="FH326" s="18"/>
      <c r="FI326" s="18"/>
      <c r="FJ326" s="18"/>
      <c r="FK326" s="18"/>
      <c r="FL326" s="18"/>
      <c r="FM326" s="18"/>
      <c r="FN326" s="18"/>
      <c r="FO326" s="18"/>
      <c r="FP326" s="18"/>
      <c r="FQ326" s="18"/>
      <c r="FR326" s="18"/>
      <c r="FS326" s="18"/>
      <c r="FT326" s="18"/>
      <c r="FU326" s="18"/>
      <c r="FV326" s="18"/>
      <c r="FW326" s="18"/>
      <c r="FX326" s="18"/>
      <c r="FY326" s="18"/>
      <c r="FZ326" s="18"/>
      <c r="GA326" s="18"/>
      <c r="GB326" s="18"/>
      <c r="GC326" s="18"/>
      <c r="GD326" s="18"/>
      <c r="GE326" s="18"/>
      <c r="GF326" s="18"/>
      <c r="GG326" s="18"/>
      <c r="GH326" s="18"/>
      <c r="GI326" s="18"/>
      <c r="GJ326" s="18"/>
      <c r="GK326" s="18"/>
      <c r="GL326" s="18"/>
      <c r="GM326" s="18"/>
      <c r="GN326" s="18"/>
      <c r="GO326" s="18"/>
      <c r="GP326" s="18"/>
      <c r="GQ326" s="18"/>
      <c r="GR326" s="18"/>
      <c r="GS326" s="18"/>
      <c r="GT326" s="18"/>
      <c r="GU326" s="18"/>
      <c r="GV326" s="18"/>
      <c r="GW326" s="18"/>
      <c r="GX326" s="18"/>
      <c r="GY326" s="18"/>
      <c r="GZ326" s="18"/>
      <c r="HA326" s="18"/>
      <c r="HB326" s="18"/>
      <c r="HC326" s="18"/>
      <c r="HD326" s="18"/>
      <c r="HE326" s="18"/>
      <c r="HF326" s="18"/>
      <c r="HG326" s="13"/>
      <c r="HH326" s="13"/>
      <c r="HI326" s="13"/>
      <c r="HJ326" s="13"/>
      <c r="HK326" s="13"/>
      <c r="HL326" s="13"/>
      <c r="HM326" s="13"/>
      <c r="HN326" s="13"/>
      <c r="HO326" s="13"/>
      <c r="HP326" s="13"/>
      <c r="HQ326" s="13"/>
      <c r="HR326" s="13"/>
      <c r="HS326" s="13"/>
      <c r="HT326" s="13"/>
      <c r="HV326" s="18"/>
      <c r="HW326" s="18"/>
      <c r="HX326" s="18"/>
      <c r="HY326" s="18"/>
      <c r="HZ326" s="18"/>
      <c r="IA326" s="18"/>
      <c r="IB326" s="18"/>
      <c r="IC326" s="18"/>
      <c r="ID326" s="18"/>
      <c r="IE326" s="18"/>
      <c r="IF326" s="18"/>
      <c r="IG326" s="18"/>
      <c r="IH326" s="18"/>
      <c r="II326" s="18"/>
      <c r="IJ326" s="18"/>
      <c r="IK326" s="18"/>
      <c r="IL326" s="18"/>
      <c r="IM326" s="18"/>
      <c r="IN326" s="18"/>
      <c r="IO326" s="18"/>
      <c r="IP326" s="18"/>
      <c r="IQ326" s="18"/>
      <c r="IR326" s="18"/>
      <c r="IS326" s="18"/>
      <c r="IT326" s="18"/>
      <c r="IU326" s="18"/>
      <c r="IV326" s="18"/>
      <c r="IW326" s="18"/>
      <c r="IX326" s="18"/>
      <c r="IY326" s="18"/>
      <c r="IZ326" s="18"/>
      <c r="JA326" s="18"/>
      <c r="JB326" s="18"/>
      <c r="JC326" s="18"/>
      <c r="JD326" s="18"/>
      <c r="JE326" s="18"/>
      <c r="JF326" s="18"/>
      <c r="JG326" s="18"/>
      <c r="JH326" s="18"/>
      <c r="JI326" s="18"/>
      <c r="JJ326" s="18"/>
      <c r="JK326" s="18"/>
      <c r="JL326" s="18"/>
      <c r="JM326" s="18"/>
      <c r="JN326" s="18"/>
      <c r="JO326" s="18"/>
      <c r="JP326" s="18"/>
      <c r="JQ326" s="18"/>
      <c r="JR326" s="18"/>
      <c r="JS326" s="18"/>
      <c r="JT326" s="18"/>
      <c r="JU326" s="18"/>
      <c r="JV326" s="18"/>
      <c r="JW326" s="18"/>
      <c r="JX326" s="18"/>
      <c r="JY326" s="18"/>
      <c r="JZ326" s="18"/>
      <c r="KA326" s="18"/>
      <c r="KB326" s="18"/>
      <c r="KC326" s="18"/>
      <c r="KD326" s="18"/>
      <c r="KE326" s="18"/>
      <c r="KF326" s="18"/>
      <c r="KG326" s="18"/>
      <c r="KH326" s="18"/>
      <c r="KI326" s="18"/>
      <c r="KJ326" s="18"/>
      <c r="KK326" s="18"/>
      <c r="KL326" s="18"/>
      <c r="KM326" s="18"/>
      <c r="KN326" s="18"/>
      <c r="KO326" s="18"/>
      <c r="KP326" s="18"/>
    </row>
    <row r="327" spans="1:302" ht="10.5" hidden="1" customHeight="1" outlineLevel="1">
      <c r="A327" s="191" t="s">
        <v>89</v>
      </c>
      <c r="B327" s="29"/>
      <c r="C327" s="52"/>
      <c r="D327" s="940" t="s">
        <v>88</v>
      </c>
      <c r="F327" s="940">
        <v>0</v>
      </c>
      <c r="G327" s="187">
        <v>40861</v>
      </c>
      <c r="H327" s="187"/>
      <c r="I327" s="1069">
        <v>35.020000000000003</v>
      </c>
      <c r="J327" s="1069"/>
      <c r="K327" s="1069"/>
      <c r="L327" s="57"/>
      <c r="M327" s="136"/>
      <c r="N327" s="136"/>
      <c r="O327" s="136"/>
      <c r="Q327" s="29"/>
      <c r="T327" s="57"/>
      <c r="U327" s="57"/>
      <c r="V327" s="57"/>
      <c r="W327" s="57"/>
      <c r="X327" s="57"/>
      <c r="Y327" s="175"/>
      <c r="Z327" s="175"/>
      <c r="AA327" s="57"/>
      <c r="AB327" s="947"/>
      <c r="AC327" s="947"/>
      <c r="AD327" s="190"/>
      <c r="AE327" s="190"/>
      <c r="AF327" s="69"/>
      <c r="AG327" s="271"/>
      <c r="AH327" s="270"/>
      <c r="AI327" s="270"/>
      <c r="AJ327" s="270"/>
      <c r="AK327" s="269"/>
      <c r="AL327" s="25"/>
      <c r="AN327" s="179"/>
      <c r="AO327" s="38"/>
      <c r="AP327" s="188">
        <f>F327*I327+AN327+AN328</f>
        <v>0</v>
      </c>
      <c r="AR327" s="67"/>
      <c r="AS327" s="38"/>
      <c r="AT327" s="171"/>
      <c r="AU327" s="21"/>
      <c r="AV327" s="21"/>
      <c r="AW327" s="21"/>
      <c r="AX327" s="21"/>
      <c r="AY327" s="21"/>
      <c r="AZ327" s="21"/>
      <c r="BA327" s="171"/>
      <c r="BB327" s="21"/>
      <c r="BC327" s="21"/>
      <c r="BD327" s="18"/>
      <c r="BE327" s="18"/>
      <c r="BF327" s="18"/>
      <c r="BH327" s="18"/>
      <c r="BI327" s="18"/>
      <c r="BJ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39" t="str">
        <f>IF($AB327=0,"",$AB327)</f>
        <v/>
      </c>
      <c r="BY327" s="139"/>
      <c r="BZ327" s="139"/>
      <c r="CA327" s="139"/>
      <c r="CB327" s="139"/>
      <c r="CC327" s="139"/>
      <c r="CD327" s="139"/>
      <c r="CE327" s="139"/>
      <c r="CF327" s="139"/>
      <c r="CG327" s="139"/>
      <c r="CH327" s="139"/>
      <c r="CI327" s="139"/>
      <c r="CJ327" s="139"/>
      <c r="CK327" s="139"/>
      <c r="CL327" s="139"/>
      <c r="CM327" s="139"/>
      <c r="CN327" s="139"/>
      <c r="CO327" s="139"/>
      <c r="CP327" s="139"/>
      <c r="CQ327" s="139"/>
      <c r="CR327" s="139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  <c r="FC327" s="18"/>
      <c r="FD327" s="18"/>
      <c r="FE327" s="18"/>
      <c r="FF327" s="18"/>
      <c r="FG327" s="18"/>
      <c r="FH327" s="18"/>
      <c r="FI327" s="18"/>
      <c r="FJ327" s="18"/>
      <c r="FK327" s="18"/>
      <c r="FL327" s="18"/>
      <c r="FM327" s="18"/>
      <c r="FN327" s="18"/>
      <c r="FO327" s="18"/>
      <c r="FP327" s="18"/>
      <c r="FQ327" s="18"/>
      <c r="FR327" s="18"/>
      <c r="FS327" s="18"/>
      <c r="FT327" s="18"/>
      <c r="FU327" s="18"/>
      <c r="FV327" s="18"/>
      <c r="FW327" s="18"/>
      <c r="FX327" s="18"/>
      <c r="FY327" s="18"/>
      <c r="FZ327" s="18"/>
      <c r="GA327" s="18"/>
      <c r="GB327" s="18"/>
      <c r="GC327" s="18"/>
      <c r="GD327" s="18"/>
      <c r="GE327" s="18"/>
      <c r="GF327" s="18"/>
      <c r="GG327" s="18"/>
      <c r="GH327" s="18"/>
      <c r="GI327" s="18"/>
      <c r="GJ327" s="18"/>
      <c r="GK327" s="18"/>
      <c r="GL327" s="18"/>
      <c r="GM327" s="18"/>
      <c r="GN327" s="18"/>
      <c r="GO327" s="18"/>
      <c r="GP327" s="18"/>
      <c r="GQ327" s="18"/>
      <c r="GR327" s="18"/>
      <c r="GS327" s="18"/>
      <c r="GT327" s="18"/>
      <c r="GU327" s="18"/>
      <c r="GV327" s="18"/>
      <c r="GW327" s="18"/>
      <c r="GX327" s="18"/>
      <c r="GY327" s="18"/>
      <c r="GZ327" s="18"/>
      <c r="HA327" s="18"/>
      <c r="HB327" s="18"/>
      <c r="HC327" s="18"/>
      <c r="HD327" s="18"/>
      <c r="HE327" s="18"/>
      <c r="HF327" s="18"/>
      <c r="HG327" s="13"/>
      <c r="HH327" s="13"/>
      <c r="HI327" s="13"/>
      <c r="HJ327" s="13"/>
      <c r="HK327" s="13"/>
      <c r="HL327" s="13"/>
      <c r="HM327" s="13"/>
      <c r="HN327" s="13"/>
      <c r="HO327" s="13"/>
      <c r="HP327" s="13"/>
      <c r="HQ327" s="13"/>
      <c r="HR327" s="13"/>
      <c r="HS327" s="13"/>
      <c r="HT327" s="13"/>
      <c r="HV327" s="18"/>
      <c r="HW327" s="18"/>
      <c r="HX327" s="18"/>
      <c r="HY327" s="18"/>
      <c r="HZ327" s="18"/>
      <c r="IA327" s="18"/>
      <c r="IB327" s="18"/>
      <c r="IC327" s="18"/>
      <c r="ID327" s="18"/>
      <c r="IE327" s="139"/>
      <c r="IF327" s="139"/>
      <c r="IG327" s="139"/>
      <c r="IH327" s="139"/>
      <c r="II327" s="139"/>
      <c r="IJ327" s="139"/>
      <c r="IK327" s="139"/>
      <c r="IL327" s="139"/>
      <c r="IM327" s="139"/>
      <c r="IN327" s="139"/>
      <c r="IO327" s="139"/>
      <c r="IP327" s="18"/>
      <c r="IQ327" s="18"/>
      <c r="IR327" s="18"/>
      <c r="IS327" s="18"/>
      <c r="IT327" s="18"/>
      <c r="IU327" s="18"/>
      <c r="IV327" s="18"/>
      <c r="IW327" s="18"/>
      <c r="IX327" s="18"/>
      <c r="IY327" s="18"/>
      <c r="IZ327" s="18"/>
      <c r="JA327" s="18"/>
      <c r="JB327" s="18"/>
      <c r="JC327" s="18"/>
      <c r="JD327" s="18"/>
      <c r="JE327" s="18"/>
      <c r="JF327" s="18"/>
      <c r="JG327" s="18"/>
      <c r="JH327" s="18"/>
      <c r="JI327" s="18"/>
      <c r="JJ327" s="18"/>
      <c r="JK327" s="18"/>
      <c r="JL327" s="18"/>
      <c r="JM327" s="18"/>
      <c r="JN327" s="18"/>
      <c r="JO327" s="18"/>
      <c r="JP327" s="18"/>
      <c r="JQ327" s="18"/>
      <c r="JR327" s="18"/>
      <c r="JS327" s="18"/>
      <c r="JT327" s="18"/>
      <c r="JU327" s="18"/>
      <c r="JV327" s="18"/>
      <c r="JW327" s="18"/>
      <c r="JX327" s="18"/>
      <c r="JY327" s="18"/>
      <c r="JZ327" s="18"/>
      <c r="KA327" s="18"/>
      <c r="KB327" s="18"/>
      <c r="KC327" s="18"/>
      <c r="KD327" s="18"/>
      <c r="KE327" s="18"/>
      <c r="KF327" s="18"/>
      <c r="KG327" s="18"/>
      <c r="KH327" s="18"/>
      <c r="KI327" s="18"/>
      <c r="KJ327" s="18"/>
      <c r="KK327" s="18"/>
      <c r="KL327" s="18"/>
      <c r="KM327" s="18"/>
      <c r="KN327" s="18"/>
      <c r="KO327" s="18"/>
      <c r="KP327" s="18"/>
    </row>
    <row r="328" spans="1:302" ht="11.1" hidden="1" customHeight="1" outlineLevel="1">
      <c r="A328" s="268" t="s">
        <v>87</v>
      </c>
      <c r="B328" s="57"/>
      <c r="C328" s="52"/>
      <c r="E328" s="57"/>
      <c r="F328" s="940"/>
      <c r="G328" s="187"/>
      <c r="H328" s="187"/>
      <c r="I328" s="186"/>
      <c r="J328" s="186"/>
      <c r="K328" s="185">
        <f>AP327</f>
        <v>0</v>
      </c>
      <c r="L328" s="57"/>
      <c r="M328" s="136"/>
      <c r="N328" s="136"/>
      <c r="O328" s="136"/>
      <c r="P328" s="184"/>
      <c r="Q328" s="57"/>
      <c r="T328" s="57"/>
      <c r="U328" s="57"/>
      <c r="V328" s="57"/>
      <c r="W328" s="57"/>
      <c r="X328" s="57"/>
      <c r="Y328" s="175"/>
      <c r="Z328" s="175"/>
      <c r="AA328" s="57"/>
      <c r="AB328" s="947"/>
      <c r="AC328" s="947"/>
      <c r="AD328" s="183"/>
      <c r="AE328" s="183"/>
      <c r="AF328" s="69"/>
      <c r="AG328" s="267"/>
      <c r="AH328" s="266"/>
      <c r="AI328" s="266"/>
      <c r="AJ328" s="266"/>
      <c r="AK328" s="265"/>
      <c r="AL328" s="25"/>
      <c r="AN328" s="179"/>
      <c r="AO328" s="38"/>
      <c r="AP328" s="38"/>
      <c r="AR328" s="67"/>
      <c r="AS328" s="38"/>
      <c r="AT328" s="171"/>
      <c r="AU328" s="21"/>
      <c r="AV328" s="21"/>
      <c r="AW328" s="21"/>
      <c r="AX328" s="21"/>
      <c r="AY328" s="21"/>
      <c r="AZ328" s="21"/>
      <c r="BA328" s="171"/>
      <c r="BB328" s="21"/>
      <c r="BC328" s="21"/>
      <c r="BD328" s="18"/>
      <c r="BE328" s="18"/>
      <c r="BF328" s="18"/>
      <c r="BH328" s="18"/>
      <c r="BI328" s="18"/>
      <c r="BJ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  <c r="FR328" s="18"/>
      <c r="FS328" s="18"/>
      <c r="FT328" s="18"/>
      <c r="FU328" s="18"/>
      <c r="FV328" s="18"/>
      <c r="FW328" s="18"/>
      <c r="FX328" s="18"/>
      <c r="FY328" s="18"/>
      <c r="FZ328" s="18"/>
      <c r="GA328" s="18"/>
      <c r="GB328" s="18"/>
      <c r="GC328" s="18"/>
      <c r="GD328" s="18"/>
      <c r="GE328" s="18"/>
      <c r="GF328" s="18"/>
      <c r="GG328" s="18"/>
      <c r="GH328" s="18"/>
      <c r="GI328" s="18"/>
      <c r="GJ328" s="18"/>
      <c r="GK328" s="18"/>
      <c r="GL328" s="18"/>
      <c r="GM328" s="18"/>
      <c r="GN328" s="18"/>
      <c r="GO328" s="18"/>
      <c r="GP328" s="18"/>
      <c r="GQ328" s="18"/>
      <c r="GR328" s="18"/>
      <c r="GS328" s="18"/>
      <c r="GT328" s="18"/>
      <c r="GU328" s="18"/>
      <c r="GV328" s="18"/>
      <c r="GW328" s="18"/>
      <c r="GX328" s="18"/>
      <c r="GY328" s="18"/>
      <c r="GZ328" s="18"/>
      <c r="HA328" s="18"/>
      <c r="HB328" s="18"/>
      <c r="HC328" s="18"/>
      <c r="HD328" s="18"/>
      <c r="HE328" s="18"/>
      <c r="HF328" s="18"/>
      <c r="HG328" s="13"/>
      <c r="HH328" s="13"/>
      <c r="HI328" s="13"/>
      <c r="HJ328" s="13"/>
      <c r="HK328" s="13"/>
      <c r="HL328" s="13"/>
      <c r="HM328" s="13"/>
      <c r="HN328" s="13"/>
      <c r="HO328" s="13"/>
      <c r="HP328" s="13"/>
      <c r="HQ328" s="13"/>
      <c r="HR328" s="13"/>
      <c r="HS328" s="13"/>
      <c r="HT328" s="13"/>
      <c r="HV328" s="18"/>
      <c r="HW328" s="18"/>
      <c r="HX328" s="18"/>
      <c r="HY328" s="18"/>
      <c r="HZ328" s="18"/>
      <c r="IA328" s="18"/>
      <c r="IB328" s="18"/>
      <c r="IC328" s="18"/>
      <c r="ID328" s="18"/>
      <c r="IE328" s="18"/>
      <c r="IF328" s="18"/>
      <c r="IG328" s="18"/>
      <c r="IH328" s="18"/>
      <c r="II328" s="18"/>
      <c r="IJ328" s="18"/>
      <c r="IK328" s="18"/>
      <c r="IL328" s="18"/>
      <c r="IM328" s="18"/>
      <c r="IN328" s="18"/>
      <c r="IO328" s="18"/>
      <c r="IP328" s="18"/>
      <c r="IQ328" s="18"/>
      <c r="IR328" s="18"/>
      <c r="IS328" s="18"/>
      <c r="IT328" s="18"/>
      <c r="IU328" s="18"/>
      <c r="IV328" s="18"/>
      <c r="IW328" s="18"/>
      <c r="IX328" s="18"/>
      <c r="IY328" s="18"/>
      <c r="IZ328" s="18"/>
      <c r="JA328" s="18"/>
      <c r="JB328" s="18"/>
      <c r="JC328" s="18"/>
      <c r="JD328" s="18"/>
      <c r="JE328" s="18"/>
      <c r="JF328" s="18"/>
      <c r="JG328" s="18"/>
      <c r="JH328" s="18"/>
      <c r="JI328" s="18"/>
      <c r="JJ328" s="18"/>
      <c r="JK328" s="18"/>
      <c r="JL328" s="18"/>
      <c r="JM328" s="18"/>
      <c r="JN328" s="18"/>
      <c r="JO328" s="18"/>
      <c r="JP328" s="18"/>
      <c r="JQ328" s="18"/>
      <c r="JR328" s="18"/>
      <c r="JS328" s="18"/>
      <c r="JT328" s="18"/>
      <c r="JU328" s="18"/>
      <c r="JV328" s="18"/>
      <c r="JW328" s="18"/>
      <c r="JX328" s="18"/>
      <c r="JY328" s="18"/>
      <c r="JZ328" s="18"/>
      <c r="KA328" s="18"/>
      <c r="KB328" s="18"/>
      <c r="KC328" s="18"/>
      <c r="KD328" s="18"/>
      <c r="KE328" s="18"/>
      <c r="KF328" s="18"/>
      <c r="KG328" s="18"/>
      <c r="KH328" s="18"/>
      <c r="KI328" s="18"/>
      <c r="KJ328" s="18"/>
      <c r="KK328" s="18"/>
      <c r="KL328" s="18"/>
      <c r="KM328" s="18"/>
      <c r="KN328" s="18"/>
      <c r="KO328" s="18"/>
      <c r="KP328" s="18"/>
    </row>
    <row r="329" spans="1:302" ht="10.5" hidden="1" customHeight="1" outlineLevel="1">
      <c r="A329" s="1"/>
      <c r="B329" s="57"/>
      <c r="C329" s="52"/>
      <c r="E329" s="57"/>
      <c r="F329" s="940"/>
      <c r="G329" s="176"/>
      <c r="H329" s="176"/>
      <c r="I329" s="176"/>
      <c r="J329" s="176"/>
      <c r="K329" s="941"/>
      <c r="L329" s="57"/>
      <c r="M329" s="136"/>
      <c r="N329" s="136"/>
      <c r="O329" s="136"/>
      <c r="P329" s="57"/>
      <c r="Q329" s="29"/>
      <c r="T329" s="57"/>
      <c r="U329" s="57"/>
      <c r="V329" s="57"/>
      <c r="W329" s="57"/>
      <c r="X329" s="57"/>
      <c r="Y329" s="175"/>
      <c r="Z329" s="175"/>
      <c r="AA329" s="57"/>
      <c r="AB329" s="174"/>
      <c r="AC329" s="174"/>
      <c r="AD329" s="173"/>
      <c r="AE329" s="173"/>
      <c r="AF329" s="69"/>
      <c r="AG329" s="38"/>
      <c r="AH329" s="38"/>
      <c r="AI329" s="38"/>
      <c r="AJ329" s="38"/>
      <c r="AK329" s="172"/>
      <c r="AL329" s="38"/>
      <c r="AM329" s="38"/>
      <c r="AN329" s="38"/>
      <c r="AO329" s="38"/>
      <c r="AP329" s="38"/>
      <c r="AQ329" s="38"/>
      <c r="AR329" s="67"/>
      <c r="AS329" s="38"/>
      <c r="AT329" s="171"/>
      <c r="AU329" s="21"/>
      <c r="AV329" s="21"/>
      <c r="AW329" s="21"/>
      <c r="AX329" s="21"/>
      <c r="AY329" s="21"/>
      <c r="AZ329" s="21"/>
      <c r="BA329" s="171"/>
      <c r="BB329" s="21"/>
      <c r="BC329" s="21"/>
      <c r="BD329" s="18"/>
      <c r="BE329" s="18"/>
      <c r="BF329" s="18"/>
      <c r="BH329" s="18"/>
      <c r="BI329" s="18"/>
      <c r="BJ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  <c r="FR329" s="18"/>
      <c r="FS329" s="18"/>
      <c r="FT329" s="18"/>
      <c r="FU329" s="18"/>
      <c r="FV329" s="18"/>
      <c r="FW329" s="18"/>
      <c r="FX329" s="18"/>
      <c r="FY329" s="18"/>
      <c r="FZ329" s="18"/>
      <c r="GA329" s="18"/>
      <c r="GB329" s="18"/>
      <c r="GC329" s="18"/>
      <c r="GD329" s="18"/>
      <c r="GE329" s="18"/>
      <c r="GF329" s="18"/>
      <c r="GG329" s="18"/>
      <c r="GH329" s="18"/>
      <c r="GI329" s="18"/>
      <c r="GJ329" s="18"/>
      <c r="GK329" s="18"/>
      <c r="GL329" s="18"/>
      <c r="GM329" s="18"/>
      <c r="GN329" s="18"/>
      <c r="GO329" s="18"/>
      <c r="GP329" s="18"/>
      <c r="GQ329" s="18"/>
      <c r="GR329" s="18"/>
      <c r="GS329" s="18"/>
      <c r="GT329" s="18"/>
      <c r="GU329" s="18"/>
      <c r="GV329" s="18"/>
      <c r="GW329" s="18"/>
      <c r="GX329" s="18"/>
      <c r="GY329" s="18"/>
      <c r="GZ329" s="18"/>
      <c r="HA329" s="18"/>
      <c r="HB329" s="18"/>
      <c r="HC329" s="18"/>
      <c r="HD329" s="18"/>
      <c r="HE329" s="18"/>
      <c r="HF329" s="18"/>
      <c r="HG329" s="13"/>
      <c r="HH329" s="13"/>
      <c r="HI329" s="13"/>
      <c r="HJ329" s="13"/>
      <c r="HK329" s="13"/>
      <c r="HL329" s="13"/>
      <c r="HM329" s="13"/>
      <c r="HN329" s="13"/>
      <c r="HO329" s="13"/>
      <c r="HP329" s="13"/>
      <c r="HQ329" s="13"/>
      <c r="HR329" s="13"/>
      <c r="HS329" s="13"/>
      <c r="HT329" s="13"/>
      <c r="HV329" s="18"/>
      <c r="HW329" s="18"/>
      <c r="HX329" s="18"/>
      <c r="HY329" s="18"/>
      <c r="HZ329" s="18"/>
      <c r="IA329" s="18"/>
      <c r="IB329" s="18"/>
      <c r="IC329" s="18"/>
      <c r="ID329" s="18"/>
      <c r="IE329" s="18"/>
      <c r="IF329" s="18"/>
      <c r="IG329" s="18"/>
      <c r="IH329" s="18"/>
      <c r="II329" s="18"/>
      <c r="IJ329" s="18"/>
      <c r="IK329" s="18"/>
      <c r="IL329" s="18"/>
      <c r="IM329" s="18"/>
      <c r="IN329" s="18"/>
      <c r="IO329" s="18"/>
      <c r="IP329" s="18"/>
      <c r="IQ329" s="18"/>
      <c r="IR329" s="18"/>
      <c r="IS329" s="18"/>
      <c r="IT329" s="18"/>
      <c r="IU329" s="18"/>
      <c r="IV329" s="18"/>
      <c r="IW329" s="18"/>
      <c r="IX329" s="18"/>
      <c r="IY329" s="18"/>
      <c r="IZ329" s="18"/>
      <c r="JA329" s="18"/>
      <c r="JB329" s="18"/>
      <c r="JC329" s="18"/>
      <c r="JD329" s="18"/>
      <c r="JE329" s="18"/>
      <c r="JF329" s="18"/>
      <c r="JG329" s="18"/>
      <c r="JH329" s="18"/>
      <c r="JI329" s="18"/>
      <c r="JJ329" s="18"/>
      <c r="JK329" s="18"/>
      <c r="JL329" s="18"/>
      <c r="JM329" s="18"/>
      <c r="JN329" s="18"/>
      <c r="JO329" s="18"/>
      <c r="JP329" s="18"/>
      <c r="JQ329" s="18"/>
      <c r="JR329" s="18"/>
      <c r="JS329" s="18"/>
      <c r="JT329" s="18"/>
      <c r="JU329" s="18"/>
      <c r="JV329" s="18"/>
      <c r="JW329" s="18"/>
      <c r="JX329" s="18"/>
      <c r="JY329" s="18"/>
      <c r="JZ329" s="18"/>
      <c r="KA329" s="18"/>
      <c r="KB329" s="18"/>
      <c r="KC329" s="18"/>
      <c r="KD329" s="18"/>
      <c r="KE329" s="18"/>
      <c r="KF329" s="18"/>
      <c r="KG329" s="18"/>
      <c r="KH329" s="18"/>
      <c r="KI329" s="18"/>
      <c r="KJ329" s="18"/>
      <c r="KK329" s="18"/>
      <c r="KL329" s="18"/>
      <c r="KM329" s="18"/>
      <c r="KN329" s="18"/>
      <c r="KO329" s="18"/>
      <c r="KP329" s="18"/>
    </row>
    <row r="330" spans="1:302" ht="10.5" hidden="1" customHeight="1" outlineLevel="1">
      <c r="A330" s="1"/>
      <c r="B330" s="57"/>
      <c r="C330" s="52"/>
      <c r="E330" s="57"/>
      <c r="F330" s="940"/>
      <c r="G330" s="176"/>
      <c r="H330" s="176"/>
      <c r="I330" s="176"/>
      <c r="J330" s="176"/>
      <c r="K330" s="941"/>
      <c r="L330" s="57"/>
      <c r="M330" s="136"/>
      <c r="N330" s="136"/>
      <c r="O330" s="136"/>
      <c r="P330" s="57"/>
      <c r="Q330" s="177"/>
      <c r="T330" s="57"/>
      <c r="U330" s="57"/>
      <c r="V330" s="57"/>
      <c r="W330" s="57"/>
      <c r="X330" s="57"/>
      <c r="Y330" s="175"/>
      <c r="Z330" s="175"/>
      <c r="AA330" s="57"/>
      <c r="AB330" s="174"/>
      <c r="AC330" s="174"/>
      <c r="AD330" s="173"/>
      <c r="AE330" s="173"/>
      <c r="AF330" s="69"/>
      <c r="AG330" s="38"/>
      <c r="AH330" s="38"/>
      <c r="AI330" s="38"/>
      <c r="AJ330" s="38"/>
      <c r="AK330" s="172"/>
      <c r="AL330" s="38"/>
      <c r="AM330" s="38"/>
      <c r="AN330" s="38"/>
      <c r="AO330" s="38"/>
      <c r="AP330" s="38"/>
      <c r="AQ330" s="38"/>
      <c r="AR330" s="67"/>
      <c r="AS330" s="38"/>
      <c r="AT330" s="171"/>
      <c r="AU330" s="21"/>
      <c r="AV330" s="21"/>
      <c r="AW330" s="21"/>
      <c r="AX330" s="21"/>
      <c r="AY330" s="21"/>
      <c r="AZ330" s="21"/>
      <c r="BA330" s="171"/>
      <c r="BB330" s="21"/>
      <c r="BC330" s="21"/>
      <c r="BD330" s="18"/>
      <c r="BE330" s="18"/>
      <c r="BF330" s="18"/>
      <c r="BH330" s="18"/>
      <c r="BI330" s="18"/>
      <c r="BJ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  <c r="FR330" s="18"/>
      <c r="FS330" s="18"/>
      <c r="FT330" s="18"/>
      <c r="FU330" s="18"/>
      <c r="FV330" s="18"/>
      <c r="FW330" s="18"/>
      <c r="FX330" s="18"/>
      <c r="FY330" s="18"/>
      <c r="FZ330" s="18"/>
      <c r="GA330" s="18"/>
      <c r="GB330" s="18"/>
      <c r="GC330" s="18"/>
      <c r="GD330" s="18"/>
      <c r="GE330" s="18"/>
      <c r="GF330" s="18"/>
      <c r="GG330" s="18"/>
      <c r="GH330" s="18"/>
      <c r="GI330" s="18"/>
      <c r="GJ330" s="18"/>
      <c r="GK330" s="18"/>
      <c r="GL330" s="18"/>
      <c r="GM330" s="18"/>
      <c r="GN330" s="18"/>
      <c r="GO330" s="18"/>
      <c r="GP330" s="18"/>
      <c r="GQ330" s="18"/>
      <c r="GR330" s="18"/>
      <c r="GS330" s="18"/>
      <c r="GT330" s="18"/>
      <c r="GU330" s="18"/>
      <c r="GV330" s="18"/>
      <c r="GW330" s="18"/>
      <c r="GX330" s="18"/>
      <c r="GY330" s="18"/>
      <c r="GZ330" s="18"/>
      <c r="HA330" s="18"/>
      <c r="HB330" s="18"/>
      <c r="HC330" s="18"/>
      <c r="HD330" s="18"/>
      <c r="HE330" s="18"/>
      <c r="HF330" s="18"/>
      <c r="HG330" s="13"/>
      <c r="HH330" s="13"/>
      <c r="HI330" s="13"/>
      <c r="HJ330" s="13"/>
      <c r="HK330" s="13"/>
      <c r="HL330" s="13"/>
      <c r="HM330" s="13"/>
      <c r="HN330" s="13"/>
      <c r="HO330" s="13"/>
      <c r="HP330" s="13"/>
      <c r="HQ330" s="13"/>
      <c r="HR330" s="13"/>
      <c r="HS330" s="13"/>
      <c r="HT330" s="13"/>
      <c r="HV330" s="18"/>
      <c r="HW330" s="18"/>
      <c r="HX330" s="18"/>
      <c r="HY330" s="18"/>
      <c r="HZ330" s="18"/>
      <c r="IA330" s="18"/>
      <c r="IB330" s="18"/>
      <c r="IC330" s="18"/>
      <c r="ID330" s="18"/>
      <c r="IE330" s="18"/>
      <c r="IF330" s="18"/>
      <c r="IG330" s="18"/>
      <c r="IH330" s="18"/>
      <c r="II330" s="18"/>
      <c r="IJ330" s="18"/>
      <c r="IK330" s="18"/>
      <c r="IL330" s="18"/>
      <c r="IM330" s="18"/>
      <c r="IN330" s="18"/>
      <c r="IO330" s="18"/>
      <c r="IP330" s="18"/>
      <c r="IQ330" s="18"/>
      <c r="IR330" s="18"/>
      <c r="IS330" s="18"/>
      <c r="IT330" s="18"/>
      <c r="IU330" s="18"/>
      <c r="IV330" s="18"/>
      <c r="IW330" s="18"/>
      <c r="IX330" s="18"/>
      <c r="IY330" s="18"/>
      <c r="IZ330" s="18"/>
      <c r="JA330" s="18"/>
      <c r="JB330" s="18"/>
      <c r="JC330" s="18"/>
      <c r="JD330" s="18"/>
      <c r="JE330" s="18"/>
      <c r="JF330" s="18"/>
      <c r="JG330" s="18"/>
      <c r="JH330" s="18"/>
      <c r="JI330" s="18"/>
      <c r="JJ330" s="18"/>
      <c r="JK330" s="18"/>
      <c r="JL330" s="18"/>
      <c r="JM330" s="18"/>
      <c r="JN330" s="18"/>
      <c r="JO330" s="18"/>
      <c r="JP330" s="18"/>
      <c r="JQ330" s="18"/>
      <c r="JR330" s="18"/>
      <c r="JS330" s="18"/>
      <c r="JT330" s="18"/>
      <c r="JU330" s="18"/>
      <c r="JV330" s="18"/>
      <c r="JW330" s="18"/>
      <c r="JX330" s="18"/>
      <c r="JY330" s="18"/>
      <c r="JZ330" s="18"/>
      <c r="KA330" s="18"/>
      <c r="KB330" s="18"/>
      <c r="KC330" s="18"/>
      <c r="KD330" s="18"/>
      <c r="KE330" s="18"/>
      <c r="KF330" s="18"/>
      <c r="KG330" s="18"/>
      <c r="KH330" s="18"/>
      <c r="KI330" s="18"/>
      <c r="KJ330" s="18"/>
      <c r="KK330" s="18"/>
      <c r="KL330" s="18"/>
      <c r="KM330" s="18"/>
      <c r="KN330" s="18"/>
      <c r="KO330" s="18"/>
      <c r="KP330" s="18"/>
    </row>
    <row r="331" spans="1:302" ht="11.1" hidden="1" customHeight="1" outlineLevel="1">
      <c r="A331" s="1"/>
      <c r="B331" s="57"/>
      <c r="C331" s="52"/>
      <c r="E331" s="57"/>
      <c r="F331" s="940"/>
      <c r="G331" s="176"/>
      <c r="H331" s="176"/>
      <c r="I331" s="176"/>
      <c r="J331" s="176"/>
      <c r="K331" s="941"/>
      <c r="L331" s="57"/>
      <c r="M331" s="136"/>
      <c r="N331" s="136"/>
      <c r="O331" s="136"/>
      <c r="P331" s="57"/>
      <c r="Q331" s="29"/>
      <c r="T331" s="57"/>
      <c r="U331" s="57"/>
      <c r="V331" s="57"/>
      <c r="W331" s="57"/>
      <c r="X331" s="57"/>
      <c r="Y331" s="175"/>
      <c r="Z331" s="175"/>
      <c r="AA331" s="57"/>
      <c r="AB331" s="174"/>
      <c r="AC331" s="174"/>
      <c r="AD331" s="173"/>
      <c r="AE331" s="173"/>
      <c r="AF331" s="69"/>
      <c r="AG331" s="38"/>
      <c r="AH331" s="38"/>
      <c r="AI331" s="38"/>
      <c r="AJ331" s="38"/>
      <c r="AK331" s="172"/>
      <c r="AL331" s="38"/>
      <c r="AM331" s="38"/>
      <c r="AN331" s="38"/>
      <c r="AO331" s="38"/>
      <c r="AP331" s="38"/>
      <c r="AQ331" s="38"/>
      <c r="AR331" s="67"/>
      <c r="AS331" s="38"/>
      <c r="AT331" s="171"/>
      <c r="AU331" s="21"/>
      <c r="AV331" s="21"/>
      <c r="AW331" s="21"/>
      <c r="AX331" s="21"/>
      <c r="AY331" s="21"/>
      <c r="AZ331" s="21"/>
      <c r="BA331" s="171"/>
      <c r="BB331" s="21"/>
      <c r="BC331" s="21"/>
      <c r="BD331" s="18"/>
      <c r="BE331" s="18"/>
      <c r="BF331" s="18"/>
      <c r="BH331" s="18"/>
      <c r="BI331" s="18"/>
      <c r="BJ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  <c r="FR331" s="18"/>
      <c r="FS331" s="18"/>
      <c r="FT331" s="18"/>
      <c r="FU331" s="18"/>
      <c r="FV331" s="18"/>
      <c r="FW331" s="18"/>
      <c r="FX331" s="18"/>
      <c r="FY331" s="18"/>
      <c r="FZ331" s="18"/>
      <c r="GA331" s="18"/>
      <c r="GB331" s="18"/>
      <c r="GC331" s="18"/>
      <c r="GD331" s="18"/>
      <c r="GE331" s="18"/>
      <c r="GF331" s="18"/>
      <c r="GG331" s="18"/>
      <c r="GH331" s="18"/>
      <c r="GI331" s="18"/>
      <c r="GJ331" s="18"/>
      <c r="GK331" s="18"/>
      <c r="GL331" s="18"/>
      <c r="GM331" s="18"/>
      <c r="GN331" s="18"/>
      <c r="GO331" s="18"/>
      <c r="GP331" s="18"/>
      <c r="GQ331" s="18"/>
      <c r="GR331" s="18"/>
      <c r="GS331" s="18"/>
      <c r="GT331" s="18"/>
      <c r="GU331" s="18"/>
      <c r="GV331" s="18"/>
      <c r="GW331" s="18"/>
      <c r="GX331" s="18"/>
      <c r="GY331" s="18"/>
      <c r="GZ331" s="18"/>
      <c r="HA331" s="18"/>
      <c r="HB331" s="18"/>
      <c r="HC331" s="18"/>
      <c r="HD331" s="18"/>
      <c r="HE331" s="18"/>
      <c r="HF331" s="18"/>
      <c r="HG331" s="13"/>
      <c r="HH331" s="13"/>
      <c r="HI331" s="13"/>
      <c r="HJ331" s="13"/>
      <c r="HK331" s="13"/>
      <c r="HL331" s="13"/>
      <c r="HM331" s="13"/>
      <c r="HN331" s="13"/>
      <c r="HO331" s="13"/>
      <c r="HP331" s="13"/>
      <c r="HQ331" s="13"/>
      <c r="HR331" s="13"/>
      <c r="HS331" s="13"/>
      <c r="HT331" s="13"/>
      <c r="HV331" s="18"/>
      <c r="HW331" s="18"/>
      <c r="HX331" s="18"/>
      <c r="HY331" s="18"/>
      <c r="HZ331" s="18"/>
      <c r="IA331" s="18"/>
      <c r="IB331" s="18"/>
      <c r="IC331" s="18"/>
      <c r="ID331" s="18"/>
      <c r="IE331" s="18"/>
      <c r="IF331" s="18"/>
      <c r="IG331" s="18"/>
      <c r="IH331" s="18"/>
      <c r="II331" s="18"/>
      <c r="IJ331" s="18"/>
      <c r="IK331" s="18"/>
      <c r="IL331" s="18"/>
      <c r="IM331" s="18"/>
      <c r="IN331" s="18"/>
      <c r="IO331" s="18"/>
      <c r="IP331" s="18"/>
      <c r="IQ331" s="18"/>
      <c r="IR331" s="18"/>
      <c r="IS331" s="18"/>
      <c r="IT331" s="18"/>
      <c r="IU331" s="18"/>
      <c r="IV331" s="18"/>
      <c r="IW331" s="18"/>
      <c r="IX331" s="18"/>
      <c r="IY331" s="18"/>
      <c r="IZ331" s="18"/>
      <c r="JA331" s="18"/>
      <c r="JB331" s="18"/>
      <c r="JC331" s="18"/>
      <c r="JD331" s="18"/>
      <c r="JE331" s="18"/>
      <c r="JF331" s="18"/>
      <c r="JG331" s="18"/>
      <c r="JH331" s="18"/>
      <c r="JI331" s="18"/>
      <c r="JJ331" s="18"/>
      <c r="JK331" s="18"/>
      <c r="JL331" s="18"/>
      <c r="JM331" s="18"/>
      <c r="JN331" s="18"/>
      <c r="JO331" s="18"/>
      <c r="JP331" s="18"/>
      <c r="JQ331" s="18"/>
      <c r="JR331" s="18"/>
      <c r="JS331" s="18"/>
      <c r="JT331" s="18"/>
      <c r="JU331" s="18"/>
      <c r="JV331" s="18"/>
      <c r="JW331" s="18"/>
      <c r="JX331" s="18"/>
      <c r="JY331" s="18"/>
      <c r="JZ331" s="18"/>
      <c r="KA331" s="18"/>
      <c r="KB331" s="18"/>
      <c r="KC331" s="18"/>
      <c r="KD331" s="18"/>
      <c r="KE331" s="18"/>
      <c r="KF331" s="18"/>
      <c r="KG331" s="18"/>
      <c r="KH331" s="18"/>
      <c r="KI331" s="18"/>
      <c r="KJ331" s="18"/>
      <c r="KK331" s="18"/>
      <c r="KL331" s="18"/>
      <c r="KM331" s="18"/>
      <c r="KN331" s="18"/>
      <c r="KO331" s="18"/>
      <c r="KP331" s="18"/>
    </row>
    <row r="332" spans="1:302" ht="10.5" hidden="1" customHeight="1" outlineLevel="1">
      <c r="A332" s="1"/>
      <c r="B332" s="57"/>
      <c r="C332" s="52"/>
      <c r="E332" s="57"/>
      <c r="F332" s="940"/>
      <c r="G332" s="176"/>
      <c r="H332" s="176"/>
      <c r="I332" s="176"/>
      <c r="J332" s="176"/>
      <c r="K332" s="941"/>
      <c r="L332" s="57"/>
      <c r="M332" s="136"/>
      <c r="N332" s="136"/>
      <c r="O332" s="136"/>
      <c r="P332" s="57"/>
      <c r="Q332" s="1"/>
      <c r="T332" s="57"/>
      <c r="U332" s="57"/>
      <c r="V332" s="57"/>
      <c r="W332" s="57"/>
      <c r="X332" s="57"/>
      <c r="Y332" s="175"/>
      <c r="Z332" s="175"/>
      <c r="AA332" s="57"/>
      <c r="AB332" s="174"/>
      <c r="AC332" s="174"/>
      <c r="AD332" s="173"/>
      <c r="AE332" s="173"/>
      <c r="AF332" s="69"/>
      <c r="AG332" s="38"/>
      <c r="AH332" s="38"/>
      <c r="AI332" s="38"/>
      <c r="AJ332" s="38"/>
      <c r="AK332" s="172"/>
      <c r="AL332" s="38"/>
      <c r="AM332" s="38"/>
      <c r="AN332" s="38"/>
      <c r="AO332" s="38"/>
      <c r="AP332" s="38"/>
      <c r="AQ332" s="38"/>
      <c r="AR332" s="67"/>
      <c r="AS332" s="38"/>
      <c r="AT332" s="171"/>
      <c r="AU332" s="21"/>
      <c r="AV332" s="21"/>
      <c r="AW332" s="21"/>
      <c r="AX332" s="21"/>
      <c r="AY332" s="21"/>
      <c r="AZ332" s="21"/>
      <c r="BA332" s="171"/>
      <c r="BB332" s="21"/>
      <c r="BC332" s="21"/>
      <c r="BD332" s="18"/>
      <c r="BE332" s="18"/>
      <c r="BF332" s="18"/>
      <c r="BH332" s="18"/>
      <c r="BI332" s="18"/>
      <c r="BJ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  <c r="FR332" s="18"/>
      <c r="FS332" s="18"/>
      <c r="FT332" s="18"/>
      <c r="FU332" s="18"/>
      <c r="FV332" s="18"/>
      <c r="FW332" s="18"/>
      <c r="FX332" s="18"/>
      <c r="FY332" s="18"/>
      <c r="FZ332" s="18"/>
      <c r="GA332" s="18"/>
      <c r="GB332" s="18"/>
      <c r="GC332" s="18"/>
      <c r="GD332" s="18"/>
      <c r="GE332" s="18"/>
      <c r="GF332" s="18"/>
      <c r="GG332" s="18"/>
      <c r="GH332" s="18"/>
      <c r="GI332" s="18"/>
      <c r="GJ332" s="18"/>
      <c r="GK332" s="18"/>
      <c r="GL332" s="18"/>
      <c r="GM332" s="18"/>
      <c r="GN332" s="18"/>
      <c r="GO332" s="18"/>
      <c r="GP332" s="18"/>
      <c r="GQ332" s="18"/>
      <c r="GR332" s="18"/>
      <c r="GS332" s="18"/>
      <c r="GT332" s="18"/>
      <c r="GU332" s="18"/>
      <c r="GV332" s="18"/>
      <c r="GW332" s="18"/>
      <c r="GX332" s="18"/>
      <c r="GY332" s="18"/>
      <c r="GZ332" s="18"/>
      <c r="HA332" s="18"/>
      <c r="HB332" s="18"/>
      <c r="HC332" s="18"/>
      <c r="HD332" s="18"/>
      <c r="HE332" s="18"/>
      <c r="HF332" s="18"/>
      <c r="HG332" s="13"/>
      <c r="HH332" s="13"/>
      <c r="HI332" s="13"/>
      <c r="HJ332" s="13"/>
      <c r="HK332" s="13"/>
      <c r="HL332" s="13"/>
      <c r="HM332" s="13"/>
      <c r="HN332" s="13"/>
      <c r="HO332" s="13"/>
      <c r="HP332" s="13"/>
      <c r="HQ332" s="13"/>
      <c r="HR332" s="13"/>
      <c r="HS332" s="13"/>
      <c r="HT332" s="13"/>
      <c r="HV332" s="18"/>
      <c r="HW332" s="18"/>
      <c r="HX332" s="18"/>
      <c r="HY332" s="18"/>
      <c r="HZ332" s="18"/>
      <c r="IA332" s="18"/>
      <c r="IB332" s="18"/>
      <c r="IC332" s="18"/>
      <c r="ID332" s="18"/>
      <c r="IE332" s="18"/>
      <c r="IF332" s="18"/>
      <c r="IG332" s="18"/>
      <c r="IH332" s="18"/>
      <c r="II332" s="18"/>
      <c r="IJ332" s="18"/>
      <c r="IK332" s="18"/>
      <c r="IL332" s="18"/>
      <c r="IM332" s="18"/>
      <c r="IN332" s="18"/>
      <c r="IO332" s="18"/>
      <c r="IP332" s="18"/>
      <c r="IQ332" s="18"/>
      <c r="IR332" s="18"/>
      <c r="IS332" s="18"/>
      <c r="IT332" s="18"/>
      <c r="IU332" s="18"/>
      <c r="IV332" s="18"/>
      <c r="IW332" s="18"/>
      <c r="IX332" s="18"/>
      <c r="IY332" s="18"/>
      <c r="IZ332" s="18"/>
      <c r="JA332" s="18"/>
      <c r="JB332" s="18"/>
      <c r="JC332" s="18"/>
      <c r="JD332" s="18"/>
      <c r="JE332" s="18"/>
      <c r="JF332" s="18"/>
      <c r="JG332" s="18"/>
      <c r="JH332" s="18"/>
      <c r="JI332" s="18"/>
      <c r="JJ332" s="18"/>
      <c r="JK332" s="18"/>
      <c r="JL332" s="18"/>
      <c r="JM332" s="18"/>
      <c r="JN332" s="18"/>
      <c r="JO332" s="18"/>
      <c r="JP332" s="18"/>
      <c r="JQ332" s="18"/>
      <c r="JR332" s="18"/>
      <c r="JS332" s="18"/>
      <c r="JT332" s="18"/>
      <c r="JU332" s="18"/>
      <c r="JV332" s="18"/>
      <c r="JW332" s="18"/>
      <c r="JX332" s="18"/>
      <c r="JY332" s="18"/>
      <c r="JZ332" s="18"/>
      <c r="KA332" s="18"/>
      <c r="KB332" s="18"/>
      <c r="KC332" s="18"/>
      <c r="KD332" s="18"/>
      <c r="KE332" s="18"/>
      <c r="KF332" s="18"/>
      <c r="KG332" s="18"/>
      <c r="KH332" s="18"/>
      <c r="KI332" s="18"/>
      <c r="KJ332" s="18"/>
      <c r="KK332" s="18"/>
      <c r="KL332" s="18"/>
      <c r="KM332" s="18"/>
      <c r="KN332" s="18"/>
      <c r="KO332" s="18"/>
      <c r="KP332" s="18"/>
    </row>
    <row r="333" spans="1:302" ht="11.1" hidden="1" customHeight="1" outlineLevel="1">
      <c r="A333" s="1"/>
      <c r="B333" s="57"/>
      <c r="C333" s="52"/>
      <c r="E333" s="57"/>
      <c r="F333" s="940"/>
      <c r="G333" s="176"/>
      <c r="H333" s="176"/>
      <c r="I333" s="176"/>
      <c r="J333" s="176"/>
      <c r="K333" s="941"/>
      <c r="L333" s="57"/>
      <c r="M333" s="136"/>
      <c r="N333" s="136"/>
      <c r="O333" s="136"/>
      <c r="P333" s="57"/>
      <c r="Q333" s="1"/>
      <c r="T333" s="57"/>
      <c r="U333" s="57"/>
      <c r="V333" s="57"/>
      <c r="W333" s="57"/>
      <c r="X333" s="57"/>
      <c r="Y333" s="175"/>
      <c r="Z333" s="175"/>
      <c r="AA333" s="57"/>
      <c r="AB333" s="174"/>
      <c r="AC333" s="174"/>
      <c r="AD333" s="173"/>
      <c r="AE333" s="173"/>
      <c r="AF333" s="69"/>
      <c r="AG333" s="38"/>
      <c r="AH333" s="38"/>
      <c r="AI333" s="38"/>
      <c r="AJ333" s="38"/>
      <c r="AK333" s="172"/>
      <c r="AL333" s="38"/>
      <c r="AM333" s="38"/>
      <c r="AN333" s="38"/>
      <c r="AO333" s="38"/>
      <c r="AP333" s="38"/>
      <c r="AQ333" s="38"/>
      <c r="AR333" s="67"/>
      <c r="AS333" s="38"/>
      <c r="AT333" s="171"/>
      <c r="AU333" s="21"/>
      <c r="AV333" s="21"/>
      <c r="AW333" s="21"/>
      <c r="AX333" s="21"/>
      <c r="AY333" s="21"/>
      <c r="AZ333" s="21"/>
      <c r="BA333" s="171"/>
      <c r="BB333" s="21"/>
      <c r="BC333" s="21"/>
      <c r="BD333" s="18"/>
      <c r="BE333" s="18"/>
      <c r="BF333" s="18"/>
      <c r="BH333" s="18"/>
      <c r="BI333" s="18"/>
      <c r="BJ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  <c r="FC333" s="18"/>
      <c r="FD333" s="18"/>
      <c r="FE333" s="18"/>
      <c r="FF333" s="18"/>
      <c r="FG333" s="18"/>
      <c r="FH333" s="18"/>
      <c r="FI333" s="18"/>
      <c r="FJ333" s="18"/>
      <c r="FK333" s="18"/>
      <c r="FL333" s="18"/>
      <c r="FM333" s="18"/>
      <c r="FN333" s="18"/>
      <c r="FO333" s="18"/>
      <c r="FP333" s="18"/>
      <c r="FQ333" s="18"/>
      <c r="FR333" s="18"/>
      <c r="FS333" s="18"/>
      <c r="FT333" s="18"/>
      <c r="FU333" s="18"/>
      <c r="FV333" s="18"/>
      <c r="FW333" s="18"/>
      <c r="FX333" s="18"/>
      <c r="FY333" s="18"/>
      <c r="FZ333" s="18"/>
      <c r="GA333" s="18"/>
      <c r="GB333" s="18"/>
      <c r="GC333" s="18"/>
      <c r="GD333" s="18"/>
      <c r="GE333" s="18"/>
      <c r="GF333" s="18"/>
      <c r="GG333" s="18"/>
      <c r="GH333" s="18"/>
      <c r="GI333" s="18"/>
      <c r="GJ333" s="18"/>
      <c r="GK333" s="18"/>
      <c r="GL333" s="18"/>
      <c r="GM333" s="18"/>
      <c r="GN333" s="18"/>
      <c r="GO333" s="18"/>
      <c r="GP333" s="18"/>
      <c r="GQ333" s="18"/>
      <c r="GR333" s="18"/>
      <c r="GS333" s="18"/>
      <c r="GT333" s="18"/>
      <c r="GU333" s="18"/>
      <c r="GV333" s="18"/>
      <c r="GW333" s="18"/>
      <c r="GX333" s="18"/>
      <c r="GY333" s="18"/>
      <c r="GZ333" s="18"/>
      <c r="HA333" s="18"/>
      <c r="HB333" s="18"/>
      <c r="HC333" s="18"/>
      <c r="HD333" s="18"/>
      <c r="HE333" s="18"/>
      <c r="HF333" s="18"/>
      <c r="HG333" s="13"/>
      <c r="HH333" s="13"/>
      <c r="HI333" s="13"/>
      <c r="HJ333" s="13"/>
      <c r="HK333" s="13"/>
      <c r="HL333" s="13"/>
      <c r="HM333" s="13"/>
      <c r="HN333" s="13"/>
      <c r="HO333" s="13"/>
      <c r="HP333" s="13"/>
      <c r="HQ333" s="13"/>
      <c r="HR333" s="13"/>
      <c r="HS333" s="13"/>
      <c r="HT333" s="13"/>
      <c r="HV333" s="18"/>
      <c r="HW333" s="18"/>
      <c r="HX333" s="18"/>
      <c r="HY333" s="18"/>
      <c r="HZ333" s="18"/>
      <c r="IA333" s="18"/>
      <c r="IB333" s="18"/>
      <c r="IC333" s="18"/>
      <c r="ID333" s="18"/>
      <c r="IE333" s="18"/>
      <c r="IF333" s="18"/>
      <c r="IG333" s="18"/>
      <c r="IH333" s="18"/>
      <c r="II333" s="18"/>
      <c r="IJ333" s="18"/>
      <c r="IK333" s="18"/>
      <c r="IL333" s="18"/>
      <c r="IM333" s="18"/>
      <c r="IN333" s="18"/>
      <c r="IO333" s="18"/>
      <c r="IP333" s="18"/>
      <c r="IQ333" s="18"/>
      <c r="IR333" s="18"/>
      <c r="IS333" s="18"/>
      <c r="IT333" s="18"/>
      <c r="IU333" s="18"/>
      <c r="IV333" s="18"/>
      <c r="IW333" s="18"/>
      <c r="IX333" s="18"/>
      <c r="IY333" s="18"/>
      <c r="IZ333" s="18"/>
      <c r="JA333" s="18"/>
      <c r="JB333" s="18"/>
      <c r="JC333" s="18"/>
      <c r="JD333" s="18"/>
      <c r="JE333" s="18"/>
      <c r="JF333" s="18"/>
      <c r="JG333" s="18"/>
      <c r="JH333" s="18"/>
      <c r="JI333" s="18"/>
      <c r="JJ333" s="18"/>
      <c r="JK333" s="18"/>
      <c r="JL333" s="18"/>
      <c r="JM333" s="18"/>
      <c r="JN333" s="18"/>
      <c r="JO333" s="18"/>
      <c r="JP333" s="18"/>
      <c r="JQ333" s="18"/>
      <c r="JR333" s="18"/>
      <c r="JS333" s="18"/>
      <c r="JT333" s="18"/>
      <c r="JU333" s="18"/>
      <c r="JV333" s="18"/>
      <c r="JW333" s="18"/>
      <c r="JX333" s="18"/>
      <c r="JY333" s="18"/>
      <c r="JZ333" s="18"/>
      <c r="KA333" s="18"/>
      <c r="KB333" s="18"/>
      <c r="KC333" s="18"/>
      <c r="KD333" s="18"/>
      <c r="KE333" s="18"/>
      <c r="KF333" s="18"/>
      <c r="KG333" s="18"/>
      <c r="KH333" s="18"/>
      <c r="KI333" s="18"/>
      <c r="KJ333" s="18"/>
      <c r="KK333" s="18"/>
      <c r="KL333" s="18"/>
      <c r="KM333" s="18"/>
      <c r="KN333" s="18"/>
      <c r="KO333" s="18"/>
      <c r="KP333" s="18"/>
    </row>
    <row r="334" spans="1:302" ht="10.5" hidden="1" customHeight="1" outlineLevel="1">
      <c r="A334" s="1"/>
      <c r="B334" s="57"/>
      <c r="C334" s="52"/>
      <c r="E334" s="57"/>
      <c r="F334" s="940"/>
      <c r="G334" s="176"/>
      <c r="H334" s="176"/>
      <c r="I334" s="176"/>
      <c r="J334" s="176"/>
      <c r="K334" s="941"/>
      <c r="L334" s="57"/>
      <c r="M334" s="136"/>
      <c r="N334" s="136"/>
      <c r="O334" s="136"/>
      <c r="P334" s="57"/>
      <c r="Q334" s="1"/>
      <c r="T334" s="57"/>
      <c r="U334" s="57"/>
      <c r="V334" s="57"/>
      <c r="W334" s="57"/>
      <c r="X334" s="57"/>
      <c r="Y334" s="175"/>
      <c r="Z334" s="175"/>
      <c r="AA334" s="57"/>
      <c r="AB334" s="174"/>
      <c r="AC334" s="174"/>
      <c r="AD334" s="173"/>
      <c r="AE334" s="173"/>
      <c r="AF334" s="69"/>
      <c r="AG334" s="38"/>
      <c r="AH334" s="38"/>
      <c r="AI334" s="38"/>
      <c r="AJ334" s="38"/>
      <c r="AK334" s="172"/>
      <c r="AL334" s="38"/>
      <c r="AM334" s="38"/>
      <c r="AN334" s="38"/>
      <c r="AO334" s="38"/>
      <c r="AP334" s="38"/>
      <c r="AQ334" s="38"/>
      <c r="AR334" s="67"/>
      <c r="AS334" s="38"/>
      <c r="AT334" s="171"/>
      <c r="AU334" s="21"/>
      <c r="AV334" s="21"/>
      <c r="AW334" s="21"/>
      <c r="AX334" s="21"/>
      <c r="AY334" s="21"/>
      <c r="AZ334" s="21"/>
      <c r="BA334" s="171"/>
      <c r="BB334" s="21"/>
      <c r="BC334" s="21"/>
      <c r="BD334" s="18"/>
      <c r="BE334" s="18"/>
      <c r="BF334" s="18"/>
      <c r="BH334" s="18"/>
      <c r="BI334" s="18"/>
      <c r="BJ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  <c r="FR334" s="18"/>
      <c r="FS334" s="18"/>
      <c r="FT334" s="18"/>
      <c r="FU334" s="18"/>
      <c r="FV334" s="18"/>
      <c r="FW334" s="18"/>
      <c r="FX334" s="18"/>
      <c r="FY334" s="18"/>
      <c r="FZ334" s="18"/>
      <c r="GA334" s="18"/>
      <c r="GB334" s="18"/>
      <c r="GC334" s="18"/>
      <c r="GD334" s="18"/>
      <c r="GE334" s="18"/>
      <c r="GF334" s="18"/>
      <c r="GG334" s="18"/>
      <c r="GH334" s="18"/>
      <c r="GI334" s="18"/>
      <c r="GJ334" s="18"/>
      <c r="GK334" s="18"/>
      <c r="GL334" s="18"/>
      <c r="GM334" s="18"/>
      <c r="GN334" s="18"/>
      <c r="GO334" s="18"/>
      <c r="GP334" s="18"/>
      <c r="GQ334" s="18"/>
      <c r="GR334" s="18"/>
      <c r="GS334" s="18"/>
      <c r="GT334" s="18"/>
      <c r="GU334" s="18"/>
      <c r="GV334" s="18"/>
      <c r="GW334" s="18"/>
      <c r="GX334" s="18"/>
      <c r="GY334" s="18"/>
      <c r="GZ334" s="18"/>
      <c r="HA334" s="18"/>
      <c r="HB334" s="18"/>
      <c r="HC334" s="18"/>
      <c r="HD334" s="18"/>
      <c r="HE334" s="18"/>
      <c r="HF334" s="18"/>
      <c r="HG334" s="13"/>
      <c r="HH334" s="13"/>
      <c r="HI334" s="13"/>
      <c r="HJ334" s="13"/>
      <c r="HK334" s="13"/>
      <c r="HL334" s="13"/>
      <c r="HM334" s="13"/>
      <c r="HN334" s="13"/>
      <c r="HO334" s="13"/>
      <c r="HP334" s="13"/>
      <c r="HQ334" s="13"/>
      <c r="HR334" s="13"/>
      <c r="HS334" s="13"/>
      <c r="HT334" s="13"/>
      <c r="HV334" s="18"/>
      <c r="HW334" s="18"/>
      <c r="HX334" s="18"/>
      <c r="HY334" s="18"/>
      <c r="HZ334" s="18"/>
      <c r="IA334" s="18"/>
      <c r="IB334" s="18"/>
      <c r="IC334" s="18"/>
      <c r="ID334" s="18"/>
      <c r="IE334" s="18"/>
      <c r="IF334" s="18"/>
      <c r="IG334" s="18"/>
      <c r="IH334" s="18"/>
      <c r="II334" s="18"/>
      <c r="IJ334" s="18"/>
      <c r="IK334" s="18"/>
      <c r="IL334" s="18"/>
      <c r="IM334" s="18"/>
      <c r="IN334" s="18"/>
      <c r="IO334" s="18"/>
      <c r="IP334" s="18"/>
      <c r="IQ334" s="18"/>
      <c r="IR334" s="18"/>
      <c r="IS334" s="18"/>
      <c r="IT334" s="18"/>
      <c r="IU334" s="18"/>
      <c r="IV334" s="18"/>
      <c r="IW334" s="18"/>
      <c r="IX334" s="18"/>
      <c r="IY334" s="18"/>
      <c r="IZ334" s="18"/>
      <c r="JA334" s="18"/>
      <c r="JB334" s="18"/>
      <c r="JC334" s="18"/>
      <c r="JD334" s="18"/>
      <c r="JE334" s="18"/>
      <c r="JF334" s="18"/>
      <c r="JG334" s="18"/>
      <c r="JH334" s="18"/>
      <c r="JI334" s="18"/>
      <c r="JJ334" s="18"/>
      <c r="JK334" s="18"/>
      <c r="JL334" s="18"/>
      <c r="JM334" s="18"/>
      <c r="JN334" s="18"/>
      <c r="JO334" s="18"/>
      <c r="JP334" s="18"/>
      <c r="JQ334" s="18"/>
      <c r="JR334" s="18"/>
      <c r="JS334" s="18"/>
      <c r="JT334" s="18"/>
      <c r="JU334" s="18"/>
      <c r="JV334" s="18"/>
      <c r="JW334" s="18"/>
      <c r="JX334" s="18"/>
      <c r="JY334" s="18"/>
      <c r="JZ334" s="18"/>
      <c r="KA334" s="18"/>
      <c r="KB334" s="18"/>
      <c r="KC334" s="18"/>
      <c r="KD334" s="18"/>
      <c r="KE334" s="18"/>
      <c r="KF334" s="18"/>
      <c r="KG334" s="18"/>
      <c r="KH334" s="18"/>
      <c r="KI334" s="18"/>
      <c r="KJ334" s="18"/>
      <c r="KK334" s="18"/>
      <c r="KL334" s="18"/>
      <c r="KM334" s="18"/>
      <c r="KN334" s="18"/>
      <c r="KO334" s="18"/>
      <c r="KP334" s="18"/>
    </row>
    <row r="335" spans="1:302" ht="5.0999999999999996" hidden="1" customHeight="1" outlineLevel="1" collapsed="1">
      <c r="M335" s="136"/>
      <c r="N335" s="136"/>
      <c r="O335" s="136"/>
      <c r="Y335" s="14"/>
      <c r="Z335" s="14"/>
      <c r="AN335" s="18"/>
      <c r="AT335" s="51"/>
      <c r="AU335" s="15"/>
      <c r="AV335" s="15"/>
      <c r="AW335" s="15"/>
      <c r="AX335" s="15"/>
      <c r="AY335" s="15"/>
      <c r="AZ335" s="15"/>
      <c r="BA335" s="51"/>
      <c r="BB335" s="15"/>
      <c r="BC335" s="15"/>
      <c r="BD335" s="15"/>
      <c r="BE335" s="15"/>
      <c r="BF335" s="15"/>
      <c r="BG335" s="51"/>
      <c r="BH335" s="15"/>
      <c r="BI335" s="15"/>
      <c r="BJ335" s="15"/>
      <c r="BK335" s="51"/>
      <c r="BL335" s="15"/>
      <c r="BM335" s="15"/>
      <c r="BN335" s="15"/>
      <c r="BO335" s="15"/>
      <c r="BP335" s="15"/>
      <c r="BQ335" s="15"/>
      <c r="BR335" s="18"/>
      <c r="BS335" s="18"/>
      <c r="BT335" s="18"/>
      <c r="BU335" s="18"/>
      <c r="BV335" s="18"/>
      <c r="BW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  <c r="FR335" s="18"/>
      <c r="FS335" s="18"/>
      <c r="FT335" s="18"/>
      <c r="FU335" s="18"/>
      <c r="FV335" s="18"/>
      <c r="FW335" s="18"/>
      <c r="FX335" s="18"/>
      <c r="FY335" s="18"/>
      <c r="FZ335" s="18"/>
      <c r="GA335" s="18"/>
      <c r="GB335" s="18"/>
      <c r="GC335" s="18"/>
      <c r="GD335" s="18"/>
      <c r="GE335" s="18"/>
      <c r="GF335" s="18"/>
      <c r="GG335" s="18"/>
      <c r="GH335" s="18"/>
      <c r="GI335" s="18"/>
      <c r="GJ335" s="18"/>
      <c r="GK335" s="18"/>
      <c r="GL335" s="18"/>
      <c r="GM335" s="18"/>
      <c r="GN335" s="18"/>
      <c r="GO335" s="18"/>
      <c r="GP335" s="18"/>
      <c r="GQ335" s="18"/>
      <c r="GR335" s="18"/>
      <c r="GS335" s="18"/>
      <c r="GT335" s="18"/>
      <c r="GU335" s="18"/>
      <c r="GV335" s="18"/>
      <c r="GW335" s="18"/>
      <c r="GX335" s="18"/>
      <c r="GY335" s="18"/>
      <c r="GZ335" s="18"/>
      <c r="HA335" s="18"/>
      <c r="HB335" s="18"/>
      <c r="HC335" s="18"/>
      <c r="HD335" s="18"/>
      <c r="HE335" s="18"/>
      <c r="HF335" s="18"/>
      <c r="HG335" s="13"/>
      <c r="HH335" s="13"/>
      <c r="HI335" s="13"/>
      <c r="HJ335" s="13"/>
      <c r="HK335" s="13"/>
      <c r="HL335" s="13"/>
      <c r="HM335" s="13"/>
      <c r="HN335" s="13"/>
      <c r="HO335" s="13"/>
      <c r="HP335" s="13"/>
      <c r="HQ335" s="13"/>
      <c r="HR335" s="13"/>
      <c r="HS335" s="13"/>
      <c r="HT335" s="13"/>
      <c r="HV335" s="18"/>
      <c r="HW335" s="18"/>
      <c r="HX335" s="18"/>
      <c r="HY335" s="18"/>
      <c r="HZ335" s="18"/>
      <c r="IA335" s="18"/>
      <c r="IB335" s="18"/>
      <c r="IC335" s="18"/>
      <c r="ID335" s="18"/>
      <c r="IE335" s="18"/>
      <c r="IF335" s="18"/>
      <c r="IG335" s="18"/>
      <c r="IH335" s="18"/>
      <c r="II335" s="18"/>
      <c r="IJ335" s="18"/>
      <c r="IK335" s="18"/>
      <c r="IL335" s="18"/>
      <c r="IM335" s="18"/>
      <c r="IN335" s="18"/>
      <c r="IO335" s="18"/>
      <c r="IP335" s="18"/>
      <c r="IQ335" s="18"/>
      <c r="IR335" s="18"/>
      <c r="IS335" s="18"/>
      <c r="IT335" s="18"/>
      <c r="IU335" s="18"/>
      <c r="IV335" s="18"/>
      <c r="IW335" s="18"/>
      <c r="IX335" s="18"/>
      <c r="IY335" s="18"/>
      <c r="IZ335" s="18"/>
      <c r="JA335" s="18"/>
      <c r="JB335" s="18"/>
      <c r="JC335" s="18"/>
      <c r="JD335" s="18"/>
      <c r="JE335" s="18"/>
      <c r="JF335" s="18"/>
      <c r="JG335" s="18"/>
      <c r="JH335" s="18"/>
      <c r="JI335" s="18"/>
      <c r="JJ335" s="18"/>
      <c r="JK335" s="18"/>
      <c r="JL335" s="18"/>
      <c r="JM335" s="18"/>
      <c r="JN335" s="18"/>
      <c r="JO335" s="18"/>
      <c r="JP335" s="18"/>
      <c r="JQ335" s="18"/>
      <c r="JR335" s="18"/>
      <c r="JS335" s="18"/>
      <c r="JT335" s="18"/>
      <c r="JU335" s="18"/>
      <c r="JV335" s="18"/>
      <c r="JW335" s="18"/>
      <c r="JX335" s="18"/>
      <c r="JY335" s="18"/>
      <c r="JZ335" s="18"/>
      <c r="KA335" s="18"/>
      <c r="KB335" s="18"/>
      <c r="KC335" s="18"/>
      <c r="KD335" s="18"/>
      <c r="KE335" s="18"/>
      <c r="KF335" s="18"/>
      <c r="KG335" s="18"/>
      <c r="KH335" s="18"/>
      <c r="KI335" s="18"/>
      <c r="KJ335" s="18"/>
      <c r="KK335" s="18"/>
      <c r="KL335" s="18"/>
      <c r="KM335" s="18"/>
      <c r="KN335" s="18"/>
      <c r="KO335" s="18"/>
      <c r="KP335" s="18"/>
    </row>
    <row r="336" spans="1:302" ht="10.5" hidden="1" customHeight="1" outlineLevel="1">
      <c r="A336" s="30" t="s">
        <v>86</v>
      </c>
      <c r="D336" s="204" t="s">
        <v>85</v>
      </c>
      <c r="F336" s="11">
        <v>0</v>
      </c>
      <c r="G336" s="946">
        <v>42684</v>
      </c>
      <c r="H336" s="946"/>
      <c r="I336" s="1067">
        <v>18.72</v>
      </c>
      <c r="J336" s="1067"/>
      <c r="K336" s="1067"/>
      <c r="M336" s="136"/>
      <c r="N336" s="136"/>
      <c r="O336" s="136"/>
      <c r="P336" s="291">
        <v>18.725000000000001</v>
      </c>
      <c r="Y336" s="14"/>
      <c r="Z336" s="14"/>
      <c r="AB336" s="947">
        <f>F336*P336</f>
        <v>0</v>
      </c>
      <c r="AC336" s="947"/>
      <c r="AD336" s="190">
        <f>-((I336*F336)-(P336*F336))</f>
        <v>0</v>
      </c>
      <c r="AE336" s="290"/>
      <c r="AF336" s="190" t="e">
        <f>IF((#REF!-AP336)&gt;0,(#REF!-AP336)*0.74,(#REF!-AP336))</f>
        <v>#REF!</v>
      </c>
      <c r="AG336" s="934"/>
      <c r="AH336" s="934"/>
      <c r="AI336" s="289"/>
      <c r="AN336" s="179"/>
      <c r="AO336" s="38"/>
      <c r="AP336" s="188">
        <f>F336*I336+AN336+AN337</f>
        <v>0</v>
      </c>
      <c r="AT336" s="51"/>
      <c r="AU336" s="15"/>
      <c r="AV336" s="15"/>
      <c r="AW336" s="15"/>
      <c r="AX336" s="15"/>
      <c r="AY336" s="15"/>
      <c r="AZ336" s="15"/>
      <c r="BA336" s="51"/>
      <c r="BB336" s="15"/>
      <c r="BC336" s="15"/>
      <c r="BD336" s="15"/>
      <c r="BE336" s="15"/>
      <c r="BF336" s="15"/>
      <c r="BG336" s="51"/>
      <c r="BH336" s="15"/>
      <c r="BI336" s="15"/>
      <c r="BJ336" s="15"/>
      <c r="BK336" s="51"/>
      <c r="BL336" s="15"/>
      <c r="BM336" s="15"/>
      <c r="BN336" s="15"/>
      <c r="BO336" s="15"/>
      <c r="BP336" s="15"/>
      <c r="BQ336" s="18"/>
      <c r="BR336" s="18"/>
      <c r="BS336" s="18"/>
      <c r="BT336" s="18"/>
      <c r="BU336" s="18"/>
      <c r="BV336" s="18"/>
      <c r="BW336" s="18"/>
      <c r="BX336" s="139"/>
      <c r="BY336" s="139" t="str">
        <f>IF($AB336=0,"",$AB336)</f>
        <v/>
      </c>
      <c r="BZ336" s="139"/>
      <c r="CA336" s="139"/>
      <c r="CB336" s="139"/>
      <c r="CC336" s="139"/>
      <c r="CD336" s="139"/>
      <c r="CE336" s="139"/>
      <c r="CF336" s="139"/>
      <c r="CG336" s="139"/>
      <c r="CH336" s="139"/>
      <c r="CI336" s="139"/>
      <c r="CJ336" s="139"/>
      <c r="CK336" s="139"/>
      <c r="CL336" s="139"/>
      <c r="CM336" s="139"/>
      <c r="CN336" s="139"/>
      <c r="CO336" s="139"/>
      <c r="CP336" s="139"/>
      <c r="CQ336" s="139"/>
      <c r="CR336" s="139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  <c r="FC336" s="18"/>
      <c r="FD336" s="18"/>
      <c r="FE336" s="18"/>
      <c r="FF336" s="18"/>
      <c r="FG336" s="18"/>
      <c r="FH336" s="18"/>
      <c r="FI336" s="18"/>
      <c r="FJ336" s="18"/>
      <c r="FK336" s="18"/>
      <c r="FL336" s="18"/>
      <c r="FM336" s="18"/>
      <c r="FN336" s="18"/>
      <c r="FO336" s="18"/>
      <c r="FP336" s="18"/>
      <c r="FQ336" s="18"/>
      <c r="FR336" s="18"/>
      <c r="FS336" s="18"/>
      <c r="FT336" s="18"/>
      <c r="FU336" s="18"/>
      <c r="FV336" s="18"/>
      <c r="FW336" s="18"/>
      <c r="FX336" s="18"/>
      <c r="FY336" s="18"/>
      <c r="FZ336" s="18"/>
      <c r="GA336" s="18"/>
      <c r="GB336" s="18"/>
      <c r="GC336" s="18"/>
      <c r="GD336" s="18"/>
      <c r="GE336" s="18"/>
      <c r="GF336" s="18"/>
      <c r="GG336" s="18"/>
      <c r="GH336" s="18"/>
      <c r="GI336" s="18"/>
      <c r="GJ336" s="18"/>
      <c r="GK336" s="18"/>
      <c r="GL336" s="18"/>
      <c r="GM336" s="18"/>
      <c r="GN336" s="18"/>
      <c r="GO336" s="18"/>
      <c r="GP336" s="18"/>
      <c r="GQ336" s="18"/>
      <c r="GR336" s="18"/>
      <c r="GS336" s="18"/>
      <c r="GT336" s="18"/>
      <c r="GU336" s="18"/>
      <c r="GV336" s="18"/>
      <c r="GW336" s="18"/>
      <c r="GX336" s="18"/>
      <c r="GY336" s="18"/>
      <c r="GZ336" s="18"/>
      <c r="HA336" s="18"/>
      <c r="HB336" s="18"/>
      <c r="HC336" s="18"/>
      <c r="HD336" s="18"/>
      <c r="HE336" s="18"/>
      <c r="HF336" s="18"/>
      <c r="HG336" s="13"/>
      <c r="HH336" s="13"/>
      <c r="HI336" s="13"/>
      <c r="HJ336" s="13"/>
      <c r="HK336" s="13"/>
      <c r="HL336" s="13"/>
      <c r="HM336" s="13"/>
      <c r="HN336" s="13"/>
      <c r="HO336" s="13"/>
      <c r="HP336" s="13"/>
      <c r="HQ336" s="13"/>
      <c r="HR336" s="13"/>
      <c r="HS336" s="13"/>
      <c r="HT336" s="13"/>
      <c r="HV336" s="18"/>
      <c r="HW336" s="18"/>
      <c r="HX336" s="18"/>
      <c r="HY336" s="18"/>
      <c r="HZ336" s="18"/>
      <c r="IA336" s="18"/>
      <c r="IB336" s="18"/>
      <c r="IC336" s="18"/>
      <c r="ID336" s="18"/>
      <c r="IE336" s="139"/>
      <c r="IF336" s="139"/>
      <c r="IG336" s="139"/>
      <c r="IH336" s="139"/>
      <c r="II336" s="139"/>
      <c r="IJ336" s="139"/>
      <c r="IK336" s="139"/>
      <c r="IL336" s="139"/>
      <c r="IM336" s="139"/>
      <c r="IN336" s="139"/>
      <c r="IO336" s="139"/>
      <c r="IP336" s="18"/>
      <c r="IQ336" s="18"/>
      <c r="IR336" s="18"/>
      <c r="IS336" s="18"/>
      <c r="IT336" s="18"/>
      <c r="IU336" s="18"/>
      <c r="IV336" s="18"/>
      <c r="IW336" s="18"/>
      <c r="IX336" s="18"/>
      <c r="IY336" s="18"/>
      <c r="IZ336" s="18"/>
      <c r="JA336" s="18"/>
      <c r="JB336" s="18"/>
      <c r="JC336" s="18"/>
      <c r="JD336" s="18"/>
      <c r="JE336" s="18"/>
      <c r="JF336" s="18"/>
      <c r="JG336" s="18"/>
      <c r="JH336" s="18"/>
      <c r="JI336" s="18"/>
      <c r="JJ336" s="18"/>
      <c r="JK336" s="18"/>
      <c r="JL336" s="18"/>
      <c r="JM336" s="18"/>
      <c r="JN336" s="18"/>
      <c r="JO336" s="18"/>
      <c r="JP336" s="18"/>
      <c r="JQ336" s="18"/>
      <c r="JR336" s="18"/>
      <c r="JS336" s="18"/>
      <c r="JT336" s="18"/>
      <c r="JU336" s="18"/>
      <c r="JV336" s="18"/>
      <c r="JW336" s="18"/>
      <c r="JX336" s="18"/>
      <c r="JY336" s="18"/>
      <c r="JZ336" s="18"/>
      <c r="KA336" s="18"/>
      <c r="KB336" s="18"/>
      <c r="KC336" s="18"/>
      <c r="KD336" s="18"/>
      <c r="KE336" s="18"/>
      <c r="KF336" s="18"/>
      <c r="KG336" s="18"/>
      <c r="KH336" s="18"/>
      <c r="KI336" s="18"/>
      <c r="KJ336" s="18"/>
      <c r="KK336" s="18"/>
      <c r="KL336" s="18"/>
      <c r="KM336" s="18"/>
      <c r="KN336" s="18"/>
      <c r="KO336" s="18"/>
      <c r="KP336" s="18"/>
    </row>
    <row r="337" spans="1:302" ht="10.5" hidden="1" customHeight="1" outlineLevel="1">
      <c r="A337" s="12" t="s">
        <v>84</v>
      </c>
      <c r="F337" s="275">
        <v>370</v>
      </c>
      <c r="K337" s="185">
        <f>AP336</f>
        <v>0</v>
      </c>
      <c r="M337" s="136"/>
      <c r="N337" s="136"/>
      <c r="O337" s="136"/>
      <c r="P337" s="184"/>
      <c r="Y337" s="14"/>
      <c r="Z337" s="14"/>
      <c r="AB337" s="947"/>
      <c r="AC337" s="947"/>
      <c r="AD337" s="183">
        <f>((P336-I336)/I336)</f>
        <v>2.6709401709415373E-4</v>
      </c>
      <c r="AE337" s="183"/>
      <c r="AN337" s="179"/>
      <c r="AO337" s="38"/>
      <c r="AP337" s="38"/>
      <c r="AT337" s="51"/>
      <c r="AU337" s="15"/>
      <c r="AV337" s="15"/>
      <c r="AW337" s="15"/>
      <c r="AX337" s="15"/>
      <c r="AY337" s="15"/>
      <c r="AZ337" s="15"/>
      <c r="BA337" s="51"/>
      <c r="BB337" s="15"/>
      <c r="BC337" s="15"/>
      <c r="BD337" s="15"/>
      <c r="BE337" s="15"/>
      <c r="BF337" s="15"/>
      <c r="BG337" s="51"/>
      <c r="BH337" s="15"/>
      <c r="BI337" s="15"/>
      <c r="BJ337" s="15"/>
      <c r="BK337" s="51"/>
      <c r="BL337" s="15"/>
      <c r="BM337" s="15"/>
      <c r="BN337" s="15"/>
      <c r="BO337" s="15"/>
      <c r="BP337" s="15"/>
      <c r="BQ337" s="18"/>
      <c r="BR337" s="18"/>
      <c r="BS337" s="18"/>
      <c r="BT337" s="18"/>
      <c r="BU337" s="18"/>
      <c r="BV337" s="18"/>
      <c r="BW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  <c r="FC337" s="18"/>
      <c r="FD337" s="18"/>
      <c r="FE337" s="18"/>
      <c r="FF337" s="18"/>
      <c r="FG337" s="18"/>
      <c r="FH337" s="18"/>
      <c r="FI337" s="18"/>
      <c r="FJ337" s="18"/>
      <c r="FK337" s="18"/>
      <c r="FL337" s="18"/>
      <c r="FM337" s="18"/>
      <c r="FN337" s="18"/>
      <c r="FO337" s="18"/>
      <c r="FP337" s="18"/>
      <c r="FQ337" s="18"/>
      <c r="FR337" s="18"/>
      <c r="FS337" s="18"/>
      <c r="FT337" s="18"/>
      <c r="FU337" s="18"/>
      <c r="FV337" s="18"/>
      <c r="FW337" s="18"/>
      <c r="FX337" s="18"/>
      <c r="FY337" s="18"/>
      <c r="FZ337" s="18"/>
      <c r="GA337" s="18"/>
      <c r="GB337" s="18"/>
      <c r="GC337" s="18"/>
      <c r="GD337" s="18"/>
      <c r="GE337" s="18"/>
      <c r="GF337" s="18"/>
      <c r="GG337" s="18"/>
      <c r="GH337" s="18"/>
      <c r="GI337" s="18"/>
      <c r="GJ337" s="18"/>
      <c r="GK337" s="18"/>
      <c r="GL337" s="18"/>
      <c r="GM337" s="18"/>
      <c r="GN337" s="18"/>
      <c r="GO337" s="18"/>
      <c r="GP337" s="18"/>
      <c r="GQ337" s="18"/>
      <c r="GR337" s="18"/>
      <c r="GS337" s="18"/>
      <c r="GT337" s="18"/>
      <c r="GU337" s="18"/>
      <c r="GV337" s="18"/>
      <c r="GW337" s="18"/>
      <c r="GX337" s="18"/>
      <c r="GY337" s="18"/>
      <c r="GZ337" s="18"/>
      <c r="HA337" s="18"/>
      <c r="HB337" s="18"/>
      <c r="HC337" s="18"/>
      <c r="HD337" s="18"/>
      <c r="HE337" s="18"/>
      <c r="HF337" s="18"/>
      <c r="HG337" s="13"/>
      <c r="HH337" s="13"/>
      <c r="HI337" s="13"/>
      <c r="HJ337" s="13"/>
      <c r="HK337" s="13"/>
      <c r="HL337" s="13"/>
      <c r="HM337" s="13"/>
      <c r="HN337" s="13"/>
      <c r="HO337" s="13"/>
      <c r="HP337" s="13"/>
      <c r="HQ337" s="13"/>
      <c r="HR337" s="13"/>
      <c r="HS337" s="13"/>
      <c r="HT337" s="13"/>
      <c r="HV337" s="18"/>
      <c r="HW337" s="18"/>
      <c r="HX337" s="18"/>
      <c r="HY337" s="18"/>
      <c r="HZ337" s="18"/>
      <c r="IA337" s="18"/>
      <c r="IB337" s="18"/>
      <c r="IC337" s="18"/>
      <c r="ID337" s="18"/>
      <c r="IE337" s="18"/>
      <c r="IF337" s="18"/>
      <c r="IG337" s="18"/>
      <c r="IH337" s="18"/>
      <c r="II337" s="18"/>
      <c r="IJ337" s="18"/>
      <c r="IK337" s="18"/>
      <c r="IL337" s="18"/>
      <c r="IM337" s="18"/>
      <c r="IN337" s="18"/>
      <c r="IO337" s="18"/>
      <c r="IP337" s="18"/>
      <c r="IQ337" s="18"/>
      <c r="IR337" s="18"/>
      <c r="IS337" s="18"/>
      <c r="IT337" s="18"/>
      <c r="IU337" s="18"/>
      <c r="IV337" s="18"/>
      <c r="IW337" s="18"/>
      <c r="IX337" s="18"/>
      <c r="IY337" s="18"/>
      <c r="IZ337" s="18"/>
      <c r="JA337" s="18"/>
      <c r="JB337" s="18"/>
      <c r="JC337" s="18"/>
      <c r="JD337" s="18"/>
      <c r="JE337" s="18"/>
      <c r="JF337" s="18"/>
      <c r="JG337" s="18"/>
      <c r="JH337" s="18"/>
      <c r="JI337" s="18"/>
      <c r="JJ337" s="18"/>
      <c r="JK337" s="18"/>
      <c r="JL337" s="18"/>
      <c r="JM337" s="18"/>
      <c r="JN337" s="18"/>
      <c r="JO337" s="18"/>
      <c r="JP337" s="18"/>
      <c r="JQ337" s="18"/>
      <c r="JR337" s="18"/>
      <c r="JS337" s="18"/>
      <c r="JT337" s="18"/>
      <c r="JU337" s="18"/>
      <c r="JV337" s="18"/>
      <c r="JW337" s="18"/>
      <c r="JX337" s="18"/>
      <c r="JY337" s="18"/>
      <c r="JZ337" s="18"/>
      <c r="KA337" s="18"/>
      <c r="KB337" s="18"/>
      <c r="KC337" s="18"/>
      <c r="KD337" s="18"/>
      <c r="KE337" s="18"/>
      <c r="KF337" s="18"/>
      <c r="KG337" s="18"/>
      <c r="KH337" s="18"/>
      <c r="KI337" s="18"/>
      <c r="KJ337" s="18"/>
      <c r="KK337" s="18"/>
      <c r="KL337" s="18"/>
      <c r="KM337" s="18"/>
      <c r="KN337" s="18"/>
      <c r="KO337" s="18"/>
      <c r="KP337" s="18"/>
    </row>
    <row r="338" spans="1:302" ht="5.0999999999999996" hidden="1" customHeight="1" outlineLevel="1" collapsed="1">
      <c r="M338" s="136"/>
      <c r="N338" s="136"/>
      <c r="O338" s="136"/>
      <c r="Y338" s="14"/>
      <c r="Z338" s="14"/>
      <c r="AN338" s="18"/>
      <c r="AT338" s="51"/>
      <c r="AU338" s="15"/>
      <c r="AV338" s="15"/>
      <c r="AW338" s="15"/>
      <c r="AX338" s="15"/>
      <c r="AY338" s="15"/>
      <c r="AZ338" s="15"/>
      <c r="BA338" s="51"/>
      <c r="BB338" s="15"/>
      <c r="BC338" s="15"/>
      <c r="BD338" s="15"/>
      <c r="BE338" s="15"/>
      <c r="BF338" s="15"/>
      <c r="BG338" s="51"/>
      <c r="BH338" s="15"/>
      <c r="BI338" s="15"/>
      <c r="BJ338" s="15"/>
      <c r="BK338" s="51"/>
      <c r="BL338" s="15"/>
      <c r="BM338" s="15"/>
      <c r="BN338" s="15"/>
      <c r="BO338" s="15"/>
      <c r="BP338" s="15"/>
      <c r="BQ338" s="15"/>
      <c r="BR338" s="18"/>
      <c r="BS338" s="18"/>
      <c r="BT338" s="18"/>
      <c r="BU338" s="18"/>
      <c r="BV338" s="18"/>
      <c r="BW338" s="18"/>
      <c r="BY338" s="18"/>
      <c r="BZ338" s="18"/>
      <c r="CA338" s="18"/>
      <c r="CB338" s="18"/>
      <c r="CC338" s="18"/>
      <c r="CD338" s="18"/>
      <c r="CE338" s="18"/>
      <c r="CF338" s="18"/>
      <c r="CG338" s="18"/>
      <c r="CH338" s="18"/>
      <c r="CI338" s="18"/>
      <c r="CJ338" s="18"/>
      <c r="CK338" s="18"/>
      <c r="CL338" s="18"/>
      <c r="CM338" s="18"/>
      <c r="CN338" s="18"/>
      <c r="CO338" s="18"/>
      <c r="CP338" s="18"/>
      <c r="CQ338" s="18"/>
      <c r="CR338" s="18"/>
      <c r="CT338" s="18"/>
      <c r="CU338" s="18"/>
      <c r="CV338" s="18"/>
      <c r="CW338" s="18"/>
      <c r="CX338" s="18"/>
      <c r="CY338" s="18"/>
      <c r="CZ338" s="18"/>
      <c r="DA338" s="18"/>
      <c r="DB338" s="18"/>
      <c r="DC338" s="18"/>
      <c r="DD338" s="18"/>
      <c r="DE338" s="18"/>
      <c r="DF338" s="18"/>
      <c r="DG338" s="18"/>
      <c r="DH338" s="18"/>
      <c r="DI338" s="18"/>
      <c r="DJ338" s="18"/>
      <c r="DK338" s="18"/>
      <c r="DL338" s="18"/>
      <c r="DM338" s="18"/>
      <c r="DN338" s="18"/>
      <c r="DP338" s="18"/>
      <c r="DQ338" s="18"/>
      <c r="DR338" s="18"/>
      <c r="DS338" s="18"/>
      <c r="DT338" s="18"/>
      <c r="DU338" s="18"/>
      <c r="DV338" s="18"/>
      <c r="DW338" s="18"/>
      <c r="DX338" s="18"/>
      <c r="DY338" s="18"/>
      <c r="DZ338" s="18"/>
      <c r="EA338" s="18"/>
      <c r="EB338" s="18"/>
      <c r="EC338" s="18"/>
      <c r="ED338" s="18"/>
      <c r="EE338" s="18"/>
      <c r="EF338" s="18"/>
      <c r="EG338" s="18"/>
      <c r="EH338" s="18"/>
      <c r="EI338" s="18"/>
      <c r="EJ338" s="18"/>
      <c r="EK338" s="18"/>
      <c r="EL338" s="18"/>
      <c r="EM338" s="18"/>
      <c r="EN338" s="18"/>
      <c r="EO338" s="18"/>
      <c r="EP338" s="18"/>
      <c r="EQ338" s="18"/>
      <c r="ER338" s="18"/>
      <c r="ES338" s="18"/>
      <c r="ET338" s="18"/>
      <c r="EU338" s="18"/>
      <c r="EV338" s="18"/>
      <c r="EW338" s="18"/>
      <c r="EX338" s="18"/>
      <c r="EY338" s="18"/>
      <c r="EZ338" s="18"/>
      <c r="FA338" s="18"/>
      <c r="FB338" s="18"/>
      <c r="FC338" s="18"/>
      <c r="FD338" s="18"/>
      <c r="FE338" s="18"/>
      <c r="FF338" s="18"/>
      <c r="FG338" s="18"/>
      <c r="FH338" s="18"/>
      <c r="FI338" s="18"/>
      <c r="FJ338" s="18"/>
      <c r="FK338" s="18"/>
      <c r="FL338" s="18"/>
      <c r="FM338" s="18"/>
      <c r="FN338" s="18"/>
      <c r="FO338" s="18"/>
      <c r="FP338" s="18"/>
      <c r="FQ338" s="18"/>
      <c r="FR338" s="18"/>
      <c r="FS338" s="18"/>
      <c r="FT338" s="18"/>
      <c r="FU338" s="18"/>
      <c r="FV338" s="18"/>
      <c r="FW338" s="18"/>
      <c r="FX338" s="18"/>
      <c r="FY338" s="18"/>
      <c r="FZ338" s="18"/>
      <c r="GA338" s="18"/>
      <c r="GB338" s="18"/>
      <c r="GC338" s="18"/>
      <c r="GD338" s="18"/>
      <c r="GE338" s="18"/>
      <c r="GF338" s="18"/>
      <c r="GG338" s="18"/>
      <c r="GH338" s="18"/>
      <c r="GI338" s="18"/>
      <c r="GJ338" s="18"/>
      <c r="GK338" s="18"/>
      <c r="GL338" s="18"/>
      <c r="GM338" s="18"/>
      <c r="GN338" s="18"/>
      <c r="GO338" s="18"/>
      <c r="GP338" s="18"/>
      <c r="GQ338" s="18"/>
      <c r="GR338" s="18"/>
      <c r="GS338" s="18"/>
      <c r="GT338" s="18"/>
      <c r="GU338" s="18"/>
      <c r="GV338" s="18"/>
      <c r="GW338" s="18"/>
      <c r="GX338" s="18"/>
      <c r="GY338" s="18"/>
      <c r="GZ338" s="18"/>
      <c r="HA338" s="18"/>
      <c r="HB338" s="18"/>
      <c r="HC338" s="18"/>
      <c r="HD338" s="18"/>
      <c r="HE338" s="18"/>
      <c r="HF338" s="18"/>
      <c r="HG338" s="13"/>
      <c r="HH338" s="13"/>
      <c r="HI338" s="13"/>
      <c r="HJ338" s="13"/>
      <c r="HK338" s="13"/>
      <c r="HL338" s="13"/>
      <c r="HM338" s="13"/>
      <c r="HN338" s="13"/>
      <c r="HO338" s="13"/>
      <c r="HP338" s="13"/>
      <c r="HQ338" s="13"/>
      <c r="HR338" s="13"/>
      <c r="HS338" s="13"/>
      <c r="HT338" s="13"/>
      <c r="HV338" s="18"/>
      <c r="HW338" s="18"/>
      <c r="HX338" s="18"/>
      <c r="HY338" s="18"/>
      <c r="HZ338" s="18"/>
      <c r="IA338" s="18"/>
      <c r="IB338" s="18"/>
      <c r="IC338" s="18"/>
      <c r="ID338" s="18"/>
      <c r="IE338" s="18"/>
      <c r="IF338" s="18"/>
      <c r="IG338" s="18"/>
      <c r="IH338" s="18"/>
      <c r="II338" s="18"/>
      <c r="IJ338" s="18"/>
      <c r="IK338" s="18"/>
      <c r="IL338" s="18"/>
      <c r="IM338" s="18"/>
      <c r="IN338" s="18"/>
      <c r="IO338" s="18"/>
      <c r="IP338" s="18"/>
      <c r="IQ338" s="18"/>
      <c r="IR338" s="18"/>
      <c r="IS338" s="18"/>
      <c r="IT338" s="18"/>
      <c r="IU338" s="18"/>
      <c r="IV338" s="18"/>
      <c r="IW338" s="18"/>
      <c r="IX338" s="18"/>
      <c r="IY338" s="18"/>
      <c r="IZ338" s="18"/>
      <c r="JA338" s="18"/>
      <c r="JB338" s="18"/>
      <c r="JC338" s="18"/>
      <c r="JD338" s="18"/>
      <c r="JE338" s="18"/>
      <c r="JF338" s="18"/>
      <c r="JG338" s="18"/>
      <c r="JH338" s="18"/>
      <c r="JI338" s="18"/>
      <c r="JJ338" s="18"/>
      <c r="JK338" s="18"/>
      <c r="JL338" s="18"/>
      <c r="JM338" s="18"/>
      <c r="JN338" s="18"/>
      <c r="JO338" s="18"/>
      <c r="JP338" s="18"/>
      <c r="JQ338" s="18"/>
      <c r="JR338" s="18"/>
      <c r="JS338" s="18"/>
      <c r="JT338" s="18"/>
      <c r="JU338" s="18"/>
      <c r="JV338" s="18"/>
      <c r="JW338" s="18"/>
      <c r="JX338" s="18"/>
      <c r="JY338" s="18"/>
      <c r="JZ338" s="18"/>
      <c r="KA338" s="18"/>
      <c r="KB338" s="18"/>
      <c r="KC338" s="18"/>
      <c r="KD338" s="18"/>
      <c r="KE338" s="18"/>
      <c r="KF338" s="18"/>
      <c r="KG338" s="18"/>
      <c r="KH338" s="18"/>
      <c r="KI338" s="18"/>
      <c r="KJ338" s="18"/>
      <c r="KK338" s="18"/>
      <c r="KL338" s="18"/>
      <c r="KM338" s="18"/>
      <c r="KN338" s="18"/>
      <c r="KO338" s="18"/>
      <c r="KP338" s="18"/>
    </row>
    <row r="339" spans="1:302" ht="10.5" hidden="1" customHeight="1" outlineLevel="1">
      <c r="A339" s="30" t="s">
        <v>83</v>
      </c>
      <c r="D339" s="204" t="s">
        <v>82</v>
      </c>
      <c r="F339" s="11">
        <v>0</v>
      </c>
      <c r="G339" s="946">
        <v>41892</v>
      </c>
      <c r="H339" s="946"/>
      <c r="I339" s="1067">
        <v>140</v>
      </c>
      <c r="J339" s="1067"/>
      <c r="K339" s="1067"/>
      <c r="M339" s="136"/>
      <c r="N339" s="136"/>
      <c r="O339" s="136"/>
      <c r="P339" s="215">
        <v>0</v>
      </c>
      <c r="Y339" s="14"/>
      <c r="Z339" s="14"/>
      <c r="AB339" s="947">
        <f>F339*P339</f>
        <v>0</v>
      </c>
      <c r="AC339" s="947"/>
      <c r="AD339" s="190">
        <f>-((I339*F339)-(P339*F339))</f>
        <v>0</v>
      </c>
      <c r="AE339" s="290"/>
      <c r="AF339" s="190" t="e">
        <f>IF((#REF!-AP339)&gt;0,(#REF!-AP339)*0.74,(#REF!-AP339))</f>
        <v>#REF!</v>
      </c>
      <c r="AG339" s="934"/>
      <c r="AH339" s="934"/>
      <c r="AI339" s="289"/>
      <c r="AL339" s="14" t="s">
        <v>71</v>
      </c>
      <c r="AN339" s="179"/>
      <c r="AO339" s="38"/>
      <c r="AP339" s="188">
        <f>F339*I339+AN339+AN340</f>
        <v>0</v>
      </c>
      <c r="AT339" s="51"/>
      <c r="AU339" s="15"/>
      <c r="AV339" s="15"/>
      <c r="AW339" s="15"/>
      <c r="AX339" s="15"/>
      <c r="AY339" s="15"/>
      <c r="AZ339" s="15"/>
      <c r="BA339" s="51"/>
      <c r="BB339" s="15"/>
      <c r="BC339" s="15"/>
      <c r="BD339" s="15"/>
      <c r="BE339" s="15"/>
      <c r="BF339" s="15"/>
      <c r="BG339" s="51"/>
      <c r="BH339" s="15"/>
      <c r="BI339" s="15"/>
      <c r="BJ339" s="15"/>
      <c r="BK339" s="51"/>
      <c r="BL339" s="15"/>
      <c r="BM339" s="15"/>
      <c r="BN339" s="15"/>
      <c r="BO339" s="15"/>
      <c r="BP339" s="15"/>
      <c r="BQ339" s="18"/>
      <c r="BR339" s="18"/>
      <c r="BS339" s="18"/>
      <c r="BT339" s="18"/>
      <c r="BU339" s="18"/>
      <c r="BV339" s="18"/>
      <c r="BW339" s="18"/>
      <c r="BX339" s="139"/>
      <c r="BY339" s="139" t="str">
        <f>IF($AB339=0,"",$AB339)</f>
        <v/>
      </c>
      <c r="BZ339" s="139"/>
      <c r="CA339" s="139"/>
      <c r="CB339" s="139"/>
      <c r="CC339" s="139"/>
      <c r="CD339" s="139"/>
      <c r="CE339" s="139"/>
      <c r="CF339" s="139"/>
      <c r="CG339" s="139"/>
      <c r="CH339" s="139"/>
      <c r="CI339" s="139"/>
      <c r="CJ339" s="139"/>
      <c r="CK339" s="139"/>
      <c r="CL339" s="139"/>
      <c r="CM339" s="139"/>
      <c r="CN339" s="139"/>
      <c r="CO339" s="139"/>
      <c r="CP339" s="139"/>
      <c r="CQ339" s="139"/>
      <c r="CR339" s="139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  <c r="FC339" s="18"/>
      <c r="FD339" s="18"/>
      <c r="FE339" s="18"/>
      <c r="FF339" s="18"/>
      <c r="FG339" s="18"/>
      <c r="FH339" s="18"/>
      <c r="FI339" s="18"/>
      <c r="FJ339" s="18"/>
      <c r="FK339" s="18"/>
      <c r="FL339" s="18"/>
      <c r="FM339" s="18"/>
      <c r="FN339" s="18"/>
      <c r="FO339" s="18"/>
      <c r="FP339" s="18"/>
      <c r="FQ339" s="18"/>
      <c r="FR339" s="18"/>
      <c r="FS339" s="18"/>
      <c r="FT339" s="18"/>
      <c r="FU339" s="18"/>
      <c r="FV339" s="18"/>
      <c r="FW339" s="18"/>
      <c r="FX339" s="18"/>
      <c r="FY339" s="18"/>
      <c r="FZ339" s="18"/>
      <c r="GA339" s="18"/>
      <c r="GB339" s="18"/>
      <c r="GC339" s="18"/>
      <c r="GD339" s="18"/>
      <c r="GE339" s="18"/>
      <c r="GF339" s="18"/>
      <c r="GG339" s="18"/>
      <c r="GH339" s="18"/>
      <c r="GI339" s="18"/>
      <c r="GJ339" s="18"/>
      <c r="GK339" s="18"/>
      <c r="GL339" s="18"/>
      <c r="GM339" s="18"/>
      <c r="GN339" s="18"/>
      <c r="GO339" s="18"/>
      <c r="GP339" s="18"/>
      <c r="GQ339" s="18"/>
      <c r="GR339" s="18"/>
      <c r="GS339" s="18"/>
      <c r="GT339" s="18"/>
      <c r="GU339" s="18"/>
      <c r="GV339" s="18"/>
      <c r="GW339" s="18"/>
      <c r="GX339" s="18"/>
      <c r="GY339" s="18"/>
      <c r="GZ339" s="18"/>
      <c r="HA339" s="18"/>
      <c r="HB339" s="18"/>
      <c r="HC339" s="18"/>
      <c r="HD339" s="18"/>
      <c r="HE339" s="18"/>
      <c r="HF339" s="18"/>
      <c r="HG339" s="13"/>
      <c r="HH339" s="13"/>
      <c r="HI339" s="13"/>
      <c r="HJ339" s="13"/>
      <c r="HK339" s="13"/>
      <c r="HL339" s="13"/>
      <c r="HM339" s="13"/>
      <c r="HN339" s="13"/>
      <c r="HO339" s="13"/>
      <c r="HP339" s="13"/>
      <c r="HQ339" s="13"/>
      <c r="HR339" s="13"/>
      <c r="HS339" s="13"/>
      <c r="HT339" s="13"/>
      <c r="HV339" s="18"/>
      <c r="HW339" s="18"/>
      <c r="HX339" s="18"/>
      <c r="HY339" s="18"/>
      <c r="HZ339" s="18"/>
      <c r="IA339" s="18"/>
      <c r="IB339" s="18"/>
      <c r="IC339" s="18"/>
      <c r="ID339" s="18"/>
      <c r="IE339" s="139"/>
      <c r="IF339" s="139"/>
      <c r="IG339" s="139"/>
      <c r="IH339" s="139"/>
      <c r="II339" s="139"/>
      <c r="IJ339" s="139"/>
      <c r="IK339" s="139"/>
      <c r="IL339" s="139"/>
      <c r="IM339" s="139"/>
      <c r="IN339" s="139"/>
      <c r="IO339" s="139"/>
      <c r="IP339" s="18"/>
      <c r="IQ339" s="18"/>
      <c r="IR339" s="18"/>
      <c r="IS339" s="18"/>
      <c r="IT339" s="18"/>
      <c r="IU339" s="18"/>
      <c r="IV339" s="18"/>
      <c r="IW339" s="18"/>
      <c r="IX339" s="18"/>
      <c r="IY339" s="18"/>
      <c r="IZ339" s="18"/>
      <c r="JA339" s="18"/>
      <c r="JB339" s="18"/>
      <c r="JC339" s="18"/>
      <c r="JD339" s="18"/>
      <c r="JE339" s="18"/>
      <c r="JF339" s="18"/>
      <c r="JG339" s="18"/>
      <c r="JH339" s="18"/>
      <c r="JI339" s="18"/>
      <c r="JJ339" s="18"/>
      <c r="JK339" s="18"/>
      <c r="JL339" s="18"/>
      <c r="JM339" s="18"/>
      <c r="JN339" s="18"/>
      <c r="JO339" s="18"/>
      <c r="JP339" s="18"/>
      <c r="JQ339" s="18"/>
      <c r="JR339" s="18"/>
      <c r="JS339" s="18"/>
      <c r="JT339" s="18"/>
      <c r="JU339" s="18"/>
      <c r="JV339" s="18"/>
      <c r="JW339" s="18"/>
      <c r="JX339" s="18"/>
      <c r="JY339" s="18"/>
      <c r="JZ339" s="18"/>
      <c r="KA339" s="18"/>
      <c r="KB339" s="18"/>
      <c r="KC339" s="18"/>
      <c r="KD339" s="18"/>
      <c r="KE339" s="18"/>
      <c r="KF339" s="18"/>
      <c r="KG339" s="18"/>
      <c r="KH339" s="18"/>
      <c r="KI339" s="18"/>
      <c r="KJ339" s="18"/>
      <c r="KK339" s="18"/>
      <c r="KL339" s="18"/>
      <c r="KM339" s="18"/>
      <c r="KN339" s="18"/>
      <c r="KO339" s="18"/>
      <c r="KP339" s="18"/>
    </row>
    <row r="340" spans="1:302" ht="10.5" hidden="1" customHeight="1" outlineLevel="1">
      <c r="A340" s="3" t="s">
        <v>81</v>
      </c>
      <c r="F340" s="275">
        <v>370</v>
      </c>
      <c r="K340" s="185">
        <f>AP339</f>
        <v>0</v>
      </c>
      <c r="M340" s="136"/>
      <c r="N340" s="136"/>
      <c r="O340" s="136"/>
      <c r="P340" s="184"/>
      <c r="Y340" s="14"/>
      <c r="Z340" s="14"/>
      <c r="AB340" s="947"/>
      <c r="AC340" s="947"/>
      <c r="AD340" s="183">
        <f>((P339-I339)/I339)</f>
        <v>-1</v>
      </c>
      <c r="AE340" s="183"/>
      <c r="AN340" s="179"/>
      <c r="AO340" s="38"/>
      <c r="AP340" s="38"/>
      <c r="AT340" s="51"/>
      <c r="AU340" s="15"/>
      <c r="AV340" s="15"/>
      <c r="AW340" s="15"/>
      <c r="AX340" s="15"/>
      <c r="AY340" s="15"/>
      <c r="AZ340" s="15"/>
      <c r="BA340" s="51"/>
      <c r="BB340" s="15"/>
      <c r="BC340" s="15"/>
      <c r="BD340" s="15"/>
      <c r="BE340" s="15"/>
      <c r="BF340" s="15"/>
      <c r="BG340" s="51"/>
      <c r="BH340" s="15"/>
      <c r="BI340" s="15"/>
      <c r="BJ340" s="15"/>
      <c r="BK340" s="51"/>
      <c r="BL340" s="15"/>
      <c r="BM340" s="15"/>
      <c r="BN340" s="15"/>
      <c r="BO340" s="15"/>
      <c r="BP340" s="15"/>
      <c r="BQ340" s="18"/>
      <c r="BR340" s="18"/>
      <c r="BS340" s="18"/>
      <c r="BT340" s="18"/>
      <c r="BU340" s="18"/>
      <c r="BV340" s="18"/>
      <c r="BW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  <c r="FR340" s="18"/>
      <c r="FS340" s="18"/>
      <c r="FT340" s="18"/>
      <c r="FU340" s="18"/>
      <c r="FV340" s="18"/>
      <c r="FW340" s="18"/>
      <c r="FX340" s="18"/>
      <c r="FY340" s="18"/>
      <c r="FZ340" s="18"/>
      <c r="GA340" s="18"/>
      <c r="GB340" s="18"/>
      <c r="GC340" s="18"/>
      <c r="GD340" s="18"/>
      <c r="GE340" s="18"/>
      <c r="GF340" s="18"/>
      <c r="GG340" s="18"/>
      <c r="GH340" s="18"/>
      <c r="GI340" s="18"/>
      <c r="GJ340" s="18"/>
      <c r="GK340" s="18"/>
      <c r="GL340" s="18"/>
      <c r="GM340" s="18"/>
      <c r="GN340" s="18"/>
      <c r="GO340" s="18"/>
      <c r="GP340" s="18"/>
      <c r="GQ340" s="18"/>
      <c r="GR340" s="18"/>
      <c r="GS340" s="18"/>
      <c r="GT340" s="18"/>
      <c r="GU340" s="18"/>
      <c r="GV340" s="18"/>
      <c r="GW340" s="18"/>
      <c r="GX340" s="18"/>
      <c r="GY340" s="18"/>
      <c r="GZ340" s="18"/>
      <c r="HA340" s="18"/>
      <c r="HB340" s="18"/>
      <c r="HC340" s="18"/>
      <c r="HD340" s="18"/>
      <c r="HE340" s="18"/>
      <c r="HF340" s="18"/>
      <c r="HG340" s="13"/>
      <c r="HH340" s="13"/>
      <c r="HI340" s="13"/>
      <c r="HJ340" s="13"/>
      <c r="HK340" s="13"/>
      <c r="HL340" s="13"/>
      <c r="HM340" s="13"/>
      <c r="HN340" s="13"/>
      <c r="HO340" s="13"/>
      <c r="HP340" s="13"/>
      <c r="HQ340" s="13"/>
      <c r="HR340" s="13"/>
      <c r="HS340" s="13"/>
      <c r="HT340" s="13"/>
      <c r="HV340" s="18"/>
      <c r="HW340" s="18"/>
      <c r="HX340" s="18"/>
      <c r="HY340" s="18"/>
      <c r="HZ340" s="18"/>
      <c r="IA340" s="18"/>
      <c r="IB340" s="18"/>
      <c r="IC340" s="18"/>
      <c r="ID340" s="18"/>
      <c r="IE340" s="18"/>
      <c r="IF340" s="18"/>
      <c r="IG340" s="18"/>
      <c r="IH340" s="18"/>
      <c r="II340" s="18"/>
      <c r="IJ340" s="18"/>
      <c r="IK340" s="18"/>
      <c r="IL340" s="18"/>
      <c r="IM340" s="18"/>
      <c r="IN340" s="18"/>
      <c r="IO340" s="18"/>
      <c r="IP340" s="18"/>
      <c r="IQ340" s="18"/>
      <c r="IR340" s="18"/>
      <c r="IS340" s="18"/>
      <c r="IT340" s="18"/>
      <c r="IU340" s="18"/>
      <c r="IV340" s="18"/>
      <c r="IW340" s="18"/>
      <c r="IX340" s="18"/>
      <c r="IY340" s="18"/>
      <c r="IZ340" s="18"/>
      <c r="JA340" s="18"/>
      <c r="JB340" s="18"/>
      <c r="JC340" s="18"/>
      <c r="JD340" s="18"/>
      <c r="JE340" s="18"/>
      <c r="JF340" s="18"/>
      <c r="JG340" s="18"/>
      <c r="JH340" s="18"/>
      <c r="JI340" s="18"/>
      <c r="JJ340" s="18"/>
      <c r="JK340" s="18"/>
      <c r="JL340" s="18"/>
      <c r="JM340" s="18"/>
      <c r="JN340" s="18"/>
      <c r="JO340" s="18"/>
      <c r="JP340" s="18"/>
      <c r="JQ340" s="18"/>
      <c r="JR340" s="18"/>
      <c r="JS340" s="18"/>
      <c r="JT340" s="18"/>
      <c r="JU340" s="18"/>
      <c r="JV340" s="18"/>
      <c r="JW340" s="18"/>
      <c r="JX340" s="18"/>
      <c r="JY340" s="18"/>
      <c r="JZ340" s="18"/>
      <c r="KA340" s="18"/>
      <c r="KB340" s="18"/>
      <c r="KC340" s="18"/>
      <c r="KD340" s="18"/>
      <c r="KE340" s="18"/>
      <c r="KF340" s="18"/>
      <c r="KG340" s="18"/>
      <c r="KH340" s="18"/>
      <c r="KI340" s="18"/>
      <c r="KJ340" s="18"/>
      <c r="KK340" s="18"/>
      <c r="KL340" s="18"/>
      <c r="KM340" s="18"/>
      <c r="KN340" s="18"/>
      <c r="KO340" s="18"/>
      <c r="KP340" s="18"/>
    </row>
    <row r="341" spans="1:302" ht="5.0999999999999996" hidden="1" customHeight="1" outlineLevel="1">
      <c r="M341" s="136"/>
      <c r="N341" s="136"/>
      <c r="O341" s="136"/>
      <c r="Y341" s="14"/>
      <c r="Z341" s="14"/>
      <c r="AN341" s="18"/>
      <c r="AT341" s="51"/>
      <c r="AU341" s="15"/>
      <c r="AV341" s="15"/>
      <c r="AW341" s="15"/>
      <c r="AX341" s="15"/>
      <c r="AY341" s="15"/>
      <c r="AZ341" s="15"/>
      <c r="BA341" s="51"/>
      <c r="BB341" s="15"/>
      <c r="BC341" s="15"/>
      <c r="BD341" s="15"/>
      <c r="BE341" s="15"/>
      <c r="BF341" s="15"/>
      <c r="BG341" s="51"/>
      <c r="BH341" s="15"/>
      <c r="BI341" s="15"/>
      <c r="BJ341" s="15"/>
      <c r="BK341" s="51"/>
      <c r="BL341" s="15"/>
      <c r="BM341" s="15"/>
      <c r="BN341" s="15"/>
      <c r="BO341" s="15"/>
      <c r="BP341" s="15"/>
      <c r="BQ341" s="15"/>
      <c r="BR341" s="18"/>
      <c r="BS341" s="18"/>
      <c r="BT341" s="18"/>
      <c r="BU341" s="18"/>
      <c r="BV341" s="18"/>
      <c r="BW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  <c r="FC341" s="18"/>
      <c r="FD341" s="18"/>
      <c r="FE341" s="18"/>
      <c r="FF341" s="18"/>
      <c r="FG341" s="18"/>
      <c r="FH341" s="18"/>
      <c r="FI341" s="18"/>
      <c r="FJ341" s="18"/>
      <c r="FK341" s="18"/>
      <c r="FL341" s="18"/>
      <c r="FM341" s="18"/>
      <c r="FN341" s="18"/>
      <c r="FO341" s="18"/>
      <c r="FP341" s="18"/>
      <c r="FQ341" s="18"/>
      <c r="FR341" s="18"/>
      <c r="FS341" s="18"/>
      <c r="FT341" s="18"/>
      <c r="FU341" s="18"/>
      <c r="FV341" s="18"/>
      <c r="FW341" s="18"/>
      <c r="FX341" s="18"/>
      <c r="FY341" s="18"/>
      <c r="FZ341" s="18"/>
      <c r="GA341" s="18"/>
      <c r="GB341" s="18"/>
      <c r="GC341" s="18"/>
      <c r="GD341" s="18"/>
      <c r="GE341" s="18"/>
      <c r="GF341" s="18"/>
      <c r="GG341" s="18"/>
      <c r="GH341" s="18"/>
      <c r="GI341" s="18"/>
      <c r="GJ341" s="18"/>
      <c r="GK341" s="18"/>
      <c r="GL341" s="18"/>
      <c r="GM341" s="18"/>
      <c r="GN341" s="18"/>
      <c r="GO341" s="18"/>
      <c r="GP341" s="18"/>
      <c r="GQ341" s="18"/>
      <c r="GR341" s="18"/>
      <c r="GS341" s="18"/>
      <c r="GT341" s="18"/>
      <c r="GU341" s="18"/>
      <c r="GV341" s="18"/>
      <c r="GW341" s="18"/>
      <c r="GX341" s="18"/>
      <c r="GY341" s="18"/>
      <c r="GZ341" s="18"/>
      <c r="HA341" s="18"/>
      <c r="HB341" s="18"/>
      <c r="HC341" s="18"/>
      <c r="HD341" s="18"/>
      <c r="HE341" s="18"/>
      <c r="HF341" s="18"/>
      <c r="HG341" s="13"/>
      <c r="HH341" s="13"/>
      <c r="HI341" s="13"/>
      <c r="HJ341" s="13"/>
      <c r="HK341" s="13"/>
      <c r="HL341" s="13"/>
      <c r="HM341" s="13"/>
      <c r="HN341" s="13"/>
      <c r="HO341" s="13"/>
      <c r="HP341" s="13"/>
      <c r="HQ341" s="13"/>
      <c r="HR341" s="13"/>
      <c r="HS341" s="13"/>
      <c r="HT341" s="13"/>
      <c r="HV341" s="18"/>
      <c r="HW341" s="18"/>
      <c r="HX341" s="18"/>
      <c r="HY341" s="18"/>
      <c r="HZ341" s="18"/>
      <c r="IA341" s="18"/>
      <c r="IB341" s="18"/>
      <c r="IC341" s="18"/>
      <c r="ID341" s="18"/>
      <c r="IE341" s="18"/>
      <c r="IF341" s="18"/>
      <c r="IG341" s="18"/>
      <c r="IH341" s="18"/>
      <c r="II341" s="18"/>
      <c r="IJ341" s="18"/>
      <c r="IK341" s="18"/>
      <c r="IL341" s="18"/>
      <c r="IM341" s="18"/>
      <c r="IN341" s="18"/>
      <c r="IO341" s="18"/>
      <c r="IP341" s="18"/>
      <c r="IQ341" s="18"/>
      <c r="IR341" s="18"/>
      <c r="IS341" s="18"/>
      <c r="IT341" s="18"/>
      <c r="IU341" s="18"/>
      <c r="IV341" s="18"/>
      <c r="IW341" s="18"/>
      <c r="IX341" s="18"/>
      <c r="IY341" s="18"/>
      <c r="IZ341" s="18"/>
      <c r="JA341" s="18"/>
      <c r="JB341" s="18"/>
      <c r="JC341" s="18"/>
      <c r="JD341" s="18"/>
      <c r="JE341" s="18"/>
      <c r="JF341" s="18"/>
      <c r="JG341" s="18"/>
      <c r="JH341" s="18"/>
      <c r="JI341" s="18"/>
      <c r="JJ341" s="18"/>
      <c r="JK341" s="18"/>
      <c r="JL341" s="18"/>
      <c r="JM341" s="18"/>
      <c r="JN341" s="18"/>
      <c r="JO341" s="18"/>
      <c r="JP341" s="18"/>
      <c r="JQ341" s="18"/>
      <c r="JR341" s="18"/>
      <c r="JS341" s="18"/>
      <c r="JT341" s="18"/>
      <c r="JU341" s="18"/>
      <c r="JV341" s="18"/>
      <c r="JW341" s="18"/>
      <c r="JX341" s="18"/>
      <c r="JY341" s="18"/>
      <c r="JZ341" s="18"/>
      <c r="KA341" s="18"/>
      <c r="KB341" s="18"/>
      <c r="KC341" s="18"/>
      <c r="KD341" s="18"/>
      <c r="KE341" s="18"/>
      <c r="KF341" s="18"/>
      <c r="KG341" s="18"/>
      <c r="KH341" s="18"/>
      <c r="KI341" s="18"/>
      <c r="KJ341" s="18"/>
      <c r="KK341" s="18"/>
      <c r="KL341" s="18"/>
      <c r="KM341" s="18"/>
      <c r="KN341" s="18"/>
      <c r="KO341" s="18"/>
      <c r="KP341" s="18"/>
    </row>
    <row r="342" spans="1:302" ht="10.5" hidden="1" customHeight="1" outlineLevel="1">
      <c r="A342" s="30" t="s">
        <v>80</v>
      </c>
      <c r="D342" s="38" t="s">
        <v>79</v>
      </c>
      <c r="F342" s="11">
        <v>0</v>
      </c>
      <c r="G342" s="946">
        <v>40659</v>
      </c>
      <c r="H342" s="946"/>
      <c r="I342" s="1067">
        <v>29.15</v>
      </c>
      <c r="J342" s="1067"/>
      <c r="K342" s="1067"/>
      <c r="M342" s="136"/>
      <c r="N342" s="136"/>
      <c r="O342" s="136"/>
      <c r="Y342" s="14"/>
      <c r="Z342" s="14"/>
      <c r="AB342" s="947"/>
      <c r="AC342" s="947"/>
      <c r="AD342" s="290"/>
      <c r="AE342" s="290"/>
      <c r="AG342" s="934"/>
      <c r="AH342" s="934"/>
      <c r="AI342" s="289"/>
      <c r="AJ342" s="34" t="s">
        <v>72</v>
      </c>
      <c r="AL342" s="14" t="s">
        <v>71</v>
      </c>
      <c r="AN342" s="179"/>
      <c r="AO342" s="38"/>
      <c r="AP342" s="188">
        <f>F342*I342+AN342+AN343</f>
        <v>0</v>
      </c>
      <c r="AT342" s="51"/>
      <c r="AU342" s="15"/>
      <c r="AV342" s="15"/>
      <c r="AW342" s="15"/>
      <c r="AX342" s="15"/>
      <c r="AY342" s="15"/>
      <c r="AZ342" s="15"/>
      <c r="BA342" s="51"/>
      <c r="BB342" s="15"/>
      <c r="BC342" s="15"/>
      <c r="BD342" s="15"/>
      <c r="BE342" s="15"/>
      <c r="BF342" s="15"/>
      <c r="BG342" s="51"/>
      <c r="BH342" s="15"/>
      <c r="BI342" s="15"/>
      <c r="BJ342" s="15"/>
      <c r="BK342" s="51"/>
      <c r="BL342" s="15"/>
      <c r="BM342" s="15"/>
      <c r="BN342" s="15"/>
      <c r="BO342" s="15"/>
      <c r="BP342" s="15"/>
      <c r="BQ342" s="18"/>
      <c r="BR342" s="18"/>
      <c r="BS342" s="18"/>
      <c r="BT342" s="18"/>
      <c r="BU342" s="18"/>
      <c r="BV342" s="18"/>
      <c r="BW342" s="18"/>
      <c r="BX342" s="139"/>
      <c r="BY342" s="139" t="str">
        <f>IF($AB342=0,"",$AB342)</f>
        <v/>
      </c>
      <c r="BZ342" s="139"/>
      <c r="CA342" s="139"/>
      <c r="CB342" s="139"/>
      <c r="CC342" s="139"/>
      <c r="CD342" s="139"/>
      <c r="CE342" s="139"/>
      <c r="CF342" s="139"/>
      <c r="CG342" s="139"/>
      <c r="CH342" s="139"/>
      <c r="CI342" s="139"/>
      <c r="CJ342" s="139"/>
      <c r="CK342" s="139"/>
      <c r="CL342" s="139"/>
      <c r="CM342" s="139"/>
      <c r="CN342" s="139"/>
      <c r="CO342" s="139"/>
      <c r="CP342" s="139"/>
      <c r="CQ342" s="139"/>
      <c r="CR342" s="139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  <c r="FR342" s="18"/>
      <c r="FS342" s="18"/>
      <c r="FT342" s="18"/>
      <c r="FU342" s="18"/>
      <c r="FV342" s="18"/>
      <c r="FW342" s="18"/>
      <c r="FX342" s="18"/>
      <c r="FY342" s="18"/>
      <c r="FZ342" s="18"/>
      <c r="GA342" s="18"/>
      <c r="GB342" s="18"/>
      <c r="GC342" s="18"/>
      <c r="GD342" s="18"/>
      <c r="GE342" s="18"/>
      <c r="GF342" s="18"/>
      <c r="GG342" s="18"/>
      <c r="GH342" s="18"/>
      <c r="GI342" s="18"/>
      <c r="GJ342" s="18"/>
      <c r="GK342" s="18"/>
      <c r="GL342" s="18"/>
      <c r="GM342" s="18"/>
      <c r="GN342" s="18"/>
      <c r="GO342" s="18"/>
      <c r="GP342" s="18"/>
      <c r="GQ342" s="18"/>
      <c r="GR342" s="18"/>
      <c r="GS342" s="18"/>
      <c r="GT342" s="18"/>
      <c r="GU342" s="18"/>
      <c r="GV342" s="18"/>
      <c r="GW342" s="18"/>
      <c r="GX342" s="18"/>
      <c r="GY342" s="18"/>
      <c r="GZ342" s="18"/>
      <c r="HA342" s="18"/>
      <c r="HB342" s="18"/>
      <c r="HC342" s="18"/>
      <c r="HD342" s="18"/>
      <c r="HE342" s="18"/>
      <c r="HF342" s="18"/>
      <c r="HG342" s="13"/>
      <c r="HH342" s="13"/>
      <c r="HI342" s="13"/>
      <c r="HJ342" s="13"/>
      <c r="HK342" s="13"/>
      <c r="HL342" s="13"/>
      <c r="HM342" s="13"/>
      <c r="HN342" s="13"/>
      <c r="HO342" s="13"/>
      <c r="HP342" s="13"/>
      <c r="HQ342" s="13"/>
      <c r="HR342" s="13"/>
      <c r="HS342" s="13"/>
      <c r="HT342" s="13"/>
      <c r="HV342" s="18"/>
      <c r="HW342" s="18"/>
      <c r="HX342" s="18"/>
      <c r="HY342" s="18"/>
      <c r="HZ342" s="18"/>
      <c r="IA342" s="18"/>
      <c r="IB342" s="18"/>
      <c r="IC342" s="18"/>
      <c r="ID342" s="18"/>
      <c r="IE342" s="139"/>
      <c r="IF342" s="139"/>
      <c r="IG342" s="139"/>
      <c r="IH342" s="139"/>
      <c r="II342" s="139"/>
      <c r="IJ342" s="139"/>
      <c r="IK342" s="139"/>
      <c r="IL342" s="139"/>
      <c r="IM342" s="139"/>
      <c r="IN342" s="139"/>
      <c r="IO342" s="139"/>
      <c r="IP342" s="18"/>
      <c r="IQ342" s="18"/>
      <c r="IR342" s="18"/>
      <c r="IS342" s="18"/>
      <c r="IT342" s="18"/>
      <c r="IU342" s="18"/>
      <c r="IV342" s="18"/>
      <c r="IW342" s="18"/>
      <c r="IX342" s="18"/>
      <c r="IY342" s="18"/>
      <c r="IZ342" s="18"/>
      <c r="JA342" s="18"/>
      <c r="JB342" s="18"/>
      <c r="JC342" s="18"/>
      <c r="JD342" s="18"/>
      <c r="JE342" s="18"/>
      <c r="JF342" s="18"/>
      <c r="JG342" s="18"/>
      <c r="JH342" s="18"/>
      <c r="JI342" s="18"/>
      <c r="JJ342" s="18"/>
      <c r="JK342" s="18"/>
      <c r="JL342" s="18"/>
      <c r="JM342" s="18"/>
      <c r="JN342" s="18"/>
      <c r="JO342" s="18"/>
      <c r="JP342" s="18"/>
      <c r="JQ342" s="18"/>
      <c r="JR342" s="18"/>
      <c r="JS342" s="18"/>
      <c r="JT342" s="18"/>
      <c r="JU342" s="18"/>
      <c r="JV342" s="18"/>
      <c r="JW342" s="18"/>
      <c r="JX342" s="18"/>
      <c r="JY342" s="18"/>
      <c r="JZ342" s="18"/>
      <c r="KA342" s="18"/>
      <c r="KB342" s="18"/>
      <c r="KC342" s="18"/>
      <c r="KD342" s="18"/>
      <c r="KE342" s="18"/>
      <c r="KF342" s="18"/>
      <c r="KG342" s="18"/>
      <c r="KH342" s="18"/>
      <c r="KI342" s="18"/>
      <c r="KJ342" s="18"/>
      <c r="KK342" s="18"/>
      <c r="KL342" s="18"/>
      <c r="KM342" s="18"/>
      <c r="KN342" s="18"/>
      <c r="KO342" s="18"/>
      <c r="KP342" s="18"/>
    </row>
    <row r="343" spans="1:302" ht="10.5" hidden="1" customHeight="1" outlineLevel="1">
      <c r="F343" s="275">
        <v>370</v>
      </c>
      <c r="K343" s="185">
        <f>AP342</f>
        <v>0</v>
      </c>
      <c r="M343" s="136"/>
      <c r="N343" s="136"/>
      <c r="O343" s="136"/>
      <c r="P343" s="184"/>
      <c r="Y343" s="14"/>
      <c r="Z343" s="14"/>
      <c r="AB343" s="947"/>
      <c r="AC343" s="947"/>
      <c r="AD343" s="183"/>
      <c r="AE343" s="183"/>
      <c r="AN343" s="179"/>
      <c r="AO343" s="38"/>
      <c r="AP343" s="38"/>
      <c r="AT343" s="51"/>
      <c r="AU343" s="15"/>
      <c r="AV343" s="15"/>
      <c r="AW343" s="15"/>
      <c r="AX343" s="15"/>
      <c r="AY343" s="15"/>
      <c r="AZ343" s="15"/>
      <c r="BA343" s="51"/>
      <c r="BB343" s="15"/>
      <c r="BC343" s="15"/>
      <c r="BD343" s="15"/>
      <c r="BE343" s="15"/>
      <c r="BF343" s="15"/>
      <c r="BG343" s="51"/>
      <c r="BH343" s="15"/>
      <c r="BI343" s="15"/>
      <c r="BJ343" s="15"/>
      <c r="BK343" s="51"/>
      <c r="BL343" s="15"/>
      <c r="BM343" s="15"/>
      <c r="BN343" s="15"/>
      <c r="BO343" s="15"/>
      <c r="BP343" s="15"/>
      <c r="BQ343" s="18"/>
      <c r="BR343" s="18"/>
      <c r="BS343" s="18"/>
      <c r="BT343" s="18"/>
      <c r="BU343" s="18"/>
      <c r="BV343" s="18"/>
      <c r="BW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  <c r="FR343" s="18"/>
      <c r="FS343" s="18"/>
      <c r="FT343" s="18"/>
      <c r="FU343" s="18"/>
      <c r="FV343" s="18"/>
      <c r="FW343" s="18"/>
      <c r="FX343" s="18"/>
      <c r="FY343" s="18"/>
      <c r="FZ343" s="18"/>
      <c r="GA343" s="18"/>
      <c r="GB343" s="18"/>
      <c r="GC343" s="18"/>
      <c r="GD343" s="18"/>
      <c r="GE343" s="18"/>
      <c r="GF343" s="18"/>
      <c r="GG343" s="18"/>
      <c r="GH343" s="18"/>
      <c r="GI343" s="18"/>
      <c r="GJ343" s="18"/>
      <c r="GK343" s="18"/>
      <c r="GL343" s="18"/>
      <c r="GM343" s="18"/>
      <c r="GN343" s="18"/>
      <c r="GO343" s="18"/>
      <c r="GP343" s="18"/>
      <c r="GQ343" s="18"/>
      <c r="GR343" s="18"/>
      <c r="GS343" s="18"/>
      <c r="GT343" s="18"/>
      <c r="GU343" s="18"/>
      <c r="GV343" s="18"/>
      <c r="GW343" s="18"/>
      <c r="GX343" s="18"/>
      <c r="GY343" s="18"/>
      <c r="GZ343" s="18"/>
      <c r="HA343" s="18"/>
      <c r="HB343" s="18"/>
      <c r="HC343" s="18"/>
      <c r="HD343" s="18"/>
      <c r="HE343" s="18"/>
      <c r="HF343" s="18"/>
      <c r="HG343" s="13"/>
      <c r="HH343" s="13"/>
      <c r="HI343" s="13"/>
      <c r="HJ343" s="13"/>
      <c r="HK343" s="13"/>
      <c r="HL343" s="13"/>
      <c r="HM343" s="13"/>
      <c r="HN343" s="13"/>
      <c r="HO343" s="13"/>
      <c r="HP343" s="13"/>
      <c r="HQ343" s="13"/>
      <c r="HR343" s="13"/>
      <c r="HS343" s="13"/>
      <c r="HT343" s="13"/>
      <c r="HV343" s="18"/>
      <c r="HW343" s="18"/>
      <c r="HX343" s="18"/>
      <c r="HY343" s="18"/>
      <c r="HZ343" s="18"/>
      <c r="IA343" s="18"/>
      <c r="IB343" s="18"/>
      <c r="IC343" s="18"/>
      <c r="ID343" s="18"/>
      <c r="IE343" s="18"/>
      <c r="IF343" s="18"/>
      <c r="IG343" s="18"/>
      <c r="IH343" s="18"/>
      <c r="II343" s="18"/>
      <c r="IJ343" s="18"/>
      <c r="IK343" s="18"/>
      <c r="IL343" s="18"/>
      <c r="IM343" s="18"/>
      <c r="IN343" s="18"/>
      <c r="IO343" s="18"/>
      <c r="IP343" s="18"/>
      <c r="IQ343" s="18"/>
      <c r="IR343" s="18"/>
      <c r="IS343" s="18"/>
      <c r="IT343" s="18"/>
      <c r="IU343" s="18"/>
      <c r="IV343" s="18"/>
      <c r="IW343" s="18"/>
      <c r="IX343" s="18"/>
      <c r="IY343" s="18"/>
      <c r="IZ343" s="18"/>
      <c r="JA343" s="18"/>
      <c r="JB343" s="18"/>
      <c r="JC343" s="18"/>
      <c r="JD343" s="18"/>
      <c r="JE343" s="18"/>
      <c r="JF343" s="18"/>
      <c r="JG343" s="18"/>
      <c r="JH343" s="18"/>
      <c r="JI343" s="18"/>
      <c r="JJ343" s="18"/>
      <c r="JK343" s="18"/>
      <c r="JL343" s="18"/>
      <c r="JM343" s="18"/>
      <c r="JN343" s="18"/>
      <c r="JO343" s="18"/>
      <c r="JP343" s="18"/>
      <c r="JQ343" s="18"/>
      <c r="JR343" s="18"/>
      <c r="JS343" s="18"/>
      <c r="JT343" s="18"/>
      <c r="JU343" s="18"/>
      <c r="JV343" s="18"/>
      <c r="JW343" s="18"/>
      <c r="JX343" s="18"/>
      <c r="JY343" s="18"/>
      <c r="JZ343" s="18"/>
      <c r="KA343" s="18"/>
      <c r="KB343" s="18"/>
      <c r="KC343" s="18"/>
      <c r="KD343" s="18"/>
      <c r="KE343" s="18"/>
      <c r="KF343" s="18"/>
      <c r="KG343" s="18"/>
      <c r="KH343" s="18"/>
      <c r="KI343" s="18"/>
      <c r="KJ343" s="18"/>
      <c r="KK343" s="18"/>
      <c r="KL343" s="18"/>
      <c r="KM343" s="18"/>
      <c r="KN343" s="18"/>
      <c r="KO343" s="18"/>
      <c r="KP343" s="18"/>
    </row>
    <row r="344" spans="1:302" ht="10.5" hidden="1" customHeight="1" outlineLevel="1">
      <c r="M344" s="136"/>
      <c r="N344" s="136"/>
      <c r="O344" s="136"/>
      <c r="Y344" s="14"/>
      <c r="Z344" s="14"/>
      <c r="AN344" s="18"/>
      <c r="AT344" s="51"/>
      <c r="AU344" s="15"/>
      <c r="AV344" s="15"/>
      <c r="AW344" s="15"/>
      <c r="AX344" s="15"/>
      <c r="AY344" s="15"/>
      <c r="AZ344" s="15"/>
      <c r="BA344" s="51"/>
      <c r="BB344" s="15"/>
      <c r="BC344" s="15"/>
      <c r="BD344" s="15"/>
      <c r="BE344" s="15"/>
      <c r="BF344" s="15"/>
      <c r="BG344" s="51"/>
      <c r="BH344" s="15"/>
      <c r="BI344" s="15"/>
      <c r="BJ344" s="15"/>
      <c r="BK344" s="51"/>
      <c r="BL344" s="15"/>
      <c r="BM344" s="15"/>
      <c r="BN344" s="15"/>
      <c r="BO344" s="15"/>
      <c r="BP344" s="15"/>
      <c r="BQ344" s="18"/>
      <c r="BR344" s="18"/>
      <c r="BS344" s="18"/>
      <c r="BT344" s="18"/>
      <c r="BU344" s="18"/>
      <c r="BV344" s="18"/>
      <c r="BW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  <c r="FC344" s="18"/>
      <c r="FD344" s="18"/>
      <c r="FE344" s="18"/>
      <c r="FF344" s="18"/>
      <c r="FG344" s="18"/>
      <c r="FH344" s="18"/>
      <c r="FI344" s="18"/>
      <c r="FJ344" s="18"/>
      <c r="FK344" s="18"/>
      <c r="FL344" s="18"/>
      <c r="FM344" s="18"/>
      <c r="FN344" s="18"/>
      <c r="FO344" s="18"/>
      <c r="FP344" s="18"/>
      <c r="FQ344" s="18"/>
      <c r="FR344" s="18"/>
      <c r="FS344" s="18"/>
      <c r="FT344" s="18"/>
      <c r="FU344" s="18"/>
      <c r="FV344" s="18"/>
      <c r="FW344" s="18"/>
      <c r="FX344" s="18"/>
      <c r="FY344" s="18"/>
      <c r="FZ344" s="18"/>
      <c r="GA344" s="18"/>
      <c r="GB344" s="18"/>
      <c r="GC344" s="18"/>
      <c r="GD344" s="18"/>
      <c r="GE344" s="18"/>
      <c r="GF344" s="18"/>
      <c r="GG344" s="18"/>
      <c r="GH344" s="18"/>
      <c r="GI344" s="18"/>
      <c r="GJ344" s="18"/>
      <c r="GK344" s="18"/>
      <c r="GL344" s="18"/>
      <c r="GM344" s="18"/>
      <c r="GN344" s="18"/>
      <c r="GO344" s="18"/>
      <c r="GP344" s="18"/>
      <c r="GQ344" s="18"/>
      <c r="GR344" s="18"/>
      <c r="GS344" s="18"/>
      <c r="GT344" s="18"/>
      <c r="GU344" s="18"/>
      <c r="GV344" s="18"/>
      <c r="GW344" s="18"/>
      <c r="GX344" s="18"/>
      <c r="GY344" s="18"/>
      <c r="GZ344" s="18"/>
      <c r="HA344" s="18"/>
      <c r="HB344" s="18"/>
      <c r="HC344" s="18"/>
      <c r="HD344" s="18"/>
      <c r="HE344" s="18"/>
      <c r="HF344" s="18"/>
      <c r="HG344" s="13"/>
      <c r="HH344" s="13"/>
      <c r="HI344" s="13"/>
      <c r="HJ344" s="13"/>
      <c r="HK344" s="13"/>
      <c r="HL344" s="13"/>
      <c r="HM344" s="13"/>
      <c r="HN344" s="13"/>
      <c r="HO344" s="13"/>
      <c r="HP344" s="13"/>
      <c r="HQ344" s="13"/>
      <c r="HR344" s="13"/>
      <c r="HS344" s="13"/>
      <c r="HT344" s="13"/>
      <c r="HV344" s="18"/>
      <c r="HW344" s="18"/>
      <c r="HX344" s="18"/>
      <c r="HY344" s="18"/>
      <c r="HZ344" s="18"/>
      <c r="IA344" s="18"/>
      <c r="IB344" s="18"/>
      <c r="IC344" s="18"/>
      <c r="ID344" s="18"/>
      <c r="IE344" s="18"/>
      <c r="IF344" s="18"/>
      <c r="IG344" s="18"/>
      <c r="IH344" s="18"/>
      <c r="II344" s="18"/>
      <c r="IJ344" s="18"/>
      <c r="IK344" s="18"/>
      <c r="IL344" s="18"/>
      <c r="IM344" s="18"/>
      <c r="IN344" s="18"/>
      <c r="IO344" s="18"/>
      <c r="IP344" s="18"/>
      <c r="IQ344" s="18"/>
      <c r="IR344" s="18"/>
      <c r="IS344" s="18"/>
      <c r="IT344" s="18"/>
      <c r="IU344" s="18"/>
      <c r="IV344" s="18"/>
      <c r="IW344" s="18"/>
      <c r="IX344" s="18"/>
      <c r="IY344" s="18"/>
      <c r="IZ344" s="18"/>
      <c r="JA344" s="18"/>
      <c r="JB344" s="18"/>
      <c r="JC344" s="18"/>
      <c r="JD344" s="18"/>
      <c r="JE344" s="18"/>
      <c r="JF344" s="18"/>
      <c r="JG344" s="18"/>
      <c r="JH344" s="18"/>
      <c r="JI344" s="18"/>
      <c r="JJ344" s="18"/>
      <c r="JK344" s="18"/>
      <c r="JL344" s="18"/>
      <c r="JM344" s="18"/>
      <c r="JN344" s="18"/>
      <c r="JO344" s="18"/>
      <c r="JP344" s="18"/>
      <c r="JQ344" s="18"/>
      <c r="JR344" s="18"/>
      <c r="JS344" s="18"/>
      <c r="JT344" s="18"/>
      <c r="JU344" s="18"/>
      <c r="JV344" s="18"/>
      <c r="JW344" s="18"/>
      <c r="JX344" s="18"/>
      <c r="JY344" s="18"/>
      <c r="JZ344" s="18"/>
      <c r="KA344" s="18"/>
      <c r="KB344" s="18"/>
      <c r="KC344" s="18"/>
      <c r="KD344" s="18"/>
      <c r="KE344" s="18"/>
      <c r="KF344" s="18"/>
      <c r="KG344" s="18"/>
      <c r="KH344" s="18"/>
      <c r="KI344" s="18"/>
      <c r="KJ344" s="18"/>
      <c r="KK344" s="18"/>
      <c r="KL344" s="18"/>
      <c r="KM344" s="18"/>
      <c r="KN344" s="18"/>
      <c r="KO344" s="18"/>
      <c r="KP344" s="18"/>
    </row>
    <row r="345" spans="1:302" ht="11.1" hidden="1" customHeight="1" outlineLevel="1">
      <c r="M345" s="136"/>
      <c r="N345" s="136"/>
      <c r="O345" s="136"/>
      <c r="Y345" s="14"/>
      <c r="Z345" s="14"/>
      <c r="AN345" s="18"/>
      <c r="AT345" s="51"/>
      <c r="AU345" s="15"/>
      <c r="AV345" s="15"/>
      <c r="AW345" s="15"/>
      <c r="AX345" s="15"/>
      <c r="AY345" s="15"/>
      <c r="AZ345" s="15"/>
      <c r="BA345" s="51"/>
      <c r="BB345" s="15"/>
      <c r="BC345" s="15"/>
      <c r="BD345" s="15"/>
      <c r="BE345" s="15"/>
      <c r="BF345" s="15"/>
      <c r="BG345" s="51"/>
      <c r="BH345" s="15"/>
      <c r="BI345" s="15"/>
      <c r="BJ345" s="15"/>
      <c r="BK345" s="51"/>
      <c r="BL345" s="15"/>
      <c r="BM345" s="15"/>
      <c r="BN345" s="15"/>
      <c r="BO345" s="15"/>
      <c r="BP345" s="15"/>
      <c r="BQ345" s="18"/>
      <c r="BR345" s="18"/>
      <c r="BS345" s="18"/>
      <c r="BT345" s="18"/>
      <c r="BU345" s="18"/>
      <c r="BV345" s="18"/>
      <c r="BW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  <c r="FR345" s="18"/>
      <c r="FS345" s="18"/>
      <c r="FT345" s="18"/>
      <c r="FU345" s="18"/>
      <c r="FV345" s="18"/>
      <c r="FW345" s="18"/>
      <c r="FX345" s="18"/>
      <c r="FY345" s="18"/>
      <c r="FZ345" s="18"/>
      <c r="GA345" s="18"/>
      <c r="GB345" s="18"/>
      <c r="GC345" s="18"/>
      <c r="GD345" s="18"/>
      <c r="GE345" s="18"/>
      <c r="GF345" s="18"/>
      <c r="GG345" s="18"/>
      <c r="GH345" s="18"/>
      <c r="GI345" s="18"/>
      <c r="GJ345" s="18"/>
      <c r="GK345" s="18"/>
      <c r="GL345" s="18"/>
      <c r="GM345" s="18"/>
      <c r="GN345" s="18"/>
      <c r="GO345" s="18"/>
      <c r="GP345" s="18"/>
      <c r="GQ345" s="18"/>
      <c r="GR345" s="18"/>
      <c r="GS345" s="18"/>
      <c r="GT345" s="18"/>
      <c r="GU345" s="18"/>
      <c r="GV345" s="18"/>
      <c r="GW345" s="18"/>
      <c r="GX345" s="18"/>
      <c r="GY345" s="18"/>
      <c r="GZ345" s="18"/>
      <c r="HA345" s="18"/>
      <c r="HB345" s="18"/>
      <c r="HC345" s="18"/>
      <c r="HD345" s="18"/>
      <c r="HE345" s="18"/>
      <c r="HF345" s="18"/>
      <c r="HG345" s="13"/>
      <c r="HH345" s="13"/>
      <c r="HI345" s="13"/>
      <c r="HJ345" s="13"/>
      <c r="HK345" s="13"/>
      <c r="HL345" s="13"/>
      <c r="HM345" s="13"/>
      <c r="HN345" s="13"/>
      <c r="HO345" s="13"/>
      <c r="HP345" s="13"/>
      <c r="HQ345" s="13"/>
      <c r="HR345" s="13"/>
      <c r="HS345" s="13"/>
      <c r="HT345" s="13"/>
      <c r="HV345" s="18"/>
      <c r="HW345" s="18"/>
      <c r="HX345" s="18"/>
      <c r="HY345" s="18"/>
      <c r="HZ345" s="18"/>
      <c r="IA345" s="18"/>
      <c r="IB345" s="18"/>
      <c r="IC345" s="18"/>
      <c r="ID345" s="18"/>
      <c r="IE345" s="18"/>
      <c r="IF345" s="18"/>
      <c r="IG345" s="18"/>
      <c r="IH345" s="18"/>
      <c r="II345" s="18"/>
      <c r="IJ345" s="18"/>
      <c r="IK345" s="18"/>
      <c r="IL345" s="18"/>
      <c r="IM345" s="18"/>
      <c r="IN345" s="18"/>
      <c r="IO345" s="18"/>
      <c r="IP345" s="18"/>
      <c r="IQ345" s="18"/>
      <c r="IR345" s="18"/>
      <c r="IS345" s="18"/>
      <c r="IT345" s="18"/>
      <c r="IU345" s="18"/>
      <c r="IV345" s="18"/>
      <c r="IW345" s="18"/>
      <c r="IX345" s="18"/>
      <c r="IY345" s="18"/>
      <c r="IZ345" s="18"/>
      <c r="JA345" s="18"/>
      <c r="JB345" s="18"/>
      <c r="JC345" s="18"/>
      <c r="JD345" s="18"/>
      <c r="JE345" s="18"/>
      <c r="JF345" s="18"/>
      <c r="JG345" s="18"/>
      <c r="JH345" s="18"/>
      <c r="JI345" s="18"/>
      <c r="JJ345" s="18"/>
      <c r="JK345" s="18"/>
      <c r="JL345" s="18"/>
      <c r="JM345" s="18"/>
      <c r="JN345" s="18"/>
      <c r="JO345" s="18"/>
      <c r="JP345" s="18"/>
      <c r="JQ345" s="18"/>
      <c r="JR345" s="18"/>
      <c r="JS345" s="18"/>
      <c r="JT345" s="18"/>
      <c r="JU345" s="18"/>
      <c r="JV345" s="18"/>
      <c r="JW345" s="18"/>
      <c r="JX345" s="18"/>
      <c r="JY345" s="18"/>
      <c r="JZ345" s="18"/>
      <c r="KA345" s="18"/>
      <c r="KB345" s="18"/>
      <c r="KC345" s="18"/>
      <c r="KD345" s="18"/>
      <c r="KE345" s="18"/>
      <c r="KF345" s="18"/>
      <c r="KG345" s="18"/>
      <c r="KH345" s="18"/>
      <c r="KI345" s="18"/>
      <c r="KJ345" s="18"/>
      <c r="KK345" s="18"/>
      <c r="KL345" s="18"/>
      <c r="KM345" s="18"/>
      <c r="KN345" s="18"/>
      <c r="KO345" s="18"/>
      <c r="KP345" s="18"/>
    </row>
    <row r="346" spans="1:302" ht="10.5" hidden="1" customHeight="1" outlineLevel="1">
      <c r="M346" s="136"/>
      <c r="N346" s="136"/>
      <c r="O346" s="136"/>
      <c r="Y346" s="14"/>
      <c r="Z346" s="14"/>
      <c r="AN346" s="18"/>
      <c r="AT346" s="51"/>
      <c r="AU346" s="15"/>
      <c r="AV346" s="15"/>
      <c r="AW346" s="15"/>
      <c r="AX346" s="15"/>
      <c r="AY346" s="15"/>
      <c r="AZ346" s="15"/>
      <c r="BA346" s="51"/>
      <c r="BB346" s="15"/>
      <c r="BC346" s="15"/>
      <c r="BD346" s="15"/>
      <c r="BE346" s="15"/>
      <c r="BF346" s="15"/>
      <c r="BG346" s="51"/>
      <c r="BH346" s="15"/>
      <c r="BI346" s="15"/>
      <c r="BJ346" s="15"/>
      <c r="BK346" s="51"/>
      <c r="BL346" s="15"/>
      <c r="BM346" s="15"/>
      <c r="BN346" s="15"/>
      <c r="BO346" s="15"/>
      <c r="BP346" s="15"/>
      <c r="BQ346" s="18"/>
      <c r="BR346" s="18"/>
      <c r="BS346" s="18"/>
      <c r="BT346" s="18"/>
      <c r="BU346" s="18"/>
      <c r="BV346" s="18"/>
      <c r="BW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  <c r="GN346" s="18"/>
      <c r="GO346" s="18"/>
      <c r="GP346" s="18"/>
      <c r="GQ346" s="18"/>
      <c r="GR346" s="18"/>
      <c r="GS346" s="18"/>
      <c r="GT346" s="18"/>
      <c r="GU346" s="18"/>
      <c r="GV346" s="18"/>
      <c r="GW346" s="18"/>
      <c r="GX346" s="18"/>
      <c r="GY346" s="18"/>
      <c r="GZ346" s="18"/>
      <c r="HA346" s="18"/>
      <c r="HB346" s="18"/>
      <c r="HC346" s="18"/>
      <c r="HD346" s="18"/>
      <c r="HE346" s="18"/>
      <c r="HF346" s="18"/>
      <c r="HG346" s="13"/>
      <c r="HH346" s="13"/>
      <c r="HI346" s="13"/>
      <c r="HJ346" s="13"/>
      <c r="HK346" s="13"/>
      <c r="HL346" s="13"/>
      <c r="HM346" s="13"/>
      <c r="HN346" s="13"/>
      <c r="HO346" s="13"/>
      <c r="HP346" s="13"/>
      <c r="HQ346" s="13"/>
      <c r="HR346" s="13"/>
      <c r="HS346" s="13"/>
      <c r="HT346" s="13"/>
      <c r="HV346" s="18"/>
      <c r="HW346" s="18"/>
      <c r="HX346" s="18"/>
      <c r="HY346" s="18"/>
      <c r="HZ346" s="18"/>
      <c r="IA346" s="18"/>
      <c r="IB346" s="18"/>
      <c r="IC346" s="18"/>
      <c r="ID346" s="18"/>
      <c r="IE346" s="18"/>
      <c r="IF346" s="18"/>
      <c r="IG346" s="18"/>
      <c r="IH346" s="18"/>
      <c r="II346" s="18"/>
      <c r="IJ346" s="18"/>
      <c r="IK346" s="18"/>
      <c r="IL346" s="18"/>
      <c r="IM346" s="18"/>
      <c r="IN346" s="18"/>
      <c r="IO346" s="18"/>
      <c r="IP346" s="18"/>
      <c r="IQ346" s="18"/>
      <c r="IR346" s="18"/>
      <c r="IS346" s="18"/>
      <c r="IT346" s="18"/>
      <c r="IU346" s="18"/>
      <c r="IV346" s="18"/>
      <c r="IW346" s="18"/>
      <c r="IX346" s="18"/>
      <c r="IY346" s="18"/>
      <c r="IZ346" s="18"/>
      <c r="JA346" s="18"/>
      <c r="JB346" s="18"/>
      <c r="JC346" s="18"/>
      <c r="JD346" s="18"/>
      <c r="JE346" s="18"/>
      <c r="JF346" s="18"/>
      <c r="JG346" s="18"/>
      <c r="JH346" s="18"/>
      <c r="JI346" s="18"/>
      <c r="JJ346" s="18"/>
      <c r="JK346" s="18"/>
      <c r="JL346" s="18"/>
      <c r="JM346" s="18"/>
      <c r="JN346" s="18"/>
      <c r="JO346" s="18"/>
      <c r="JP346" s="18"/>
      <c r="JQ346" s="18"/>
      <c r="JR346" s="18"/>
      <c r="JS346" s="18"/>
      <c r="JT346" s="18"/>
      <c r="JU346" s="18"/>
      <c r="JV346" s="18"/>
      <c r="JW346" s="18"/>
      <c r="JX346" s="18"/>
      <c r="JY346" s="18"/>
      <c r="JZ346" s="18"/>
      <c r="KA346" s="18"/>
      <c r="KB346" s="18"/>
      <c r="KC346" s="18"/>
      <c r="KD346" s="18"/>
      <c r="KE346" s="18"/>
      <c r="KF346" s="18"/>
      <c r="KG346" s="18"/>
      <c r="KH346" s="18"/>
      <c r="KI346" s="18"/>
      <c r="KJ346" s="18"/>
      <c r="KK346" s="18"/>
      <c r="KL346" s="18"/>
      <c r="KM346" s="18"/>
      <c r="KN346" s="18"/>
      <c r="KO346" s="18"/>
      <c r="KP346" s="18"/>
    </row>
    <row r="347" spans="1:302" ht="10.5" hidden="1" customHeight="1" outlineLevel="1">
      <c r="M347" s="136"/>
      <c r="N347" s="136"/>
      <c r="O347" s="136"/>
      <c r="Y347" s="14"/>
      <c r="Z347" s="14"/>
      <c r="AN347" s="18"/>
      <c r="AT347" s="51"/>
      <c r="AU347" s="15"/>
      <c r="AV347" s="15"/>
      <c r="AW347" s="15"/>
      <c r="AX347" s="15"/>
      <c r="AY347" s="15"/>
      <c r="AZ347" s="15"/>
      <c r="BA347" s="51"/>
      <c r="BB347" s="15"/>
      <c r="BC347" s="15"/>
      <c r="BD347" s="15"/>
      <c r="BE347" s="15"/>
      <c r="BF347" s="15"/>
      <c r="BG347" s="51"/>
      <c r="BH347" s="15"/>
      <c r="BI347" s="15"/>
      <c r="BJ347" s="15"/>
      <c r="BK347" s="51"/>
      <c r="BL347" s="15"/>
      <c r="BM347" s="15"/>
      <c r="BN347" s="15"/>
      <c r="BO347" s="15"/>
      <c r="BP347" s="15"/>
      <c r="BQ347" s="18"/>
      <c r="BR347" s="18"/>
      <c r="BS347" s="18"/>
      <c r="BT347" s="18"/>
      <c r="BU347" s="18"/>
      <c r="BV347" s="18"/>
      <c r="BW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  <c r="FR347" s="18"/>
      <c r="FS347" s="18"/>
      <c r="FT347" s="18"/>
      <c r="FU347" s="18"/>
      <c r="FV347" s="18"/>
      <c r="FW347" s="18"/>
      <c r="FX347" s="18"/>
      <c r="FY347" s="18"/>
      <c r="FZ347" s="18"/>
      <c r="GA347" s="18"/>
      <c r="GB347" s="18"/>
      <c r="GC347" s="18"/>
      <c r="GD347" s="18"/>
      <c r="GE347" s="18"/>
      <c r="GF347" s="18"/>
      <c r="GG347" s="18"/>
      <c r="GH347" s="18"/>
      <c r="GI347" s="18"/>
      <c r="GJ347" s="18"/>
      <c r="GK347" s="18"/>
      <c r="GL347" s="18"/>
      <c r="GM347" s="18"/>
      <c r="GN347" s="18"/>
      <c r="GO347" s="18"/>
      <c r="GP347" s="18"/>
      <c r="GQ347" s="18"/>
      <c r="GR347" s="18"/>
      <c r="GS347" s="18"/>
      <c r="GT347" s="18"/>
      <c r="GU347" s="18"/>
      <c r="GV347" s="18"/>
      <c r="GW347" s="18"/>
      <c r="GX347" s="18"/>
      <c r="GY347" s="18"/>
      <c r="GZ347" s="18"/>
      <c r="HA347" s="18"/>
      <c r="HB347" s="18"/>
      <c r="HC347" s="18"/>
      <c r="HD347" s="18"/>
      <c r="HE347" s="18"/>
      <c r="HF347" s="18"/>
      <c r="HG347" s="13"/>
      <c r="HH347" s="13"/>
      <c r="HI347" s="13"/>
      <c r="HJ347" s="13"/>
      <c r="HK347" s="13"/>
      <c r="HL347" s="13"/>
      <c r="HM347" s="13"/>
      <c r="HN347" s="13"/>
      <c r="HO347" s="13"/>
      <c r="HP347" s="13"/>
      <c r="HQ347" s="13"/>
      <c r="HR347" s="13"/>
      <c r="HS347" s="13"/>
      <c r="HT347" s="13"/>
      <c r="HV347" s="18"/>
      <c r="HW347" s="18"/>
      <c r="HX347" s="18"/>
      <c r="HY347" s="18"/>
      <c r="HZ347" s="18"/>
      <c r="IA347" s="18"/>
      <c r="IB347" s="18"/>
      <c r="IC347" s="18"/>
      <c r="ID347" s="18"/>
      <c r="IE347" s="18"/>
      <c r="IF347" s="18"/>
      <c r="IG347" s="18"/>
      <c r="IH347" s="18"/>
      <c r="II347" s="18"/>
      <c r="IJ347" s="18"/>
      <c r="IK347" s="18"/>
      <c r="IL347" s="18"/>
      <c r="IM347" s="18"/>
      <c r="IN347" s="18"/>
      <c r="IO347" s="18"/>
      <c r="IP347" s="18"/>
      <c r="IQ347" s="18"/>
      <c r="IR347" s="18"/>
      <c r="IS347" s="18"/>
      <c r="IT347" s="18"/>
      <c r="IU347" s="18"/>
      <c r="IV347" s="18"/>
      <c r="IW347" s="18"/>
      <c r="IX347" s="18"/>
      <c r="IY347" s="18"/>
      <c r="IZ347" s="18"/>
      <c r="JA347" s="18"/>
      <c r="JB347" s="18"/>
      <c r="JC347" s="18"/>
      <c r="JD347" s="18"/>
      <c r="JE347" s="18"/>
      <c r="JF347" s="18"/>
      <c r="JG347" s="18"/>
      <c r="JH347" s="18"/>
      <c r="JI347" s="18"/>
      <c r="JJ347" s="18"/>
      <c r="JK347" s="18"/>
      <c r="JL347" s="18"/>
      <c r="JM347" s="18"/>
      <c r="JN347" s="18"/>
      <c r="JO347" s="18"/>
      <c r="JP347" s="18"/>
      <c r="JQ347" s="18"/>
      <c r="JR347" s="18"/>
      <c r="JS347" s="18"/>
      <c r="JT347" s="18"/>
      <c r="JU347" s="18"/>
      <c r="JV347" s="18"/>
      <c r="JW347" s="18"/>
      <c r="JX347" s="18"/>
      <c r="JY347" s="18"/>
      <c r="JZ347" s="18"/>
      <c r="KA347" s="18"/>
      <c r="KB347" s="18"/>
      <c r="KC347" s="18"/>
      <c r="KD347" s="18"/>
      <c r="KE347" s="18"/>
      <c r="KF347" s="18"/>
      <c r="KG347" s="18"/>
      <c r="KH347" s="18"/>
      <c r="KI347" s="18"/>
      <c r="KJ347" s="18"/>
      <c r="KK347" s="18"/>
      <c r="KL347" s="18"/>
      <c r="KM347" s="18"/>
      <c r="KN347" s="18"/>
      <c r="KO347" s="18"/>
      <c r="KP347" s="18"/>
    </row>
    <row r="348" spans="1:302" ht="10.5" hidden="1" customHeight="1" outlineLevel="1">
      <c r="M348" s="136"/>
      <c r="N348" s="136"/>
      <c r="O348" s="136"/>
      <c r="Y348" s="14"/>
      <c r="Z348" s="14"/>
      <c r="AN348" s="18"/>
      <c r="AT348" s="51"/>
      <c r="AU348" s="15"/>
      <c r="AV348" s="15"/>
      <c r="AW348" s="15"/>
      <c r="AX348" s="15"/>
      <c r="AY348" s="15"/>
      <c r="AZ348" s="15"/>
      <c r="BA348" s="51"/>
      <c r="BB348" s="15"/>
      <c r="BC348" s="15"/>
      <c r="BD348" s="15"/>
      <c r="BE348" s="15"/>
      <c r="BF348" s="15"/>
      <c r="BG348" s="51"/>
      <c r="BH348" s="15"/>
      <c r="BI348" s="15"/>
      <c r="BJ348" s="15"/>
      <c r="BK348" s="51"/>
      <c r="BL348" s="15"/>
      <c r="BM348" s="15"/>
      <c r="BN348" s="15"/>
      <c r="BO348" s="15"/>
      <c r="BP348" s="15"/>
      <c r="BQ348" s="18"/>
      <c r="BR348" s="18"/>
      <c r="BS348" s="18"/>
      <c r="BT348" s="18"/>
      <c r="BU348" s="18"/>
      <c r="BV348" s="18"/>
      <c r="BW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  <c r="FR348" s="18"/>
      <c r="FS348" s="18"/>
      <c r="FT348" s="18"/>
      <c r="FU348" s="18"/>
      <c r="FV348" s="18"/>
      <c r="FW348" s="18"/>
      <c r="FX348" s="18"/>
      <c r="FY348" s="18"/>
      <c r="FZ348" s="18"/>
      <c r="GA348" s="18"/>
      <c r="GB348" s="18"/>
      <c r="GC348" s="18"/>
      <c r="GD348" s="18"/>
      <c r="GE348" s="18"/>
      <c r="GF348" s="18"/>
      <c r="GG348" s="18"/>
      <c r="GH348" s="18"/>
      <c r="GI348" s="18"/>
      <c r="GJ348" s="18"/>
      <c r="GK348" s="18"/>
      <c r="GL348" s="18"/>
      <c r="GM348" s="18"/>
      <c r="GN348" s="18"/>
      <c r="GO348" s="18"/>
      <c r="GP348" s="18"/>
      <c r="GQ348" s="18"/>
      <c r="GR348" s="18"/>
      <c r="GS348" s="18"/>
      <c r="GT348" s="18"/>
      <c r="GU348" s="18"/>
      <c r="GV348" s="18"/>
      <c r="GW348" s="18"/>
      <c r="GX348" s="18"/>
      <c r="GY348" s="18"/>
      <c r="GZ348" s="18"/>
      <c r="HA348" s="18"/>
      <c r="HB348" s="18"/>
      <c r="HC348" s="18"/>
      <c r="HD348" s="18"/>
      <c r="HE348" s="18"/>
      <c r="HF348" s="18"/>
      <c r="HG348" s="13"/>
      <c r="HH348" s="13"/>
      <c r="HI348" s="13"/>
      <c r="HJ348" s="13"/>
      <c r="HK348" s="13"/>
      <c r="HL348" s="13"/>
      <c r="HM348" s="13"/>
      <c r="HN348" s="13"/>
      <c r="HO348" s="13"/>
      <c r="HP348" s="13"/>
      <c r="HQ348" s="13"/>
      <c r="HR348" s="13"/>
      <c r="HS348" s="13"/>
      <c r="HT348" s="13"/>
      <c r="HV348" s="18"/>
      <c r="HW348" s="18"/>
      <c r="HX348" s="18"/>
      <c r="HY348" s="18"/>
      <c r="HZ348" s="18"/>
      <c r="IA348" s="18"/>
      <c r="IB348" s="18"/>
      <c r="IC348" s="18"/>
      <c r="ID348" s="18"/>
      <c r="IE348" s="18"/>
      <c r="IF348" s="18"/>
      <c r="IG348" s="18"/>
      <c r="IH348" s="18"/>
      <c r="II348" s="18"/>
      <c r="IJ348" s="18"/>
      <c r="IK348" s="18"/>
      <c r="IL348" s="18"/>
      <c r="IM348" s="18"/>
      <c r="IN348" s="18"/>
      <c r="IO348" s="18"/>
      <c r="IP348" s="18"/>
      <c r="IQ348" s="18"/>
      <c r="IR348" s="18"/>
      <c r="IS348" s="18"/>
      <c r="IT348" s="18"/>
      <c r="IU348" s="18"/>
      <c r="IV348" s="18"/>
      <c r="IW348" s="18"/>
      <c r="IX348" s="18"/>
      <c r="IY348" s="18"/>
      <c r="IZ348" s="18"/>
      <c r="JA348" s="18"/>
      <c r="JB348" s="18"/>
      <c r="JC348" s="18"/>
      <c r="JD348" s="18"/>
      <c r="JE348" s="18"/>
      <c r="JF348" s="18"/>
      <c r="JG348" s="18"/>
      <c r="JH348" s="18"/>
      <c r="JI348" s="18"/>
      <c r="JJ348" s="18"/>
      <c r="JK348" s="18"/>
      <c r="JL348" s="18"/>
      <c r="JM348" s="18"/>
      <c r="JN348" s="18"/>
      <c r="JO348" s="18"/>
      <c r="JP348" s="18"/>
      <c r="JQ348" s="18"/>
      <c r="JR348" s="18"/>
      <c r="JS348" s="18"/>
      <c r="JT348" s="18"/>
      <c r="JU348" s="18"/>
      <c r="JV348" s="18"/>
      <c r="JW348" s="18"/>
      <c r="JX348" s="18"/>
      <c r="JY348" s="18"/>
      <c r="JZ348" s="18"/>
      <c r="KA348" s="18"/>
      <c r="KB348" s="18"/>
      <c r="KC348" s="18"/>
      <c r="KD348" s="18"/>
      <c r="KE348" s="18"/>
      <c r="KF348" s="18"/>
      <c r="KG348" s="18"/>
      <c r="KH348" s="18"/>
      <c r="KI348" s="18"/>
      <c r="KJ348" s="18"/>
      <c r="KK348" s="18"/>
      <c r="KL348" s="18"/>
      <c r="KM348" s="18"/>
      <c r="KN348" s="18"/>
      <c r="KO348" s="18"/>
      <c r="KP348" s="18"/>
    </row>
    <row r="349" spans="1:302" ht="10.5" hidden="1" customHeight="1" outlineLevel="1">
      <c r="M349" s="136"/>
      <c r="N349" s="136"/>
      <c r="O349" s="136"/>
      <c r="Y349" s="14"/>
      <c r="Z349" s="14"/>
      <c r="AN349" s="18"/>
      <c r="AT349" s="51"/>
      <c r="AU349" s="15"/>
      <c r="AV349" s="15"/>
      <c r="AW349" s="15"/>
      <c r="AX349" s="15"/>
      <c r="AY349" s="15"/>
      <c r="AZ349" s="15"/>
      <c r="BA349" s="51"/>
      <c r="BB349" s="15"/>
      <c r="BC349" s="15"/>
      <c r="BD349" s="15"/>
      <c r="BE349" s="15"/>
      <c r="BF349" s="15"/>
      <c r="BG349" s="51"/>
      <c r="BH349" s="15"/>
      <c r="BI349" s="15"/>
      <c r="BJ349" s="15"/>
      <c r="BK349" s="51"/>
      <c r="BL349" s="15"/>
      <c r="BM349" s="15"/>
      <c r="BN349" s="15"/>
      <c r="BO349" s="15"/>
      <c r="BP349" s="15"/>
      <c r="BQ349" s="18"/>
      <c r="BR349" s="18"/>
      <c r="BS349" s="18"/>
      <c r="BT349" s="18"/>
      <c r="BU349" s="18"/>
      <c r="BV349" s="18"/>
      <c r="BW349" s="18"/>
      <c r="BY349" s="18"/>
      <c r="BZ349" s="18"/>
      <c r="CA349" s="18"/>
      <c r="CB349" s="18"/>
      <c r="CC349" s="18"/>
      <c r="CD349" s="18"/>
      <c r="CE349" s="18"/>
      <c r="CF349" s="18"/>
      <c r="CG349" s="18"/>
      <c r="CH349" s="18"/>
      <c r="CI349" s="18"/>
      <c r="CJ349" s="18"/>
      <c r="CK349" s="18"/>
      <c r="CL349" s="18"/>
      <c r="CM349" s="18"/>
      <c r="CN349" s="18"/>
      <c r="CO349" s="18"/>
      <c r="CP349" s="18"/>
      <c r="CQ349" s="18"/>
      <c r="CR349" s="18"/>
      <c r="CT349" s="18"/>
      <c r="CU349" s="18"/>
      <c r="CV349" s="18"/>
      <c r="CW349" s="18"/>
      <c r="CX349" s="18"/>
      <c r="CY349" s="18"/>
      <c r="CZ349" s="18"/>
      <c r="DA349" s="18"/>
      <c r="DB349" s="18"/>
      <c r="DC349" s="18"/>
      <c r="DD349" s="18"/>
      <c r="DE349" s="18"/>
      <c r="DF349" s="18"/>
      <c r="DG349" s="18"/>
      <c r="DH349" s="18"/>
      <c r="DI349" s="18"/>
      <c r="DJ349" s="18"/>
      <c r="DK349" s="18"/>
      <c r="DL349" s="18"/>
      <c r="DM349" s="18"/>
      <c r="DN349" s="18"/>
      <c r="DP349" s="18"/>
      <c r="DQ349" s="18"/>
      <c r="DR349" s="18"/>
      <c r="DS349" s="18"/>
      <c r="DT349" s="18"/>
      <c r="DU349" s="18"/>
      <c r="DV349" s="18"/>
      <c r="DW349" s="18"/>
      <c r="DX349" s="18"/>
      <c r="DY349" s="18"/>
      <c r="DZ349" s="18"/>
      <c r="EA349" s="18"/>
      <c r="EB349" s="18"/>
      <c r="EC349" s="18"/>
      <c r="ED349" s="18"/>
      <c r="EE349" s="18"/>
      <c r="EF349" s="18"/>
      <c r="EG349" s="18"/>
      <c r="EH349" s="18"/>
      <c r="EI349" s="18"/>
      <c r="EJ349" s="18"/>
      <c r="EK349" s="18"/>
      <c r="EL349" s="18"/>
      <c r="EM349" s="18"/>
      <c r="EN349" s="18"/>
      <c r="EO349" s="18"/>
      <c r="EP349" s="18"/>
      <c r="EQ349" s="18"/>
      <c r="ER349" s="18"/>
      <c r="ES349" s="18"/>
      <c r="ET349" s="18"/>
      <c r="EU349" s="18"/>
      <c r="EV349" s="18"/>
      <c r="EW349" s="18"/>
      <c r="EX349" s="18"/>
      <c r="EY349" s="18"/>
      <c r="EZ349" s="18"/>
      <c r="FA349" s="18"/>
      <c r="FB349" s="18"/>
      <c r="FC349" s="18"/>
      <c r="FD349" s="18"/>
      <c r="FE349" s="18"/>
      <c r="FF349" s="18"/>
      <c r="FG349" s="18"/>
      <c r="FH349" s="18"/>
      <c r="FI349" s="18"/>
      <c r="FJ349" s="18"/>
      <c r="FK349" s="18"/>
      <c r="FL349" s="18"/>
      <c r="FM349" s="18"/>
      <c r="FN349" s="18"/>
      <c r="FO349" s="18"/>
      <c r="FP349" s="18"/>
      <c r="FQ349" s="18"/>
      <c r="FR349" s="18"/>
      <c r="FS349" s="18"/>
      <c r="FT349" s="18"/>
      <c r="FU349" s="18"/>
      <c r="FV349" s="18"/>
      <c r="FW349" s="18"/>
      <c r="FX349" s="18"/>
      <c r="FY349" s="18"/>
      <c r="FZ349" s="18"/>
      <c r="GA349" s="18"/>
      <c r="GB349" s="18"/>
      <c r="GC349" s="18"/>
      <c r="GD349" s="18"/>
      <c r="GE349" s="18"/>
      <c r="GF349" s="18"/>
      <c r="GG349" s="18"/>
      <c r="GH349" s="18"/>
      <c r="GI349" s="18"/>
      <c r="GJ349" s="18"/>
      <c r="GK349" s="18"/>
      <c r="GL349" s="18"/>
      <c r="GM349" s="18"/>
      <c r="GN349" s="18"/>
      <c r="GO349" s="18"/>
      <c r="GP349" s="18"/>
      <c r="GQ349" s="18"/>
      <c r="GR349" s="18"/>
      <c r="GS349" s="18"/>
      <c r="GT349" s="18"/>
      <c r="GU349" s="18"/>
      <c r="GV349" s="18"/>
      <c r="GW349" s="18"/>
      <c r="GX349" s="18"/>
      <c r="GY349" s="18"/>
      <c r="GZ349" s="18"/>
      <c r="HA349" s="18"/>
      <c r="HB349" s="18"/>
      <c r="HC349" s="18"/>
      <c r="HD349" s="18"/>
      <c r="HE349" s="18"/>
      <c r="HF349" s="18"/>
      <c r="HG349" s="13"/>
      <c r="HH349" s="13"/>
      <c r="HI349" s="13"/>
      <c r="HJ349" s="13"/>
      <c r="HK349" s="13"/>
      <c r="HL349" s="13"/>
      <c r="HM349" s="13"/>
      <c r="HN349" s="13"/>
      <c r="HO349" s="13"/>
      <c r="HP349" s="13"/>
      <c r="HQ349" s="13"/>
      <c r="HR349" s="13"/>
      <c r="HS349" s="13"/>
      <c r="HT349" s="13"/>
      <c r="HV349" s="18"/>
      <c r="HW349" s="18"/>
      <c r="HX349" s="18"/>
      <c r="HY349" s="18"/>
      <c r="HZ349" s="18"/>
      <c r="IA349" s="18"/>
      <c r="IB349" s="18"/>
      <c r="IC349" s="18"/>
      <c r="ID349" s="18"/>
      <c r="IE349" s="18"/>
      <c r="IF349" s="18"/>
      <c r="IG349" s="18"/>
      <c r="IH349" s="18"/>
      <c r="II349" s="18"/>
      <c r="IJ349" s="18"/>
      <c r="IK349" s="18"/>
      <c r="IL349" s="18"/>
      <c r="IM349" s="18"/>
      <c r="IN349" s="18"/>
      <c r="IO349" s="18"/>
      <c r="IP349" s="18"/>
      <c r="IQ349" s="18"/>
      <c r="IR349" s="18"/>
      <c r="IS349" s="18"/>
      <c r="IT349" s="18"/>
      <c r="IU349" s="18"/>
      <c r="IV349" s="18"/>
      <c r="IW349" s="18"/>
      <c r="IX349" s="18"/>
      <c r="IY349" s="18"/>
      <c r="IZ349" s="18"/>
      <c r="JA349" s="18"/>
      <c r="JB349" s="18"/>
      <c r="JC349" s="18"/>
      <c r="JD349" s="18"/>
      <c r="JE349" s="18"/>
      <c r="JF349" s="18"/>
      <c r="JG349" s="18"/>
      <c r="JH349" s="18"/>
      <c r="JI349" s="18"/>
      <c r="JJ349" s="18"/>
      <c r="JK349" s="18"/>
      <c r="JL349" s="18"/>
      <c r="JM349" s="18"/>
      <c r="JN349" s="18"/>
      <c r="JO349" s="18"/>
      <c r="JP349" s="18"/>
      <c r="JQ349" s="18"/>
      <c r="JR349" s="18"/>
      <c r="JS349" s="18"/>
      <c r="JT349" s="18"/>
      <c r="JU349" s="18"/>
      <c r="JV349" s="18"/>
      <c r="JW349" s="18"/>
      <c r="JX349" s="18"/>
      <c r="JY349" s="18"/>
      <c r="JZ349" s="18"/>
      <c r="KA349" s="18"/>
      <c r="KB349" s="18"/>
      <c r="KC349" s="18"/>
      <c r="KD349" s="18"/>
      <c r="KE349" s="18"/>
      <c r="KF349" s="18"/>
      <c r="KG349" s="18"/>
      <c r="KH349" s="18"/>
      <c r="KI349" s="18"/>
      <c r="KJ349" s="18"/>
      <c r="KK349" s="18"/>
      <c r="KL349" s="18"/>
      <c r="KM349" s="18"/>
      <c r="KN349" s="18"/>
      <c r="KO349" s="18"/>
      <c r="KP349" s="18"/>
    </row>
    <row r="350" spans="1:302" ht="10.5" hidden="1" customHeight="1" outlineLevel="1">
      <c r="M350" s="136"/>
      <c r="N350" s="136"/>
      <c r="O350" s="136"/>
      <c r="P350" s="288"/>
      <c r="Y350" s="14"/>
      <c r="Z350" s="14"/>
      <c r="AN350" s="18"/>
      <c r="AT350" s="51"/>
      <c r="AU350" s="15"/>
      <c r="AV350" s="15"/>
      <c r="AW350" s="15"/>
      <c r="AX350" s="15"/>
      <c r="AY350" s="15"/>
      <c r="AZ350" s="15"/>
      <c r="BA350" s="51"/>
      <c r="BB350" s="15"/>
      <c r="BC350" s="15"/>
      <c r="BD350" s="15"/>
      <c r="BE350" s="15"/>
      <c r="BF350" s="15"/>
      <c r="BG350" s="51"/>
      <c r="BH350" s="15"/>
      <c r="BI350" s="15"/>
      <c r="BJ350" s="15"/>
      <c r="BK350" s="51"/>
      <c r="BL350" s="15"/>
      <c r="BM350" s="15"/>
      <c r="BN350" s="15"/>
      <c r="BO350" s="15"/>
      <c r="BP350" s="15"/>
      <c r="BQ350" s="18"/>
      <c r="BR350" s="18"/>
      <c r="BS350" s="18"/>
      <c r="BT350" s="18"/>
      <c r="BU350" s="18"/>
      <c r="BV350" s="18"/>
      <c r="BW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  <c r="FR350" s="18"/>
      <c r="FS350" s="18"/>
      <c r="FT350" s="18"/>
      <c r="FU350" s="18"/>
      <c r="FV350" s="18"/>
      <c r="FW350" s="18"/>
      <c r="FX350" s="18"/>
      <c r="FY350" s="18"/>
      <c r="FZ350" s="18"/>
      <c r="GA350" s="18"/>
      <c r="GB350" s="18"/>
      <c r="GC350" s="18"/>
      <c r="GD350" s="18"/>
      <c r="GE350" s="18"/>
      <c r="GF350" s="18"/>
      <c r="GG350" s="18"/>
      <c r="GH350" s="18"/>
      <c r="GI350" s="18"/>
      <c r="GJ350" s="18"/>
      <c r="GK350" s="18"/>
      <c r="GL350" s="18"/>
      <c r="GM350" s="18"/>
      <c r="GN350" s="18"/>
      <c r="GO350" s="18"/>
      <c r="GP350" s="18"/>
      <c r="GQ350" s="18"/>
      <c r="GR350" s="18"/>
      <c r="GS350" s="18"/>
      <c r="GT350" s="18"/>
      <c r="GU350" s="18"/>
      <c r="GV350" s="18"/>
      <c r="GW350" s="18"/>
      <c r="GX350" s="18"/>
      <c r="GY350" s="18"/>
      <c r="GZ350" s="18"/>
      <c r="HA350" s="18"/>
      <c r="HB350" s="18"/>
      <c r="HC350" s="18"/>
      <c r="HD350" s="18"/>
      <c r="HE350" s="18"/>
      <c r="HF350" s="18"/>
      <c r="HG350" s="13"/>
      <c r="HH350" s="13"/>
      <c r="HI350" s="13"/>
      <c r="HJ350" s="13"/>
      <c r="HK350" s="13"/>
      <c r="HL350" s="13"/>
      <c r="HM350" s="13"/>
      <c r="HN350" s="13"/>
      <c r="HO350" s="13"/>
      <c r="HP350" s="13"/>
      <c r="HQ350" s="13"/>
      <c r="HR350" s="13"/>
      <c r="HS350" s="13"/>
      <c r="HT350" s="13"/>
      <c r="HV350" s="18"/>
      <c r="HW350" s="18"/>
      <c r="HX350" s="18"/>
      <c r="HY350" s="18"/>
      <c r="HZ350" s="18"/>
      <c r="IA350" s="18"/>
      <c r="IB350" s="18"/>
      <c r="IC350" s="18"/>
      <c r="ID350" s="18"/>
      <c r="IE350" s="18"/>
      <c r="IF350" s="18"/>
      <c r="IG350" s="18"/>
      <c r="IH350" s="18"/>
      <c r="II350" s="18"/>
      <c r="IJ350" s="18"/>
      <c r="IK350" s="18"/>
      <c r="IL350" s="18"/>
      <c r="IM350" s="18"/>
      <c r="IN350" s="18"/>
      <c r="IO350" s="18"/>
      <c r="IP350" s="18"/>
      <c r="IQ350" s="18"/>
      <c r="IR350" s="18"/>
      <c r="IS350" s="18"/>
      <c r="IT350" s="18"/>
      <c r="IU350" s="18"/>
      <c r="IV350" s="18"/>
      <c r="IW350" s="18"/>
      <c r="IX350" s="18"/>
      <c r="IY350" s="18"/>
      <c r="IZ350" s="18"/>
      <c r="JA350" s="18"/>
      <c r="JB350" s="18"/>
      <c r="JC350" s="18"/>
      <c r="JD350" s="18"/>
      <c r="JE350" s="18"/>
      <c r="JF350" s="18"/>
      <c r="JG350" s="18"/>
      <c r="JH350" s="18"/>
      <c r="JI350" s="18"/>
      <c r="JJ350" s="18"/>
      <c r="JK350" s="18"/>
      <c r="JL350" s="18"/>
      <c r="JM350" s="18"/>
      <c r="JN350" s="18"/>
      <c r="JO350" s="18"/>
      <c r="JP350" s="18"/>
      <c r="JQ350" s="18"/>
      <c r="JR350" s="18"/>
      <c r="JS350" s="18"/>
      <c r="JT350" s="18"/>
      <c r="JU350" s="18"/>
      <c r="JV350" s="18"/>
      <c r="JW350" s="18"/>
      <c r="JX350" s="18"/>
      <c r="JY350" s="18"/>
      <c r="JZ350" s="18"/>
      <c r="KA350" s="18"/>
      <c r="KB350" s="18"/>
      <c r="KC350" s="18"/>
      <c r="KD350" s="18"/>
      <c r="KE350" s="18"/>
      <c r="KF350" s="18"/>
      <c r="KG350" s="18"/>
      <c r="KH350" s="18"/>
      <c r="KI350" s="18"/>
      <c r="KJ350" s="18"/>
      <c r="KK350" s="18"/>
      <c r="KL350" s="18"/>
      <c r="KM350" s="18"/>
      <c r="KN350" s="18"/>
      <c r="KO350" s="18"/>
      <c r="KP350" s="18"/>
    </row>
    <row r="351" spans="1:302" ht="10.5" hidden="1" customHeight="1" outlineLevel="1">
      <c r="M351" s="136"/>
      <c r="N351" s="136"/>
      <c r="O351" s="136"/>
      <c r="P351" s="284"/>
      <c r="Y351" s="14"/>
      <c r="Z351" s="14"/>
      <c r="AN351" s="18"/>
      <c r="AT351" s="51"/>
      <c r="AU351" s="15"/>
      <c r="AV351" s="15"/>
      <c r="AW351" s="15"/>
      <c r="AX351" s="15"/>
      <c r="AY351" s="15"/>
      <c r="AZ351" s="15"/>
      <c r="BA351" s="51"/>
      <c r="BB351" s="15"/>
      <c r="BC351" s="15"/>
      <c r="BD351" s="15"/>
      <c r="BE351" s="15"/>
      <c r="BF351" s="15"/>
      <c r="BG351" s="51"/>
      <c r="BH351" s="15"/>
      <c r="BI351" s="15"/>
      <c r="BJ351" s="15"/>
      <c r="BK351" s="51"/>
      <c r="BL351" s="15"/>
      <c r="BM351" s="15"/>
      <c r="BN351" s="15"/>
      <c r="BO351" s="15"/>
      <c r="BP351" s="15"/>
      <c r="BQ351" s="18"/>
      <c r="BR351" s="18"/>
      <c r="BS351" s="18"/>
      <c r="BT351" s="18"/>
      <c r="BU351" s="18"/>
      <c r="BV351" s="18"/>
      <c r="BW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/>
      <c r="FO351" s="18"/>
      <c r="FP351" s="18"/>
      <c r="FQ351" s="18"/>
      <c r="FR351" s="18"/>
      <c r="FS351" s="18"/>
      <c r="FT351" s="18"/>
      <c r="FU351" s="18"/>
      <c r="FV351" s="18"/>
      <c r="FW351" s="18"/>
      <c r="FX351" s="18"/>
      <c r="FY351" s="18"/>
      <c r="FZ351" s="18"/>
      <c r="GA351" s="18"/>
      <c r="GB351" s="18"/>
      <c r="GC351" s="18"/>
      <c r="GD351" s="18"/>
      <c r="GE351" s="18"/>
      <c r="GF351" s="18"/>
      <c r="GG351" s="18"/>
      <c r="GH351" s="18"/>
      <c r="GI351" s="18"/>
      <c r="GJ351" s="18"/>
      <c r="GK351" s="18"/>
      <c r="GL351" s="18"/>
      <c r="GM351" s="18"/>
      <c r="GN351" s="18"/>
      <c r="GO351" s="18"/>
      <c r="GP351" s="18"/>
      <c r="GQ351" s="18"/>
      <c r="GR351" s="18"/>
      <c r="GS351" s="18"/>
      <c r="GT351" s="18"/>
      <c r="GU351" s="18"/>
      <c r="GV351" s="18"/>
      <c r="GW351" s="18"/>
      <c r="GX351" s="18"/>
      <c r="GY351" s="18"/>
      <c r="GZ351" s="18"/>
      <c r="HA351" s="18"/>
      <c r="HB351" s="18"/>
      <c r="HC351" s="18"/>
      <c r="HD351" s="18"/>
      <c r="HE351" s="18"/>
      <c r="HF351" s="18"/>
      <c r="HG351" s="13"/>
      <c r="HH351" s="13"/>
      <c r="HI351" s="13"/>
      <c r="HJ351" s="13"/>
      <c r="HK351" s="13"/>
      <c r="HL351" s="13"/>
      <c r="HM351" s="13"/>
      <c r="HN351" s="13"/>
      <c r="HO351" s="13"/>
      <c r="HP351" s="13"/>
      <c r="HQ351" s="13"/>
      <c r="HR351" s="13"/>
      <c r="HS351" s="13"/>
      <c r="HT351" s="13"/>
      <c r="HV351" s="18"/>
      <c r="HW351" s="18"/>
      <c r="HX351" s="18"/>
      <c r="HY351" s="18"/>
      <c r="HZ351" s="18"/>
      <c r="IA351" s="18"/>
      <c r="IB351" s="18"/>
      <c r="IC351" s="18"/>
      <c r="ID351" s="18"/>
      <c r="IE351" s="18"/>
      <c r="IF351" s="18"/>
      <c r="IG351" s="18"/>
      <c r="IH351" s="18"/>
      <c r="II351" s="18"/>
      <c r="IJ351" s="18"/>
      <c r="IK351" s="18"/>
      <c r="IL351" s="18"/>
      <c r="IM351" s="18"/>
      <c r="IN351" s="18"/>
      <c r="IO351" s="18"/>
      <c r="IP351" s="18"/>
      <c r="IQ351" s="18"/>
      <c r="IR351" s="18"/>
      <c r="IS351" s="18"/>
      <c r="IT351" s="18"/>
      <c r="IU351" s="18"/>
      <c r="IV351" s="18"/>
      <c r="IW351" s="18"/>
      <c r="IX351" s="18"/>
      <c r="IY351" s="18"/>
      <c r="IZ351" s="18"/>
      <c r="JA351" s="18"/>
      <c r="JB351" s="18"/>
      <c r="JC351" s="18"/>
      <c r="JD351" s="18"/>
      <c r="JE351" s="18"/>
      <c r="JF351" s="18"/>
      <c r="JG351" s="18"/>
      <c r="JH351" s="18"/>
      <c r="JI351" s="18"/>
      <c r="JJ351" s="18"/>
      <c r="JK351" s="18"/>
      <c r="JL351" s="18"/>
      <c r="JM351" s="18"/>
      <c r="JN351" s="18"/>
      <c r="JO351" s="18"/>
      <c r="JP351" s="18"/>
      <c r="JQ351" s="18"/>
      <c r="JR351" s="18"/>
      <c r="JS351" s="18"/>
      <c r="JT351" s="18"/>
      <c r="JU351" s="18"/>
      <c r="JV351" s="18"/>
      <c r="JW351" s="18"/>
      <c r="JX351" s="18"/>
      <c r="JY351" s="18"/>
      <c r="JZ351" s="18"/>
      <c r="KA351" s="18"/>
      <c r="KB351" s="18"/>
      <c r="KC351" s="18"/>
      <c r="KD351" s="18"/>
      <c r="KE351" s="18"/>
      <c r="KF351" s="18"/>
      <c r="KG351" s="18"/>
      <c r="KH351" s="18"/>
      <c r="KI351" s="18"/>
      <c r="KJ351" s="18"/>
      <c r="KK351" s="18"/>
      <c r="KL351" s="18"/>
      <c r="KM351" s="18"/>
      <c r="KN351" s="18"/>
      <c r="KO351" s="18"/>
      <c r="KP351" s="18"/>
    </row>
    <row r="352" spans="1:302" ht="11.1" hidden="1" customHeight="1" outlineLevel="1">
      <c r="M352" s="136"/>
      <c r="N352" s="136"/>
      <c r="O352" s="136"/>
      <c r="P352" s="39"/>
      <c r="AF352" s="18"/>
      <c r="AG352" s="144"/>
      <c r="AH352" s="144"/>
      <c r="AI352" s="248"/>
      <c r="AJ352" s="144"/>
      <c r="AK352" s="247"/>
      <c r="AL352" s="18"/>
      <c r="AM352" s="18"/>
      <c r="AN352" s="18"/>
      <c r="AT352" s="51"/>
      <c r="AU352" s="15"/>
      <c r="AV352" s="15"/>
      <c r="AW352" s="15"/>
      <c r="AX352" s="15"/>
      <c r="AY352" s="15"/>
      <c r="AZ352" s="15"/>
      <c r="BA352" s="51"/>
      <c r="BB352" s="15"/>
      <c r="BC352" s="15"/>
      <c r="BD352" s="15"/>
      <c r="BE352" s="15"/>
      <c r="BF352" s="15"/>
      <c r="BG352" s="51"/>
      <c r="BH352" s="15"/>
      <c r="BI352" s="15"/>
      <c r="BJ352" s="15"/>
      <c r="BK352" s="51"/>
      <c r="BL352" s="15"/>
      <c r="BM352" s="15"/>
      <c r="BN352" s="15"/>
      <c r="BO352" s="15"/>
      <c r="BP352" s="15"/>
      <c r="BQ352" s="18"/>
      <c r="BR352" s="18"/>
      <c r="BS352" s="18"/>
      <c r="BT352" s="18"/>
      <c r="BU352" s="18"/>
      <c r="BV352" s="18"/>
      <c r="BW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/>
      <c r="FC352" s="18"/>
      <c r="FD352" s="18"/>
      <c r="FE352" s="18"/>
      <c r="FF352" s="18"/>
      <c r="FG352" s="18"/>
      <c r="FH352" s="18"/>
      <c r="FI352" s="18"/>
      <c r="FJ352" s="18"/>
      <c r="FK352" s="18"/>
      <c r="FL352" s="18"/>
      <c r="FM352" s="18"/>
      <c r="FN352" s="18"/>
      <c r="FO352" s="18"/>
      <c r="FP352" s="18"/>
      <c r="FQ352" s="18"/>
      <c r="FR352" s="18"/>
      <c r="FS352" s="18"/>
      <c r="FT352" s="18"/>
      <c r="FU352" s="18"/>
      <c r="FV352" s="18"/>
      <c r="FW352" s="18"/>
      <c r="FX352" s="18"/>
      <c r="FY352" s="18"/>
      <c r="FZ352" s="18"/>
      <c r="GA352" s="18"/>
      <c r="GB352" s="18"/>
      <c r="GC352" s="18"/>
      <c r="GD352" s="18"/>
      <c r="GE352" s="18"/>
      <c r="GF352" s="18"/>
      <c r="GG352" s="18"/>
      <c r="GH352" s="18"/>
      <c r="GI352" s="18"/>
      <c r="GJ352" s="18"/>
      <c r="GK352" s="18"/>
      <c r="GL352" s="18"/>
      <c r="GM352" s="18"/>
      <c r="GN352" s="18"/>
      <c r="GO352" s="18"/>
      <c r="GP352" s="18"/>
      <c r="GQ352" s="18"/>
      <c r="GR352" s="18"/>
      <c r="GS352" s="18"/>
      <c r="GT352" s="18"/>
      <c r="GU352" s="18"/>
      <c r="GV352" s="18"/>
      <c r="GW352" s="18"/>
      <c r="GX352" s="18"/>
      <c r="GY352" s="18"/>
      <c r="GZ352" s="18"/>
      <c r="HA352" s="18"/>
      <c r="HB352" s="18"/>
      <c r="HC352" s="18"/>
      <c r="HD352" s="18"/>
      <c r="HE352" s="18"/>
      <c r="HF352" s="18"/>
      <c r="HG352" s="13"/>
      <c r="HH352" s="13"/>
      <c r="HI352" s="13"/>
      <c r="HJ352" s="13"/>
      <c r="HK352" s="13"/>
      <c r="HL352" s="13"/>
      <c r="HM352" s="13"/>
      <c r="HN352" s="13"/>
      <c r="HO352" s="13"/>
      <c r="HP352" s="13"/>
      <c r="HQ352" s="13"/>
      <c r="HR352" s="13"/>
      <c r="HS352" s="13"/>
      <c r="HT352" s="13"/>
      <c r="HV352" s="18"/>
      <c r="HW352" s="18"/>
      <c r="HX352" s="18"/>
      <c r="HY352" s="18"/>
      <c r="HZ352" s="18"/>
      <c r="IA352" s="18"/>
      <c r="IB352" s="18"/>
      <c r="IC352" s="18"/>
      <c r="ID352" s="18"/>
      <c r="IE352" s="18"/>
      <c r="IF352" s="18"/>
      <c r="IG352" s="18"/>
      <c r="IH352" s="18"/>
      <c r="II352" s="18"/>
      <c r="IJ352" s="18"/>
      <c r="IK352" s="18"/>
      <c r="IL352" s="18"/>
      <c r="IM352" s="18"/>
      <c r="IN352" s="18"/>
      <c r="IO352" s="18"/>
      <c r="IP352" s="18"/>
      <c r="IQ352" s="18"/>
      <c r="IR352" s="18"/>
      <c r="IS352" s="18"/>
      <c r="IT352" s="18"/>
      <c r="IU352" s="18"/>
      <c r="IV352" s="18"/>
      <c r="IW352" s="18"/>
      <c r="IX352" s="18"/>
      <c r="IY352" s="18"/>
      <c r="IZ352" s="18"/>
      <c r="JA352" s="18"/>
      <c r="JB352" s="18"/>
      <c r="JC352" s="18"/>
      <c r="JD352" s="18"/>
      <c r="JE352" s="18"/>
      <c r="JF352" s="18"/>
      <c r="JG352" s="18"/>
      <c r="JH352" s="18"/>
      <c r="JI352" s="18"/>
      <c r="JJ352" s="18"/>
      <c r="JK352" s="18"/>
      <c r="JL352" s="18"/>
      <c r="JM352" s="18"/>
      <c r="JN352" s="18"/>
      <c r="JO352" s="18"/>
      <c r="JP352" s="18"/>
      <c r="JQ352" s="18"/>
      <c r="JR352" s="18"/>
      <c r="JS352" s="18"/>
      <c r="JT352" s="18"/>
      <c r="JU352" s="18"/>
      <c r="JV352" s="18"/>
      <c r="JW352" s="18"/>
      <c r="JX352" s="18"/>
      <c r="JY352" s="18"/>
      <c r="JZ352" s="18"/>
      <c r="KA352" s="18"/>
      <c r="KB352" s="18"/>
      <c r="KC352" s="18"/>
      <c r="KD352" s="18"/>
      <c r="KE352" s="18"/>
      <c r="KF352" s="18"/>
      <c r="KG352" s="18"/>
      <c r="KH352" s="18"/>
      <c r="KI352" s="18"/>
      <c r="KJ352" s="18"/>
      <c r="KK352" s="18"/>
      <c r="KL352" s="18"/>
      <c r="KM352" s="18"/>
      <c r="KN352" s="18"/>
      <c r="KO352" s="18"/>
      <c r="KP352" s="18"/>
    </row>
    <row r="353" spans="1:302" ht="5.0999999999999996" hidden="1" customHeight="1" outlineLevel="1">
      <c r="M353" s="136"/>
      <c r="N353" s="136"/>
      <c r="O353" s="136"/>
      <c r="P353" s="284"/>
      <c r="Y353" s="14"/>
      <c r="Z353" s="14"/>
      <c r="AN353" s="18"/>
      <c r="AT353" s="51"/>
      <c r="AU353" s="15"/>
      <c r="AV353" s="15"/>
      <c r="AW353" s="15"/>
      <c r="AX353" s="15"/>
      <c r="AY353" s="15"/>
      <c r="AZ353" s="15"/>
      <c r="BA353" s="51"/>
      <c r="BB353" s="15"/>
      <c r="BC353" s="15"/>
      <c r="BD353" s="15"/>
      <c r="BE353" s="15"/>
      <c r="BF353" s="15"/>
      <c r="BG353" s="51"/>
      <c r="BH353" s="15"/>
      <c r="BI353" s="15"/>
      <c r="BJ353" s="15"/>
      <c r="BK353" s="51"/>
      <c r="BL353" s="15"/>
      <c r="BM353" s="15"/>
      <c r="BN353" s="15"/>
      <c r="BO353" s="15"/>
      <c r="BP353" s="15"/>
      <c r="BQ353" s="18"/>
      <c r="BR353" s="18"/>
      <c r="BS353" s="18"/>
      <c r="BT353" s="18"/>
      <c r="BU353" s="18"/>
      <c r="BV353" s="18"/>
      <c r="BW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  <c r="FR353" s="18"/>
      <c r="FS353" s="18"/>
      <c r="FT353" s="18"/>
      <c r="FU353" s="18"/>
      <c r="FV353" s="18"/>
      <c r="FW353" s="18"/>
      <c r="FX353" s="18"/>
      <c r="FY353" s="18"/>
      <c r="FZ353" s="18"/>
      <c r="GA353" s="18"/>
      <c r="GB353" s="18"/>
      <c r="GC353" s="18"/>
      <c r="GD353" s="18"/>
      <c r="GE353" s="18"/>
      <c r="GF353" s="18"/>
      <c r="GG353" s="18"/>
      <c r="GH353" s="18"/>
      <c r="GI353" s="18"/>
      <c r="GJ353" s="18"/>
      <c r="GK353" s="18"/>
      <c r="GL353" s="18"/>
      <c r="GM353" s="18"/>
      <c r="GN353" s="18"/>
      <c r="GO353" s="18"/>
      <c r="GP353" s="18"/>
      <c r="GQ353" s="18"/>
      <c r="GR353" s="18"/>
      <c r="GS353" s="18"/>
      <c r="GT353" s="18"/>
      <c r="GU353" s="18"/>
      <c r="GV353" s="18"/>
      <c r="GW353" s="18"/>
      <c r="GX353" s="18"/>
      <c r="GY353" s="18"/>
      <c r="GZ353" s="18"/>
      <c r="HA353" s="18"/>
      <c r="HB353" s="18"/>
      <c r="HC353" s="18"/>
      <c r="HD353" s="18"/>
      <c r="HE353" s="18"/>
      <c r="HF353" s="18"/>
      <c r="HG353" s="13"/>
      <c r="HH353" s="13"/>
      <c r="HI353" s="13"/>
      <c r="HJ353" s="13"/>
      <c r="HK353" s="13"/>
      <c r="HL353" s="13"/>
      <c r="HM353" s="13"/>
      <c r="HN353" s="13"/>
      <c r="HO353" s="13"/>
      <c r="HP353" s="13"/>
      <c r="HQ353" s="13"/>
      <c r="HR353" s="13"/>
      <c r="HS353" s="13"/>
      <c r="HT353" s="13"/>
      <c r="HV353" s="18"/>
      <c r="HW353" s="18"/>
      <c r="HX353" s="18"/>
      <c r="HY353" s="18"/>
      <c r="HZ353" s="18"/>
      <c r="IA353" s="18"/>
      <c r="IB353" s="18"/>
      <c r="IC353" s="18"/>
      <c r="ID353" s="18"/>
      <c r="IE353" s="18"/>
      <c r="IF353" s="18"/>
      <c r="IG353" s="18"/>
      <c r="IH353" s="18"/>
      <c r="II353" s="18"/>
      <c r="IJ353" s="18"/>
      <c r="IK353" s="18"/>
      <c r="IL353" s="18"/>
      <c r="IM353" s="18"/>
      <c r="IN353" s="18"/>
      <c r="IO353" s="18"/>
      <c r="IP353" s="18"/>
      <c r="IQ353" s="18"/>
      <c r="IR353" s="18"/>
      <c r="IS353" s="18"/>
      <c r="IT353" s="18"/>
      <c r="IU353" s="18"/>
      <c r="IV353" s="18"/>
      <c r="IW353" s="18"/>
      <c r="IX353" s="18"/>
      <c r="IY353" s="18"/>
      <c r="IZ353" s="18"/>
      <c r="JA353" s="18"/>
      <c r="JB353" s="18"/>
      <c r="JC353" s="18"/>
      <c r="JD353" s="18"/>
      <c r="JE353" s="18"/>
      <c r="JF353" s="18"/>
      <c r="JG353" s="18"/>
      <c r="JH353" s="18"/>
      <c r="JI353" s="18"/>
      <c r="JJ353" s="18"/>
      <c r="JK353" s="18"/>
      <c r="JL353" s="18"/>
      <c r="JM353" s="18"/>
      <c r="JN353" s="18"/>
      <c r="JO353" s="18"/>
      <c r="JP353" s="18"/>
      <c r="JQ353" s="18"/>
      <c r="JR353" s="18"/>
      <c r="JS353" s="18"/>
      <c r="JT353" s="18"/>
      <c r="JU353" s="18"/>
      <c r="JV353" s="18"/>
      <c r="JW353" s="18"/>
      <c r="JX353" s="18"/>
      <c r="JY353" s="18"/>
      <c r="JZ353" s="18"/>
      <c r="KA353" s="18"/>
      <c r="KB353" s="18"/>
      <c r="KC353" s="18"/>
      <c r="KD353" s="18"/>
      <c r="KE353" s="18"/>
      <c r="KF353" s="18"/>
      <c r="KG353" s="18"/>
      <c r="KH353" s="18"/>
      <c r="KI353" s="18"/>
      <c r="KJ353" s="18"/>
      <c r="KK353" s="18"/>
      <c r="KL353" s="18"/>
      <c r="KM353" s="18"/>
      <c r="KN353" s="18"/>
      <c r="KO353" s="18"/>
      <c r="KP353" s="18"/>
    </row>
    <row r="354" spans="1:302" ht="10.5" hidden="1" customHeight="1" outlineLevel="1">
      <c r="A354" s="208" t="s">
        <v>78</v>
      </c>
      <c r="D354" s="38" t="s">
        <v>77</v>
      </c>
      <c r="F354" s="11">
        <v>0</v>
      </c>
      <c r="G354" s="187">
        <v>41059</v>
      </c>
      <c r="H354" s="187"/>
      <c r="I354" s="1067">
        <v>64.5</v>
      </c>
      <c r="J354" s="1067"/>
      <c r="K354" s="1067"/>
      <c r="M354" s="136"/>
      <c r="N354" s="136"/>
      <c r="O354" s="136"/>
      <c r="P354" s="280"/>
      <c r="AB354" s="947">
        <f>F354*P354</f>
        <v>0</v>
      </c>
      <c r="AC354" s="947"/>
      <c r="AD354" s="190">
        <f>-((I354*F354)-(P354*F354))</f>
        <v>0</v>
      </c>
      <c r="AE354" s="190"/>
      <c r="AL354" s="14" t="s">
        <v>76</v>
      </c>
      <c r="AN354" s="179"/>
      <c r="AO354" s="38"/>
      <c r="AP354" s="188">
        <f>F354*I354+AN354+AN355</f>
        <v>0</v>
      </c>
      <c r="AT354" s="51"/>
      <c r="AU354" s="15"/>
      <c r="AV354" s="15"/>
      <c r="AW354" s="15"/>
      <c r="AX354" s="15"/>
      <c r="AY354" s="15"/>
      <c r="AZ354" s="15"/>
      <c r="BA354" s="51"/>
      <c r="BB354" s="15"/>
      <c r="BC354" s="15"/>
      <c r="BD354" s="15"/>
      <c r="BE354" s="15"/>
      <c r="BF354" s="15"/>
      <c r="BG354" s="51"/>
      <c r="BH354" s="15"/>
      <c r="BI354" s="15"/>
      <c r="BJ354" s="15"/>
      <c r="BK354" s="51"/>
      <c r="BL354" s="15"/>
      <c r="BM354" s="15"/>
      <c r="BN354" s="15"/>
      <c r="BO354" s="15"/>
      <c r="BP354" s="15"/>
      <c r="BQ354" s="18"/>
      <c r="BR354" s="18"/>
      <c r="BS354" s="18"/>
      <c r="BT354" s="18"/>
      <c r="BU354" s="18"/>
      <c r="BV354" s="18"/>
      <c r="BW354" s="18"/>
      <c r="BX354" s="139"/>
      <c r="BY354" s="287"/>
      <c r="BZ354" s="139"/>
      <c r="CA354" s="139"/>
      <c r="CB354" s="139"/>
      <c r="CC354" s="139"/>
      <c r="CD354" s="139"/>
      <c r="CE354" s="139"/>
      <c r="CF354" s="139"/>
      <c r="CG354" s="139"/>
      <c r="CH354" s="139"/>
      <c r="CI354" s="139"/>
      <c r="CJ354" s="139"/>
      <c r="CK354" s="139"/>
      <c r="CL354" s="139"/>
      <c r="CM354" s="139"/>
      <c r="CN354" s="139"/>
      <c r="CO354" s="139"/>
      <c r="CP354" s="139"/>
      <c r="CQ354" s="139"/>
      <c r="CR354" s="139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  <c r="FR354" s="18"/>
      <c r="FS354" s="18"/>
      <c r="FT354" s="18"/>
      <c r="FU354" s="18"/>
      <c r="FV354" s="18"/>
      <c r="FW354" s="18"/>
      <c r="FX354" s="18"/>
      <c r="FY354" s="18"/>
      <c r="FZ354" s="18"/>
      <c r="GA354" s="18"/>
      <c r="GB354" s="18"/>
      <c r="GC354" s="18"/>
      <c r="GD354" s="18"/>
      <c r="GE354" s="18"/>
      <c r="GF354" s="18"/>
      <c r="GG354" s="18"/>
      <c r="GH354" s="18"/>
      <c r="GI354" s="18"/>
      <c r="GJ354" s="18"/>
      <c r="GK354" s="18"/>
      <c r="GL354" s="18"/>
      <c r="GM354" s="18"/>
      <c r="GN354" s="18"/>
      <c r="GO354" s="18"/>
      <c r="GP354" s="18"/>
      <c r="GQ354" s="18"/>
      <c r="GR354" s="18"/>
      <c r="GS354" s="18"/>
      <c r="GT354" s="18"/>
      <c r="GU354" s="18"/>
      <c r="GV354" s="18"/>
      <c r="GW354" s="18"/>
      <c r="GX354" s="18"/>
      <c r="GY354" s="18"/>
      <c r="GZ354" s="18"/>
      <c r="HA354" s="18"/>
      <c r="HB354" s="18"/>
      <c r="HC354" s="18"/>
      <c r="HD354" s="18"/>
      <c r="HE354" s="18"/>
      <c r="HF354" s="18"/>
      <c r="HG354" s="13"/>
      <c r="HH354" s="13"/>
      <c r="HI354" s="13"/>
      <c r="HJ354" s="13"/>
      <c r="HK354" s="13"/>
      <c r="HL354" s="13"/>
      <c r="HM354" s="13"/>
      <c r="HN354" s="13"/>
      <c r="HO354" s="13"/>
      <c r="HP354" s="13"/>
      <c r="HQ354" s="13"/>
      <c r="HR354" s="13"/>
      <c r="HS354" s="13"/>
      <c r="HT354" s="13"/>
      <c r="HU354" s="139">
        <v>0</v>
      </c>
      <c r="HV354" s="286">
        <v>0</v>
      </c>
      <c r="HW354" s="139"/>
      <c r="HX354" s="139"/>
      <c r="HY354" s="139"/>
      <c r="HZ354" s="139"/>
      <c r="IA354" s="139"/>
      <c r="IB354" s="139"/>
      <c r="IC354" s="139"/>
      <c r="ID354" s="139"/>
      <c r="IE354" s="139"/>
      <c r="IF354" s="139"/>
      <c r="IG354" s="139"/>
      <c r="IH354" s="139"/>
      <c r="II354" s="139"/>
      <c r="IJ354" s="139"/>
      <c r="IK354" s="139"/>
      <c r="IL354" s="139"/>
      <c r="IM354" s="139"/>
      <c r="IN354" s="139"/>
      <c r="IO354" s="139"/>
      <c r="IP354" s="18"/>
      <c r="IQ354" s="18"/>
      <c r="IR354" s="18"/>
      <c r="IS354" s="18"/>
      <c r="IT354" s="18"/>
      <c r="IU354" s="18"/>
      <c r="IV354" s="18"/>
      <c r="IW354" s="18"/>
      <c r="IX354" s="18"/>
      <c r="IY354" s="18"/>
      <c r="IZ354" s="18"/>
      <c r="JA354" s="18"/>
      <c r="JB354" s="18"/>
      <c r="JC354" s="18"/>
      <c r="JD354" s="18"/>
      <c r="JE354" s="18"/>
      <c r="JF354" s="18"/>
      <c r="JG354" s="18"/>
      <c r="JH354" s="18"/>
      <c r="JI354" s="18"/>
      <c r="JJ354" s="18"/>
      <c r="JK354" s="18"/>
      <c r="JL354" s="18"/>
      <c r="JM354" s="18"/>
      <c r="JN354" s="18"/>
      <c r="JO354" s="18"/>
      <c r="JP354" s="18"/>
      <c r="JQ354" s="18"/>
      <c r="JR354" s="18"/>
      <c r="JS354" s="18"/>
      <c r="JT354" s="18"/>
      <c r="JU354" s="18"/>
      <c r="JV354" s="18"/>
      <c r="JW354" s="18"/>
      <c r="JX354" s="18"/>
      <c r="JY354" s="18"/>
      <c r="JZ354" s="18"/>
      <c r="KA354" s="18"/>
      <c r="KB354" s="18"/>
      <c r="KC354" s="18"/>
      <c r="KD354" s="18"/>
      <c r="KE354" s="18"/>
      <c r="KF354" s="18"/>
      <c r="KG354" s="18"/>
      <c r="KH354" s="18"/>
      <c r="KI354" s="18"/>
      <c r="KJ354" s="18"/>
      <c r="KK354" s="18"/>
      <c r="KL354" s="18"/>
      <c r="KM354" s="18"/>
      <c r="KN354" s="18"/>
      <c r="KO354" s="18"/>
      <c r="KP354" s="18"/>
    </row>
    <row r="355" spans="1:302" ht="11.1" hidden="1" customHeight="1" outlineLevel="1">
      <c r="A355" s="3" t="s">
        <v>75</v>
      </c>
      <c r="G355" s="187"/>
      <c r="K355" s="185">
        <f>AP354</f>
        <v>0</v>
      </c>
      <c r="M355" s="136"/>
      <c r="N355" s="136"/>
      <c r="O355" s="136"/>
      <c r="P355" s="284"/>
      <c r="AB355" s="947"/>
      <c r="AC355" s="947"/>
      <c r="AD355" s="183">
        <f>((P354-I354)/I354)</f>
        <v>-1</v>
      </c>
      <c r="AE355" s="183"/>
      <c r="AN355" s="179"/>
      <c r="AO355" s="38"/>
      <c r="AP355" s="38"/>
      <c r="AT355" s="51"/>
      <c r="AU355" s="15"/>
      <c r="AV355" s="15"/>
      <c r="AW355" s="15"/>
      <c r="AX355" s="15"/>
      <c r="AY355" s="15"/>
      <c r="AZ355" s="15"/>
      <c r="BA355" s="51"/>
      <c r="BB355" s="15"/>
      <c r="BC355" s="15"/>
      <c r="BD355" s="15"/>
      <c r="BE355" s="15"/>
      <c r="BF355" s="15"/>
      <c r="BG355" s="51"/>
      <c r="BH355" s="15"/>
      <c r="BI355" s="15"/>
      <c r="BJ355" s="15"/>
      <c r="BK355" s="51"/>
      <c r="BL355" s="15"/>
      <c r="BM355" s="15"/>
      <c r="BN355" s="15"/>
      <c r="BO355" s="15"/>
      <c r="BP355" s="15"/>
      <c r="BQ355" s="18"/>
      <c r="BR355" s="18"/>
      <c r="BS355" s="18"/>
      <c r="BT355" s="18"/>
      <c r="BU355" s="18"/>
      <c r="BV355" s="18"/>
      <c r="BW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  <c r="EZ355" s="18"/>
      <c r="FA355" s="18"/>
      <c r="FB355" s="18"/>
      <c r="FC355" s="18"/>
      <c r="FD355" s="18"/>
      <c r="FE355" s="18"/>
      <c r="FF355" s="18"/>
      <c r="FG355" s="18"/>
      <c r="FH355" s="18"/>
      <c r="FI355" s="18"/>
      <c r="FJ355" s="18"/>
      <c r="FK355" s="18"/>
      <c r="FL355" s="18"/>
      <c r="FM355" s="18"/>
      <c r="FN355" s="18"/>
      <c r="FO355" s="18"/>
      <c r="FP355" s="18"/>
      <c r="FQ355" s="18"/>
      <c r="FR355" s="18"/>
      <c r="FS355" s="18"/>
      <c r="FT355" s="18"/>
      <c r="FU355" s="18"/>
      <c r="FV355" s="18"/>
      <c r="FW355" s="18"/>
      <c r="FX355" s="18"/>
      <c r="FY355" s="18"/>
      <c r="FZ355" s="18"/>
      <c r="GA355" s="18"/>
      <c r="GB355" s="18"/>
      <c r="GC355" s="18"/>
      <c r="GD355" s="18"/>
      <c r="GE355" s="18"/>
      <c r="GF355" s="18"/>
      <c r="GG355" s="18"/>
      <c r="GH355" s="18"/>
      <c r="GI355" s="18"/>
      <c r="GJ355" s="18"/>
      <c r="GK355" s="18"/>
      <c r="GL355" s="18"/>
      <c r="GM355" s="18"/>
      <c r="GN355" s="18"/>
      <c r="GO355" s="18"/>
      <c r="GP355" s="18"/>
      <c r="GQ355" s="18"/>
      <c r="GR355" s="18"/>
      <c r="GS355" s="18"/>
      <c r="GT355" s="18"/>
      <c r="GU355" s="18"/>
      <c r="GV355" s="18"/>
      <c r="GW355" s="18"/>
      <c r="GX355" s="18"/>
      <c r="GY355" s="18"/>
      <c r="GZ355" s="18"/>
      <c r="HA355" s="18"/>
      <c r="HB355" s="18"/>
      <c r="HC355" s="18"/>
      <c r="HD355" s="18"/>
      <c r="HE355" s="18"/>
      <c r="HF355" s="18"/>
      <c r="HG355" s="13"/>
      <c r="HH355" s="13"/>
      <c r="HI355" s="13"/>
      <c r="HJ355" s="13"/>
      <c r="HK355" s="13"/>
      <c r="HL355" s="13"/>
      <c r="HM355" s="13"/>
      <c r="HN355" s="13"/>
      <c r="HO355" s="13"/>
      <c r="HP355" s="13"/>
      <c r="HQ355" s="13"/>
      <c r="HR355" s="13"/>
      <c r="HS355" s="13"/>
      <c r="HT355" s="13"/>
      <c r="HV355" s="18"/>
      <c r="HW355" s="18"/>
      <c r="HX355" s="18"/>
      <c r="HY355" s="18"/>
      <c r="HZ355" s="18"/>
      <c r="IA355" s="18"/>
      <c r="IB355" s="18"/>
      <c r="IC355" s="18"/>
      <c r="ID355" s="18"/>
      <c r="IE355" s="18"/>
      <c r="IF355" s="18"/>
      <c r="IG355" s="18"/>
      <c r="IH355" s="18"/>
      <c r="II355" s="18"/>
      <c r="IJ355" s="18"/>
      <c r="IK355" s="18"/>
      <c r="IL355" s="18"/>
      <c r="IM355" s="18"/>
      <c r="IN355" s="18"/>
      <c r="IO355" s="18"/>
      <c r="IP355" s="18"/>
      <c r="IQ355" s="18"/>
      <c r="IR355" s="18"/>
      <c r="IS355" s="18"/>
      <c r="IT355" s="18"/>
      <c r="IU355" s="18"/>
      <c r="IV355" s="18"/>
      <c r="IW355" s="18"/>
      <c r="IX355" s="18"/>
      <c r="IY355" s="18"/>
      <c r="IZ355" s="18"/>
      <c r="JA355" s="18"/>
      <c r="JB355" s="18"/>
      <c r="JC355" s="18"/>
      <c r="JD355" s="18"/>
      <c r="JE355" s="18"/>
      <c r="JF355" s="18"/>
      <c r="JG355" s="18"/>
      <c r="JH355" s="18"/>
      <c r="JI355" s="18"/>
      <c r="JJ355" s="18"/>
      <c r="JK355" s="18"/>
      <c r="JL355" s="18"/>
      <c r="JM355" s="18"/>
      <c r="JN355" s="18"/>
      <c r="JO355" s="18"/>
      <c r="JP355" s="18"/>
      <c r="JQ355" s="18"/>
      <c r="JR355" s="18"/>
      <c r="JS355" s="18"/>
      <c r="JT355" s="18"/>
      <c r="JU355" s="18"/>
      <c r="JV355" s="18"/>
      <c r="JW355" s="18"/>
      <c r="JX355" s="18"/>
      <c r="JY355" s="18"/>
      <c r="JZ355" s="18"/>
      <c r="KA355" s="18"/>
      <c r="KB355" s="18"/>
      <c r="KC355" s="18"/>
      <c r="KD355" s="18"/>
      <c r="KE355" s="18"/>
      <c r="KF355" s="18"/>
      <c r="KG355" s="18"/>
      <c r="KH355" s="18"/>
      <c r="KI355" s="18"/>
      <c r="KJ355" s="18"/>
      <c r="KK355" s="18"/>
      <c r="KL355" s="18"/>
      <c r="KM355" s="18"/>
      <c r="KN355" s="18"/>
      <c r="KO355" s="18"/>
      <c r="KP355" s="18"/>
    </row>
    <row r="356" spans="1:302" ht="10.5" hidden="1" customHeight="1" outlineLevel="1">
      <c r="M356" s="136"/>
      <c r="N356" s="136"/>
      <c r="O356" s="136"/>
      <c r="P356" s="285"/>
      <c r="AN356" s="18"/>
      <c r="AT356" s="51"/>
      <c r="AU356" s="15"/>
      <c r="AV356" s="15"/>
      <c r="AW356" s="15"/>
      <c r="AX356" s="15"/>
      <c r="AY356" s="15"/>
      <c r="AZ356" s="15"/>
      <c r="BA356" s="51"/>
      <c r="BB356" s="15"/>
      <c r="BC356" s="15"/>
      <c r="BD356" s="15"/>
      <c r="BE356" s="15"/>
      <c r="BF356" s="15"/>
      <c r="BG356" s="51"/>
      <c r="BH356" s="15"/>
      <c r="BI356" s="15"/>
      <c r="BJ356" s="15"/>
      <c r="BK356" s="51"/>
      <c r="BL356" s="15"/>
      <c r="BM356" s="15"/>
      <c r="BN356" s="15"/>
      <c r="BO356" s="15"/>
      <c r="BP356" s="15"/>
      <c r="BQ356" s="18"/>
      <c r="BR356" s="18"/>
      <c r="BS356" s="18"/>
      <c r="BT356" s="18"/>
      <c r="BU356" s="18"/>
      <c r="BV356" s="18"/>
      <c r="BW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  <c r="FC356" s="18"/>
      <c r="FD356" s="18"/>
      <c r="FE356" s="18"/>
      <c r="FF356" s="18"/>
      <c r="FG356" s="18"/>
      <c r="FH356" s="18"/>
      <c r="FI356" s="18"/>
      <c r="FJ356" s="18"/>
      <c r="FK356" s="18"/>
      <c r="FL356" s="18"/>
      <c r="FM356" s="18"/>
      <c r="FN356" s="18"/>
      <c r="FO356" s="18"/>
      <c r="FP356" s="18"/>
      <c r="FQ356" s="18"/>
      <c r="FR356" s="18"/>
      <c r="FS356" s="18"/>
      <c r="FT356" s="18"/>
      <c r="FU356" s="18"/>
      <c r="FV356" s="18"/>
      <c r="FW356" s="18"/>
      <c r="FX356" s="18"/>
      <c r="FY356" s="18"/>
      <c r="FZ356" s="18"/>
      <c r="GA356" s="18"/>
      <c r="GB356" s="18"/>
      <c r="GC356" s="18"/>
      <c r="GD356" s="18"/>
      <c r="GE356" s="18"/>
      <c r="GF356" s="18"/>
      <c r="GG356" s="18"/>
      <c r="GH356" s="18"/>
      <c r="GI356" s="18"/>
      <c r="GJ356" s="18"/>
      <c r="GK356" s="18"/>
      <c r="GL356" s="18"/>
      <c r="GM356" s="18"/>
      <c r="GN356" s="18"/>
      <c r="GO356" s="18"/>
      <c r="GP356" s="18"/>
      <c r="GQ356" s="18"/>
      <c r="GR356" s="18"/>
      <c r="GS356" s="18"/>
      <c r="GT356" s="18"/>
      <c r="GU356" s="18"/>
      <c r="GV356" s="18"/>
      <c r="GW356" s="18"/>
      <c r="GX356" s="18"/>
      <c r="GY356" s="18"/>
      <c r="GZ356" s="18"/>
      <c r="HA356" s="18"/>
      <c r="HB356" s="18"/>
      <c r="HC356" s="18"/>
      <c r="HD356" s="18"/>
      <c r="HE356" s="18"/>
      <c r="HF356" s="18"/>
      <c r="HG356" s="13"/>
      <c r="HH356" s="13"/>
      <c r="HI356" s="13"/>
      <c r="HJ356" s="13"/>
      <c r="HK356" s="13"/>
      <c r="HL356" s="13"/>
      <c r="HM356" s="13"/>
      <c r="HN356" s="13"/>
      <c r="HO356" s="13"/>
      <c r="HP356" s="13"/>
      <c r="HQ356" s="13"/>
      <c r="HR356" s="13"/>
      <c r="HS356" s="13"/>
      <c r="HT356" s="13"/>
      <c r="HV356" s="18"/>
      <c r="HW356" s="18"/>
      <c r="HX356" s="18"/>
      <c r="HY356" s="18"/>
      <c r="HZ356" s="18"/>
      <c r="IA356" s="18"/>
      <c r="IB356" s="18"/>
      <c r="IC356" s="18"/>
      <c r="ID356" s="18"/>
      <c r="IE356" s="18"/>
      <c r="IF356" s="18"/>
      <c r="IG356" s="18"/>
      <c r="IH356" s="18"/>
      <c r="II356" s="18"/>
      <c r="IJ356" s="18"/>
      <c r="IK356" s="18"/>
      <c r="IL356" s="18"/>
      <c r="IM356" s="18"/>
      <c r="IN356" s="18"/>
      <c r="IO356" s="18"/>
      <c r="IP356" s="18"/>
      <c r="IQ356" s="18"/>
      <c r="IR356" s="18"/>
      <c r="IS356" s="18"/>
      <c r="IT356" s="18"/>
      <c r="IU356" s="18"/>
      <c r="IV356" s="18"/>
      <c r="IW356" s="18"/>
      <c r="IX356" s="18"/>
      <c r="IY356" s="18"/>
      <c r="IZ356" s="18"/>
      <c r="JA356" s="18"/>
      <c r="JB356" s="18"/>
      <c r="JC356" s="18"/>
      <c r="JD356" s="18"/>
      <c r="JE356" s="18"/>
      <c r="JF356" s="18"/>
      <c r="JG356" s="18"/>
      <c r="JH356" s="18"/>
      <c r="JI356" s="18"/>
      <c r="JJ356" s="18"/>
      <c r="JK356" s="18"/>
      <c r="JL356" s="18"/>
      <c r="JM356" s="18"/>
      <c r="JN356" s="18"/>
      <c r="JO356" s="18"/>
      <c r="JP356" s="18"/>
      <c r="JQ356" s="18"/>
      <c r="JR356" s="18"/>
      <c r="JS356" s="18"/>
      <c r="JT356" s="18"/>
      <c r="JU356" s="18"/>
      <c r="JV356" s="18"/>
      <c r="JW356" s="18"/>
      <c r="JX356" s="18"/>
      <c r="JY356" s="18"/>
      <c r="JZ356" s="18"/>
      <c r="KA356" s="18"/>
      <c r="KB356" s="18"/>
      <c r="KC356" s="18"/>
      <c r="KD356" s="18"/>
      <c r="KE356" s="18"/>
      <c r="KF356" s="18"/>
      <c r="KG356" s="18"/>
      <c r="KH356" s="18"/>
      <c r="KI356" s="18"/>
      <c r="KJ356" s="18"/>
      <c r="KK356" s="18"/>
      <c r="KL356" s="18"/>
      <c r="KM356" s="18"/>
      <c r="KN356" s="18"/>
      <c r="KO356" s="18"/>
      <c r="KP356" s="18"/>
    </row>
    <row r="357" spans="1:302" ht="11.1" hidden="1" customHeight="1" outlineLevel="1">
      <c r="M357" s="136"/>
      <c r="N357" s="136"/>
      <c r="O357" s="136"/>
      <c r="P357" s="199"/>
      <c r="AN357" s="18"/>
      <c r="AT357" s="51"/>
      <c r="AU357" s="15"/>
      <c r="AV357" s="15"/>
      <c r="AW357" s="15"/>
      <c r="AX357" s="15"/>
      <c r="AY357" s="15"/>
      <c r="AZ357" s="15"/>
      <c r="BA357" s="51"/>
      <c r="BB357" s="15"/>
      <c r="BC357" s="15"/>
      <c r="BD357" s="15"/>
      <c r="BE357" s="15"/>
      <c r="BF357" s="15"/>
      <c r="BG357" s="51"/>
      <c r="BH357" s="15"/>
      <c r="BI357" s="15"/>
      <c r="BJ357" s="15"/>
      <c r="BK357" s="51"/>
      <c r="BL357" s="15"/>
      <c r="BM357" s="15"/>
      <c r="BN357" s="15"/>
      <c r="BO357" s="15"/>
      <c r="BP357" s="15"/>
      <c r="BQ357" s="18"/>
      <c r="BR357" s="18"/>
      <c r="BS357" s="18"/>
      <c r="BT357" s="18"/>
      <c r="BU357" s="18"/>
      <c r="BV357" s="18"/>
      <c r="BW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  <c r="FC357" s="18"/>
      <c r="FD357" s="18"/>
      <c r="FE357" s="18"/>
      <c r="FF357" s="18"/>
      <c r="FG357" s="18"/>
      <c r="FH357" s="18"/>
      <c r="FI357" s="18"/>
      <c r="FJ357" s="18"/>
      <c r="FK357" s="18"/>
      <c r="FL357" s="18"/>
      <c r="FM357" s="18"/>
      <c r="FN357" s="18"/>
      <c r="FO357" s="18"/>
      <c r="FP357" s="18"/>
      <c r="FQ357" s="18"/>
      <c r="FR357" s="18"/>
      <c r="FS357" s="18"/>
      <c r="FT357" s="18"/>
      <c r="FU357" s="18"/>
      <c r="FV357" s="18"/>
      <c r="FW357" s="18"/>
      <c r="FX357" s="18"/>
      <c r="FY357" s="18"/>
      <c r="FZ357" s="18"/>
      <c r="GA357" s="18"/>
      <c r="GB357" s="18"/>
      <c r="GC357" s="18"/>
      <c r="GD357" s="18"/>
      <c r="GE357" s="18"/>
      <c r="GF357" s="18"/>
      <c r="GG357" s="18"/>
      <c r="GH357" s="18"/>
      <c r="GI357" s="18"/>
      <c r="GJ357" s="18"/>
      <c r="GK357" s="18"/>
      <c r="GL357" s="18"/>
      <c r="GM357" s="18"/>
      <c r="GN357" s="18"/>
      <c r="GO357" s="18"/>
      <c r="GP357" s="18"/>
      <c r="GQ357" s="18"/>
      <c r="GR357" s="18"/>
      <c r="GS357" s="18"/>
      <c r="GT357" s="18"/>
      <c r="GU357" s="18"/>
      <c r="GV357" s="18"/>
      <c r="GW357" s="18"/>
      <c r="GX357" s="18"/>
      <c r="GY357" s="18"/>
      <c r="GZ357" s="18"/>
      <c r="HA357" s="18"/>
      <c r="HB357" s="18"/>
      <c r="HC357" s="18"/>
      <c r="HD357" s="18"/>
      <c r="HE357" s="18"/>
      <c r="HF357" s="18"/>
      <c r="HG357" s="13"/>
      <c r="HH357" s="13"/>
      <c r="HI357" s="13"/>
      <c r="HJ357" s="13"/>
      <c r="HK357" s="13"/>
      <c r="HL357" s="13"/>
      <c r="HM357" s="13"/>
      <c r="HN357" s="13"/>
      <c r="HO357" s="13"/>
      <c r="HP357" s="13"/>
      <c r="HQ357" s="13"/>
      <c r="HR357" s="13"/>
      <c r="HS357" s="13"/>
      <c r="HT357" s="13"/>
      <c r="HV357" s="18"/>
      <c r="HW357" s="18"/>
      <c r="HX357" s="18"/>
      <c r="HY357" s="18"/>
      <c r="HZ357" s="18"/>
      <c r="IA357" s="18"/>
      <c r="IB357" s="18"/>
      <c r="IC357" s="18"/>
      <c r="ID357" s="18"/>
      <c r="IE357" s="18"/>
      <c r="IF357" s="18"/>
      <c r="IG357" s="18"/>
      <c r="IH357" s="18"/>
      <c r="II357" s="18"/>
      <c r="IJ357" s="18"/>
      <c r="IK357" s="18"/>
      <c r="IL357" s="18"/>
      <c r="IM357" s="18"/>
      <c r="IN357" s="18"/>
      <c r="IO357" s="18"/>
      <c r="IP357" s="18"/>
      <c r="IQ357" s="18"/>
      <c r="IR357" s="18"/>
      <c r="IS357" s="18"/>
      <c r="IT357" s="18"/>
      <c r="IU357" s="18"/>
      <c r="IV357" s="18"/>
      <c r="IW357" s="18"/>
      <c r="IX357" s="18"/>
      <c r="IY357" s="18"/>
      <c r="IZ357" s="18"/>
      <c r="JA357" s="18"/>
      <c r="JB357" s="18"/>
      <c r="JC357" s="18"/>
      <c r="JD357" s="18"/>
      <c r="JE357" s="18"/>
      <c r="JF357" s="18"/>
      <c r="JG357" s="18"/>
      <c r="JH357" s="18"/>
      <c r="JI357" s="18"/>
      <c r="JJ357" s="18"/>
      <c r="JK357" s="18"/>
      <c r="JL357" s="18"/>
      <c r="JM357" s="18"/>
      <c r="JN357" s="18"/>
      <c r="JO357" s="18"/>
      <c r="JP357" s="18"/>
      <c r="JQ357" s="18"/>
      <c r="JR357" s="18"/>
      <c r="JS357" s="18"/>
      <c r="JT357" s="18"/>
      <c r="JU357" s="18"/>
      <c r="JV357" s="18"/>
      <c r="JW357" s="18"/>
      <c r="JX357" s="18"/>
      <c r="JY357" s="18"/>
      <c r="JZ357" s="18"/>
      <c r="KA357" s="18"/>
      <c r="KB357" s="18"/>
      <c r="KC357" s="18"/>
      <c r="KD357" s="18"/>
      <c r="KE357" s="18"/>
      <c r="KF357" s="18"/>
      <c r="KG357" s="18"/>
      <c r="KH357" s="18"/>
      <c r="KI357" s="18"/>
      <c r="KJ357" s="18"/>
      <c r="KK357" s="18"/>
      <c r="KL357" s="18"/>
      <c r="KM357" s="18"/>
      <c r="KN357" s="18"/>
      <c r="KO357" s="18"/>
      <c r="KP357" s="18"/>
    </row>
    <row r="358" spans="1:302" ht="11.1" hidden="1" customHeight="1" outlineLevel="1">
      <c r="M358" s="136"/>
      <c r="N358" s="136"/>
      <c r="O358" s="136"/>
      <c r="P358" s="282"/>
      <c r="AN358" s="18"/>
      <c r="AT358" s="51"/>
      <c r="AU358" s="15"/>
      <c r="AV358" s="15"/>
      <c r="AW358" s="15"/>
      <c r="AX358" s="15"/>
      <c r="AY358" s="15"/>
      <c r="AZ358" s="15"/>
      <c r="BA358" s="51"/>
      <c r="BB358" s="15"/>
      <c r="BC358" s="15"/>
      <c r="BD358" s="15"/>
      <c r="BE358" s="15"/>
      <c r="BF358" s="15"/>
      <c r="BG358" s="51"/>
      <c r="BH358" s="15"/>
      <c r="BI358" s="15"/>
      <c r="BJ358" s="15"/>
      <c r="BK358" s="51"/>
      <c r="BL358" s="15"/>
      <c r="BM358" s="15"/>
      <c r="BN358" s="15"/>
      <c r="BO358" s="15"/>
      <c r="BP358" s="15"/>
      <c r="BQ358" s="18"/>
      <c r="BR358" s="18"/>
      <c r="BS358" s="18"/>
      <c r="BT358" s="18"/>
      <c r="BU358" s="18"/>
      <c r="BV358" s="18"/>
      <c r="BW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  <c r="FR358" s="18"/>
      <c r="FS358" s="18"/>
      <c r="FT358" s="18"/>
      <c r="FU358" s="18"/>
      <c r="FV358" s="18"/>
      <c r="FW358" s="18"/>
      <c r="FX358" s="18"/>
      <c r="FY358" s="18"/>
      <c r="FZ358" s="18"/>
      <c r="GA358" s="18"/>
      <c r="GB358" s="18"/>
      <c r="GC358" s="18"/>
      <c r="GD358" s="18"/>
      <c r="GE358" s="18"/>
      <c r="GF358" s="18"/>
      <c r="GG358" s="18"/>
      <c r="GH358" s="18"/>
      <c r="GI358" s="18"/>
      <c r="GJ358" s="18"/>
      <c r="GK358" s="18"/>
      <c r="GL358" s="18"/>
      <c r="GM358" s="18"/>
      <c r="GN358" s="18"/>
      <c r="GO358" s="18"/>
      <c r="GP358" s="18"/>
      <c r="GQ358" s="18"/>
      <c r="GR358" s="18"/>
      <c r="GS358" s="18"/>
      <c r="GT358" s="18"/>
      <c r="GU358" s="18"/>
      <c r="GV358" s="18"/>
      <c r="GW358" s="18"/>
      <c r="GX358" s="18"/>
      <c r="GY358" s="18"/>
      <c r="GZ358" s="18"/>
      <c r="HA358" s="18"/>
      <c r="HB358" s="18"/>
      <c r="HC358" s="18"/>
      <c r="HD358" s="18"/>
      <c r="HE358" s="18"/>
      <c r="HF358" s="18"/>
      <c r="HG358" s="13"/>
      <c r="HH358" s="13"/>
      <c r="HI358" s="13"/>
      <c r="HJ358" s="13"/>
      <c r="HK358" s="13"/>
      <c r="HL358" s="13"/>
      <c r="HM358" s="13"/>
      <c r="HN358" s="13"/>
      <c r="HO358" s="13"/>
      <c r="HP358" s="13"/>
      <c r="HQ358" s="13"/>
      <c r="HR358" s="13"/>
      <c r="HS358" s="13"/>
      <c r="HT358" s="13"/>
      <c r="HV358" s="18"/>
      <c r="HW358" s="18"/>
      <c r="HX358" s="18"/>
      <c r="HY358" s="18"/>
      <c r="HZ358" s="18"/>
      <c r="IA358" s="18"/>
      <c r="IB358" s="18"/>
      <c r="IC358" s="18"/>
      <c r="ID358" s="18"/>
      <c r="IE358" s="18"/>
      <c r="IF358" s="18"/>
      <c r="IG358" s="18"/>
      <c r="IH358" s="18"/>
      <c r="II358" s="18"/>
      <c r="IJ358" s="18"/>
      <c r="IK358" s="18"/>
      <c r="IL358" s="18"/>
      <c r="IM358" s="18"/>
      <c r="IN358" s="18"/>
      <c r="IO358" s="18"/>
      <c r="IP358" s="18"/>
      <c r="IQ358" s="18"/>
      <c r="IR358" s="18"/>
      <c r="IS358" s="18"/>
      <c r="IT358" s="18"/>
      <c r="IU358" s="18"/>
      <c r="IV358" s="18"/>
      <c r="IW358" s="18"/>
      <c r="IX358" s="18"/>
      <c r="IY358" s="18"/>
      <c r="IZ358" s="18"/>
      <c r="JA358" s="18"/>
      <c r="JB358" s="18"/>
      <c r="JC358" s="18"/>
      <c r="JD358" s="18"/>
      <c r="JE358" s="18"/>
      <c r="JF358" s="18"/>
      <c r="JG358" s="18"/>
      <c r="JH358" s="18"/>
      <c r="JI358" s="18"/>
      <c r="JJ358" s="18"/>
      <c r="JK358" s="18"/>
      <c r="JL358" s="18"/>
      <c r="JM358" s="18"/>
      <c r="JN358" s="18"/>
      <c r="JO358" s="18"/>
      <c r="JP358" s="18"/>
      <c r="JQ358" s="18"/>
      <c r="JR358" s="18"/>
      <c r="JS358" s="18"/>
      <c r="JT358" s="18"/>
      <c r="JU358" s="18"/>
      <c r="JV358" s="18"/>
      <c r="JW358" s="18"/>
      <c r="JX358" s="18"/>
      <c r="JY358" s="18"/>
      <c r="JZ358" s="18"/>
      <c r="KA358" s="18"/>
      <c r="KB358" s="18"/>
      <c r="KC358" s="18"/>
      <c r="KD358" s="18"/>
      <c r="KE358" s="18"/>
      <c r="KF358" s="18"/>
      <c r="KG358" s="18"/>
      <c r="KH358" s="18"/>
      <c r="KI358" s="18"/>
      <c r="KJ358" s="18"/>
      <c r="KK358" s="18"/>
      <c r="KL358" s="18"/>
      <c r="KM358" s="18"/>
      <c r="KN358" s="18"/>
      <c r="KO358" s="18"/>
      <c r="KP358" s="18"/>
    </row>
    <row r="359" spans="1:302" ht="11.1" hidden="1" customHeight="1" outlineLevel="1">
      <c r="M359" s="136"/>
      <c r="N359" s="136"/>
      <c r="O359" s="136"/>
      <c r="P359" s="283"/>
      <c r="AF359" s="18"/>
      <c r="AG359" s="144"/>
      <c r="AH359" s="144"/>
      <c r="AI359" s="248"/>
      <c r="AJ359" s="144"/>
      <c r="AK359" s="247"/>
      <c r="AL359" s="18"/>
      <c r="AM359" s="18"/>
      <c r="AN359" s="18"/>
      <c r="AT359" s="51"/>
      <c r="AU359" s="15"/>
      <c r="AV359" s="15"/>
      <c r="AW359" s="15"/>
      <c r="AX359" s="15"/>
      <c r="AY359" s="15"/>
      <c r="AZ359" s="15"/>
      <c r="BA359" s="51"/>
      <c r="BB359" s="15"/>
      <c r="BC359" s="15"/>
      <c r="BD359" s="15"/>
      <c r="BE359" s="15"/>
      <c r="BF359" s="15"/>
      <c r="BG359" s="51"/>
      <c r="BH359" s="15"/>
      <c r="BI359" s="15"/>
      <c r="BJ359" s="15"/>
      <c r="BK359" s="51"/>
      <c r="BL359" s="15"/>
      <c r="BM359" s="15"/>
      <c r="BN359" s="15"/>
      <c r="BO359" s="15"/>
      <c r="BP359" s="15"/>
      <c r="BQ359" s="18"/>
      <c r="BR359" s="18"/>
      <c r="BS359" s="18"/>
      <c r="BT359" s="18"/>
      <c r="BU359" s="18"/>
      <c r="BV359" s="18"/>
      <c r="BW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  <c r="FC359" s="18"/>
      <c r="FD359" s="18"/>
      <c r="FE359" s="18"/>
      <c r="FF359" s="18"/>
      <c r="FG359" s="18"/>
      <c r="FH359" s="18"/>
      <c r="FI359" s="18"/>
      <c r="FJ359" s="18"/>
      <c r="FK359" s="18"/>
      <c r="FL359" s="18"/>
      <c r="FM359" s="18"/>
      <c r="FN359" s="18"/>
      <c r="FO359" s="18"/>
      <c r="FP359" s="18"/>
      <c r="FQ359" s="18"/>
      <c r="FR359" s="18"/>
      <c r="FS359" s="18"/>
      <c r="FT359" s="18"/>
      <c r="FU359" s="18"/>
      <c r="FV359" s="18"/>
      <c r="FW359" s="18"/>
      <c r="FX359" s="18"/>
      <c r="FY359" s="18"/>
      <c r="FZ359" s="18"/>
      <c r="GA359" s="18"/>
      <c r="GB359" s="18"/>
      <c r="GC359" s="18"/>
      <c r="GD359" s="18"/>
      <c r="GE359" s="18"/>
      <c r="GF359" s="18"/>
      <c r="GG359" s="18"/>
      <c r="GH359" s="18"/>
      <c r="GI359" s="18"/>
      <c r="GJ359" s="18"/>
      <c r="GK359" s="18"/>
      <c r="GL359" s="18"/>
      <c r="GM359" s="18"/>
      <c r="GN359" s="18"/>
      <c r="GO359" s="18"/>
      <c r="GP359" s="18"/>
      <c r="GQ359" s="18"/>
      <c r="GR359" s="18"/>
      <c r="GS359" s="18"/>
      <c r="GT359" s="18"/>
      <c r="GU359" s="18"/>
      <c r="GV359" s="18"/>
      <c r="GW359" s="18"/>
      <c r="GX359" s="18"/>
      <c r="GY359" s="18"/>
      <c r="GZ359" s="18"/>
      <c r="HA359" s="18"/>
      <c r="HB359" s="18"/>
      <c r="HC359" s="18"/>
      <c r="HD359" s="18"/>
      <c r="HE359" s="18"/>
      <c r="HF359" s="18"/>
      <c r="HG359" s="13"/>
      <c r="HH359" s="13"/>
      <c r="HI359" s="13"/>
      <c r="HJ359" s="13"/>
      <c r="HK359" s="13"/>
      <c r="HL359" s="13"/>
      <c r="HM359" s="13"/>
      <c r="HN359" s="13"/>
      <c r="HO359" s="13"/>
      <c r="HP359" s="13"/>
      <c r="HQ359" s="13"/>
      <c r="HR359" s="13"/>
      <c r="HS359" s="13"/>
      <c r="HT359" s="13"/>
      <c r="HV359" s="18"/>
      <c r="HW359" s="18"/>
      <c r="HX359" s="18"/>
      <c r="HY359" s="18"/>
      <c r="HZ359" s="18"/>
      <c r="IA359" s="18"/>
      <c r="IB359" s="18"/>
      <c r="IC359" s="18"/>
      <c r="ID359" s="18"/>
      <c r="IE359" s="18"/>
      <c r="IF359" s="18"/>
      <c r="IG359" s="18"/>
      <c r="IH359" s="18"/>
      <c r="II359" s="18"/>
      <c r="IJ359" s="18"/>
      <c r="IK359" s="18"/>
      <c r="IL359" s="18"/>
      <c r="IM359" s="18"/>
      <c r="IN359" s="18"/>
      <c r="IO359" s="18"/>
      <c r="IP359" s="18"/>
      <c r="IQ359" s="18"/>
      <c r="IR359" s="18"/>
      <c r="IS359" s="18"/>
      <c r="IT359" s="18"/>
      <c r="IU359" s="18"/>
      <c r="IV359" s="18"/>
      <c r="IW359" s="18"/>
      <c r="IX359" s="18"/>
      <c r="IY359" s="18"/>
      <c r="IZ359" s="18"/>
      <c r="JA359" s="18"/>
      <c r="JB359" s="18"/>
      <c r="JC359" s="18"/>
      <c r="JD359" s="18"/>
      <c r="JE359" s="18"/>
      <c r="JF359" s="18"/>
      <c r="JG359" s="18"/>
      <c r="JH359" s="18"/>
      <c r="JI359" s="18"/>
      <c r="JJ359" s="18"/>
      <c r="JK359" s="18"/>
      <c r="JL359" s="18"/>
      <c r="JM359" s="18"/>
      <c r="JN359" s="18"/>
      <c r="JO359" s="18"/>
      <c r="JP359" s="18"/>
      <c r="JQ359" s="18"/>
      <c r="JR359" s="18"/>
      <c r="JS359" s="18"/>
      <c r="JT359" s="18"/>
      <c r="JU359" s="18"/>
      <c r="JV359" s="18"/>
      <c r="JW359" s="18"/>
      <c r="JX359" s="18"/>
      <c r="JY359" s="18"/>
      <c r="JZ359" s="18"/>
      <c r="KA359" s="18"/>
      <c r="KB359" s="18"/>
      <c r="KC359" s="18"/>
      <c r="KD359" s="18"/>
      <c r="KE359" s="18"/>
      <c r="KF359" s="18"/>
      <c r="KG359" s="18"/>
      <c r="KH359" s="18"/>
      <c r="KI359" s="18"/>
      <c r="KJ359" s="18"/>
      <c r="KK359" s="18"/>
      <c r="KL359" s="18"/>
      <c r="KM359" s="18"/>
      <c r="KN359" s="18"/>
      <c r="KO359" s="18"/>
      <c r="KP359" s="18"/>
    </row>
    <row r="360" spans="1:302" ht="10.5" hidden="1" customHeight="1" outlineLevel="1">
      <c r="M360" s="136"/>
      <c r="N360" s="136"/>
      <c r="O360" s="136"/>
      <c r="P360" s="284"/>
      <c r="Y360" s="14"/>
      <c r="Z360" s="14"/>
      <c r="AN360" s="18"/>
      <c r="AT360" s="51"/>
      <c r="AU360" s="15"/>
      <c r="AV360" s="15"/>
      <c r="AW360" s="15"/>
      <c r="AX360" s="15"/>
      <c r="AY360" s="15"/>
      <c r="AZ360" s="15"/>
      <c r="BA360" s="51"/>
      <c r="BB360" s="15"/>
      <c r="BC360" s="15"/>
      <c r="BD360" s="15"/>
      <c r="BE360" s="15"/>
      <c r="BF360" s="15"/>
      <c r="BG360" s="51"/>
      <c r="BH360" s="15"/>
      <c r="BI360" s="15"/>
      <c r="BJ360" s="15"/>
      <c r="BK360" s="51"/>
      <c r="BL360" s="15"/>
      <c r="BM360" s="15"/>
      <c r="BN360" s="15"/>
      <c r="BO360" s="15"/>
      <c r="BP360" s="15"/>
      <c r="BQ360" s="18"/>
      <c r="BR360" s="18"/>
      <c r="BS360" s="18"/>
      <c r="BT360" s="18"/>
      <c r="BU360" s="18"/>
      <c r="BV360" s="18"/>
      <c r="BW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  <c r="FC360" s="18"/>
      <c r="FD360" s="18"/>
      <c r="FE360" s="18"/>
      <c r="FF360" s="18"/>
      <c r="FG360" s="18"/>
      <c r="FH360" s="18"/>
      <c r="FI360" s="18"/>
      <c r="FJ360" s="18"/>
      <c r="FK360" s="18"/>
      <c r="FL360" s="18"/>
      <c r="FM360" s="18"/>
      <c r="FN360" s="18"/>
      <c r="FO360" s="18"/>
      <c r="FP360" s="18"/>
      <c r="FQ360" s="18"/>
      <c r="FR360" s="18"/>
      <c r="FS360" s="18"/>
      <c r="FT360" s="18"/>
      <c r="FU360" s="18"/>
      <c r="FV360" s="18"/>
      <c r="FW360" s="18"/>
      <c r="FX360" s="18"/>
      <c r="FY360" s="18"/>
      <c r="FZ360" s="18"/>
      <c r="GA360" s="18"/>
      <c r="GB360" s="18"/>
      <c r="GC360" s="18"/>
      <c r="GD360" s="18"/>
      <c r="GE360" s="18"/>
      <c r="GF360" s="18"/>
      <c r="GG360" s="18"/>
      <c r="GH360" s="18"/>
      <c r="GI360" s="18"/>
      <c r="GJ360" s="18"/>
      <c r="GK360" s="18"/>
      <c r="GL360" s="18"/>
      <c r="GM360" s="18"/>
      <c r="GN360" s="18"/>
      <c r="GO360" s="18"/>
      <c r="GP360" s="18"/>
      <c r="GQ360" s="18"/>
      <c r="GR360" s="18"/>
      <c r="GS360" s="18"/>
      <c r="GT360" s="18"/>
      <c r="GU360" s="18"/>
      <c r="GV360" s="18"/>
      <c r="GW360" s="18"/>
      <c r="GX360" s="18"/>
      <c r="GY360" s="18"/>
      <c r="GZ360" s="18"/>
      <c r="HA360" s="18"/>
      <c r="HB360" s="18"/>
      <c r="HC360" s="18"/>
      <c r="HD360" s="18"/>
      <c r="HE360" s="18"/>
      <c r="HF360" s="18"/>
      <c r="HG360" s="13"/>
      <c r="HH360" s="13"/>
      <c r="HI360" s="13"/>
      <c r="HJ360" s="13"/>
      <c r="HK360" s="13"/>
      <c r="HL360" s="13"/>
      <c r="HM360" s="13"/>
      <c r="HN360" s="13"/>
      <c r="HO360" s="13"/>
      <c r="HP360" s="13"/>
      <c r="HQ360" s="13"/>
      <c r="HR360" s="13"/>
      <c r="HS360" s="13"/>
      <c r="HT360" s="13"/>
      <c r="HV360" s="18"/>
      <c r="HW360" s="18"/>
      <c r="HX360" s="18"/>
      <c r="HY360" s="18"/>
      <c r="HZ360" s="18"/>
      <c r="IA360" s="18"/>
      <c r="IB360" s="18"/>
      <c r="IC360" s="18"/>
      <c r="ID360" s="18"/>
      <c r="IE360" s="18"/>
      <c r="IF360" s="18"/>
      <c r="IG360" s="18"/>
      <c r="IH360" s="18"/>
      <c r="II360" s="18"/>
      <c r="IJ360" s="18"/>
      <c r="IK360" s="18"/>
      <c r="IL360" s="18"/>
      <c r="IM360" s="18"/>
      <c r="IN360" s="18"/>
      <c r="IO360" s="18"/>
      <c r="IP360" s="18"/>
      <c r="IQ360" s="18"/>
      <c r="IR360" s="18"/>
      <c r="IS360" s="18"/>
      <c r="IT360" s="18"/>
      <c r="IU360" s="18"/>
      <c r="IV360" s="18"/>
      <c r="IW360" s="18"/>
      <c r="IX360" s="18"/>
      <c r="IY360" s="18"/>
      <c r="IZ360" s="18"/>
      <c r="JA360" s="18"/>
      <c r="JB360" s="18"/>
      <c r="JC360" s="18"/>
      <c r="JD360" s="18"/>
      <c r="JE360" s="18"/>
      <c r="JF360" s="18"/>
      <c r="JG360" s="18"/>
      <c r="JH360" s="18"/>
      <c r="JI360" s="18"/>
      <c r="JJ360" s="18"/>
      <c r="JK360" s="18"/>
      <c r="JL360" s="18"/>
      <c r="JM360" s="18"/>
      <c r="JN360" s="18"/>
      <c r="JO360" s="18"/>
      <c r="JP360" s="18"/>
      <c r="JQ360" s="18"/>
      <c r="JR360" s="18"/>
      <c r="JS360" s="18"/>
      <c r="JT360" s="18"/>
      <c r="JU360" s="18"/>
      <c r="JV360" s="18"/>
      <c r="JW360" s="18"/>
      <c r="JX360" s="18"/>
      <c r="JY360" s="18"/>
      <c r="JZ360" s="18"/>
      <c r="KA360" s="18"/>
      <c r="KB360" s="18"/>
      <c r="KC360" s="18"/>
      <c r="KD360" s="18"/>
      <c r="KE360" s="18"/>
      <c r="KF360" s="18"/>
      <c r="KG360" s="18"/>
      <c r="KH360" s="18"/>
      <c r="KI360" s="18"/>
      <c r="KJ360" s="18"/>
      <c r="KK360" s="18"/>
      <c r="KL360" s="18"/>
      <c r="KM360" s="18"/>
      <c r="KN360" s="18"/>
      <c r="KO360" s="18"/>
      <c r="KP360" s="18"/>
    </row>
    <row r="361" spans="1:302" ht="11.1" hidden="1" customHeight="1" outlineLevel="1">
      <c r="M361" s="136"/>
      <c r="N361" s="136"/>
      <c r="O361" s="136"/>
      <c r="P361" s="39">
        <v>9.2200000000000006</v>
      </c>
      <c r="Y361" s="14"/>
      <c r="Z361" s="14"/>
      <c r="AN361" s="18"/>
      <c r="AT361" s="51"/>
      <c r="AU361" s="15"/>
      <c r="AV361" s="15"/>
      <c r="AW361" s="15"/>
      <c r="AX361" s="15"/>
      <c r="AY361" s="15"/>
      <c r="AZ361" s="15"/>
      <c r="BA361" s="51"/>
      <c r="BB361" s="15"/>
      <c r="BC361" s="15"/>
      <c r="BD361" s="15"/>
      <c r="BE361" s="15"/>
      <c r="BF361" s="15"/>
      <c r="BG361" s="51"/>
      <c r="BH361" s="15"/>
      <c r="BI361" s="15"/>
      <c r="BJ361" s="15"/>
      <c r="BK361" s="51"/>
      <c r="BL361" s="15"/>
      <c r="BM361" s="15"/>
      <c r="BN361" s="15"/>
      <c r="BO361" s="15"/>
      <c r="BP361" s="15"/>
      <c r="BQ361" s="18"/>
      <c r="BR361" s="18"/>
      <c r="BS361" s="18"/>
      <c r="BT361" s="18"/>
      <c r="BU361" s="18"/>
      <c r="BV361" s="18"/>
      <c r="BW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  <c r="FC361" s="18"/>
      <c r="FD361" s="18"/>
      <c r="FE361" s="18"/>
      <c r="FF361" s="18"/>
      <c r="FG361" s="18"/>
      <c r="FH361" s="18"/>
      <c r="FI361" s="18"/>
      <c r="FJ361" s="18"/>
      <c r="FK361" s="18"/>
      <c r="FL361" s="18"/>
      <c r="FM361" s="18"/>
      <c r="FN361" s="18"/>
      <c r="FO361" s="18"/>
      <c r="FP361" s="18"/>
      <c r="FQ361" s="18"/>
      <c r="FR361" s="18"/>
      <c r="FS361" s="18"/>
      <c r="FT361" s="18"/>
      <c r="FU361" s="18"/>
      <c r="FV361" s="18"/>
      <c r="FW361" s="18"/>
      <c r="FX361" s="18"/>
      <c r="FY361" s="18"/>
      <c r="FZ361" s="18"/>
      <c r="GA361" s="18"/>
      <c r="GB361" s="18"/>
      <c r="GC361" s="18"/>
      <c r="GD361" s="18"/>
      <c r="GE361" s="18"/>
      <c r="GF361" s="18"/>
      <c r="GG361" s="18"/>
      <c r="GH361" s="18"/>
      <c r="GI361" s="18"/>
      <c r="GJ361" s="18"/>
      <c r="GK361" s="18"/>
      <c r="GL361" s="18"/>
      <c r="GM361" s="18"/>
      <c r="GN361" s="18"/>
      <c r="GO361" s="18"/>
      <c r="GP361" s="18"/>
      <c r="GQ361" s="18"/>
      <c r="GR361" s="18"/>
      <c r="GS361" s="18"/>
      <c r="GT361" s="18"/>
      <c r="GU361" s="18"/>
      <c r="GV361" s="18"/>
      <c r="GW361" s="18"/>
      <c r="GX361" s="18"/>
      <c r="GY361" s="18"/>
      <c r="GZ361" s="18"/>
      <c r="HA361" s="18"/>
      <c r="HB361" s="18"/>
      <c r="HC361" s="18"/>
      <c r="HD361" s="18"/>
      <c r="HE361" s="18"/>
      <c r="HF361" s="18"/>
      <c r="HG361" s="13"/>
      <c r="HH361" s="13"/>
      <c r="HI361" s="13"/>
      <c r="HJ361" s="13"/>
      <c r="HK361" s="13"/>
      <c r="HL361" s="13"/>
      <c r="HM361" s="13"/>
      <c r="HN361" s="13"/>
      <c r="HO361" s="13"/>
      <c r="HP361" s="13"/>
      <c r="HQ361" s="13"/>
      <c r="HR361" s="13"/>
      <c r="HS361" s="13"/>
      <c r="HT361" s="13"/>
      <c r="HV361" s="18"/>
      <c r="HW361" s="18"/>
      <c r="HX361" s="18"/>
      <c r="HY361" s="18"/>
      <c r="HZ361" s="18"/>
      <c r="IA361" s="18"/>
      <c r="IB361" s="18"/>
      <c r="IC361" s="18"/>
      <c r="ID361" s="18"/>
      <c r="IE361" s="18"/>
      <c r="IF361" s="18"/>
      <c r="IG361" s="18"/>
      <c r="IH361" s="18"/>
      <c r="II361" s="18"/>
      <c r="IJ361" s="18"/>
      <c r="IK361" s="18"/>
      <c r="IL361" s="18"/>
      <c r="IM361" s="18"/>
      <c r="IN361" s="18"/>
      <c r="IO361" s="18"/>
      <c r="IP361" s="18"/>
      <c r="IQ361" s="18"/>
      <c r="IR361" s="18"/>
      <c r="IS361" s="18"/>
      <c r="IT361" s="18"/>
      <c r="IU361" s="18"/>
      <c r="IV361" s="18"/>
      <c r="IW361" s="18"/>
      <c r="IX361" s="18"/>
      <c r="IY361" s="18"/>
      <c r="IZ361" s="18"/>
      <c r="JA361" s="18"/>
      <c r="JB361" s="18"/>
      <c r="JC361" s="18"/>
      <c r="JD361" s="18"/>
      <c r="JE361" s="18"/>
      <c r="JF361" s="18"/>
      <c r="JG361" s="18"/>
      <c r="JH361" s="18"/>
      <c r="JI361" s="18"/>
      <c r="JJ361" s="18"/>
      <c r="JK361" s="18"/>
      <c r="JL361" s="18"/>
      <c r="JM361" s="18"/>
      <c r="JN361" s="18"/>
      <c r="JO361" s="18"/>
      <c r="JP361" s="18"/>
      <c r="JQ361" s="18"/>
      <c r="JR361" s="18"/>
      <c r="JS361" s="18"/>
      <c r="JT361" s="18"/>
      <c r="JU361" s="18"/>
      <c r="JV361" s="18"/>
      <c r="JW361" s="18"/>
      <c r="JX361" s="18"/>
      <c r="JY361" s="18"/>
      <c r="JZ361" s="18"/>
      <c r="KA361" s="18"/>
      <c r="KB361" s="18"/>
      <c r="KC361" s="18"/>
      <c r="KD361" s="18"/>
      <c r="KE361" s="18"/>
      <c r="KF361" s="18"/>
      <c r="KG361" s="18"/>
      <c r="KH361" s="18"/>
      <c r="KI361" s="18"/>
      <c r="KJ361" s="18"/>
      <c r="KK361" s="18"/>
      <c r="KL361" s="18"/>
      <c r="KM361" s="18"/>
      <c r="KN361" s="18"/>
      <c r="KO361" s="18"/>
      <c r="KP361" s="18"/>
    </row>
    <row r="362" spans="1:302" ht="5.0999999999999996" hidden="1" customHeight="1" outlineLevel="1" collapsed="1">
      <c r="M362" s="136"/>
      <c r="N362" s="136"/>
      <c r="O362" s="136"/>
      <c r="P362" s="284">
        <v>9.23</v>
      </c>
      <c r="Y362" s="14"/>
      <c r="Z362" s="14"/>
      <c r="AN362" s="18"/>
      <c r="AT362" s="51"/>
      <c r="AU362" s="15"/>
      <c r="AV362" s="15"/>
      <c r="AW362" s="15"/>
      <c r="AX362" s="15"/>
      <c r="AY362" s="15"/>
      <c r="AZ362" s="15"/>
      <c r="BA362" s="51"/>
      <c r="BB362" s="15"/>
      <c r="BC362" s="15"/>
      <c r="BD362" s="15"/>
      <c r="BE362" s="15"/>
      <c r="BF362" s="15"/>
      <c r="BG362" s="51"/>
      <c r="BH362" s="15"/>
      <c r="BI362" s="15"/>
      <c r="BJ362" s="15"/>
      <c r="BK362" s="51"/>
      <c r="BL362" s="15"/>
      <c r="BM362" s="15"/>
      <c r="BN362" s="15"/>
      <c r="BO362" s="15"/>
      <c r="BP362" s="15"/>
      <c r="BQ362" s="18"/>
      <c r="BR362" s="18"/>
      <c r="BS362" s="18"/>
      <c r="BT362" s="18"/>
      <c r="BU362" s="18"/>
      <c r="BV362" s="18"/>
      <c r="BW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  <c r="FC362" s="18"/>
      <c r="FD362" s="18"/>
      <c r="FE362" s="18"/>
      <c r="FF362" s="18"/>
      <c r="FG362" s="18"/>
      <c r="FH362" s="18"/>
      <c r="FI362" s="18"/>
      <c r="FJ362" s="18"/>
      <c r="FK362" s="18"/>
      <c r="FL362" s="18"/>
      <c r="FM362" s="18"/>
      <c r="FN362" s="18"/>
      <c r="FO362" s="18"/>
      <c r="FP362" s="18"/>
      <c r="FQ362" s="18"/>
      <c r="FR362" s="18"/>
      <c r="FS362" s="18"/>
      <c r="FT362" s="18"/>
      <c r="FU362" s="18"/>
      <c r="FV362" s="18"/>
      <c r="FW362" s="18"/>
      <c r="FX362" s="18"/>
      <c r="FY362" s="18"/>
      <c r="FZ362" s="18"/>
      <c r="GA362" s="18"/>
      <c r="GB362" s="18"/>
      <c r="GC362" s="18"/>
      <c r="GD362" s="18"/>
      <c r="GE362" s="18"/>
      <c r="GF362" s="18"/>
      <c r="GG362" s="18"/>
      <c r="GH362" s="18"/>
      <c r="GI362" s="18"/>
      <c r="GJ362" s="18"/>
      <c r="GK362" s="18"/>
      <c r="GL362" s="18"/>
      <c r="GM362" s="18"/>
      <c r="GN362" s="18"/>
      <c r="GO362" s="18"/>
      <c r="GP362" s="18"/>
      <c r="GQ362" s="18"/>
      <c r="GR362" s="18"/>
      <c r="GS362" s="18"/>
      <c r="GT362" s="18"/>
      <c r="GU362" s="18"/>
      <c r="GV362" s="18"/>
      <c r="GW362" s="18"/>
      <c r="GX362" s="18"/>
      <c r="GY362" s="18"/>
      <c r="GZ362" s="18"/>
      <c r="HA362" s="18"/>
      <c r="HB362" s="18"/>
      <c r="HC362" s="18"/>
      <c r="HD362" s="18"/>
      <c r="HE362" s="18"/>
      <c r="HF362" s="18"/>
      <c r="HG362" s="13"/>
      <c r="HH362" s="13"/>
      <c r="HI362" s="13"/>
      <c r="HJ362" s="13"/>
      <c r="HK362" s="13"/>
      <c r="HL362" s="13"/>
      <c r="HM362" s="13"/>
      <c r="HN362" s="13"/>
      <c r="HO362" s="13"/>
      <c r="HP362" s="13"/>
      <c r="HQ362" s="13"/>
      <c r="HR362" s="13"/>
      <c r="HS362" s="13"/>
      <c r="HT362" s="13"/>
      <c r="HV362" s="18"/>
      <c r="HW362" s="18"/>
      <c r="HX362" s="18"/>
      <c r="HY362" s="18"/>
      <c r="HZ362" s="18"/>
      <c r="IA362" s="18"/>
      <c r="IB362" s="18"/>
      <c r="IC362" s="18"/>
      <c r="ID362" s="18"/>
      <c r="IE362" s="18"/>
      <c r="IF362" s="18"/>
      <c r="IG362" s="18"/>
      <c r="IH362" s="18"/>
      <c r="II362" s="18"/>
      <c r="IJ362" s="18"/>
      <c r="IK362" s="18"/>
      <c r="IL362" s="18"/>
      <c r="IM362" s="18"/>
      <c r="IN362" s="18"/>
      <c r="IO362" s="18"/>
      <c r="IP362" s="18"/>
      <c r="IQ362" s="18"/>
      <c r="IR362" s="18"/>
      <c r="IS362" s="18"/>
      <c r="IT362" s="18"/>
      <c r="IU362" s="18"/>
      <c r="IV362" s="18"/>
      <c r="IW362" s="18"/>
      <c r="IX362" s="18"/>
      <c r="IY362" s="18"/>
      <c r="IZ362" s="18"/>
      <c r="JA362" s="18"/>
      <c r="JB362" s="18"/>
      <c r="JC362" s="18"/>
      <c r="JD362" s="18"/>
      <c r="JE362" s="18"/>
      <c r="JF362" s="18"/>
      <c r="JG362" s="18"/>
      <c r="JH362" s="18"/>
      <c r="JI362" s="18"/>
      <c r="JJ362" s="18"/>
      <c r="JK362" s="18"/>
      <c r="JL362" s="18"/>
      <c r="JM362" s="18"/>
      <c r="JN362" s="18"/>
      <c r="JO362" s="18"/>
      <c r="JP362" s="18"/>
      <c r="JQ362" s="18"/>
      <c r="JR362" s="18"/>
      <c r="JS362" s="18"/>
      <c r="JT362" s="18"/>
      <c r="JU362" s="18"/>
      <c r="JV362" s="18"/>
      <c r="JW362" s="18"/>
      <c r="JX362" s="18"/>
      <c r="JY362" s="18"/>
      <c r="JZ362" s="18"/>
      <c r="KA362" s="18"/>
      <c r="KB362" s="18"/>
      <c r="KC362" s="18"/>
      <c r="KD362" s="18"/>
      <c r="KE362" s="18"/>
      <c r="KF362" s="18"/>
      <c r="KG362" s="18"/>
      <c r="KH362" s="18"/>
      <c r="KI362" s="18"/>
      <c r="KJ362" s="18"/>
      <c r="KK362" s="18"/>
      <c r="KL362" s="18"/>
      <c r="KM362" s="18"/>
      <c r="KN362" s="18"/>
      <c r="KO362" s="18"/>
      <c r="KP362" s="18"/>
    </row>
    <row r="363" spans="1:302" ht="10.5" hidden="1" customHeight="1" outlineLevel="1">
      <c r="A363" s="208" t="s">
        <v>74</v>
      </c>
      <c r="D363" s="38" t="s">
        <v>73</v>
      </c>
      <c r="F363" s="22">
        <v>0</v>
      </c>
      <c r="G363" s="187">
        <v>41058</v>
      </c>
      <c r="H363" s="187"/>
      <c r="I363" s="1067">
        <v>8.125</v>
      </c>
      <c r="J363" s="1067"/>
      <c r="K363" s="1067"/>
      <c r="M363" s="136"/>
      <c r="N363" s="136"/>
      <c r="O363" s="136"/>
      <c r="P363" s="280">
        <v>9.2100000000000009</v>
      </c>
      <c r="AB363" s="947">
        <f>F363*P363</f>
        <v>0</v>
      </c>
      <c r="AC363" s="947"/>
      <c r="AD363" s="190">
        <f>-((I363*F363)-(P363*F363))</f>
        <v>0</v>
      </c>
      <c r="AE363" s="190"/>
      <c r="AJ363" s="34" t="s">
        <v>72</v>
      </c>
      <c r="AL363" s="14" t="s">
        <v>71</v>
      </c>
      <c r="AN363" s="179"/>
      <c r="AO363" s="38"/>
      <c r="AP363" s="188">
        <f>F363*I363+AN363+AN364</f>
        <v>0</v>
      </c>
      <c r="AT363" s="51"/>
      <c r="AU363" s="15"/>
      <c r="AV363" s="15"/>
      <c r="AW363" s="15"/>
      <c r="AX363" s="15"/>
      <c r="AY363" s="15"/>
      <c r="AZ363" s="15"/>
      <c r="BA363" s="51"/>
      <c r="BB363" s="15"/>
      <c r="BC363" s="15"/>
      <c r="BD363" s="15"/>
      <c r="BE363" s="15"/>
      <c r="BF363" s="15"/>
      <c r="BG363" s="51"/>
      <c r="BH363" s="15"/>
      <c r="BI363" s="15"/>
      <c r="BJ363" s="15"/>
      <c r="BK363" s="51"/>
      <c r="BL363" s="15"/>
      <c r="BM363" s="15"/>
      <c r="BN363" s="15"/>
      <c r="BO363" s="15"/>
      <c r="BP363" s="15"/>
      <c r="BQ363" s="18"/>
      <c r="BR363" s="18"/>
      <c r="BS363" s="18"/>
      <c r="BT363" s="18"/>
      <c r="BU363" s="18"/>
      <c r="BV363" s="18"/>
      <c r="BW363" s="18"/>
      <c r="BX363" s="139"/>
      <c r="BY363" s="139"/>
      <c r="BZ363" s="139"/>
      <c r="CA363" s="139"/>
      <c r="CB363" s="139"/>
      <c r="CC363" s="139"/>
      <c r="CD363" s="139"/>
      <c r="CE363" s="139"/>
      <c r="CF363" s="139"/>
      <c r="CG363" s="139"/>
      <c r="CH363" s="139"/>
      <c r="CI363" s="139"/>
      <c r="CJ363" s="139"/>
      <c r="CK363" s="139"/>
      <c r="CL363" s="139"/>
      <c r="CM363" s="139"/>
      <c r="CN363" s="139"/>
      <c r="CO363" s="139"/>
      <c r="CP363" s="139"/>
      <c r="CQ363" s="139"/>
      <c r="CR363" s="139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  <c r="FC363" s="18"/>
      <c r="FD363" s="18"/>
      <c r="FE363" s="18"/>
      <c r="FF363" s="18"/>
      <c r="FG363" s="18"/>
      <c r="FH363" s="18"/>
      <c r="FI363" s="18"/>
      <c r="FJ363" s="18"/>
      <c r="FK363" s="18"/>
      <c r="FL363" s="18"/>
      <c r="FM363" s="18"/>
      <c r="FN363" s="18"/>
      <c r="FO363" s="18"/>
      <c r="FP363" s="18"/>
      <c r="FQ363" s="18"/>
      <c r="FR363" s="18"/>
      <c r="FS363" s="18"/>
      <c r="FT363" s="18"/>
      <c r="FU363" s="18"/>
      <c r="FV363" s="18"/>
      <c r="FW363" s="18"/>
      <c r="FX363" s="18"/>
      <c r="FY363" s="18"/>
      <c r="FZ363" s="18"/>
      <c r="GA363" s="18"/>
      <c r="GB363" s="18"/>
      <c r="GC363" s="18"/>
      <c r="GD363" s="18"/>
      <c r="GE363" s="18"/>
      <c r="GF363" s="18"/>
      <c r="GG363" s="18"/>
      <c r="GH363" s="18"/>
      <c r="GI363" s="18"/>
      <c r="GJ363" s="18"/>
      <c r="GK363" s="18"/>
      <c r="GL363" s="18"/>
      <c r="GM363" s="18"/>
      <c r="GN363" s="18"/>
      <c r="GO363" s="18"/>
      <c r="GP363" s="18"/>
      <c r="GQ363" s="18"/>
      <c r="GR363" s="18"/>
      <c r="GS363" s="18"/>
      <c r="GT363" s="18"/>
      <c r="GU363" s="18"/>
      <c r="GV363" s="18"/>
      <c r="GW363" s="18"/>
      <c r="GX363" s="18"/>
      <c r="GY363" s="18"/>
      <c r="GZ363" s="18"/>
      <c r="HA363" s="18"/>
      <c r="HB363" s="18"/>
      <c r="HC363" s="18"/>
      <c r="HD363" s="18"/>
      <c r="HE363" s="18"/>
      <c r="HF363" s="18"/>
      <c r="HG363" s="13"/>
      <c r="HH363" s="13"/>
      <c r="HI363" s="13"/>
      <c r="HJ363" s="13"/>
      <c r="HK363" s="13"/>
      <c r="HL363" s="13"/>
      <c r="HM363" s="13"/>
      <c r="HN363" s="13"/>
      <c r="HO363" s="13"/>
      <c r="HP363" s="13"/>
      <c r="HQ363" s="13"/>
      <c r="HR363" s="13"/>
      <c r="HS363" s="13"/>
      <c r="HT363" s="13"/>
      <c r="HU363" s="139"/>
      <c r="HV363" s="139" t="str">
        <f>IF($AB363=0,"",$AB363)</f>
        <v/>
      </c>
      <c r="HW363" s="139"/>
      <c r="HX363" s="139"/>
      <c r="HY363" s="139"/>
      <c r="HZ363" s="139"/>
      <c r="IA363" s="139"/>
      <c r="IB363" s="139"/>
      <c r="IC363" s="139"/>
      <c r="ID363" s="139"/>
      <c r="IE363" s="139"/>
      <c r="IF363" s="139"/>
      <c r="IG363" s="139"/>
      <c r="IH363" s="139"/>
      <c r="II363" s="139"/>
      <c r="IJ363" s="139"/>
      <c r="IK363" s="139"/>
      <c r="IL363" s="139"/>
      <c r="IM363" s="139"/>
      <c r="IN363" s="139"/>
      <c r="IO363" s="139"/>
      <c r="IP363" s="18"/>
      <c r="IQ363" s="18"/>
      <c r="IR363" s="18"/>
      <c r="IS363" s="18"/>
      <c r="IT363" s="18"/>
      <c r="IU363" s="18"/>
      <c r="IV363" s="18"/>
      <c r="IW363" s="18"/>
      <c r="IX363" s="18"/>
      <c r="IY363" s="18"/>
      <c r="IZ363" s="18"/>
      <c r="JA363" s="18"/>
      <c r="JB363" s="18"/>
      <c r="JC363" s="18"/>
      <c r="JD363" s="18"/>
      <c r="JE363" s="18"/>
      <c r="JF363" s="18"/>
      <c r="JG363" s="18"/>
      <c r="JH363" s="18"/>
      <c r="JI363" s="18"/>
      <c r="JJ363" s="18"/>
      <c r="JK363" s="18"/>
      <c r="JL363" s="18"/>
      <c r="JM363" s="18"/>
      <c r="JN363" s="18"/>
      <c r="JO363" s="18"/>
      <c r="JP363" s="18"/>
      <c r="JQ363" s="18"/>
      <c r="JR363" s="18"/>
      <c r="JS363" s="18"/>
      <c r="JT363" s="18"/>
      <c r="JU363" s="18"/>
      <c r="JV363" s="18"/>
      <c r="JW363" s="18"/>
      <c r="JX363" s="18"/>
      <c r="JY363" s="18"/>
      <c r="JZ363" s="18"/>
      <c r="KA363" s="18"/>
      <c r="KB363" s="18"/>
      <c r="KC363" s="18"/>
      <c r="KD363" s="18"/>
      <c r="KE363" s="18"/>
      <c r="KF363" s="18"/>
      <c r="KG363" s="18"/>
      <c r="KH363" s="18"/>
      <c r="KI363" s="18"/>
      <c r="KJ363" s="18"/>
      <c r="KK363" s="18"/>
      <c r="KL363" s="18"/>
      <c r="KM363" s="18"/>
      <c r="KN363" s="18"/>
      <c r="KO363" s="18"/>
      <c r="KP363" s="18"/>
    </row>
    <row r="364" spans="1:302" ht="11.1" hidden="1" customHeight="1" outlineLevel="1">
      <c r="A364" s="12" t="s">
        <v>70</v>
      </c>
      <c r="G364" s="187"/>
      <c r="K364" s="185">
        <f>AP363</f>
        <v>0</v>
      </c>
      <c r="M364" s="136"/>
      <c r="N364" s="136"/>
      <c r="O364" s="136"/>
      <c r="P364" s="284">
        <v>9.2200000000000006</v>
      </c>
      <c r="AB364" s="947"/>
      <c r="AC364" s="947"/>
      <c r="AD364" s="183">
        <f>((P363-I363)/I363)</f>
        <v>0.13353846153846163</v>
      </c>
      <c r="AE364" s="183"/>
      <c r="AN364" s="179"/>
      <c r="AO364" s="38"/>
      <c r="AP364" s="38"/>
      <c r="AT364" s="51"/>
      <c r="AU364" s="15"/>
      <c r="AV364" s="15"/>
      <c r="AW364" s="15"/>
      <c r="AX364" s="15"/>
      <c r="AY364" s="15"/>
      <c r="AZ364" s="15"/>
      <c r="BA364" s="51"/>
      <c r="BB364" s="15"/>
      <c r="BC364" s="15"/>
      <c r="BD364" s="15"/>
      <c r="BE364" s="15"/>
      <c r="BF364" s="15"/>
      <c r="BG364" s="51"/>
      <c r="BH364" s="15"/>
      <c r="BI364" s="15"/>
      <c r="BJ364" s="15"/>
      <c r="BK364" s="51"/>
      <c r="BL364" s="15"/>
      <c r="BM364" s="15"/>
      <c r="BN364" s="15"/>
      <c r="BO364" s="15"/>
      <c r="BP364" s="15"/>
      <c r="BQ364" s="18"/>
      <c r="BR364" s="18"/>
      <c r="BS364" s="18"/>
      <c r="BT364" s="18"/>
      <c r="BU364" s="18"/>
      <c r="BV364" s="18"/>
      <c r="BW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  <c r="EZ364" s="18"/>
      <c r="FA364" s="18"/>
      <c r="FB364" s="18"/>
      <c r="FC364" s="18"/>
      <c r="FD364" s="18"/>
      <c r="FE364" s="18"/>
      <c r="FF364" s="18"/>
      <c r="FG364" s="18"/>
      <c r="FH364" s="18"/>
      <c r="FI364" s="18"/>
      <c r="FJ364" s="18"/>
      <c r="FK364" s="18"/>
      <c r="FL364" s="18"/>
      <c r="FM364" s="18"/>
      <c r="FN364" s="18"/>
      <c r="FO364" s="18"/>
      <c r="FP364" s="18"/>
      <c r="FQ364" s="18"/>
      <c r="FR364" s="18"/>
      <c r="FS364" s="18"/>
      <c r="FT364" s="18"/>
      <c r="FU364" s="18"/>
      <c r="FV364" s="18"/>
      <c r="FW364" s="18"/>
      <c r="FX364" s="18"/>
      <c r="FY364" s="18"/>
      <c r="FZ364" s="18"/>
      <c r="GA364" s="18"/>
      <c r="GB364" s="18"/>
      <c r="GC364" s="18"/>
      <c r="GD364" s="18"/>
      <c r="GE364" s="18"/>
      <c r="GF364" s="18"/>
      <c r="GG364" s="18"/>
      <c r="GH364" s="18"/>
      <c r="GI364" s="18"/>
      <c r="GJ364" s="18"/>
      <c r="GK364" s="18"/>
      <c r="GL364" s="18"/>
      <c r="GM364" s="18"/>
      <c r="GN364" s="18"/>
      <c r="GO364" s="18"/>
      <c r="GP364" s="18"/>
      <c r="GQ364" s="18"/>
      <c r="GR364" s="18"/>
      <c r="GS364" s="18"/>
      <c r="GT364" s="18"/>
      <c r="GU364" s="18"/>
      <c r="GV364" s="18"/>
      <c r="GW364" s="18"/>
      <c r="GX364" s="18"/>
      <c r="GY364" s="18"/>
      <c r="GZ364" s="18"/>
      <c r="HA364" s="18"/>
      <c r="HB364" s="18"/>
      <c r="HC364" s="18"/>
      <c r="HD364" s="18"/>
      <c r="HE364" s="18"/>
      <c r="HF364" s="18"/>
      <c r="HG364" s="13"/>
      <c r="HH364" s="13"/>
      <c r="HI364" s="13"/>
      <c r="HJ364" s="13"/>
      <c r="HK364" s="13"/>
      <c r="HL364" s="13"/>
      <c r="HM364" s="13"/>
      <c r="HN364" s="13"/>
      <c r="HO364" s="13"/>
      <c r="HP364" s="13"/>
      <c r="HQ364" s="13"/>
      <c r="HR364" s="13"/>
      <c r="HS364" s="13"/>
      <c r="HT364" s="13"/>
      <c r="HV364" s="18"/>
      <c r="HW364" s="18"/>
      <c r="HX364" s="18"/>
      <c r="HY364" s="18"/>
      <c r="HZ364" s="18"/>
      <c r="IA364" s="18"/>
      <c r="IB364" s="18"/>
      <c r="IC364" s="18"/>
      <c r="ID364" s="18"/>
      <c r="IE364" s="18"/>
      <c r="IF364" s="18"/>
      <c r="IG364" s="18"/>
      <c r="IH364" s="18"/>
      <c r="II364" s="18"/>
      <c r="IJ364" s="18"/>
      <c r="IK364" s="18"/>
      <c r="IL364" s="18"/>
      <c r="IM364" s="18"/>
      <c r="IN364" s="18"/>
      <c r="IO364" s="18"/>
      <c r="IP364" s="18"/>
      <c r="IQ364" s="18"/>
      <c r="IR364" s="18"/>
      <c r="IS364" s="18"/>
      <c r="IT364" s="18"/>
      <c r="IU364" s="18"/>
      <c r="IV364" s="18"/>
      <c r="IW364" s="18"/>
      <c r="IX364" s="18"/>
      <c r="IY364" s="18"/>
      <c r="IZ364" s="18"/>
      <c r="JA364" s="18"/>
      <c r="JB364" s="18"/>
      <c r="JC364" s="18"/>
      <c r="JD364" s="18"/>
      <c r="JE364" s="18"/>
      <c r="JF364" s="18"/>
      <c r="JG364" s="18"/>
      <c r="JH364" s="18"/>
      <c r="JI364" s="18"/>
      <c r="JJ364" s="18"/>
      <c r="JK364" s="18"/>
      <c r="JL364" s="18"/>
      <c r="JM364" s="18"/>
      <c r="JN364" s="18"/>
      <c r="JO364" s="18"/>
      <c r="JP364" s="18"/>
      <c r="JQ364" s="18"/>
      <c r="JR364" s="18"/>
      <c r="JS364" s="18"/>
      <c r="JT364" s="18"/>
      <c r="JU364" s="18"/>
      <c r="JV364" s="18"/>
      <c r="JW364" s="18"/>
      <c r="JX364" s="18"/>
      <c r="JY364" s="18"/>
      <c r="JZ364" s="18"/>
      <c r="KA364" s="18"/>
      <c r="KB364" s="18"/>
      <c r="KC364" s="18"/>
      <c r="KD364" s="18"/>
      <c r="KE364" s="18"/>
      <c r="KF364" s="18"/>
      <c r="KG364" s="18"/>
      <c r="KH364" s="18"/>
      <c r="KI364" s="18"/>
      <c r="KJ364" s="18"/>
      <c r="KK364" s="18"/>
      <c r="KL364" s="18"/>
      <c r="KM364" s="18"/>
      <c r="KN364" s="18"/>
      <c r="KO364" s="18"/>
      <c r="KP364" s="18"/>
    </row>
    <row r="365" spans="1:302" ht="10.5" hidden="1" customHeight="1" outlineLevel="1">
      <c r="M365" s="136" t="s">
        <v>37</v>
      </c>
      <c r="N365" s="136"/>
      <c r="O365" s="136"/>
      <c r="P365" s="283">
        <v>12.59</v>
      </c>
      <c r="AN365" s="18"/>
      <c r="AT365" s="51"/>
      <c r="AU365" s="15"/>
      <c r="AV365" s="15"/>
      <c r="AW365" s="15"/>
      <c r="AX365" s="15"/>
      <c r="AY365" s="15"/>
      <c r="AZ365" s="15"/>
      <c r="BA365" s="51"/>
      <c r="BB365" s="15"/>
      <c r="BC365" s="15"/>
      <c r="BD365" s="15"/>
      <c r="BE365" s="15"/>
      <c r="BF365" s="15"/>
      <c r="BG365" s="51"/>
      <c r="BH365" s="15"/>
      <c r="BI365" s="15"/>
      <c r="BJ365" s="15"/>
      <c r="BK365" s="51"/>
      <c r="BL365" s="15"/>
      <c r="BM365" s="15"/>
      <c r="BN365" s="15"/>
      <c r="BO365" s="15"/>
      <c r="BP365" s="15"/>
      <c r="BQ365" s="18"/>
      <c r="BR365" s="18"/>
      <c r="BS365" s="18"/>
      <c r="BT365" s="18"/>
      <c r="BU365" s="18"/>
      <c r="BV365" s="18"/>
      <c r="BW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  <c r="EZ365" s="18"/>
      <c r="FA365" s="18"/>
      <c r="FB365" s="18"/>
      <c r="FC365" s="18"/>
      <c r="FD365" s="18"/>
      <c r="FE365" s="18"/>
      <c r="FF365" s="18"/>
      <c r="FG365" s="18"/>
      <c r="FH365" s="18"/>
      <c r="FI365" s="18"/>
      <c r="FJ365" s="18"/>
      <c r="FK365" s="18"/>
      <c r="FL365" s="18"/>
      <c r="FM365" s="18"/>
      <c r="FN365" s="18"/>
      <c r="FO365" s="18"/>
      <c r="FP365" s="18"/>
      <c r="FQ365" s="18"/>
      <c r="FR365" s="18"/>
      <c r="FS365" s="18"/>
      <c r="FT365" s="18"/>
      <c r="FU365" s="18"/>
      <c r="FV365" s="18"/>
      <c r="FW365" s="18"/>
      <c r="FX365" s="18"/>
      <c r="FY365" s="18"/>
      <c r="FZ365" s="18"/>
      <c r="GA365" s="18"/>
      <c r="GB365" s="18"/>
      <c r="GC365" s="18"/>
      <c r="GD365" s="18"/>
      <c r="GE365" s="18"/>
      <c r="GF365" s="18"/>
      <c r="GG365" s="18"/>
      <c r="GH365" s="18"/>
      <c r="GI365" s="18"/>
      <c r="GJ365" s="18"/>
      <c r="GK365" s="18"/>
      <c r="GL365" s="18"/>
      <c r="GM365" s="18"/>
      <c r="GN365" s="18"/>
      <c r="GO365" s="18"/>
      <c r="GP365" s="18"/>
      <c r="GQ365" s="18"/>
      <c r="GR365" s="18"/>
      <c r="GS365" s="18"/>
      <c r="GT365" s="18"/>
      <c r="GU365" s="18"/>
      <c r="GV365" s="18"/>
      <c r="GW365" s="18"/>
      <c r="GX365" s="18"/>
      <c r="GY365" s="18"/>
      <c r="GZ365" s="18"/>
      <c r="HA365" s="18"/>
      <c r="HB365" s="18"/>
      <c r="HC365" s="18"/>
      <c r="HD365" s="18"/>
      <c r="HE365" s="18"/>
      <c r="HF365" s="18"/>
      <c r="HG365" s="13"/>
      <c r="HH365" s="13"/>
      <c r="HI365" s="13"/>
      <c r="HJ365" s="13"/>
      <c r="HK365" s="13"/>
      <c r="HL365" s="13"/>
      <c r="HM365" s="13"/>
      <c r="HN365" s="13"/>
      <c r="HO365" s="13"/>
      <c r="HP365" s="13"/>
      <c r="HQ365" s="13"/>
      <c r="HR365" s="13"/>
      <c r="HS365" s="13"/>
      <c r="HT365" s="13"/>
      <c r="HV365" s="18"/>
      <c r="HW365" s="18"/>
      <c r="HX365" s="18"/>
      <c r="HY365" s="18"/>
      <c r="HZ365" s="18"/>
      <c r="IA365" s="18"/>
      <c r="IB365" s="18"/>
      <c r="IC365" s="18"/>
      <c r="ID365" s="18"/>
      <c r="IE365" s="18"/>
      <c r="IF365" s="18"/>
      <c r="IG365" s="18"/>
      <c r="IH365" s="18"/>
      <c r="II365" s="18"/>
      <c r="IJ365" s="18"/>
      <c r="IK365" s="18"/>
      <c r="IL365" s="18"/>
      <c r="IM365" s="18"/>
      <c r="IN365" s="18"/>
      <c r="IO365" s="18"/>
      <c r="IP365" s="18"/>
      <c r="IQ365" s="18"/>
      <c r="IR365" s="18"/>
      <c r="IS365" s="18"/>
      <c r="IT365" s="18"/>
      <c r="IU365" s="18"/>
      <c r="IV365" s="18"/>
      <c r="IW365" s="18"/>
      <c r="IX365" s="18"/>
      <c r="IY365" s="18"/>
      <c r="IZ365" s="18"/>
      <c r="JA365" s="18"/>
      <c r="JB365" s="18"/>
      <c r="JC365" s="18"/>
      <c r="JD365" s="18"/>
      <c r="JE365" s="18"/>
      <c r="JF365" s="18"/>
      <c r="JG365" s="18"/>
      <c r="JH365" s="18"/>
      <c r="JI365" s="18"/>
      <c r="JJ365" s="18"/>
      <c r="JK365" s="18"/>
      <c r="JL365" s="18"/>
      <c r="JM365" s="18"/>
      <c r="JN365" s="18"/>
      <c r="JO365" s="18"/>
      <c r="JP365" s="18"/>
      <c r="JQ365" s="18"/>
      <c r="JR365" s="18"/>
      <c r="JS365" s="18"/>
      <c r="JT365" s="18"/>
      <c r="JU365" s="18"/>
      <c r="JV365" s="18"/>
      <c r="JW365" s="18"/>
      <c r="JX365" s="18"/>
      <c r="JY365" s="18"/>
      <c r="JZ365" s="18"/>
      <c r="KA365" s="18"/>
      <c r="KB365" s="18"/>
      <c r="KC365" s="18"/>
      <c r="KD365" s="18"/>
      <c r="KE365" s="18"/>
      <c r="KF365" s="18"/>
      <c r="KG365" s="18"/>
      <c r="KH365" s="18"/>
      <c r="KI365" s="18"/>
      <c r="KJ365" s="18"/>
      <c r="KK365" s="18"/>
      <c r="KL365" s="18"/>
      <c r="KM365" s="18"/>
      <c r="KN365" s="18"/>
      <c r="KO365" s="18"/>
      <c r="KP365" s="18"/>
    </row>
    <row r="366" spans="1:302" ht="11.1" hidden="1" customHeight="1" outlineLevel="1">
      <c r="M366" s="136" t="s">
        <v>36</v>
      </c>
      <c r="N366" s="136"/>
      <c r="O366" s="136"/>
      <c r="P366" s="199">
        <v>12.5</v>
      </c>
      <c r="AN366" s="18"/>
      <c r="AT366" s="51"/>
      <c r="AU366" s="15"/>
      <c r="AV366" s="15"/>
      <c r="AW366" s="15"/>
      <c r="AX366" s="15"/>
      <c r="AY366" s="15"/>
      <c r="AZ366" s="15"/>
      <c r="BA366" s="51"/>
      <c r="BB366" s="15"/>
      <c r="BC366" s="15"/>
      <c r="BD366" s="15"/>
      <c r="BE366" s="15"/>
      <c r="BF366" s="15"/>
      <c r="BG366" s="51"/>
      <c r="BH366" s="15"/>
      <c r="BI366" s="15"/>
      <c r="BJ366" s="15"/>
      <c r="BK366" s="51"/>
      <c r="BL366" s="15"/>
      <c r="BM366" s="15"/>
      <c r="BN366" s="15"/>
      <c r="BO366" s="15"/>
      <c r="BP366" s="15"/>
      <c r="BQ366" s="18"/>
      <c r="BR366" s="18"/>
      <c r="BS366" s="18"/>
      <c r="BT366" s="18"/>
      <c r="BU366" s="18"/>
      <c r="BV366" s="18"/>
      <c r="BW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  <c r="FR366" s="18"/>
      <c r="FS366" s="18"/>
      <c r="FT366" s="18"/>
      <c r="FU366" s="18"/>
      <c r="FV366" s="18"/>
      <c r="FW366" s="18"/>
      <c r="FX366" s="18"/>
      <c r="FY366" s="18"/>
      <c r="FZ366" s="18"/>
      <c r="GA366" s="18"/>
      <c r="GB366" s="18"/>
      <c r="GC366" s="18"/>
      <c r="GD366" s="18"/>
      <c r="GE366" s="18"/>
      <c r="GF366" s="18"/>
      <c r="GG366" s="18"/>
      <c r="GH366" s="18"/>
      <c r="GI366" s="18"/>
      <c r="GJ366" s="18"/>
      <c r="GK366" s="18"/>
      <c r="GL366" s="18"/>
      <c r="GM366" s="18"/>
      <c r="GN366" s="18"/>
      <c r="GO366" s="18"/>
      <c r="GP366" s="18"/>
      <c r="GQ366" s="18"/>
      <c r="GR366" s="18"/>
      <c r="GS366" s="18"/>
      <c r="GT366" s="18"/>
      <c r="GU366" s="18"/>
      <c r="GV366" s="18"/>
      <c r="GW366" s="18"/>
      <c r="GX366" s="18"/>
      <c r="GY366" s="18"/>
      <c r="GZ366" s="18"/>
      <c r="HA366" s="18"/>
      <c r="HB366" s="18"/>
      <c r="HC366" s="18"/>
      <c r="HD366" s="18"/>
      <c r="HE366" s="18"/>
      <c r="HF366" s="18"/>
      <c r="HG366" s="13"/>
      <c r="HH366" s="13"/>
      <c r="HI366" s="13"/>
      <c r="HJ366" s="13"/>
      <c r="HK366" s="13"/>
      <c r="HL366" s="13"/>
      <c r="HM366" s="13"/>
      <c r="HN366" s="13"/>
      <c r="HO366" s="13"/>
      <c r="HP366" s="13"/>
      <c r="HQ366" s="13"/>
      <c r="HR366" s="13"/>
      <c r="HS366" s="13"/>
      <c r="HT366" s="13"/>
      <c r="HV366" s="18"/>
      <c r="HW366" s="18"/>
      <c r="HX366" s="18"/>
      <c r="HY366" s="18"/>
      <c r="HZ366" s="18"/>
      <c r="IA366" s="18"/>
      <c r="IB366" s="18"/>
      <c r="IC366" s="18"/>
      <c r="ID366" s="18"/>
      <c r="IE366" s="18"/>
      <c r="IF366" s="18"/>
      <c r="IG366" s="18"/>
      <c r="IH366" s="18"/>
      <c r="II366" s="18"/>
      <c r="IJ366" s="18"/>
      <c r="IK366" s="18"/>
      <c r="IL366" s="18"/>
      <c r="IM366" s="18"/>
      <c r="IN366" s="18"/>
      <c r="IO366" s="18"/>
      <c r="IP366" s="18"/>
      <c r="IQ366" s="18"/>
      <c r="IR366" s="18"/>
      <c r="IS366" s="18"/>
      <c r="IT366" s="18"/>
      <c r="IU366" s="18"/>
      <c r="IV366" s="18"/>
      <c r="IW366" s="18"/>
      <c r="IX366" s="18"/>
      <c r="IY366" s="18"/>
      <c r="IZ366" s="18"/>
      <c r="JA366" s="18"/>
      <c r="JB366" s="18"/>
      <c r="JC366" s="18"/>
      <c r="JD366" s="18"/>
      <c r="JE366" s="18"/>
      <c r="JF366" s="18"/>
      <c r="JG366" s="18"/>
      <c r="JH366" s="18"/>
      <c r="JI366" s="18"/>
      <c r="JJ366" s="18"/>
      <c r="JK366" s="18"/>
      <c r="JL366" s="18"/>
      <c r="JM366" s="18"/>
      <c r="JN366" s="18"/>
      <c r="JO366" s="18"/>
      <c r="JP366" s="18"/>
      <c r="JQ366" s="18"/>
      <c r="JR366" s="18"/>
      <c r="JS366" s="18"/>
      <c r="JT366" s="18"/>
      <c r="JU366" s="18"/>
      <c r="JV366" s="18"/>
      <c r="JW366" s="18"/>
      <c r="JX366" s="18"/>
      <c r="JY366" s="18"/>
      <c r="JZ366" s="18"/>
      <c r="KA366" s="18"/>
      <c r="KB366" s="18"/>
      <c r="KC366" s="18"/>
      <c r="KD366" s="18"/>
      <c r="KE366" s="18"/>
      <c r="KF366" s="18"/>
      <c r="KG366" s="18"/>
      <c r="KH366" s="18"/>
      <c r="KI366" s="18"/>
      <c r="KJ366" s="18"/>
      <c r="KK366" s="18"/>
      <c r="KL366" s="18"/>
      <c r="KM366" s="18"/>
      <c r="KN366" s="18"/>
      <c r="KO366" s="18"/>
      <c r="KP366" s="18"/>
    </row>
    <row r="367" spans="1:302" ht="11.1" hidden="1" customHeight="1" outlineLevel="1">
      <c r="M367" s="136" t="s">
        <v>35</v>
      </c>
      <c r="N367" s="136"/>
      <c r="O367" s="136"/>
      <c r="P367" s="282">
        <v>12.49</v>
      </c>
      <c r="AN367" s="18"/>
      <c r="AT367" s="51"/>
      <c r="AU367" s="15"/>
      <c r="AV367" s="15"/>
      <c r="AW367" s="15"/>
      <c r="AX367" s="15"/>
      <c r="AY367" s="15"/>
      <c r="AZ367" s="15"/>
      <c r="BA367" s="51"/>
      <c r="BB367" s="15"/>
      <c r="BC367" s="15"/>
      <c r="BD367" s="15"/>
      <c r="BE367" s="15"/>
      <c r="BF367" s="15"/>
      <c r="BG367" s="51"/>
      <c r="BH367" s="15"/>
      <c r="BI367" s="15"/>
      <c r="BJ367" s="15"/>
      <c r="BK367" s="51"/>
      <c r="BL367" s="15"/>
      <c r="BM367" s="15"/>
      <c r="BN367" s="15"/>
      <c r="BO367" s="15"/>
      <c r="BP367" s="15"/>
      <c r="BQ367" s="18"/>
      <c r="BR367" s="18"/>
      <c r="BS367" s="18"/>
      <c r="BT367" s="18"/>
      <c r="BU367" s="18"/>
      <c r="BV367" s="18"/>
      <c r="BW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  <c r="FC367" s="18"/>
      <c r="FD367" s="18"/>
      <c r="FE367" s="18"/>
      <c r="FF367" s="18"/>
      <c r="FG367" s="18"/>
      <c r="FH367" s="18"/>
      <c r="FI367" s="18"/>
      <c r="FJ367" s="18"/>
      <c r="FK367" s="18"/>
      <c r="FL367" s="18"/>
      <c r="FM367" s="18"/>
      <c r="FN367" s="18"/>
      <c r="FO367" s="18"/>
      <c r="FP367" s="18"/>
      <c r="FQ367" s="18"/>
      <c r="FR367" s="18"/>
      <c r="FS367" s="18"/>
      <c r="FT367" s="18"/>
      <c r="FU367" s="18"/>
      <c r="FV367" s="18"/>
      <c r="FW367" s="18"/>
      <c r="FX367" s="18"/>
      <c r="FY367" s="18"/>
      <c r="FZ367" s="18"/>
      <c r="GA367" s="18"/>
      <c r="GB367" s="18"/>
      <c r="GC367" s="18"/>
      <c r="GD367" s="18"/>
      <c r="GE367" s="18"/>
      <c r="GF367" s="18"/>
      <c r="GG367" s="18"/>
      <c r="GH367" s="18"/>
      <c r="GI367" s="18"/>
      <c r="GJ367" s="18"/>
      <c r="GK367" s="18"/>
      <c r="GL367" s="18"/>
      <c r="GM367" s="18"/>
      <c r="GN367" s="18"/>
      <c r="GO367" s="18"/>
      <c r="GP367" s="18"/>
      <c r="GQ367" s="18"/>
      <c r="GR367" s="18"/>
      <c r="GS367" s="18"/>
      <c r="GT367" s="18"/>
      <c r="GU367" s="18"/>
      <c r="GV367" s="18"/>
      <c r="GW367" s="18"/>
      <c r="GX367" s="18"/>
      <c r="GY367" s="18"/>
      <c r="GZ367" s="18"/>
      <c r="HA367" s="18"/>
      <c r="HB367" s="18"/>
      <c r="HC367" s="18"/>
      <c r="HD367" s="18"/>
      <c r="HE367" s="18"/>
      <c r="HF367" s="18"/>
      <c r="HG367" s="13"/>
      <c r="HH367" s="13"/>
      <c r="HI367" s="13"/>
      <c r="HJ367" s="13"/>
      <c r="HK367" s="13"/>
      <c r="HL367" s="13"/>
      <c r="HM367" s="13"/>
      <c r="HN367" s="13"/>
      <c r="HO367" s="13"/>
      <c r="HP367" s="13"/>
      <c r="HQ367" s="13"/>
      <c r="HR367" s="13"/>
      <c r="HS367" s="13"/>
      <c r="HT367" s="13"/>
      <c r="HV367" s="18"/>
      <c r="HW367" s="18"/>
      <c r="HX367" s="18"/>
      <c r="HY367" s="18"/>
      <c r="HZ367" s="18"/>
      <c r="IA367" s="18"/>
      <c r="IB367" s="18"/>
      <c r="IC367" s="18"/>
      <c r="ID367" s="18"/>
      <c r="IE367" s="18"/>
      <c r="IF367" s="18"/>
      <c r="IG367" s="18"/>
      <c r="IH367" s="18"/>
      <c r="II367" s="18"/>
      <c r="IJ367" s="18"/>
      <c r="IK367" s="18"/>
      <c r="IL367" s="18"/>
      <c r="IM367" s="18"/>
      <c r="IN367" s="18"/>
      <c r="IO367" s="18"/>
      <c r="IP367" s="18"/>
      <c r="IQ367" s="18"/>
      <c r="IR367" s="18"/>
      <c r="IS367" s="18"/>
      <c r="IT367" s="18"/>
      <c r="IU367" s="18"/>
      <c r="IV367" s="18"/>
      <c r="IW367" s="18"/>
      <c r="IX367" s="18"/>
      <c r="IY367" s="18"/>
      <c r="IZ367" s="18"/>
      <c r="JA367" s="18"/>
      <c r="JB367" s="18"/>
      <c r="JC367" s="18"/>
      <c r="JD367" s="18"/>
      <c r="JE367" s="18"/>
      <c r="JF367" s="18"/>
      <c r="JG367" s="18"/>
      <c r="JH367" s="18"/>
      <c r="JI367" s="18"/>
      <c r="JJ367" s="18"/>
      <c r="JK367" s="18"/>
      <c r="JL367" s="18"/>
      <c r="JM367" s="18"/>
      <c r="JN367" s="18"/>
      <c r="JO367" s="18"/>
      <c r="JP367" s="18"/>
      <c r="JQ367" s="18"/>
      <c r="JR367" s="18"/>
      <c r="JS367" s="18"/>
      <c r="JT367" s="18"/>
      <c r="JU367" s="18"/>
      <c r="JV367" s="18"/>
      <c r="JW367" s="18"/>
      <c r="JX367" s="18"/>
      <c r="JY367" s="18"/>
      <c r="JZ367" s="18"/>
      <c r="KA367" s="18"/>
      <c r="KB367" s="18"/>
      <c r="KC367" s="18"/>
      <c r="KD367" s="18"/>
      <c r="KE367" s="18"/>
      <c r="KF367" s="18"/>
      <c r="KG367" s="18"/>
      <c r="KH367" s="18"/>
      <c r="KI367" s="18"/>
      <c r="KJ367" s="18"/>
      <c r="KK367" s="18"/>
      <c r="KL367" s="18"/>
      <c r="KM367" s="18"/>
      <c r="KN367" s="18"/>
      <c r="KO367" s="18"/>
      <c r="KP367" s="18"/>
    </row>
    <row r="368" spans="1:302" ht="11.1" hidden="1" customHeight="1" outlineLevel="1">
      <c r="M368" s="136" t="s">
        <v>34</v>
      </c>
      <c r="N368" s="136"/>
      <c r="O368" s="136"/>
      <c r="P368" s="38">
        <v>12.5</v>
      </c>
      <c r="AF368" s="18"/>
      <c r="AG368" s="144"/>
      <c r="AH368" s="144"/>
      <c r="AI368" s="248"/>
      <c r="AJ368" s="144"/>
      <c r="AK368" s="247"/>
      <c r="AL368" s="18"/>
      <c r="AM368" s="18"/>
      <c r="AN368" s="18"/>
      <c r="AT368" s="51"/>
      <c r="AU368" s="15"/>
      <c r="AV368" s="15"/>
      <c r="AW368" s="15"/>
      <c r="AX368" s="15"/>
      <c r="AY368" s="15"/>
      <c r="AZ368" s="15"/>
      <c r="BA368" s="51"/>
      <c r="BB368" s="15"/>
      <c r="BC368" s="15"/>
      <c r="BD368" s="15"/>
      <c r="BE368" s="15"/>
      <c r="BF368" s="15"/>
      <c r="BG368" s="51"/>
      <c r="BH368" s="15"/>
      <c r="BI368" s="15"/>
      <c r="BJ368" s="15"/>
      <c r="BK368" s="51"/>
      <c r="BL368" s="15"/>
      <c r="BM368" s="15"/>
      <c r="BN368" s="15"/>
      <c r="BO368" s="15"/>
      <c r="BP368" s="15"/>
      <c r="BQ368" s="18"/>
      <c r="BR368" s="18"/>
      <c r="BS368" s="18"/>
      <c r="BT368" s="18"/>
      <c r="BU368" s="18"/>
      <c r="BV368" s="18"/>
      <c r="BW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  <c r="FR368" s="18"/>
      <c r="FS368" s="18"/>
      <c r="FT368" s="18"/>
      <c r="FU368" s="18"/>
      <c r="FV368" s="18"/>
      <c r="FW368" s="18"/>
      <c r="FX368" s="18"/>
      <c r="FY368" s="18"/>
      <c r="FZ368" s="18"/>
      <c r="GA368" s="18"/>
      <c r="GB368" s="18"/>
      <c r="GC368" s="18"/>
      <c r="GD368" s="18"/>
      <c r="GE368" s="18"/>
      <c r="GF368" s="18"/>
      <c r="GG368" s="18"/>
      <c r="GH368" s="18"/>
      <c r="GI368" s="18"/>
      <c r="GJ368" s="18"/>
      <c r="GK368" s="18"/>
      <c r="GL368" s="18"/>
      <c r="GM368" s="18"/>
      <c r="GN368" s="18"/>
      <c r="GO368" s="18"/>
      <c r="GP368" s="18"/>
      <c r="GQ368" s="18"/>
      <c r="GR368" s="18"/>
      <c r="GS368" s="18"/>
      <c r="GT368" s="18"/>
      <c r="GU368" s="18"/>
      <c r="GV368" s="18"/>
      <c r="GW368" s="18"/>
      <c r="GX368" s="18"/>
      <c r="GY368" s="18"/>
      <c r="GZ368" s="18"/>
      <c r="HA368" s="18"/>
      <c r="HB368" s="18"/>
      <c r="HC368" s="18"/>
      <c r="HD368" s="18"/>
      <c r="HE368" s="18"/>
      <c r="HF368" s="18"/>
      <c r="HG368" s="13"/>
      <c r="HH368" s="13"/>
      <c r="HI368" s="13"/>
      <c r="HJ368" s="13"/>
      <c r="HK368" s="13"/>
      <c r="HL368" s="13"/>
      <c r="HM368" s="13"/>
      <c r="HN368" s="13"/>
      <c r="HO368" s="13"/>
      <c r="HP368" s="13"/>
      <c r="HQ368" s="13"/>
      <c r="HR368" s="13"/>
      <c r="HS368" s="13"/>
      <c r="HT368" s="13"/>
      <c r="HV368" s="18"/>
      <c r="HW368" s="18"/>
      <c r="HX368" s="18"/>
      <c r="HY368" s="18"/>
      <c r="HZ368" s="18"/>
      <c r="IA368" s="18"/>
      <c r="IB368" s="18"/>
      <c r="IC368" s="18"/>
      <c r="ID368" s="18"/>
      <c r="IE368" s="18"/>
      <c r="IF368" s="18"/>
      <c r="IG368" s="18"/>
      <c r="IH368" s="18"/>
      <c r="II368" s="18"/>
      <c r="IJ368" s="18"/>
      <c r="IK368" s="18"/>
      <c r="IL368" s="18"/>
      <c r="IM368" s="18"/>
      <c r="IN368" s="18"/>
      <c r="IO368" s="18"/>
      <c r="IP368" s="18"/>
      <c r="IQ368" s="18"/>
      <c r="IR368" s="18"/>
      <c r="IS368" s="18"/>
      <c r="IT368" s="18"/>
      <c r="IU368" s="18"/>
      <c r="IV368" s="18"/>
      <c r="IW368" s="18"/>
      <c r="IX368" s="18"/>
      <c r="IY368" s="18"/>
      <c r="IZ368" s="18"/>
      <c r="JA368" s="18"/>
      <c r="JB368" s="18"/>
      <c r="JC368" s="18"/>
      <c r="JD368" s="18"/>
      <c r="JE368" s="18"/>
      <c r="JF368" s="18"/>
      <c r="JG368" s="18"/>
      <c r="JH368" s="18"/>
      <c r="JI368" s="18"/>
      <c r="JJ368" s="18"/>
      <c r="JK368" s="18"/>
      <c r="JL368" s="18"/>
      <c r="JM368" s="18"/>
      <c r="JN368" s="18"/>
      <c r="JO368" s="18"/>
      <c r="JP368" s="18"/>
      <c r="JQ368" s="18"/>
      <c r="JR368" s="18"/>
      <c r="JS368" s="18"/>
      <c r="JT368" s="18"/>
      <c r="JU368" s="18"/>
      <c r="JV368" s="18"/>
      <c r="JW368" s="18"/>
      <c r="JX368" s="18"/>
      <c r="JY368" s="18"/>
      <c r="JZ368" s="18"/>
      <c r="KA368" s="18"/>
      <c r="KB368" s="18"/>
      <c r="KC368" s="18"/>
      <c r="KD368" s="18"/>
      <c r="KE368" s="18"/>
      <c r="KF368" s="18"/>
      <c r="KG368" s="18"/>
      <c r="KH368" s="18"/>
      <c r="KI368" s="18"/>
      <c r="KJ368" s="18"/>
      <c r="KK368" s="18"/>
      <c r="KL368" s="18"/>
      <c r="KM368" s="18"/>
      <c r="KN368" s="18"/>
      <c r="KO368" s="18"/>
      <c r="KP368" s="18"/>
    </row>
    <row r="369" spans="1:302" ht="11.1" hidden="1" customHeight="1" outlineLevel="1">
      <c r="M369" s="136" t="s">
        <v>62</v>
      </c>
      <c r="N369" s="136"/>
      <c r="O369" s="136"/>
      <c r="P369" s="38">
        <v>6.51</v>
      </c>
      <c r="AF369" s="18"/>
      <c r="AG369" s="144"/>
      <c r="AH369" s="144"/>
      <c r="AI369" s="248"/>
      <c r="AJ369" s="144"/>
      <c r="AK369" s="247"/>
      <c r="AL369" s="18"/>
      <c r="AM369" s="18"/>
      <c r="AN369" s="18"/>
      <c r="AT369" s="51"/>
      <c r="AU369" s="15"/>
      <c r="AV369" s="15"/>
      <c r="AW369" s="15"/>
      <c r="AX369" s="15"/>
      <c r="AY369" s="15"/>
      <c r="AZ369" s="15"/>
      <c r="BA369" s="51"/>
      <c r="BB369" s="15"/>
      <c r="BC369" s="15"/>
      <c r="BD369" s="15"/>
      <c r="BE369" s="15"/>
      <c r="BF369" s="15"/>
      <c r="BG369" s="51"/>
      <c r="BH369" s="15"/>
      <c r="BI369" s="15"/>
      <c r="BJ369" s="15"/>
      <c r="BK369" s="51"/>
      <c r="BL369" s="15"/>
      <c r="BM369" s="15"/>
      <c r="BN369" s="15"/>
      <c r="BO369" s="15"/>
      <c r="BP369" s="15"/>
      <c r="BQ369" s="18"/>
      <c r="BR369" s="18"/>
      <c r="BS369" s="18"/>
      <c r="BT369" s="18"/>
      <c r="BU369" s="18"/>
      <c r="BV369" s="18"/>
      <c r="BW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  <c r="FC369" s="18"/>
      <c r="FD369" s="18"/>
      <c r="FE369" s="18"/>
      <c r="FF369" s="18"/>
      <c r="FG369" s="18"/>
      <c r="FH369" s="18"/>
      <c r="FI369" s="18"/>
      <c r="FJ369" s="18"/>
      <c r="FK369" s="18"/>
      <c r="FL369" s="18"/>
      <c r="FM369" s="18"/>
      <c r="FN369" s="18"/>
      <c r="FO369" s="18"/>
      <c r="FP369" s="18"/>
      <c r="FQ369" s="18"/>
      <c r="FR369" s="18"/>
      <c r="FS369" s="18"/>
      <c r="FT369" s="18"/>
      <c r="FU369" s="18"/>
      <c r="FV369" s="18"/>
      <c r="FW369" s="18"/>
      <c r="FX369" s="18"/>
      <c r="FY369" s="18"/>
      <c r="FZ369" s="18"/>
      <c r="GA369" s="18"/>
      <c r="GB369" s="18"/>
      <c r="GC369" s="18"/>
      <c r="GD369" s="18"/>
      <c r="GE369" s="18"/>
      <c r="GF369" s="18"/>
      <c r="GG369" s="18"/>
      <c r="GH369" s="18"/>
      <c r="GI369" s="18"/>
      <c r="GJ369" s="18"/>
      <c r="GK369" s="18"/>
      <c r="GL369" s="18"/>
      <c r="GM369" s="18"/>
      <c r="GN369" s="18"/>
      <c r="GO369" s="18"/>
      <c r="GP369" s="18"/>
      <c r="GQ369" s="18"/>
      <c r="GR369" s="18"/>
      <c r="GS369" s="18"/>
      <c r="GT369" s="18"/>
      <c r="GU369" s="18"/>
      <c r="GV369" s="18"/>
      <c r="GW369" s="18"/>
      <c r="GX369" s="18"/>
      <c r="GY369" s="18"/>
      <c r="GZ369" s="18"/>
      <c r="HA369" s="18"/>
      <c r="HB369" s="18"/>
      <c r="HC369" s="18"/>
      <c r="HD369" s="18"/>
      <c r="HE369" s="18"/>
      <c r="HF369" s="18"/>
      <c r="HG369" s="13"/>
      <c r="HH369" s="13"/>
      <c r="HI369" s="13"/>
      <c r="HJ369" s="13"/>
      <c r="HK369" s="13"/>
      <c r="HL369" s="13"/>
      <c r="HM369" s="13"/>
      <c r="HN369" s="13"/>
      <c r="HO369" s="13"/>
      <c r="HP369" s="13"/>
      <c r="HQ369" s="13"/>
      <c r="HR369" s="13"/>
      <c r="HS369" s="13"/>
      <c r="HT369" s="13"/>
      <c r="HV369" s="18"/>
      <c r="HW369" s="18"/>
      <c r="HX369" s="18"/>
      <c r="HY369" s="18"/>
      <c r="HZ369" s="18"/>
      <c r="IA369" s="18"/>
      <c r="IB369" s="18"/>
      <c r="IC369" s="18"/>
      <c r="ID369" s="18"/>
      <c r="IE369" s="18"/>
      <c r="IF369" s="18"/>
      <c r="IG369" s="18"/>
      <c r="IH369" s="18"/>
      <c r="II369" s="18"/>
      <c r="IJ369" s="18"/>
      <c r="IK369" s="18"/>
      <c r="IL369" s="18"/>
      <c r="IM369" s="18"/>
      <c r="IN369" s="18"/>
      <c r="IO369" s="18"/>
      <c r="IP369" s="18"/>
      <c r="IQ369" s="18"/>
      <c r="IR369" s="18"/>
      <c r="IS369" s="18"/>
      <c r="IT369" s="18"/>
      <c r="IU369" s="18"/>
      <c r="IV369" s="18"/>
      <c r="IW369" s="18"/>
      <c r="IX369" s="18"/>
      <c r="IY369" s="18"/>
      <c r="IZ369" s="18"/>
      <c r="JA369" s="18"/>
      <c r="JB369" s="18"/>
      <c r="JC369" s="18"/>
      <c r="JD369" s="18"/>
      <c r="JE369" s="18"/>
      <c r="JF369" s="18"/>
      <c r="JG369" s="18"/>
      <c r="JH369" s="18"/>
      <c r="JI369" s="18"/>
      <c r="JJ369" s="18"/>
      <c r="JK369" s="18"/>
      <c r="JL369" s="18"/>
      <c r="JM369" s="18"/>
      <c r="JN369" s="18"/>
      <c r="JO369" s="18"/>
      <c r="JP369" s="18"/>
      <c r="JQ369" s="18"/>
      <c r="JR369" s="18"/>
      <c r="JS369" s="18"/>
      <c r="JT369" s="18"/>
      <c r="JU369" s="18"/>
      <c r="JV369" s="18"/>
      <c r="JW369" s="18"/>
      <c r="JX369" s="18"/>
      <c r="JY369" s="18"/>
      <c r="JZ369" s="18"/>
      <c r="KA369" s="18"/>
      <c r="KB369" s="18"/>
      <c r="KC369" s="18"/>
      <c r="KD369" s="18"/>
      <c r="KE369" s="18"/>
      <c r="KF369" s="18"/>
      <c r="KG369" s="18"/>
      <c r="KH369" s="18"/>
      <c r="KI369" s="18"/>
      <c r="KJ369" s="18"/>
      <c r="KK369" s="18"/>
      <c r="KL369" s="18"/>
      <c r="KM369" s="18"/>
      <c r="KN369" s="18"/>
      <c r="KO369" s="18"/>
      <c r="KP369" s="18"/>
    </row>
    <row r="370" spans="1:302" ht="11.1" hidden="1" customHeight="1" outlineLevel="1">
      <c r="M370" s="136" t="s">
        <v>61</v>
      </c>
      <c r="N370" s="136"/>
      <c r="O370" s="136"/>
      <c r="P370" s="38" t="s">
        <v>69</v>
      </c>
      <c r="AF370" s="18"/>
      <c r="AG370" s="144"/>
      <c r="AH370" s="144"/>
      <c r="AI370" s="248"/>
      <c r="AJ370" s="144"/>
      <c r="AK370" s="247"/>
      <c r="AL370" s="18"/>
      <c r="AM370" s="18"/>
      <c r="AN370" s="18"/>
      <c r="AT370" s="51"/>
      <c r="AU370" s="15"/>
      <c r="AV370" s="15"/>
      <c r="AW370" s="15"/>
      <c r="AX370" s="15"/>
      <c r="AY370" s="15"/>
      <c r="AZ370" s="15"/>
      <c r="BA370" s="51"/>
      <c r="BB370" s="15"/>
      <c r="BC370" s="15"/>
      <c r="BD370" s="15"/>
      <c r="BE370" s="15"/>
      <c r="BF370" s="15"/>
      <c r="BG370" s="51"/>
      <c r="BH370" s="15"/>
      <c r="BI370" s="15"/>
      <c r="BJ370" s="15"/>
      <c r="BK370" s="51"/>
      <c r="BL370" s="15"/>
      <c r="BM370" s="15"/>
      <c r="BN370" s="15"/>
      <c r="BO370" s="15"/>
      <c r="BP370" s="15"/>
      <c r="BQ370" s="18"/>
      <c r="BR370" s="18"/>
      <c r="BS370" s="18"/>
      <c r="BT370" s="18"/>
      <c r="BU370" s="18"/>
      <c r="BV370" s="18"/>
      <c r="BW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  <c r="FC370" s="18"/>
      <c r="FD370" s="18"/>
      <c r="FE370" s="18"/>
      <c r="FF370" s="18"/>
      <c r="FG370" s="18"/>
      <c r="FH370" s="18"/>
      <c r="FI370" s="18"/>
      <c r="FJ370" s="18"/>
      <c r="FK370" s="18"/>
      <c r="FL370" s="18"/>
      <c r="FM370" s="18"/>
      <c r="FN370" s="18"/>
      <c r="FO370" s="18"/>
      <c r="FP370" s="18"/>
      <c r="FQ370" s="18"/>
      <c r="FR370" s="18"/>
      <c r="FS370" s="18"/>
      <c r="FT370" s="18"/>
      <c r="FU370" s="18"/>
      <c r="FV370" s="18"/>
      <c r="FW370" s="18"/>
      <c r="FX370" s="18"/>
      <c r="FY370" s="18"/>
      <c r="FZ370" s="18"/>
      <c r="GA370" s="18"/>
      <c r="GB370" s="18"/>
      <c r="GC370" s="18"/>
      <c r="GD370" s="18"/>
      <c r="GE370" s="18"/>
      <c r="GF370" s="18"/>
      <c r="GG370" s="18"/>
      <c r="GH370" s="18"/>
      <c r="GI370" s="18"/>
      <c r="GJ370" s="18"/>
      <c r="GK370" s="18"/>
      <c r="GL370" s="18"/>
      <c r="GM370" s="18"/>
      <c r="GN370" s="18"/>
      <c r="GO370" s="18"/>
      <c r="GP370" s="18"/>
      <c r="GQ370" s="18"/>
      <c r="GR370" s="18"/>
      <c r="GS370" s="18"/>
      <c r="GT370" s="18"/>
      <c r="GU370" s="18"/>
      <c r="GV370" s="18"/>
      <c r="GW370" s="18"/>
      <c r="GX370" s="18"/>
      <c r="GY370" s="18"/>
      <c r="GZ370" s="18"/>
      <c r="HA370" s="18"/>
      <c r="HB370" s="18"/>
      <c r="HC370" s="18"/>
      <c r="HD370" s="18"/>
      <c r="HE370" s="18"/>
      <c r="HF370" s="18"/>
      <c r="HG370" s="13"/>
      <c r="HH370" s="13"/>
      <c r="HI370" s="13"/>
      <c r="HJ370" s="13"/>
      <c r="HK370" s="13"/>
      <c r="HL370" s="13"/>
      <c r="HM370" s="13"/>
      <c r="HN370" s="13"/>
      <c r="HO370" s="13"/>
      <c r="HP370" s="13"/>
      <c r="HQ370" s="13"/>
      <c r="HR370" s="13"/>
      <c r="HS370" s="13"/>
      <c r="HT370" s="13"/>
      <c r="HV370" s="18"/>
      <c r="HW370" s="18"/>
      <c r="HX370" s="18"/>
      <c r="HY370" s="18"/>
      <c r="HZ370" s="18"/>
      <c r="IA370" s="18"/>
      <c r="IB370" s="18"/>
      <c r="IC370" s="18"/>
      <c r="ID370" s="18"/>
      <c r="IE370" s="18"/>
      <c r="IF370" s="18"/>
      <c r="IG370" s="18"/>
      <c r="IH370" s="18"/>
      <c r="II370" s="18"/>
      <c r="IJ370" s="18"/>
      <c r="IK370" s="18"/>
      <c r="IL370" s="18"/>
      <c r="IM370" s="18"/>
      <c r="IN370" s="18"/>
      <c r="IO370" s="18"/>
      <c r="IP370" s="18"/>
      <c r="IQ370" s="18"/>
      <c r="IR370" s="18"/>
      <c r="IS370" s="18"/>
      <c r="IT370" s="18"/>
      <c r="IU370" s="18"/>
      <c r="IV370" s="18"/>
      <c r="IW370" s="18"/>
      <c r="IX370" s="18"/>
      <c r="IY370" s="18"/>
      <c r="IZ370" s="18"/>
      <c r="JA370" s="18"/>
      <c r="JB370" s="18"/>
      <c r="JC370" s="18"/>
      <c r="JD370" s="18"/>
      <c r="JE370" s="18"/>
      <c r="JF370" s="18"/>
      <c r="JG370" s="18"/>
      <c r="JH370" s="18"/>
      <c r="JI370" s="18"/>
      <c r="JJ370" s="18"/>
      <c r="JK370" s="18"/>
      <c r="JL370" s="18"/>
      <c r="JM370" s="18"/>
      <c r="JN370" s="18"/>
      <c r="JO370" s="18"/>
      <c r="JP370" s="18"/>
      <c r="JQ370" s="18"/>
      <c r="JR370" s="18"/>
      <c r="JS370" s="18"/>
      <c r="JT370" s="18"/>
      <c r="JU370" s="18"/>
      <c r="JV370" s="18"/>
      <c r="JW370" s="18"/>
      <c r="JX370" s="18"/>
      <c r="JY370" s="18"/>
      <c r="JZ370" s="18"/>
      <c r="KA370" s="18"/>
      <c r="KB370" s="18"/>
      <c r="KC370" s="18"/>
      <c r="KD370" s="18"/>
      <c r="KE370" s="18"/>
      <c r="KF370" s="18"/>
      <c r="KG370" s="18"/>
      <c r="KH370" s="18"/>
      <c r="KI370" s="18"/>
      <c r="KJ370" s="18"/>
      <c r="KK370" s="18"/>
      <c r="KL370" s="18"/>
      <c r="KM370" s="18"/>
      <c r="KN370" s="18"/>
      <c r="KO370" s="18"/>
      <c r="KP370" s="18"/>
    </row>
    <row r="371" spans="1:302" ht="11.1" hidden="1" customHeight="1" outlineLevel="1">
      <c r="M371" s="136" t="s">
        <v>59</v>
      </c>
      <c r="N371" s="136"/>
      <c r="O371" s="136"/>
      <c r="P371" s="281">
        <v>0.12870000000000001</v>
      </c>
      <c r="AF371" s="18"/>
      <c r="AG371" s="144"/>
      <c r="AH371" s="144"/>
      <c r="AI371" s="248"/>
      <c r="AJ371" s="144"/>
      <c r="AK371" s="247"/>
      <c r="AL371" s="18"/>
      <c r="AM371" s="18"/>
      <c r="AN371" s="18"/>
      <c r="AT371" s="51"/>
      <c r="AU371" s="15"/>
      <c r="AV371" s="15"/>
      <c r="AW371" s="15"/>
      <c r="AX371" s="15"/>
      <c r="AY371" s="15"/>
      <c r="AZ371" s="15"/>
      <c r="BA371" s="51"/>
      <c r="BB371" s="15"/>
      <c r="BC371" s="15"/>
      <c r="BD371" s="15"/>
      <c r="BE371" s="15"/>
      <c r="BF371" s="15"/>
      <c r="BG371" s="51"/>
      <c r="BH371" s="15"/>
      <c r="BI371" s="15"/>
      <c r="BJ371" s="15"/>
      <c r="BK371" s="51"/>
      <c r="BL371" s="15"/>
      <c r="BM371" s="15"/>
      <c r="BN371" s="15"/>
      <c r="BO371" s="15"/>
      <c r="BP371" s="15"/>
      <c r="BQ371" s="18"/>
      <c r="BR371" s="18"/>
      <c r="BS371" s="18"/>
      <c r="BT371" s="18"/>
      <c r="BU371" s="18"/>
      <c r="BV371" s="18"/>
      <c r="BW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  <c r="EZ371" s="18"/>
      <c r="FA371" s="18"/>
      <c r="FB371" s="18"/>
      <c r="FC371" s="18"/>
      <c r="FD371" s="18"/>
      <c r="FE371" s="18"/>
      <c r="FF371" s="18"/>
      <c r="FG371" s="18"/>
      <c r="FH371" s="18"/>
      <c r="FI371" s="18"/>
      <c r="FJ371" s="18"/>
      <c r="FK371" s="18"/>
      <c r="FL371" s="18"/>
      <c r="FM371" s="18"/>
      <c r="FN371" s="18"/>
      <c r="FO371" s="18"/>
      <c r="FP371" s="18"/>
      <c r="FQ371" s="18"/>
      <c r="FR371" s="18"/>
      <c r="FS371" s="18"/>
      <c r="FT371" s="18"/>
      <c r="FU371" s="18"/>
      <c r="FV371" s="18"/>
      <c r="FW371" s="18"/>
      <c r="FX371" s="18"/>
      <c r="FY371" s="18"/>
      <c r="FZ371" s="18"/>
      <c r="GA371" s="18"/>
      <c r="GB371" s="18"/>
      <c r="GC371" s="18"/>
      <c r="GD371" s="18"/>
      <c r="GE371" s="18"/>
      <c r="GF371" s="18"/>
      <c r="GG371" s="18"/>
      <c r="GH371" s="18"/>
      <c r="GI371" s="18"/>
      <c r="GJ371" s="18"/>
      <c r="GK371" s="18"/>
      <c r="GL371" s="18"/>
      <c r="GM371" s="18"/>
      <c r="GN371" s="18"/>
      <c r="GO371" s="18"/>
      <c r="GP371" s="18"/>
      <c r="GQ371" s="18"/>
      <c r="GR371" s="18"/>
      <c r="GS371" s="18"/>
      <c r="GT371" s="18"/>
      <c r="GU371" s="18"/>
      <c r="GV371" s="18"/>
      <c r="GW371" s="18"/>
      <c r="GX371" s="18"/>
      <c r="GY371" s="18"/>
      <c r="GZ371" s="18"/>
      <c r="HA371" s="18"/>
      <c r="HB371" s="18"/>
      <c r="HC371" s="18"/>
      <c r="HD371" s="18"/>
      <c r="HE371" s="18"/>
      <c r="HF371" s="18"/>
      <c r="HG371" s="13"/>
      <c r="HH371" s="13"/>
      <c r="HI371" s="13"/>
      <c r="HJ371" s="13"/>
      <c r="HK371" s="13"/>
      <c r="HL371" s="13"/>
      <c r="HM371" s="13"/>
      <c r="HN371" s="13"/>
      <c r="HO371" s="13"/>
      <c r="HP371" s="13"/>
      <c r="HQ371" s="13"/>
      <c r="HR371" s="13"/>
      <c r="HS371" s="13"/>
      <c r="HT371" s="13"/>
      <c r="HV371" s="18"/>
      <c r="HW371" s="18"/>
      <c r="HX371" s="18"/>
      <c r="HY371" s="18"/>
      <c r="HZ371" s="18"/>
      <c r="IA371" s="18"/>
      <c r="IB371" s="18"/>
      <c r="IC371" s="18"/>
      <c r="ID371" s="18"/>
      <c r="IE371" s="18"/>
      <c r="IF371" s="18"/>
      <c r="IG371" s="18"/>
      <c r="IH371" s="18"/>
      <c r="II371" s="18"/>
      <c r="IJ371" s="18"/>
      <c r="IK371" s="18"/>
      <c r="IL371" s="18"/>
      <c r="IM371" s="18"/>
      <c r="IN371" s="18"/>
      <c r="IO371" s="18"/>
      <c r="IP371" s="18"/>
      <c r="IQ371" s="18"/>
      <c r="IR371" s="18"/>
      <c r="IS371" s="18"/>
      <c r="IT371" s="18"/>
      <c r="IU371" s="18"/>
      <c r="IV371" s="18"/>
      <c r="IW371" s="18"/>
      <c r="IX371" s="18"/>
      <c r="IY371" s="18"/>
      <c r="IZ371" s="18"/>
      <c r="JA371" s="18"/>
      <c r="JB371" s="18"/>
      <c r="JC371" s="18"/>
      <c r="JD371" s="18"/>
      <c r="JE371" s="18"/>
      <c r="JF371" s="18"/>
      <c r="JG371" s="18"/>
      <c r="JH371" s="18"/>
      <c r="JI371" s="18"/>
      <c r="JJ371" s="18"/>
      <c r="JK371" s="18"/>
      <c r="JL371" s="18"/>
      <c r="JM371" s="18"/>
      <c r="JN371" s="18"/>
      <c r="JO371" s="18"/>
      <c r="JP371" s="18"/>
      <c r="JQ371" s="18"/>
      <c r="JR371" s="18"/>
      <c r="JS371" s="18"/>
      <c r="JT371" s="18"/>
      <c r="JU371" s="18"/>
      <c r="JV371" s="18"/>
      <c r="JW371" s="18"/>
      <c r="JX371" s="18"/>
      <c r="JY371" s="18"/>
      <c r="JZ371" s="18"/>
      <c r="KA371" s="18"/>
      <c r="KB371" s="18"/>
      <c r="KC371" s="18"/>
      <c r="KD371" s="18"/>
      <c r="KE371" s="18"/>
      <c r="KF371" s="18"/>
      <c r="KG371" s="18"/>
      <c r="KH371" s="18"/>
      <c r="KI371" s="18"/>
      <c r="KJ371" s="18"/>
      <c r="KK371" s="18"/>
      <c r="KL371" s="18"/>
      <c r="KM371" s="18"/>
      <c r="KN371" s="18"/>
      <c r="KO371" s="18"/>
      <c r="KP371" s="18"/>
    </row>
    <row r="372" spans="1:302" s="3" customFormat="1" ht="5.0999999999999996" hidden="1" customHeight="1" outlineLevel="1" collapsed="1">
      <c r="B372" s="192"/>
      <c r="K372" s="40"/>
      <c r="M372" s="136"/>
      <c r="N372" s="136"/>
      <c r="O372" s="136"/>
      <c r="P372" s="275">
        <v>113.71</v>
      </c>
      <c r="Y372" s="274"/>
      <c r="Z372" s="274"/>
      <c r="AG372" s="35"/>
      <c r="AH372" s="35"/>
      <c r="AI372" s="35"/>
      <c r="AJ372" s="35"/>
      <c r="AK372" s="35"/>
      <c r="AR372" s="7"/>
      <c r="AT372" s="31"/>
      <c r="BA372" s="31"/>
      <c r="BG372" s="31"/>
      <c r="BK372" s="31"/>
      <c r="BL372" s="13"/>
      <c r="BX372" s="31"/>
      <c r="CS372" s="31"/>
      <c r="DO372" s="31"/>
      <c r="HU372" s="31"/>
    </row>
    <row r="373" spans="1:302" s="3" customFormat="1" ht="11.1" hidden="1" customHeight="1" outlineLevel="1">
      <c r="A373" s="208" t="s">
        <v>68</v>
      </c>
      <c r="B373" s="192"/>
      <c r="D373" s="3" t="s">
        <v>67</v>
      </c>
      <c r="F373" s="11">
        <v>0</v>
      </c>
      <c r="G373" s="946">
        <v>41408</v>
      </c>
      <c r="H373" s="946"/>
      <c r="I373" s="1067">
        <v>123.25</v>
      </c>
      <c r="J373" s="1067"/>
      <c r="K373" s="1067"/>
      <c r="M373" s="136"/>
      <c r="N373" s="136"/>
      <c r="O373" s="136"/>
      <c r="P373" s="280">
        <v>114.25</v>
      </c>
      <c r="Y373" s="274"/>
      <c r="Z373" s="274"/>
      <c r="AB373" s="947">
        <f>F373*P373</f>
        <v>0</v>
      </c>
      <c r="AC373" s="947"/>
      <c r="AD373" s="190">
        <f>-((I373*F373)-(P373*F373))</f>
        <v>0</v>
      </c>
      <c r="AE373" s="190"/>
      <c r="AF373" s="205" t="e">
        <f>IF(#REF!-AP373&lt;0,#REF!-AP373,(#REF!-AP373)*0.8)</f>
        <v>#REF!</v>
      </c>
      <c r="AG373" s="35"/>
      <c r="AH373" s="35"/>
      <c r="AI373" s="35"/>
      <c r="AJ373" s="34" t="s">
        <v>66</v>
      </c>
      <c r="AK373" s="35"/>
      <c r="AL373" s="279" t="s">
        <v>65</v>
      </c>
      <c r="AN373" s="179"/>
      <c r="AO373" s="38"/>
      <c r="AP373" s="188">
        <f>F373*I373+AN373+AN374</f>
        <v>0</v>
      </c>
      <c r="AQ373" s="14"/>
      <c r="AR373" s="7"/>
      <c r="AT373" s="31"/>
      <c r="BA373" s="31"/>
      <c r="BG373" s="31"/>
      <c r="BK373" s="31"/>
      <c r="BL373" s="13"/>
      <c r="BX373" s="31"/>
      <c r="CS373" s="31"/>
      <c r="DO373" s="31"/>
      <c r="HU373" s="278">
        <f>IF(AL374=1,AB373,"")</f>
        <v>0</v>
      </c>
      <c r="HV373" s="277" t="str">
        <f>IF(AL374=2,AB373,"")</f>
        <v/>
      </c>
      <c r="HW373" s="277" t="str">
        <f>IF(AL374=3,AB373,"")</f>
        <v/>
      </c>
      <c r="HX373" s="277" t="str">
        <f>IF(AL374=4,AB373,"")</f>
        <v/>
      </c>
      <c r="HY373" s="277" t="str">
        <f>IF(AL374=5,AB373,"")</f>
        <v/>
      </c>
      <c r="HZ373" s="277" t="str">
        <f>IF(AL374=6,AB373,"")</f>
        <v/>
      </c>
      <c r="IA373" s="277" t="str">
        <f>IF(AL374=7,AB373,"")</f>
        <v/>
      </c>
      <c r="IB373" s="277" t="str">
        <f>IF(AL374=8,AB373,"")</f>
        <v/>
      </c>
      <c r="IC373" s="277" t="str">
        <f>IF(AL374=9,AB373,"")</f>
        <v/>
      </c>
      <c r="ID373" s="277" t="str">
        <f>IF(AL374=10,AB373,"")</f>
        <v/>
      </c>
      <c r="IE373" s="277" t="str">
        <f>IF(AL374=11,AB373,"")</f>
        <v/>
      </c>
      <c r="IF373" s="277" t="str">
        <f>IF(AL374=12,AB373,"")</f>
        <v/>
      </c>
      <c r="IG373" s="277" t="str">
        <f>IF(AL374=13,AB373,"")</f>
        <v/>
      </c>
      <c r="IH373" s="277" t="str">
        <f>IF(AL374=14,AB373,"")</f>
        <v/>
      </c>
      <c r="II373" s="277" t="str">
        <f>IF(AL374=15,AB373,"")</f>
        <v/>
      </c>
      <c r="IJ373" s="277" t="str">
        <f>IF(AL374=16,AB373,"")</f>
        <v/>
      </c>
      <c r="IK373" s="277" t="str">
        <f>IF(AL374=17,AB373,"")</f>
        <v/>
      </c>
      <c r="IL373" s="277" t="str">
        <f>IF(AL374=18,AB373,"")</f>
        <v/>
      </c>
      <c r="IM373" s="277" t="str">
        <f>IF(AL374=19,AB373,"")</f>
        <v/>
      </c>
      <c r="IN373" s="277" t="str">
        <f>IF(AL374=20,AB373,"")</f>
        <v/>
      </c>
      <c r="IO373" s="277" t="str">
        <f>IF(AL374=21,AB373,"")</f>
        <v/>
      </c>
      <c r="IP373" s="277" t="str">
        <f>IF(AL374=22,AB373,"")</f>
        <v/>
      </c>
    </row>
    <row r="374" spans="1:302" s="3" customFormat="1" ht="11.1" hidden="1" customHeight="1" outlineLevel="1">
      <c r="A374" s="3" t="s">
        <v>64</v>
      </c>
      <c r="B374" s="192"/>
      <c r="K374" s="185">
        <f>AP373</f>
        <v>0</v>
      </c>
      <c r="M374" s="136"/>
      <c r="N374" s="136"/>
      <c r="O374" s="136"/>
      <c r="P374" s="276">
        <v>114.4</v>
      </c>
      <c r="Y374" s="274"/>
      <c r="Z374" s="274"/>
      <c r="AB374" s="947"/>
      <c r="AC374" s="947"/>
      <c r="AD374" s="183">
        <f>((P373-I373)/I373)</f>
        <v>-7.3022312373225151E-2</v>
      </c>
      <c r="AE374" s="183"/>
      <c r="AF374" s="14"/>
      <c r="AG374" s="35"/>
      <c r="AH374" s="35"/>
      <c r="AI374" s="35"/>
      <c r="AJ374" s="35"/>
      <c r="AK374" s="35"/>
      <c r="AL374" s="275">
        <f>VLOOKUP(AL373,'[2]IBAN CONTI'!A$106:B$122,2,FALSE)</f>
        <v>1</v>
      </c>
      <c r="AN374" s="179"/>
      <c r="AO374" s="38"/>
      <c r="AP374" s="38"/>
      <c r="AQ374" s="14"/>
      <c r="AR374" s="7"/>
      <c r="AT374" s="31"/>
      <c r="BA374" s="31"/>
      <c r="BG374" s="31"/>
      <c r="BK374" s="31"/>
      <c r="BL374" s="13"/>
      <c r="BX374" s="31"/>
      <c r="CS374" s="31"/>
      <c r="DO374" s="31"/>
      <c r="HU374" s="31"/>
    </row>
    <row r="375" spans="1:302" s="3" customFormat="1" ht="11.1" hidden="1" customHeight="1" outlineLevel="1">
      <c r="A375" s="3" t="s">
        <v>63</v>
      </c>
      <c r="B375" s="192"/>
      <c r="K375" s="40"/>
      <c r="M375" s="705" t="s">
        <v>37</v>
      </c>
      <c r="N375" s="705"/>
      <c r="O375" s="705"/>
      <c r="P375" s="273">
        <v>120.59</v>
      </c>
      <c r="Y375" s="274"/>
      <c r="Z375" s="274"/>
      <c r="AG375" s="35"/>
      <c r="AH375" s="35"/>
      <c r="AI375" s="35"/>
      <c r="AJ375" s="35"/>
      <c r="AK375" s="35"/>
      <c r="AR375" s="7"/>
      <c r="AT375" s="31"/>
      <c r="BA375" s="31"/>
      <c r="BG375" s="31"/>
      <c r="BK375" s="31"/>
      <c r="BL375" s="13"/>
      <c r="BX375" s="31"/>
      <c r="CS375" s="31"/>
      <c r="DO375" s="31"/>
      <c r="HU375" s="31"/>
    </row>
    <row r="376" spans="1:302" s="3" customFormat="1" ht="11.1" hidden="1" customHeight="1" outlineLevel="1">
      <c r="B376" s="192"/>
      <c r="K376" s="40"/>
      <c r="M376" s="705" t="s">
        <v>36</v>
      </c>
      <c r="N376" s="705"/>
      <c r="O376" s="705"/>
      <c r="P376" s="1">
        <v>121.02</v>
      </c>
      <c r="Y376" s="274"/>
      <c r="Z376" s="274"/>
      <c r="AG376" s="35"/>
      <c r="AH376" s="35"/>
      <c r="AI376" s="35"/>
      <c r="AJ376" s="35"/>
      <c r="AK376" s="35"/>
      <c r="AR376" s="7"/>
      <c r="AT376" s="31"/>
      <c r="BA376" s="31"/>
      <c r="BG376" s="31"/>
      <c r="BK376" s="31"/>
      <c r="BL376" s="13"/>
      <c r="BX376" s="31"/>
      <c r="CS376" s="31"/>
      <c r="DO376" s="31"/>
      <c r="HU376" s="31"/>
    </row>
    <row r="377" spans="1:302" s="3" customFormat="1" ht="11.1" hidden="1" customHeight="1" outlineLevel="1">
      <c r="B377" s="192"/>
      <c r="K377" s="40"/>
      <c r="M377" s="705" t="s">
        <v>35</v>
      </c>
      <c r="N377" s="705"/>
      <c r="O377" s="705"/>
      <c r="P377" s="273">
        <v>120.65</v>
      </c>
      <c r="Y377" s="274"/>
      <c r="Z377" s="274"/>
      <c r="AG377" s="35"/>
      <c r="AH377" s="35"/>
      <c r="AI377" s="35"/>
      <c r="AJ377" s="35"/>
      <c r="AK377" s="35"/>
      <c r="AR377" s="7"/>
      <c r="AT377" s="31"/>
      <c r="BA377" s="31"/>
      <c r="BG377" s="31"/>
      <c r="BK377" s="31"/>
      <c r="BL377" s="13"/>
      <c r="BX377" s="31"/>
      <c r="CS377" s="31"/>
      <c r="DO377" s="31"/>
      <c r="HU377" s="31"/>
    </row>
    <row r="378" spans="1:302" s="3" customFormat="1" ht="11.1" hidden="1" customHeight="1" outlineLevel="1">
      <c r="B378" s="192"/>
      <c r="K378" s="40"/>
      <c r="M378" s="705" t="s">
        <v>34</v>
      </c>
      <c r="N378" s="705"/>
      <c r="O378" s="705"/>
      <c r="P378" s="1">
        <v>120.95</v>
      </c>
      <c r="Y378" s="274"/>
      <c r="Z378" s="274"/>
      <c r="AG378" s="35"/>
      <c r="AH378" s="35"/>
      <c r="AI378" s="35"/>
      <c r="AJ378" s="35"/>
      <c r="AK378" s="35"/>
      <c r="AR378" s="7"/>
      <c r="AT378" s="31"/>
      <c r="BA378" s="31"/>
      <c r="BG378" s="31"/>
      <c r="BK378" s="31"/>
      <c r="BL378" s="13"/>
      <c r="BX378" s="31"/>
      <c r="CS378" s="31"/>
      <c r="DO378" s="31"/>
      <c r="HU378" s="31"/>
    </row>
    <row r="379" spans="1:302" s="3" customFormat="1" ht="11.1" hidden="1" customHeight="1" outlineLevel="1">
      <c r="B379" s="192"/>
      <c r="K379" s="40"/>
      <c r="M379" s="705" t="s">
        <v>62</v>
      </c>
      <c r="N379" s="705"/>
      <c r="O379" s="705"/>
      <c r="P379" s="1">
        <v>101.39</v>
      </c>
      <c r="Y379" s="274"/>
      <c r="Z379" s="274"/>
      <c r="AG379" s="35"/>
      <c r="AH379" s="35"/>
      <c r="AI379" s="35"/>
      <c r="AJ379" s="35"/>
      <c r="AK379" s="35"/>
      <c r="AR379" s="7"/>
      <c r="AT379" s="31"/>
      <c r="BA379" s="31"/>
      <c r="BG379" s="31"/>
      <c r="BK379" s="31"/>
      <c r="BL379" s="13"/>
      <c r="BX379" s="31"/>
      <c r="CS379" s="31"/>
      <c r="DO379" s="31"/>
      <c r="HU379" s="31"/>
    </row>
    <row r="380" spans="1:302" s="3" customFormat="1" ht="11.1" hidden="1" customHeight="1" outlineLevel="1">
      <c r="B380" s="192"/>
      <c r="K380" s="40"/>
      <c r="M380" s="705" t="s">
        <v>61</v>
      </c>
      <c r="N380" s="705"/>
      <c r="O380" s="705"/>
      <c r="P380" s="1" t="s">
        <v>60</v>
      </c>
      <c r="Y380" s="274"/>
      <c r="Z380" s="274"/>
      <c r="AG380" s="35"/>
      <c r="AH380" s="35"/>
      <c r="AI380" s="35"/>
      <c r="AJ380" s="35"/>
      <c r="AK380" s="35"/>
      <c r="AR380" s="7"/>
      <c r="AT380" s="31"/>
      <c r="BA380" s="31"/>
      <c r="BG380" s="31"/>
      <c r="BK380" s="31"/>
      <c r="BL380" s="13"/>
      <c r="BX380" s="31"/>
      <c r="CS380" s="31"/>
      <c r="DO380" s="31"/>
      <c r="HU380" s="31"/>
    </row>
    <row r="381" spans="1:302" ht="4.5" hidden="1" customHeight="1" outlineLevel="1">
      <c r="A381" s="1"/>
      <c r="B381" s="57"/>
      <c r="C381" s="52"/>
      <c r="E381" s="57"/>
      <c r="F381" s="940"/>
      <c r="G381" s="176"/>
      <c r="H381" s="176"/>
      <c r="I381" s="176"/>
      <c r="J381" s="176"/>
      <c r="K381" s="941"/>
      <c r="L381" s="57"/>
      <c r="M381" s="705" t="s">
        <v>59</v>
      </c>
      <c r="N381" s="705"/>
      <c r="O381" s="705"/>
      <c r="P381" s="273">
        <v>4.2799999999999998E-2</v>
      </c>
      <c r="Q381" s="1"/>
      <c r="T381" s="57"/>
      <c r="U381" s="57"/>
      <c r="V381" s="57"/>
      <c r="W381" s="57"/>
      <c r="X381" s="57"/>
      <c r="Y381" s="175"/>
      <c r="Z381" s="175"/>
      <c r="AA381" s="57"/>
      <c r="AB381" s="174"/>
      <c r="AC381" s="174"/>
      <c r="AD381" s="173"/>
      <c r="AE381" s="173"/>
      <c r="AF381" s="69"/>
      <c r="AG381" s="38"/>
      <c r="AH381" s="38"/>
      <c r="AI381" s="38"/>
      <c r="AJ381" s="38"/>
      <c r="AK381" s="172"/>
      <c r="AL381" s="38"/>
      <c r="AM381" s="38"/>
      <c r="AN381" s="38"/>
      <c r="AO381" s="38"/>
      <c r="AP381" s="38"/>
      <c r="AQ381" s="38"/>
      <c r="AR381" s="67"/>
      <c r="AS381" s="38"/>
      <c r="AT381" s="171"/>
      <c r="AU381" s="21"/>
      <c r="AV381" s="21"/>
      <c r="AW381" s="21"/>
      <c r="AX381" s="21"/>
      <c r="AY381" s="21"/>
      <c r="AZ381" s="21"/>
      <c r="BA381" s="171"/>
      <c r="BB381" s="21"/>
      <c r="BC381" s="21"/>
      <c r="BD381" s="18"/>
      <c r="BE381" s="18"/>
      <c r="BF381" s="18"/>
      <c r="BH381" s="18"/>
      <c r="BI381" s="18"/>
      <c r="BJ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  <c r="FC381" s="18"/>
      <c r="FD381" s="18"/>
      <c r="FE381" s="18"/>
      <c r="FF381" s="18"/>
      <c r="FG381" s="18"/>
      <c r="FH381" s="18"/>
      <c r="FI381" s="18"/>
      <c r="FJ381" s="18"/>
      <c r="FK381" s="18"/>
      <c r="FL381" s="18"/>
      <c r="FM381" s="18"/>
      <c r="FN381" s="18"/>
      <c r="FO381" s="18"/>
      <c r="FP381" s="18"/>
      <c r="FQ381" s="18"/>
      <c r="FR381" s="18"/>
      <c r="FS381" s="18"/>
      <c r="FT381" s="18"/>
      <c r="FU381" s="18"/>
      <c r="FV381" s="18"/>
      <c r="FW381" s="18"/>
      <c r="FX381" s="18"/>
      <c r="FY381" s="18"/>
      <c r="FZ381" s="18"/>
      <c r="GA381" s="18"/>
      <c r="GB381" s="18"/>
      <c r="GC381" s="18"/>
      <c r="GD381" s="18"/>
      <c r="GE381" s="18"/>
      <c r="GF381" s="18"/>
      <c r="GG381" s="18"/>
      <c r="GH381" s="18"/>
      <c r="GI381" s="18"/>
      <c r="GJ381" s="18"/>
      <c r="GK381" s="18"/>
      <c r="GL381" s="18"/>
      <c r="GM381" s="18"/>
      <c r="GN381" s="18"/>
      <c r="GO381" s="18"/>
      <c r="GP381" s="18"/>
      <c r="GQ381" s="18"/>
      <c r="GR381" s="18"/>
      <c r="GS381" s="18"/>
      <c r="GT381" s="18"/>
      <c r="GU381" s="18"/>
      <c r="GV381" s="18"/>
      <c r="GW381" s="18"/>
      <c r="GX381" s="18"/>
      <c r="GY381" s="18"/>
      <c r="GZ381" s="18"/>
      <c r="HA381" s="18"/>
      <c r="HB381" s="18"/>
      <c r="HC381" s="18"/>
      <c r="HD381" s="18"/>
      <c r="HE381" s="18"/>
      <c r="HF381" s="18"/>
      <c r="HG381" s="13"/>
      <c r="HH381" s="13"/>
      <c r="HI381" s="13"/>
      <c r="HJ381" s="13"/>
      <c r="HK381" s="13"/>
      <c r="HL381" s="13"/>
      <c r="HM381" s="13"/>
      <c r="HN381" s="13"/>
      <c r="HO381" s="13"/>
      <c r="HP381" s="13"/>
      <c r="HQ381" s="13"/>
      <c r="HR381" s="13"/>
      <c r="HS381" s="13"/>
      <c r="HT381" s="13"/>
      <c r="HV381" s="18"/>
      <c r="HW381" s="18"/>
      <c r="HX381" s="18"/>
      <c r="HY381" s="18"/>
      <c r="HZ381" s="18"/>
      <c r="IA381" s="18"/>
      <c r="IB381" s="18"/>
      <c r="IC381" s="18"/>
      <c r="ID381" s="18"/>
      <c r="IE381" s="18"/>
      <c r="IF381" s="18"/>
      <c r="IG381" s="18"/>
      <c r="IH381" s="18"/>
      <c r="II381" s="18"/>
      <c r="IJ381" s="18"/>
      <c r="IK381" s="18"/>
      <c r="IL381" s="18"/>
      <c r="IM381" s="18"/>
      <c r="IN381" s="18"/>
      <c r="IO381" s="18"/>
      <c r="IP381" s="18"/>
      <c r="IQ381" s="18"/>
      <c r="IR381" s="18"/>
      <c r="IS381" s="18"/>
      <c r="IT381" s="18"/>
      <c r="IU381" s="18"/>
      <c r="IV381" s="18"/>
      <c r="IW381" s="18"/>
      <c r="IX381" s="18"/>
      <c r="IY381" s="18"/>
      <c r="IZ381" s="18"/>
      <c r="JA381" s="18"/>
      <c r="JB381" s="18"/>
      <c r="JC381" s="18"/>
      <c r="JD381" s="18"/>
      <c r="JE381" s="18"/>
      <c r="JF381" s="18"/>
      <c r="JG381" s="18"/>
      <c r="JH381" s="18"/>
      <c r="JI381" s="18"/>
      <c r="JJ381" s="18"/>
      <c r="JK381" s="18"/>
      <c r="JL381" s="18"/>
      <c r="JM381" s="18"/>
      <c r="JN381" s="18"/>
      <c r="JO381" s="18"/>
      <c r="JP381" s="18"/>
      <c r="JQ381" s="18"/>
      <c r="JR381" s="18"/>
      <c r="JS381" s="18"/>
      <c r="JT381" s="18"/>
      <c r="JU381" s="18"/>
      <c r="JV381" s="18"/>
      <c r="JW381" s="18"/>
      <c r="JX381" s="18"/>
      <c r="JY381" s="18"/>
      <c r="JZ381" s="18"/>
      <c r="KA381" s="18"/>
      <c r="KB381" s="18"/>
      <c r="KC381" s="18"/>
      <c r="KD381" s="18"/>
      <c r="KE381" s="18"/>
      <c r="KF381" s="18"/>
      <c r="KG381" s="18"/>
      <c r="KH381" s="18"/>
      <c r="KI381" s="18"/>
      <c r="KJ381" s="18"/>
      <c r="KK381" s="18"/>
      <c r="KL381" s="18"/>
      <c r="KM381" s="18"/>
      <c r="KN381" s="18"/>
      <c r="KO381" s="18"/>
      <c r="KP381" s="18"/>
    </row>
    <row r="382" spans="1:302" ht="11.1" hidden="1" customHeight="1" outlineLevel="1">
      <c r="A382" s="191" t="s">
        <v>58</v>
      </c>
      <c r="B382" s="29"/>
      <c r="C382" s="52"/>
      <c r="D382" s="940" t="s">
        <v>57</v>
      </c>
      <c r="F382" s="940">
        <v>0</v>
      </c>
      <c r="G382" s="187">
        <v>40855</v>
      </c>
      <c r="H382" s="187"/>
      <c r="I382" s="1069">
        <v>1.605375</v>
      </c>
      <c r="J382" s="1069"/>
      <c r="K382" s="1069"/>
      <c r="L382" s="57"/>
      <c r="M382" s="13"/>
      <c r="N382" s="13"/>
      <c r="O382" s="13"/>
      <c r="P382" s="272"/>
      <c r="Q382" s="29"/>
      <c r="T382" s="57"/>
      <c r="U382" s="57"/>
      <c r="V382" s="57"/>
      <c r="W382" s="57"/>
      <c r="X382" s="57"/>
      <c r="Y382" s="175"/>
      <c r="Z382" s="175"/>
      <c r="AA382" s="57"/>
      <c r="AB382" s="947">
        <f>F382*P383</f>
        <v>0</v>
      </c>
      <c r="AC382" s="947"/>
      <c r="AD382" s="190">
        <f>-((I382*F382)-(P383*F382))</f>
        <v>0</v>
      </c>
      <c r="AE382" s="190"/>
      <c r="AF382" s="69"/>
      <c r="AG382" s="271"/>
      <c r="AH382" s="270"/>
      <c r="AI382" s="270"/>
      <c r="AJ382" s="270"/>
      <c r="AK382" s="269"/>
      <c r="AL382" s="25"/>
      <c r="AN382" s="179"/>
      <c r="AO382" s="38"/>
      <c r="AP382" s="188">
        <f>F382*I382+AN382+AN383</f>
        <v>0</v>
      </c>
      <c r="AR382" s="67"/>
      <c r="AS382" s="38"/>
      <c r="AT382" s="171"/>
      <c r="AU382" s="21"/>
      <c r="AV382" s="21"/>
      <c r="AW382" s="21"/>
      <c r="AX382" s="21"/>
      <c r="AY382" s="21"/>
      <c r="AZ382" s="21"/>
      <c r="BA382" s="171"/>
      <c r="BB382" s="21"/>
      <c r="BC382" s="21"/>
      <c r="BD382" s="18"/>
      <c r="BE382" s="18"/>
      <c r="BF382" s="18"/>
      <c r="BH382" s="18"/>
      <c r="BI382" s="18"/>
      <c r="BJ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39"/>
      <c r="BY382" s="139" t="str">
        <f>IF($AB382=0,"",$AB382)</f>
        <v/>
      </c>
      <c r="BZ382" s="139"/>
      <c r="CA382" s="139"/>
      <c r="CB382" s="139"/>
      <c r="CC382" s="139"/>
      <c r="CD382" s="139"/>
      <c r="CE382" s="139"/>
      <c r="CF382" s="139"/>
      <c r="CG382" s="139"/>
      <c r="CH382" s="139"/>
      <c r="CI382" s="139"/>
      <c r="CJ382" s="139"/>
      <c r="CK382" s="139"/>
      <c r="CL382" s="139"/>
      <c r="CM382" s="139"/>
      <c r="CN382" s="139"/>
      <c r="CO382" s="139"/>
      <c r="CP382" s="139"/>
      <c r="CQ382" s="139"/>
      <c r="CR382" s="139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  <c r="FC382" s="18"/>
      <c r="FD382" s="18"/>
      <c r="FE382" s="18"/>
      <c r="FF382" s="18"/>
      <c r="FG382" s="18"/>
      <c r="FH382" s="18"/>
      <c r="FI382" s="18"/>
      <c r="FJ382" s="18"/>
      <c r="FK382" s="18"/>
      <c r="FL382" s="18"/>
      <c r="FM382" s="18"/>
      <c r="FN382" s="18"/>
      <c r="FO382" s="18"/>
      <c r="FP382" s="18"/>
      <c r="FQ382" s="18"/>
      <c r="FR382" s="18"/>
      <c r="FS382" s="18"/>
      <c r="FT382" s="18"/>
      <c r="FU382" s="18"/>
      <c r="FV382" s="18"/>
      <c r="FW382" s="18"/>
      <c r="FX382" s="18"/>
      <c r="FY382" s="18"/>
      <c r="FZ382" s="18"/>
      <c r="GA382" s="18"/>
      <c r="GB382" s="18"/>
      <c r="GC382" s="18"/>
      <c r="GD382" s="18"/>
      <c r="GE382" s="18"/>
      <c r="GF382" s="18"/>
      <c r="GG382" s="18"/>
      <c r="GH382" s="18"/>
      <c r="GI382" s="18"/>
      <c r="GJ382" s="18"/>
      <c r="GK382" s="18"/>
      <c r="GL382" s="18"/>
      <c r="GM382" s="18"/>
      <c r="GN382" s="18"/>
      <c r="GO382" s="18"/>
      <c r="GP382" s="18"/>
      <c r="GQ382" s="18"/>
      <c r="GR382" s="18"/>
      <c r="GS382" s="18"/>
      <c r="GT382" s="18"/>
      <c r="GU382" s="18"/>
      <c r="GV382" s="18"/>
      <c r="GW382" s="18"/>
      <c r="GX382" s="18"/>
      <c r="GY382" s="18"/>
      <c r="GZ382" s="18"/>
      <c r="HA382" s="18"/>
      <c r="HB382" s="18"/>
      <c r="HC382" s="18"/>
      <c r="HD382" s="18"/>
      <c r="HE382" s="18"/>
      <c r="HF382" s="18"/>
      <c r="HG382" s="13"/>
      <c r="HH382" s="13"/>
      <c r="HI382" s="13"/>
      <c r="HJ382" s="13"/>
      <c r="HK382" s="13"/>
      <c r="HL382" s="13"/>
      <c r="HM382" s="13"/>
      <c r="HN382" s="13"/>
      <c r="HO382" s="13"/>
      <c r="HP382" s="13"/>
      <c r="HQ382" s="13"/>
      <c r="HR382" s="13"/>
      <c r="HS382" s="13"/>
      <c r="HT382" s="13"/>
      <c r="HU382" s="139"/>
      <c r="HV382" s="139" t="str">
        <f>IF($AB382=0,"",$AB382)</f>
        <v/>
      </c>
      <c r="HW382" s="139"/>
      <c r="HX382" s="139"/>
      <c r="HY382" s="139"/>
      <c r="HZ382" s="139"/>
      <c r="IA382" s="139"/>
      <c r="IB382" s="139"/>
      <c r="IC382" s="139"/>
      <c r="ID382" s="139"/>
      <c r="IE382" s="139"/>
      <c r="IF382" s="139"/>
      <c r="IG382" s="139"/>
      <c r="IH382" s="139"/>
      <c r="II382" s="139"/>
      <c r="IJ382" s="139"/>
      <c r="IK382" s="139"/>
      <c r="IL382" s="139"/>
      <c r="IM382" s="139"/>
      <c r="IN382" s="139"/>
      <c r="IO382" s="139"/>
      <c r="IP382" s="18"/>
      <c r="IQ382" s="18"/>
      <c r="IR382" s="18"/>
      <c r="IS382" s="18"/>
      <c r="IT382" s="18"/>
      <c r="IU382" s="18"/>
      <c r="IV382" s="18"/>
      <c r="IW382" s="18"/>
      <c r="IX382" s="18"/>
      <c r="IY382" s="18"/>
      <c r="IZ382" s="18"/>
      <c r="JA382" s="18"/>
      <c r="JB382" s="18"/>
      <c r="JC382" s="18"/>
      <c r="JD382" s="18"/>
      <c r="JE382" s="18"/>
      <c r="JF382" s="18"/>
      <c r="JG382" s="18"/>
      <c r="JH382" s="18"/>
      <c r="JI382" s="18"/>
      <c r="JJ382" s="18"/>
      <c r="JK382" s="18"/>
      <c r="JL382" s="18"/>
      <c r="JM382" s="18"/>
      <c r="JN382" s="18"/>
      <c r="JO382" s="18"/>
      <c r="JP382" s="18"/>
      <c r="JQ382" s="18"/>
      <c r="JR382" s="18"/>
      <c r="JS382" s="18"/>
      <c r="JT382" s="18"/>
      <c r="JU382" s="18"/>
      <c r="JV382" s="18"/>
      <c r="JW382" s="18"/>
      <c r="JX382" s="18"/>
      <c r="JY382" s="18"/>
      <c r="JZ382" s="18"/>
      <c r="KA382" s="18"/>
      <c r="KB382" s="18"/>
      <c r="KC382" s="18"/>
      <c r="KD382" s="18"/>
      <c r="KE382" s="18"/>
      <c r="KF382" s="18"/>
      <c r="KG382" s="18"/>
      <c r="KH382" s="18"/>
      <c r="KI382" s="18"/>
      <c r="KJ382" s="18"/>
      <c r="KK382" s="18"/>
      <c r="KL382" s="18"/>
      <c r="KM382" s="18"/>
      <c r="KN382" s="18"/>
      <c r="KO382" s="18"/>
      <c r="KP382" s="18"/>
    </row>
    <row r="383" spans="1:302" ht="11.1" hidden="1" customHeight="1" outlineLevel="1">
      <c r="A383" s="268" t="s">
        <v>56</v>
      </c>
      <c r="B383" s="57"/>
      <c r="C383" s="52"/>
      <c r="E383" s="57"/>
      <c r="F383" s="940"/>
      <c r="G383" s="187"/>
      <c r="H383" s="187"/>
      <c r="I383" s="186"/>
      <c r="J383" s="186"/>
      <c r="K383" s="185">
        <f>AP382</f>
        <v>0</v>
      </c>
      <c r="L383" s="57"/>
      <c r="M383" s="13"/>
      <c r="N383" s="13"/>
      <c r="O383" s="13"/>
      <c r="Q383" s="57"/>
      <c r="T383" s="57"/>
      <c r="U383" s="57"/>
      <c r="V383" s="57"/>
      <c r="W383" s="57"/>
      <c r="X383" s="57"/>
      <c r="Y383" s="175"/>
      <c r="Z383" s="175"/>
      <c r="AA383" s="57"/>
      <c r="AB383" s="947"/>
      <c r="AC383" s="947"/>
      <c r="AD383" s="183">
        <f>((P383-I382)/I382)</f>
        <v>-1</v>
      </c>
      <c r="AE383" s="183"/>
      <c r="AF383" s="69"/>
      <c r="AG383" s="267"/>
      <c r="AH383" s="266"/>
      <c r="AI383" s="266"/>
      <c r="AJ383" s="266"/>
      <c r="AK383" s="265"/>
      <c r="AL383" s="25"/>
      <c r="AN383" s="179"/>
      <c r="AO383" s="38"/>
      <c r="AP383" s="38"/>
      <c r="AR383" s="67"/>
      <c r="AS383" s="38"/>
      <c r="AT383" s="171"/>
      <c r="AU383" s="21"/>
      <c r="AV383" s="21"/>
      <c r="AW383" s="21"/>
      <c r="AX383" s="21"/>
      <c r="AY383" s="21"/>
      <c r="AZ383" s="21"/>
      <c r="BA383" s="171"/>
      <c r="BB383" s="21"/>
      <c r="BC383" s="21"/>
      <c r="BD383" s="18"/>
      <c r="BE383" s="18"/>
      <c r="BF383" s="18"/>
      <c r="BH383" s="18"/>
      <c r="BI383" s="18"/>
      <c r="BJ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  <c r="FC383" s="18"/>
      <c r="FD383" s="18"/>
      <c r="FE383" s="18"/>
      <c r="FF383" s="18"/>
      <c r="FG383" s="18"/>
      <c r="FH383" s="18"/>
      <c r="FI383" s="18"/>
      <c r="FJ383" s="18"/>
      <c r="FK383" s="18"/>
      <c r="FL383" s="18"/>
      <c r="FM383" s="18"/>
      <c r="FN383" s="18"/>
      <c r="FO383" s="18"/>
      <c r="FP383" s="18"/>
      <c r="FQ383" s="18"/>
      <c r="FR383" s="18"/>
      <c r="FS383" s="18"/>
      <c r="FT383" s="18"/>
      <c r="FU383" s="18"/>
      <c r="FV383" s="18"/>
      <c r="FW383" s="18"/>
      <c r="FX383" s="18"/>
      <c r="FY383" s="18"/>
      <c r="FZ383" s="18"/>
      <c r="GA383" s="18"/>
      <c r="GB383" s="18"/>
      <c r="GC383" s="18"/>
      <c r="GD383" s="18"/>
      <c r="GE383" s="18"/>
      <c r="GF383" s="18"/>
      <c r="GG383" s="18"/>
      <c r="GH383" s="18"/>
      <c r="GI383" s="18"/>
      <c r="GJ383" s="18"/>
      <c r="GK383" s="18"/>
      <c r="GL383" s="18"/>
      <c r="GM383" s="18"/>
      <c r="GN383" s="18"/>
      <c r="GO383" s="18"/>
      <c r="GP383" s="18"/>
      <c r="GQ383" s="18"/>
      <c r="GR383" s="18"/>
      <c r="GS383" s="18"/>
      <c r="GT383" s="18"/>
      <c r="GU383" s="18"/>
      <c r="GV383" s="18"/>
      <c r="GW383" s="18"/>
      <c r="GX383" s="18"/>
      <c r="GY383" s="18"/>
      <c r="GZ383" s="18"/>
      <c r="HA383" s="18"/>
      <c r="HB383" s="18"/>
      <c r="HC383" s="18"/>
      <c r="HD383" s="18"/>
      <c r="HE383" s="18"/>
      <c r="HF383" s="18"/>
      <c r="HG383" s="13"/>
      <c r="HH383" s="13"/>
      <c r="HI383" s="13"/>
      <c r="HJ383" s="13"/>
      <c r="HK383" s="13"/>
      <c r="HL383" s="13"/>
      <c r="HM383" s="13"/>
      <c r="HN383" s="13"/>
      <c r="HO383" s="13"/>
      <c r="HP383" s="13"/>
      <c r="HQ383" s="13"/>
      <c r="HR383" s="13"/>
      <c r="HS383" s="13"/>
      <c r="HT383" s="13"/>
      <c r="HV383" s="18"/>
      <c r="HW383" s="18"/>
      <c r="HX383" s="18"/>
      <c r="HY383" s="18"/>
      <c r="HZ383" s="18"/>
      <c r="IA383" s="18"/>
      <c r="IB383" s="18"/>
      <c r="IC383" s="18"/>
      <c r="ID383" s="18"/>
      <c r="IE383" s="18"/>
      <c r="IF383" s="18"/>
      <c r="IG383" s="18"/>
      <c r="IH383" s="18"/>
      <c r="II383" s="18"/>
      <c r="IJ383" s="18"/>
      <c r="IK383" s="18"/>
      <c r="IL383" s="18"/>
      <c r="IM383" s="18"/>
      <c r="IN383" s="18"/>
      <c r="IO383" s="18"/>
      <c r="IP383" s="18"/>
      <c r="IQ383" s="18"/>
      <c r="IR383" s="18"/>
      <c r="IS383" s="18"/>
      <c r="IT383" s="18"/>
      <c r="IU383" s="18"/>
      <c r="IV383" s="18"/>
      <c r="IW383" s="18"/>
      <c r="IX383" s="18"/>
      <c r="IY383" s="18"/>
      <c r="IZ383" s="18"/>
      <c r="JA383" s="18"/>
      <c r="JB383" s="18"/>
      <c r="JC383" s="18"/>
      <c r="JD383" s="18"/>
      <c r="JE383" s="18"/>
      <c r="JF383" s="18"/>
      <c r="JG383" s="18"/>
      <c r="JH383" s="18"/>
      <c r="JI383" s="18"/>
      <c r="JJ383" s="18"/>
      <c r="JK383" s="18"/>
      <c r="JL383" s="18"/>
      <c r="JM383" s="18"/>
      <c r="JN383" s="18"/>
      <c r="JO383" s="18"/>
      <c r="JP383" s="18"/>
      <c r="JQ383" s="18"/>
      <c r="JR383" s="18"/>
      <c r="JS383" s="18"/>
      <c r="JT383" s="18"/>
      <c r="JU383" s="18"/>
      <c r="JV383" s="18"/>
      <c r="JW383" s="18"/>
      <c r="JX383" s="18"/>
      <c r="JY383" s="18"/>
      <c r="JZ383" s="18"/>
      <c r="KA383" s="18"/>
      <c r="KB383" s="18"/>
      <c r="KC383" s="18"/>
      <c r="KD383" s="18"/>
      <c r="KE383" s="18"/>
      <c r="KF383" s="18"/>
      <c r="KG383" s="18"/>
      <c r="KH383" s="18"/>
      <c r="KI383" s="18"/>
      <c r="KJ383" s="18"/>
      <c r="KK383" s="18"/>
      <c r="KL383" s="18"/>
      <c r="KM383" s="18"/>
      <c r="KN383" s="18"/>
      <c r="KO383" s="18"/>
      <c r="KP383" s="18"/>
    </row>
    <row r="384" spans="1:302" ht="11.1" hidden="1" customHeight="1" outlineLevel="1">
      <c r="A384" s="1"/>
      <c r="B384" s="57"/>
      <c r="C384" s="52"/>
      <c r="E384" s="57"/>
      <c r="F384" s="940"/>
      <c r="G384" s="176"/>
      <c r="H384" s="176"/>
      <c r="I384" s="176"/>
      <c r="J384" s="176"/>
      <c r="K384" s="941"/>
      <c r="L384" s="57"/>
      <c r="M384" s="705"/>
      <c r="N384" s="705"/>
      <c r="O384" s="705"/>
      <c r="P384" s="199"/>
      <c r="Q384" s="29"/>
      <c r="T384" s="57"/>
      <c r="U384" s="57"/>
      <c r="V384" s="57"/>
      <c r="W384" s="57"/>
      <c r="X384" s="57"/>
      <c r="Y384" s="175"/>
      <c r="Z384" s="175"/>
      <c r="AA384" s="57"/>
      <c r="AB384" s="174"/>
      <c r="AC384" s="174"/>
      <c r="AD384" s="173"/>
      <c r="AE384" s="173"/>
      <c r="AF384" s="69"/>
      <c r="AG384" s="38"/>
      <c r="AH384" s="38"/>
      <c r="AI384" s="38"/>
      <c r="AJ384" s="38"/>
      <c r="AK384" s="172"/>
      <c r="AL384" s="38"/>
      <c r="AM384" s="38"/>
      <c r="AN384" s="38"/>
      <c r="AO384" s="38"/>
      <c r="AP384" s="38"/>
      <c r="AQ384" s="38"/>
      <c r="AR384" s="67"/>
      <c r="AS384" s="38"/>
      <c r="AT384" s="171"/>
      <c r="AU384" s="21"/>
      <c r="AV384" s="21"/>
      <c r="AW384" s="21"/>
      <c r="AX384" s="21"/>
      <c r="AY384" s="21"/>
      <c r="AZ384" s="21"/>
      <c r="BA384" s="171"/>
      <c r="BB384" s="21"/>
      <c r="BC384" s="21"/>
      <c r="BD384" s="18"/>
      <c r="BE384" s="18"/>
      <c r="BF384" s="18"/>
      <c r="BH384" s="18"/>
      <c r="BI384" s="18"/>
      <c r="BJ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  <c r="FC384" s="18"/>
      <c r="FD384" s="18"/>
      <c r="FE384" s="18"/>
      <c r="FF384" s="18"/>
      <c r="FG384" s="18"/>
      <c r="FH384" s="18"/>
      <c r="FI384" s="18"/>
      <c r="FJ384" s="18"/>
      <c r="FK384" s="18"/>
      <c r="FL384" s="18"/>
      <c r="FM384" s="18"/>
      <c r="FN384" s="18"/>
      <c r="FO384" s="18"/>
      <c r="FP384" s="18"/>
      <c r="FQ384" s="18"/>
      <c r="FR384" s="18"/>
      <c r="FS384" s="18"/>
      <c r="FT384" s="18"/>
      <c r="FU384" s="18"/>
      <c r="FV384" s="18"/>
      <c r="FW384" s="18"/>
      <c r="FX384" s="18"/>
      <c r="FY384" s="18"/>
      <c r="FZ384" s="18"/>
      <c r="GA384" s="18"/>
      <c r="GB384" s="18"/>
      <c r="GC384" s="18"/>
      <c r="GD384" s="18"/>
      <c r="GE384" s="18"/>
      <c r="GF384" s="18"/>
      <c r="GG384" s="18"/>
      <c r="GH384" s="18"/>
      <c r="GI384" s="18"/>
      <c r="GJ384" s="18"/>
      <c r="GK384" s="18"/>
      <c r="GL384" s="18"/>
      <c r="GM384" s="18"/>
      <c r="GN384" s="18"/>
      <c r="GO384" s="18"/>
      <c r="GP384" s="18"/>
      <c r="GQ384" s="18"/>
      <c r="GR384" s="18"/>
      <c r="GS384" s="18"/>
      <c r="GT384" s="18"/>
      <c r="GU384" s="18"/>
      <c r="GV384" s="18"/>
      <c r="GW384" s="18"/>
      <c r="GX384" s="18"/>
      <c r="GY384" s="18"/>
      <c r="GZ384" s="18"/>
      <c r="HA384" s="18"/>
      <c r="HB384" s="18"/>
      <c r="HC384" s="18"/>
      <c r="HD384" s="18"/>
      <c r="HE384" s="18"/>
      <c r="HF384" s="18"/>
      <c r="HG384" s="13"/>
      <c r="HH384" s="13"/>
      <c r="HI384" s="13"/>
      <c r="HJ384" s="13"/>
      <c r="HK384" s="13"/>
      <c r="HL384" s="13"/>
      <c r="HM384" s="13"/>
      <c r="HN384" s="13"/>
      <c r="HO384" s="13"/>
      <c r="HP384" s="13"/>
      <c r="HQ384" s="13"/>
      <c r="HR384" s="13"/>
      <c r="HS384" s="13"/>
      <c r="HT384" s="13"/>
      <c r="HV384" s="18"/>
      <c r="HW384" s="18"/>
      <c r="HX384" s="18"/>
      <c r="HY384" s="18"/>
      <c r="HZ384" s="18"/>
      <c r="IA384" s="18"/>
      <c r="IB384" s="18"/>
      <c r="IC384" s="18"/>
      <c r="ID384" s="18"/>
      <c r="IE384" s="18"/>
      <c r="IF384" s="18"/>
      <c r="IG384" s="18"/>
      <c r="IH384" s="18"/>
      <c r="II384" s="18"/>
      <c r="IJ384" s="18"/>
      <c r="IK384" s="18"/>
      <c r="IL384" s="18"/>
      <c r="IM384" s="18"/>
      <c r="IN384" s="18"/>
      <c r="IO384" s="18"/>
      <c r="IP384" s="18"/>
      <c r="IQ384" s="18"/>
      <c r="IR384" s="18"/>
      <c r="IS384" s="18"/>
      <c r="IT384" s="18"/>
      <c r="IU384" s="18"/>
      <c r="IV384" s="18"/>
      <c r="IW384" s="18"/>
      <c r="IX384" s="18"/>
      <c r="IY384" s="18"/>
      <c r="IZ384" s="18"/>
      <c r="JA384" s="18"/>
      <c r="JB384" s="18"/>
      <c r="JC384" s="18"/>
      <c r="JD384" s="18"/>
      <c r="JE384" s="18"/>
      <c r="JF384" s="18"/>
      <c r="JG384" s="18"/>
      <c r="JH384" s="18"/>
      <c r="JI384" s="18"/>
      <c r="JJ384" s="18"/>
      <c r="JK384" s="18"/>
      <c r="JL384" s="18"/>
      <c r="JM384" s="18"/>
      <c r="JN384" s="18"/>
      <c r="JO384" s="18"/>
      <c r="JP384" s="18"/>
      <c r="JQ384" s="18"/>
      <c r="JR384" s="18"/>
      <c r="JS384" s="18"/>
      <c r="JT384" s="18"/>
      <c r="JU384" s="18"/>
      <c r="JV384" s="18"/>
      <c r="JW384" s="18"/>
      <c r="JX384" s="18"/>
      <c r="JY384" s="18"/>
      <c r="JZ384" s="18"/>
      <c r="KA384" s="18"/>
      <c r="KB384" s="18"/>
      <c r="KC384" s="18"/>
      <c r="KD384" s="18"/>
      <c r="KE384" s="18"/>
      <c r="KF384" s="18"/>
      <c r="KG384" s="18"/>
      <c r="KH384" s="18"/>
      <c r="KI384" s="18"/>
      <c r="KJ384" s="18"/>
      <c r="KK384" s="18"/>
      <c r="KL384" s="18"/>
      <c r="KM384" s="18"/>
      <c r="KN384" s="18"/>
      <c r="KO384" s="18"/>
      <c r="KP384" s="18"/>
    </row>
    <row r="385" spans="1:302" ht="11.1" hidden="1" customHeight="1" outlineLevel="1">
      <c r="A385" s="1"/>
      <c r="B385" s="57"/>
      <c r="C385" s="52"/>
      <c r="E385" s="57"/>
      <c r="F385" s="940"/>
      <c r="G385" s="176"/>
      <c r="H385" s="176"/>
      <c r="I385" s="176"/>
      <c r="J385" s="176"/>
      <c r="K385" s="941"/>
      <c r="L385" s="57"/>
      <c r="M385" s="136"/>
      <c r="N385" s="136"/>
      <c r="O385" s="136"/>
      <c r="P385" s="199"/>
      <c r="Q385" s="177"/>
      <c r="T385" s="57"/>
      <c r="U385" s="57"/>
      <c r="V385" s="57"/>
      <c r="W385" s="57"/>
      <c r="X385" s="57"/>
      <c r="Y385" s="175"/>
      <c r="Z385" s="175"/>
      <c r="AA385" s="57"/>
      <c r="AB385" s="174"/>
      <c r="AC385" s="174"/>
      <c r="AD385" s="173"/>
      <c r="AE385" s="173"/>
      <c r="AF385" s="69"/>
      <c r="AG385" s="38"/>
      <c r="AH385" s="38"/>
      <c r="AI385" s="38"/>
      <c r="AJ385" s="38"/>
      <c r="AK385" s="172"/>
      <c r="AL385" s="38"/>
      <c r="AM385" s="38"/>
      <c r="AN385" s="38"/>
      <c r="AO385" s="38"/>
      <c r="AP385" s="38"/>
      <c r="AQ385" s="38"/>
      <c r="AR385" s="67"/>
      <c r="AS385" s="38"/>
      <c r="AT385" s="171"/>
      <c r="AU385" s="21"/>
      <c r="AV385" s="21"/>
      <c r="AW385" s="21"/>
      <c r="AX385" s="21"/>
      <c r="AY385" s="21"/>
      <c r="AZ385" s="21"/>
      <c r="BA385" s="171"/>
      <c r="BB385" s="21"/>
      <c r="BC385" s="21"/>
      <c r="BD385" s="18"/>
      <c r="BE385" s="18"/>
      <c r="BF385" s="18"/>
      <c r="BH385" s="18"/>
      <c r="BI385" s="18"/>
      <c r="BJ385" s="18"/>
      <c r="BL385" s="18"/>
      <c r="BM385" s="18"/>
      <c r="BN385" s="18"/>
      <c r="BO385" s="18"/>
      <c r="BP385" s="18"/>
      <c r="BQ385" s="18"/>
      <c r="BR385" s="18"/>
      <c r="BS385" s="18"/>
      <c r="BT385" s="18"/>
      <c r="BU385" s="18"/>
      <c r="BV385" s="18"/>
      <c r="BW385" s="18"/>
      <c r="BY385" s="18"/>
      <c r="BZ385" s="18"/>
      <c r="CA385" s="18"/>
      <c r="CB385" s="18"/>
      <c r="CC385" s="18"/>
      <c r="CD385" s="18"/>
      <c r="CE385" s="18"/>
      <c r="CF385" s="18"/>
      <c r="CG385" s="18"/>
      <c r="CH385" s="18"/>
      <c r="CI385" s="18"/>
      <c r="CJ385" s="18"/>
      <c r="CK385" s="18"/>
      <c r="CL385" s="18"/>
      <c r="CM385" s="18"/>
      <c r="CN385" s="18"/>
      <c r="CO385" s="18"/>
      <c r="CP385" s="18"/>
      <c r="CQ385" s="18"/>
      <c r="CR385" s="18"/>
      <c r="CT385" s="18"/>
      <c r="CU385" s="18"/>
      <c r="CV385" s="18"/>
      <c r="CW385" s="18"/>
      <c r="CX385" s="18"/>
      <c r="CY385" s="18"/>
      <c r="CZ385" s="18"/>
      <c r="DA385" s="18"/>
      <c r="DB385" s="18"/>
      <c r="DC385" s="18"/>
      <c r="DD385" s="18"/>
      <c r="DE385" s="18"/>
      <c r="DF385" s="18"/>
      <c r="DG385" s="18"/>
      <c r="DH385" s="18"/>
      <c r="DI385" s="18"/>
      <c r="DJ385" s="18"/>
      <c r="DK385" s="18"/>
      <c r="DL385" s="18"/>
      <c r="DM385" s="18"/>
      <c r="DN385" s="18"/>
      <c r="DP385" s="18"/>
      <c r="DQ385" s="18"/>
      <c r="DR385" s="18"/>
      <c r="DS385" s="18"/>
      <c r="DT385" s="18"/>
      <c r="DU385" s="18"/>
      <c r="DV385" s="18"/>
      <c r="DW385" s="18"/>
      <c r="DX385" s="18"/>
      <c r="DY385" s="18"/>
      <c r="DZ385" s="18"/>
      <c r="EA385" s="18"/>
      <c r="EB385" s="18"/>
      <c r="EC385" s="18"/>
      <c r="ED385" s="18"/>
      <c r="EE385" s="18"/>
      <c r="EF385" s="18"/>
      <c r="EG385" s="18"/>
      <c r="EH385" s="18"/>
      <c r="EI385" s="18"/>
      <c r="EJ385" s="18"/>
      <c r="EK385" s="18"/>
      <c r="EL385" s="18"/>
      <c r="EM385" s="18"/>
      <c r="EN385" s="18"/>
      <c r="EO385" s="18"/>
      <c r="EP385" s="18"/>
      <c r="EQ385" s="18"/>
      <c r="ER385" s="18"/>
      <c r="ES385" s="18"/>
      <c r="ET385" s="18"/>
      <c r="EU385" s="18"/>
      <c r="EV385" s="18"/>
      <c r="EW385" s="18"/>
      <c r="EX385" s="18"/>
      <c r="EY385" s="18"/>
      <c r="EZ385" s="18"/>
      <c r="FA385" s="18"/>
      <c r="FB385" s="18"/>
      <c r="FC385" s="18"/>
      <c r="FD385" s="18"/>
      <c r="FE385" s="18"/>
      <c r="FF385" s="18"/>
      <c r="FG385" s="18"/>
      <c r="FH385" s="18"/>
      <c r="FI385" s="18"/>
      <c r="FJ385" s="18"/>
      <c r="FK385" s="18"/>
      <c r="FL385" s="18"/>
      <c r="FM385" s="18"/>
      <c r="FN385" s="18"/>
      <c r="FO385" s="18"/>
      <c r="FP385" s="18"/>
      <c r="FQ385" s="18"/>
      <c r="FR385" s="18"/>
      <c r="FS385" s="18"/>
      <c r="FT385" s="18"/>
      <c r="FU385" s="18"/>
      <c r="FV385" s="18"/>
      <c r="FW385" s="18"/>
      <c r="FX385" s="18"/>
      <c r="FY385" s="18"/>
      <c r="FZ385" s="18"/>
      <c r="GA385" s="18"/>
      <c r="GB385" s="18"/>
      <c r="GC385" s="18"/>
      <c r="GD385" s="18"/>
      <c r="GE385" s="18"/>
      <c r="GF385" s="18"/>
      <c r="GG385" s="18"/>
      <c r="GH385" s="18"/>
      <c r="GI385" s="18"/>
      <c r="GJ385" s="18"/>
      <c r="GK385" s="18"/>
      <c r="GL385" s="18"/>
      <c r="GM385" s="18"/>
      <c r="GN385" s="18"/>
      <c r="GO385" s="18"/>
      <c r="GP385" s="18"/>
      <c r="GQ385" s="18"/>
      <c r="GR385" s="18"/>
      <c r="GS385" s="18"/>
      <c r="GT385" s="18"/>
      <c r="GU385" s="18"/>
      <c r="GV385" s="18"/>
      <c r="GW385" s="18"/>
      <c r="GX385" s="18"/>
      <c r="GY385" s="18"/>
      <c r="GZ385" s="18"/>
      <c r="HA385" s="18"/>
      <c r="HB385" s="18"/>
      <c r="HC385" s="18"/>
      <c r="HD385" s="18"/>
      <c r="HE385" s="18"/>
      <c r="HF385" s="18"/>
      <c r="HG385" s="13"/>
      <c r="HH385" s="13"/>
      <c r="HI385" s="13"/>
      <c r="HJ385" s="13"/>
      <c r="HK385" s="13"/>
      <c r="HL385" s="13"/>
      <c r="HM385" s="13"/>
      <c r="HN385" s="13"/>
      <c r="HO385" s="13"/>
      <c r="HP385" s="13"/>
      <c r="HQ385" s="13"/>
      <c r="HR385" s="13"/>
      <c r="HS385" s="13"/>
      <c r="HT385" s="13"/>
      <c r="HV385" s="18"/>
      <c r="HW385" s="18"/>
      <c r="HX385" s="18"/>
      <c r="HY385" s="18"/>
      <c r="HZ385" s="18"/>
      <c r="IA385" s="18"/>
      <c r="IB385" s="18"/>
      <c r="IC385" s="18"/>
      <c r="ID385" s="18"/>
      <c r="IE385" s="18"/>
      <c r="IF385" s="18"/>
      <c r="IG385" s="18"/>
      <c r="IH385" s="18"/>
      <c r="II385" s="18"/>
      <c r="IJ385" s="18"/>
      <c r="IK385" s="18"/>
      <c r="IL385" s="18"/>
      <c r="IM385" s="18"/>
      <c r="IN385" s="18"/>
      <c r="IO385" s="18"/>
      <c r="IP385" s="18"/>
      <c r="IQ385" s="18"/>
      <c r="IR385" s="18"/>
      <c r="IS385" s="18"/>
      <c r="IT385" s="18"/>
      <c r="IU385" s="18"/>
      <c r="IV385" s="18"/>
      <c r="IW385" s="18"/>
      <c r="IX385" s="18"/>
      <c r="IY385" s="18"/>
      <c r="IZ385" s="18"/>
      <c r="JA385" s="18"/>
      <c r="JB385" s="18"/>
      <c r="JC385" s="18"/>
      <c r="JD385" s="18"/>
      <c r="JE385" s="18"/>
      <c r="JF385" s="18"/>
      <c r="JG385" s="18"/>
      <c r="JH385" s="18"/>
      <c r="JI385" s="18"/>
      <c r="JJ385" s="18"/>
      <c r="JK385" s="18"/>
      <c r="JL385" s="18"/>
      <c r="JM385" s="18"/>
      <c r="JN385" s="18"/>
      <c r="JO385" s="18"/>
      <c r="JP385" s="18"/>
      <c r="JQ385" s="18"/>
      <c r="JR385" s="18"/>
      <c r="JS385" s="18"/>
      <c r="JT385" s="18"/>
      <c r="JU385" s="18"/>
      <c r="JV385" s="18"/>
      <c r="JW385" s="18"/>
      <c r="JX385" s="18"/>
      <c r="JY385" s="18"/>
      <c r="JZ385" s="18"/>
      <c r="KA385" s="18"/>
      <c r="KB385" s="18"/>
      <c r="KC385" s="18"/>
      <c r="KD385" s="18"/>
      <c r="KE385" s="18"/>
      <c r="KF385" s="18"/>
      <c r="KG385" s="18"/>
      <c r="KH385" s="18"/>
      <c r="KI385" s="18"/>
      <c r="KJ385" s="18"/>
      <c r="KK385" s="18"/>
      <c r="KL385" s="18"/>
      <c r="KM385" s="18"/>
      <c r="KN385" s="18"/>
      <c r="KO385" s="18"/>
      <c r="KP385" s="18"/>
    </row>
    <row r="386" spans="1:302" ht="10.5" hidden="1" customHeight="1" outlineLevel="1">
      <c r="A386" s="1"/>
      <c r="B386" s="57"/>
      <c r="C386" s="52"/>
      <c r="E386" s="57"/>
      <c r="F386" s="940"/>
      <c r="G386" s="176"/>
      <c r="H386" s="176"/>
      <c r="I386" s="176"/>
      <c r="J386" s="176"/>
      <c r="K386" s="941"/>
      <c r="L386" s="57"/>
      <c r="M386" s="136"/>
      <c r="N386" s="136"/>
      <c r="O386" s="136"/>
      <c r="P386" s="199"/>
      <c r="Q386" s="29"/>
      <c r="T386" s="57"/>
      <c r="U386" s="57"/>
      <c r="V386" s="57"/>
      <c r="W386" s="57"/>
      <c r="X386" s="57"/>
      <c r="Y386" s="175"/>
      <c r="Z386" s="175"/>
      <c r="AA386" s="57"/>
      <c r="AB386" s="174"/>
      <c r="AC386" s="174"/>
      <c r="AD386" s="173"/>
      <c r="AE386" s="173"/>
      <c r="AF386" s="69"/>
      <c r="AG386" s="38"/>
      <c r="AH386" s="38"/>
      <c r="AI386" s="38"/>
      <c r="AJ386" s="38"/>
      <c r="AK386" s="172"/>
      <c r="AL386" s="38"/>
      <c r="AM386" s="38"/>
      <c r="AN386" s="38"/>
      <c r="AO386" s="38"/>
      <c r="AP386" s="38"/>
      <c r="AQ386" s="38"/>
      <c r="AR386" s="67"/>
      <c r="AS386" s="38"/>
      <c r="AT386" s="171"/>
      <c r="AU386" s="21"/>
      <c r="AV386" s="21"/>
      <c r="AW386" s="21"/>
      <c r="AX386" s="21"/>
      <c r="AY386" s="21"/>
      <c r="AZ386" s="21"/>
      <c r="BA386" s="171"/>
      <c r="BB386" s="21"/>
      <c r="BC386" s="21"/>
      <c r="BD386" s="18"/>
      <c r="BE386" s="18"/>
      <c r="BF386" s="18"/>
      <c r="BH386" s="18"/>
      <c r="BI386" s="18"/>
      <c r="BJ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  <c r="FR386" s="18"/>
      <c r="FS386" s="18"/>
      <c r="FT386" s="18"/>
      <c r="FU386" s="18"/>
      <c r="FV386" s="18"/>
      <c r="FW386" s="18"/>
      <c r="FX386" s="18"/>
      <c r="FY386" s="18"/>
      <c r="FZ386" s="18"/>
      <c r="GA386" s="18"/>
      <c r="GB386" s="18"/>
      <c r="GC386" s="18"/>
      <c r="GD386" s="18"/>
      <c r="GE386" s="18"/>
      <c r="GF386" s="18"/>
      <c r="GG386" s="18"/>
      <c r="GH386" s="18"/>
      <c r="GI386" s="18"/>
      <c r="GJ386" s="18"/>
      <c r="GK386" s="18"/>
      <c r="GL386" s="18"/>
      <c r="GM386" s="18"/>
      <c r="GN386" s="18"/>
      <c r="GO386" s="18"/>
      <c r="GP386" s="18"/>
      <c r="GQ386" s="18"/>
      <c r="GR386" s="18"/>
      <c r="GS386" s="18"/>
      <c r="GT386" s="18"/>
      <c r="GU386" s="18"/>
      <c r="GV386" s="18"/>
      <c r="GW386" s="18"/>
      <c r="GX386" s="18"/>
      <c r="GY386" s="18"/>
      <c r="GZ386" s="18"/>
      <c r="HA386" s="18"/>
      <c r="HB386" s="18"/>
      <c r="HC386" s="18"/>
      <c r="HD386" s="18"/>
      <c r="HE386" s="18"/>
      <c r="HF386" s="18"/>
      <c r="HG386" s="13"/>
      <c r="HH386" s="13"/>
      <c r="HI386" s="13"/>
      <c r="HJ386" s="13"/>
      <c r="HK386" s="13"/>
      <c r="HL386" s="13"/>
      <c r="HM386" s="13"/>
      <c r="HN386" s="13"/>
      <c r="HO386" s="13"/>
      <c r="HP386" s="13"/>
      <c r="HQ386" s="13"/>
      <c r="HR386" s="13"/>
      <c r="HS386" s="13"/>
      <c r="HT386" s="13"/>
      <c r="HV386" s="18"/>
      <c r="HW386" s="18"/>
      <c r="HX386" s="18"/>
      <c r="HY386" s="18"/>
      <c r="HZ386" s="18"/>
      <c r="IA386" s="18"/>
      <c r="IB386" s="18"/>
      <c r="IC386" s="18"/>
      <c r="ID386" s="18"/>
      <c r="IE386" s="18"/>
      <c r="IF386" s="18"/>
      <c r="IG386" s="18"/>
      <c r="IH386" s="18"/>
      <c r="II386" s="18"/>
      <c r="IJ386" s="18"/>
      <c r="IK386" s="18"/>
      <c r="IL386" s="18"/>
      <c r="IM386" s="18"/>
      <c r="IN386" s="18"/>
      <c r="IO386" s="18"/>
      <c r="IP386" s="18"/>
      <c r="IQ386" s="18"/>
      <c r="IR386" s="18"/>
      <c r="IS386" s="18"/>
      <c r="IT386" s="18"/>
      <c r="IU386" s="18"/>
      <c r="IV386" s="18"/>
      <c r="IW386" s="18"/>
      <c r="IX386" s="18"/>
      <c r="IY386" s="18"/>
      <c r="IZ386" s="18"/>
      <c r="JA386" s="18"/>
      <c r="JB386" s="18"/>
      <c r="JC386" s="18"/>
      <c r="JD386" s="18"/>
      <c r="JE386" s="18"/>
      <c r="JF386" s="18"/>
      <c r="JG386" s="18"/>
      <c r="JH386" s="18"/>
      <c r="JI386" s="18"/>
      <c r="JJ386" s="18"/>
      <c r="JK386" s="18"/>
      <c r="JL386" s="18"/>
      <c r="JM386" s="18"/>
      <c r="JN386" s="18"/>
      <c r="JO386" s="18"/>
      <c r="JP386" s="18"/>
      <c r="JQ386" s="18"/>
      <c r="JR386" s="18"/>
      <c r="JS386" s="18"/>
      <c r="JT386" s="18"/>
      <c r="JU386" s="18"/>
      <c r="JV386" s="18"/>
      <c r="JW386" s="18"/>
      <c r="JX386" s="18"/>
      <c r="JY386" s="18"/>
      <c r="JZ386" s="18"/>
      <c r="KA386" s="18"/>
      <c r="KB386" s="18"/>
      <c r="KC386" s="18"/>
      <c r="KD386" s="18"/>
      <c r="KE386" s="18"/>
      <c r="KF386" s="18"/>
      <c r="KG386" s="18"/>
      <c r="KH386" s="18"/>
      <c r="KI386" s="18"/>
      <c r="KJ386" s="18"/>
      <c r="KK386" s="18"/>
      <c r="KL386" s="18"/>
      <c r="KM386" s="18"/>
      <c r="KN386" s="18"/>
      <c r="KO386" s="18"/>
      <c r="KP386" s="18"/>
    </row>
    <row r="387" spans="1:302" ht="10.5" hidden="1" customHeight="1" outlineLevel="1">
      <c r="A387" s="1"/>
      <c r="B387" s="57"/>
      <c r="C387" s="52"/>
      <c r="E387" s="57"/>
      <c r="F387" s="940"/>
      <c r="G387" s="176"/>
      <c r="H387" s="176"/>
      <c r="I387" s="176"/>
      <c r="J387" s="176"/>
      <c r="K387" s="941"/>
      <c r="L387" s="57"/>
      <c r="M387" s="136"/>
      <c r="N387" s="136"/>
      <c r="O387" s="136"/>
      <c r="P387" s="199"/>
      <c r="Q387" s="1"/>
      <c r="T387" s="57"/>
      <c r="U387" s="57"/>
      <c r="V387" s="57"/>
      <c r="W387" s="57"/>
      <c r="X387" s="57"/>
      <c r="Y387" s="175"/>
      <c r="Z387" s="175"/>
      <c r="AA387" s="57"/>
      <c r="AB387" s="174"/>
      <c r="AC387" s="174"/>
      <c r="AD387" s="173"/>
      <c r="AE387" s="173"/>
      <c r="AF387" s="69"/>
      <c r="AG387" s="38"/>
      <c r="AH387" s="38"/>
      <c r="AI387" s="38"/>
      <c r="AJ387" s="38"/>
      <c r="AK387" s="172"/>
      <c r="AL387" s="38"/>
      <c r="AM387" s="38"/>
      <c r="AN387" s="38"/>
      <c r="AO387" s="38"/>
      <c r="AP387" s="38"/>
      <c r="AQ387" s="38"/>
      <c r="AR387" s="67"/>
      <c r="AS387" s="38"/>
      <c r="AT387" s="171"/>
      <c r="AU387" s="21"/>
      <c r="AV387" s="21"/>
      <c r="AW387" s="21"/>
      <c r="AX387" s="21"/>
      <c r="AY387" s="21"/>
      <c r="AZ387" s="21"/>
      <c r="BA387" s="171"/>
      <c r="BB387" s="21"/>
      <c r="BC387" s="21"/>
      <c r="BD387" s="18"/>
      <c r="BE387" s="18"/>
      <c r="BF387" s="18"/>
      <c r="BH387" s="18"/>
      <c r="BI387" s="18"/>
      <c r="BJ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  <c r="EZ387" s="18"/>
      <c r="FA387" s="18"/>
      <c r="FB387" s="18"/>
      <c r="FC387" s="18"/>
      <c r="FD387" s="18"/>
      <c r="FE387" s="18"/>
      <c r="FF387" s="18"/>
      <c r="FG387" s="18"/>
      <c r="FH387" s="18"/>
      <c r="FI387" s="18"/>
      <c r="FJ387" s="18"/>
      <c r="FK387" s="18"/>
      <c r="FL387" s="18"/>
      <c r="FM387" s="18"/>
      <c r="FN387" s="18"/>
      <c r="FO387" s="18"/>
      <c r="FP387" s="18"/>
      <c r="FQ387" s="18"/>
      <c r="FR387" s="18"/>
      <c r="FS387" s="18"/>
      <c r="FT387" s="18"/>
      <c r="FU387" s="18"/>
      <c r="FV387" s="18"/>
      <c r="FW387" s="18"/>
      <c r="FX387" s="18"/>
      <c r="FY387" s="18"/>
      <c r="FZ387" s="18"/>
      <c r="GA387" s="18"/>
      <c r="GB387" s="18"/>
      <c r="GC387" s="18"/>
      <c r="GD387" s="18"/>
      <c r="GE387" s="18"/>
      <c r="GF387" s="18"/>
      <c r="GG387" s="18"/>
      <c r="GH387" s="18"/>
      <c r="GI387" s="18"/>
      <c r="GJ387" s="18"/>
      <c r="GK387" s="18"/>
      <c r="GL387" s="18"/>
      <c r="GM387" s="18"/>
      <c r="GN387" s="18"/>
      <c r="GO387" s="18"/>
      <c r="GP387" s="18"/>
      <c r="GQ387" s="18"/>
      <c r="GR387" s="18"/>
      <c r="GS387" s="18"/>
      <c r="GT387" s="18"/>
      <c r="GU387" s="18"/>
      <c r="GV387" s="18"/>
      <c r="GW387" s="18"/>
      <c r="GX387" s="18"/>
      <c r="GY387" s="18"/>
      <c r="GZ387" s="18"/>
      <c r="HA387" s="18"/>
      <c r="HB387" s="18"/>
      <c r="HC387" s="18"/>
      <c r="HD387" s="18"/>
      <c r="HE387" s="18"/>
      <c r="HF387" s="18"/>
      <c r="HG387" s="13"/>
      <c r="HH387" s="13"/>
      <c r="HI387" s="13"/>
      <c r="HJ387" s="13"/>
      <c r="HK387" s="13"/>
      <c r="HL387" s="13"/>
      <c r="HM387" s="13"/>
      <c r="HN387" s="13"/>
      <c r="HO387" s="13"/>
      <c r="HP387" s="13"/>
      <c r="HQ387" s="13"/>
      <c r="HR387" s="13"/>
      <c r="HS387" s="13"/>
      <c r="HT387" s="13"/>
      <c r="HV387" s="18"/>
      <c r="HW387" s="18"/>
      <c r="HX387" s="18"/>
      <c r="HY387" s="18"/>
      <c r="HZ387" s="18"/>
      <c r="IA387" s="18"/>
      <c r="IB387" s="18"/>
      <c r="IC387" s="18"/>
      <c r="ID387" s="18"/>
      <c r="IE387" s="18"/>
      <c r="IF387" s="18"/>
      <c r="IG387" s="18"/>
      <c r="IH387" s="18"/>
      <c r="II387" s="18"/>
      <c r="IJ387" s="18"/>
      <c r="IK387" s="18"/>
      <c r="IL387" s="18"/>
      <c r="IM387" s="18"/>
      <c r="IN387" s="18"/>
      <c r="IO387" s="18"/>
      <c r="IP387" s="18"/>
      <c r="IQ387" s="18"/>
      <c r="IR387" s="18"/>
      <c r="IS387" s="18"/>
      <c r="IT387" s="18"/>
      <c r="IU387" s="18"/>
      <c r="IV387" s="18"/>
      <c r="IW387" s="18"/>
      <c r="IX387" s="18"/>
      <c r="IY387" s="18"/>
      <c r="IZ387" s="18"/>
      <c r="JA387" s="18"/>
      <c r="JB387" s="18"/>
      <c r="JC387" s="18"/>
      <c r="JD387" s="18"/>
      <c r="JE387" s="18"/>
      <c r="JF387" s="18"/>
      <c r="JG387" s="18"/>
      <c r="JH387" s="18"/>
      <c r="JI387" s="18"/>
      <c r="JJ387" s="18"/>
      <c r="JK387" s="18"/>
      <c r="JL387" s="18"/>
      <c r="JM387" s="18"/>
      <c r="JN387" s="18"/>
      <c r="JO387" s="18"/>
      <c r="JP387" s="18"/>
      <c r="JQ387" s="18"/>
      <c r="JR387" s="18"/>
      <c r="JS387" s="18"/>
      <c r="JT387" s="18"/>
      <c r="JU387" s="18"/>
      <c r="JV387" s="18"/>
      <c r="JW387" s="18"/>
      <c r="JX387" s="18"/>
      <c r="JY387" s="18"/>
      <c r="JZ387" s="18"/>
      <c r="KA387" s="18"/>
      <c r="KB387" s="18"/>
      <c r="KC387" s="18"/>
      <c r="KD387" s="18"/>
      <c r="KE387" s="18"/>
      <c r="KF387" s="18"/>
      <c r="KG387" s="18"/>
      <c r="KH387" s="18"/>
      <c r="KI387" s="18"/>
      <c r="KJ387" s="18"/>
      <c r="KK387" s="18"/>
      <c r="KL387" s="18"/>
      <c r="KM387" s="18"/>
      <c r="KN387" s="18"/>
      <c r="KO387" s="18"/>
      <c r="KP387" s="18"/>
    </row>
    <row r="388" spans="1:302" ht="10.5" hidden="1" customHeight="1" outlineLevel="1">
      <c r="A388" s="1"/>
      <c r="B388" s="57"/>
      <c r="C388" s="52"/>
      <c r="E388" s="57"/>
      <c r="F388" s="940"/>
      <c r="G388" s="176"/>
      <c r="H388" s="176"/>
      <c r="I388" s="176"/>
      <c r="J388" s="176"/>
      <c r="K388" s="941"/>
      <c r="L388" s="57"/>
      <c r="M388" s="136"/>
      <c r="N388" s="136"/>
      <c r="O388" s="136"/>
      <c r="P388" s="57"/>
      <c r="Q388" s="1"/>
      <c r="T388" s="57"/>
      <c r="U388" s="57"/>
      <c r="V388" s="57"/>
      <c r="W388" s="57"/>
      <c r="X388" s="57"/>
      <c r="Y388" s="175"/>
      <c r="Z388" s="175"/>
      <c r="AA388" s="57"/>
      <c r="AB388" s="174"/>
      <c r="AC388" s="174"/>
      <c r="AD388" s="173"/>
      <c r="AE388" s="173"/>
      <c r="AF388" s="69"/>
      <c r="AG388" s="38"/>
      <c r="AH388" s="38"/>
      <c r="AI388" s="38"/>
      <c r="AJ388" s="38"/>
      <c r="AK388" s="172"/>
      <c r="AL388" s="38"/>
      <c r="AM388" s="38"/>
      <c r="AN388" s="38"/>
      <c r="AO388" s="38"/>
      <c r="AP388" s="38"/>
      <c r="AQ388" s="38"/>
      <c r="AR388" s="67"/>
      <c r="AS388" s="38"/>
      <c r="AT388" s="171"/>
      <c r="AU388" s="21"/>
      <c r="AV388" s="21"/>
      <c r="AW388" s="21"/>
      <c r="AX388" s="21"/>
      <c r="AY388" s="21"/>
      <c r="AZ388" s="21"/>
      <c r="BA388" s="171"/>
      <c r="BB388" s="21"/>
      <c r="BC388" s="21"/>
      <c r="BD388" s="18"/>
      <c r="BE388" s="18"/>
      <c r="BF388" s="18"/>
      <c r="BH388" s="18"/>
      <c r="BI388" s="18"/>
      <c r="BJ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  <c r="FR388" s="18"/>
      <c r="FS388" s="18"/>
      <c r="FT388" s="18"/>
      <c r="FU388" s="18"/>
      <c r="FV388" s="18"/>
      <c r="FW388" s="18"/>
      <c r="FX388" s="18"/>
      <c r="FY388" s="18"/>
      <c r="FZ388" s="18"/>
      <c r="GA388" s="18"/>
      <c r="GB388" s="18"/>
      <c r="GC388" s="18"/>
      <c r="GD388" s="18"/>
      <c r="GE388" s="18"/>
      <c r="GF388" s="18"/>
      <c r="GG388" s="18"/>
      <c r="GH388" s="18"/>
      <c r="GI388" s="18"/>
      <c r="GJ388" s="18"/>
      <c r="GK388" s="18"/>
      <c r="GL388" s="18"/>
      <c r="GM388" s="18"/>
      <c r="GN388" s="18"/>
      <c r="GO388" s="18"/>
      <c r="GP388" s="18"/>
      <c r="GQ388" s="18"/>
      <c r="GR388" s="18"/>
      <c r="GS388" s="18"/>
      <c r="GT388" s="18"/>
      <c r="GU388" s="18"/>
      <c r="GV388" s="18"/>
      <c r="GW388" s="18"/>
      <c r="GX388" s="18"/>
      <c r="GY388" s="18"/>
      <c r="GZ388" s="18"/>
      <c r="HA388" s="18"/>
      <c r="HB388" s="18"/>
      <c r="HC388" s="18"/>
      <c r="HD388" s="18"/>
      <c r="HE388" s="18"/>
      <c r="HF388" s="18"/>
      <c r="HG388" s="13"/>
      <c r="HH388" s="13"/>
      <c r="HI388" s="13"/>
      <c r="HJ388" s="13"/>
      <c r="HK388" s="13"/>
      <c r="HL388" s="13"/>
      <c r="HM388" s="13"/>
      <c r="HN388" s="13"/>
      <c r="HO388" s="13"/>
      <c r="HP388" s="13"/>
      <c r="HQ388" s="13"/>
      <c r="HR388" s="13"/>
      <c r="HS388" s="13"/>
      <c r="HT388" s="13"/>
      <c r="HV388" s="18"/>
      <c r="HW388" s="18"/>
      <c r="HX388" s="18"/>
      <c r="HY388" s="18"/>
      <c r="HZ388" s="18"/>
      <c r="IA388" s="18"/>
      <c r="IB388" s="18"/>
      <c r="IC388" s="18"/>
      <c r="ID388" s="18"/>
      <c r="IE388" s="18"/>
      <c r="IF388" s="18"/>
      <c r="IG388" s="18"/>
      <c r="IH388" s="18"/>
      <c r="II388" s="18"/>
      <c r="IJ388" s="18"/>
      <c r="IK388" s="18"/>
      <c r="IL388" s="18"/>
      <c r="IM388" s="18"/>
      <c r="IN388" s="18"/>
      <c r="IO388" s="18"/>
      <c r="IP388" s="18"/>
      <c r="IQ388" s="18"/>
      <c r="IR388" s="18"/>
      <c r="IS388" s="18"/>
      <c r="IT388" s="18"/>
      <c r="IU388" s="18"/>
      <c r="IV388" s="18"/>
      <c r="IW388" s="18"/>
      <c r="IX388" s="18"/>
      <c r="IY388" s="18"/>
      <c r="IZ388" s="18"/>
      <c r="JA388" s="18"/>
      <c r="JB388" s="18"/>
      <c r="JC388" s="18"/>
      <c r="JD388" s="18"/>
      <c r="JE388" s="18"/>
      <c r="JF388" s="18"/>
      <c r="JG388" s="18"/>
      <c r="JH388" s="18"/>
      <c r="JI388" s="18"/>
      <c r="JJ388" s="18"/>
      <c r="JK388" s="18"/>
      <c r="JL388" s="18"/>
      <c r="JM388" s="18"/>
      <c r="JN388" s="18"/>
      <c r="JO388" s="18"/>
      <c r="JP388" s="18"/>
      <c r="JQ388" s="18"/>
      <c r="JR388" s="18"/>
      <c r="JS388" s="18"/>
      <c r="JT388" s="18"/>
      <c r="JU388" s="18"/>
      <c r="JV388" s="18"/>
      <c r="JW388" s="18"/>
      <c r="JX388" s="18"/>
      <c r="JY388" s="18"/>
      <c r="JZ388" s="18"/>
      <c r="KA388" s="18"/>
      <c r="KB388" s="18"/>
      <c r="KC388" s="18"/>
      <c r="KD388" s="18"/>
      <c r="KE388" s="18"/>
      <c r="KF388" s="18"/>
      <c r="KG388" s="18"/>
      <c r="KH388" s="18"/>
      <c r="KI388" s="18"/>
      <c r="KJ388" s="18"/>
      <c r="KK388" s="18"/>
      <c r="KL388" s="18"/>
      <c r="KM388" s="18"/>
      <c r="KN388" s="18"/>
      <c r="KO388" s="18"/>
      <c r="KP388" s="18"/>
    </row>
    <row r="389" spans="1:302" ht="11.1" hidden="1" customHeight="1" outlineLevel="1">
      <c r="A389" s="1"/>
      <c r="B389" s="57"/>
      <c r="C389" s="52"/>
      <c r="E389" s="57"/>
      <c r="F389" s="940"/>
      <c r="G389" s="176"/>
      <c r="H389" s="176"/>
      <c r="I389" s="176"/>
      <c r="J389" s="176"/>
      <c r="K389" s="941"/>
      <c r="L389" s="57"/>
      <c r="M389" s="136"/>
      <c r="N389" s="136"/>
      <c r="O389" s="136"/>
      <c r="P389" s="14"/>
      <c r="Q389" s="1"/>
      <c r="T389" s="57"/>
      <c r="U389" s="57"/>
      <c r="V389" s="57"/>
      <c r="W389" s="57"/>
      <c r="X389" s="57"/>
      <c r="Y389" s="175"/>
      <c r="Z389" s="175"/>
      <c r="AA389" s="57"/>
      <c r="AB389" s="174"/>
      <c r="AC389" s="174"/>
      <c r="AD389" s="173"/>
      <c r="AE389" s="173"/>
      <c r="AF389" s="69"/>
      <c r="AG389" s="38"/>
      <c r="AH389" s="38"/>
      <c r="AI389" s="38"/>
      <c r="AJ389" s="38"/>
      <c r="AK389" s="172"/>
      <c r="AL389" s="38"/>
      <c r="AM389" s="38"/>
      <c r="AN389" s="38"/>
      <c r="AO389" s="38"/>
      <c r="AP389" s="38"/>
      <c r="AQ389" s="38"/>
      <c r="AR389" s="67"/>
      <c r="AS389" s="38"/>
      <c r="AT389" s="171"/>
      <c r="AU389" s="21"/>
      <c r="AV389" s="21"/>
      <c r="AW389" s="21"/>
      <c r="AX389" s="21"/>
      <c r="AY389" s="21"/>
      <c r="AZ389" s="21"/>
      <c r="BA389" s="171"/>
      <c r="BB389" s="21"/>
      <c r="BC389" s="21"/>
      <c r="BD389" s="18"/>
      <c r="BE389" s="18"/>
      <c r="BF389" s="18"/>
      <c r="BH389" s="18"/>
      <c r="BI389" s="18"/>
      <c r="BJ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  <c r="EZ389" s="18"/>
      <c r="FA389" s="18"/>
      <c r="FB389" s="18"/>
      <c r="FC389" s="18"/>
      <c r="FD389" s="18"/>
      <c r="FE389" s="18"/>
      <c r="FF389" s="18"/>
      <c r="FG389" s="18"/>
      <c r="FH389" s="18"/>
      <c r="FI389" s="18"/>
      <c r="FJ389" s="18"/>
      <c r="FK389" s="18"/>
      <c r="FL389" s="18"/>
      <c r="FM389" s="18"/>
      <c r="FN389" s="18"/>
      <c r="FO389" s="18"/>
      <c r="FP389" s="18"/>
      <c r="FQ389" s="18"/>
      <c r="FR389" s="18"/>
      <c r="FS389" s="18"/>
      <c r="FT389" s="18"/>
      <c r="FU389" s="18"/>
      <c r="FV389" s="18"/>
      <c r="FW389" s="18"/>
      <c r="FX389" s="18"/>
      <c r="FY389" s="18"/>
      <c r="FZ389" s="18"/>
      <c r="GA389" s="18"/>
      <c r="GB389" s="18"/>
      <c r="GC389" s="18"/>
      <c r="GD389" s="18"/>
      <c r="GE389" s="18"/>
      <c r="GF389" s="18"/>
      <c r="GG389" s="18"/>
      <c r="GH389" s="18"/>
      <c r="GI389" s="18"/>
      <c r="GJ389" s="18"/>
      <c r="GK389" s="18"/>
      <c r="GL389" s="18"/>
      <c r="GM389" s="18"/>
      <c r="GN389" s="18"/>
      <c r="GO389" s="18"/>
      <c r="GP389" s="18"/>
      <c r="GQ389" s="18"/>
      <c r="GR389" s="18"/>
      <c r="GS389" s="18"/>
      <c r="GT389" s="18"/>
      <c r="GU389" s="18"/>
      <c r="GV389" s="18"/>
      <c r="GW389" s="18"/>
      <c r="GX389" s="18"/>
      <c r="GY389" s="18"/>
      <c r="GZ389" s="18"/>
      <c r="HA389" s="18"/>
      <c r="HB389" s="18"/>
      <c r="HC389" s="18"/>
      <c r="HD389" s="18"/>
      <c r="HE389" s="18"/>
      <c r="HF389" s="18"/>
      <c r="HG389" s="13"/>
      <c r="HH389" s="13"/>
      <c r="HI389" s="13"/>
      <c r="HJ389" s="13"/>
      <c r="HK389" s="13"/>
      <c r="HL389" s="13"/>
      <c r="HM389" s="13"/>
      <c r="HN389" s="13"/>
      <c r="HO389" s="13"/>
      <c r="HP389" s="13"/>
      <c r="HQ389" s="13"/>
      <c r="HR389" s="13"/>
      <c r="HS389" s="13"/>
      <c r="HT389" s="13"/>
      <c r="HV389" s="18"/>
      <c r="HW389" s="18"/>
      <c r="HX389" s="18"/>
      <c r="HY389" s="18"/>
      <c r="HZ389" s="18"/>
      <c r="IA389" s="18"/>
      <c r="IB389" s="18"/>
      <c r="IC389" s="18"/>
      <c r="ID389" s="18"/>
      <c r="IE389" s="18"/>
      <c r="IF389" s="18"/>
      <c r="IG389" s="18"/>
      <c r="IH389" s="18"/>
      <c r="II389" s="18"/>
      <c r="IJ389" s="18"/>
      <c r="IK389" s="18"/>
      <c r="IL389" s="18"/>
      <c r="IM389" s="18"/>
      <c r="IN389" s="18"/>
      <c r="IO389" s="18"/>
      <c r="IP389" s="18"/>
      <c r="IQ389" s="18"/>
      <c r="IR389" s="18"/>
      <c r="IS389" s="18"/>
      <c r="IT389" s="18"/>
      <c r="IU389" s="18"/>
      <c r="IV389" s="18"/>
      <c r="IW389" s="18"/>
      <c r="IX389" s="18"/>
      <c r="IY389" s="18"/>
      <c r="IZ389" s="18"/>
      <c r="JA389" s="18"/>
      <c r="JB389" s="18"/>
      <c r="JC389" s="18"/>
      <c r="JD389" s="18"/>
      <c r="JE389" s="18"/>
      <c r="JF389" s="18"/>
      <c r="JG389" s="18"/>
      <c r="JH389" s="18"/>
      <c r="JI389" s="18"/>
      <c r="JJ389" s="18"/>
      <c r="JK389" s="18"/>
      <c r="JL389" s="18"/>
      <c r="JM389" s="18"/>
      <c r="JN389" s="18"/>
      <c r="JO389" s="18"/>
      <c r="JP389" s="18"/>
      <c r="JQ389" s="18"/>
      <c r="JR389" s="18"/>
      <c r="JS389" s="18"/>
      <c r="JT389" s="18"/>
      <c r="JU389" s="18"/>
      <c r="JV389" s="18"/>
      <c r="JW389" s="18"/>
      <c r="JX389" s="18"/>
      <c r="JY389" s="18"/>
      <c r="JZ389" s="18"/>
      <c r="KA389" s="18"/>
      <c r="KB389" s="18"/>
      <c r="KC389" s="18"/>
      <c r="KD389" s="18"/>
      <c r="KE389" s="18"/>
      <c r="KF389" s="18"/>
      <c r="KG389" s="18"/>
      <c r="KH389" s="18"/>
      <c r="KI389" s="18"/>
      <c r="KJ389" s="18"/>
      <c r="KK389" s="18"/>
      <c r="KL389" s="18"/>
      <c r="KM389" s="18"/>
      <c r="KN389" s="18"/>
      <c r="KO389" s="18"/>
      <c r="KP389" s="18"/>
    </row>
    <row r="390" spans="1:302" ht="12.75" hidden="1" customHeight="1" outlineLevel="1" collapsed="1">
      <c r="A390" s="264" t="s">
        <v>55</v>
      </c>
      <c r="B390" s="263"/>
      <c r="C390" s="261"/>
      <c r="D390" s="177"/>
      <c r="E390" s="262"/>
      <c r="F390" s="261"/>
      <c r="G390" s="261"/>
      <c r="H390" s="261"/>
      <c r="I390" s="1074"/>
      <c r="J390" s="1074"/>
      <c r="K390" s="1074"/>
      <c r="L390" s="260"/>
      <c r="M390" s="136"/>
      <c r="N390" s="136"/>
      <c r="O390" s="136"/>
      <c r="P390" s="972"/>
      <c r="Q390" s="177"/>
      <c r="R390" s="23"/>
      <c r="S390" s="177"/>
      <c r="T390" s="259"/>
      <c r="U390" s="259"/>
      <c r="V390" s="259"/>
      <c r="W390" s="259"/>
      <c r="X390" s="177"/>
      <c r="Y390" s="258"/>
      <c r="Z390" s="258"/>
      <c r="AA390" s="177"/>
      <c r="AB390" s="257">
        <f>SUM(AB392:AB486)</f>
        <v>0</v>
      </c>
      <c r="AC390" s="256"/>
      <c r="AD390" s="255"/>
      <c r="AE390" s="255"/>
      <c r="AF390" s="254"/>
      <c r="AG390" s="253"/>
      <c r="AH390" s="972"/>
      <c r="AI390" s="972"/>
      <c r="AJ390" s="253"/>
      <c r="AK390" s="252"/>
      <c r="AL390" s="250"/>
      <c r="AM390" s="250"/>
      <c r="AN390" s="250"/>
      <c r="AO390" s="250"/>
      <c r="AP390" s="251"/>
      <c r="AQ390" s="177"/>
      <c r="AR390" s="250"/>
      <c r="AS390" s="250"/>
      <c r="AT390" s="51"/>
      <c r="AU390" s="15"/>
      <c r="AV390" s="15"/>
      <c r="AW390" s="15"/>
      <c r="AX390" s="15"/>
      <c r="AY390" s="22"/>
      <c r="AZ390" s="22"/>
      <c r="BA390" s="54"/>
      <c r="BB390" s="22"/>
      <c r="BC390" s="15"/>
      <c r="BD390" s="15"/>
      <c r="BE390" s="15"/>
      <c r="BF390" s="15"/>
      <c r="BG390" s="51"/>
      <c r="BH390" s="15"/>
      <c r="BI390" s="15"/>
      <c r="BJ390" s="15"/>
      <c r="BK390" s="51"/>
      <c r="BL390" s="15"/>
      <c r="BM390" s="15"/>
      <c r="BN390" s="15"/>
      <c r="BO390" s="15"/>
      <c r="BP390" s="15"/>
      <c r="BQ390" s="18"/>
      <c r="BR390" s="18"/>
      <c r="BS390" s="18"/>
      <c r="BT390" s="18"/>
      <c r="BU390" s="18"/>
      <c r="BV390" s="18"/>
      <c r="BW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  <c r="FC390" s="18"/>
      <c r="FD390" s="18"/>
      <c r="FE390" s="18"/>
      <c r="FF390" s="18"/>
      <c r="FG390" s="18"/>
      <c r="FH390" s="18"/>
      <c r="FI390" s="18"/>
      <c r="FJ390" s="18"/>
      <c r="FK390" s="18"/>
      <c r="FL390" s="18"/>
      <c r="FM390" s="18"/>
      <c r="FN390" s="18"/>
      <c r="FO390" s="18"/>
      <c r="FP390" s="18"/>
      <c r="FQ390" s="18"/>
      <c r="FR390" s="18"/>
      <c r="FS390" s="18"/>
      <c r="FT390" s="18"/>
      <c r="FU390" s="18"/>
      <c r="FV390" s="18"/>
      <c r="FW390" s="18"/>
      <c r="FX390" s="18"/>
      <c r="FY390" s="18"/>
      <c r="FZ390" s="18"/>
      <c r="GA390" s="18"/>
      <c r="GB390" s="18"/>
      <c r="GC390" s="18"/>
      <c r="GD390" s="18"/>
      <c r="GE390" s="18"/>
      <c r="GF390" s="18"/>
      <c r="GG390" s="18"/>
      <c r="GH390" s="18"/>
      <c r="GI390" s="18"/>
      <c r="GJ390" s="18"/>
      <c r="GK390" s="18"/>
      <c r="GL390" s="18"/>
      <c r="GM390" s="18"/>
      <c r="GN390" s="18"/>
      <c r="GO390" s="18"/>
      <c r="GP390" s="18"/>
      <c r="GQ390" s="18"/>
      <c r="GR390" s="18"/>
      <c r="GS390" s="18"/>
      <c r="GT390" s="18"/>
      <c r="GU390" s="18"/>
      <c r="GV390" s="18"/>
      <c r="GW390" s="18"/>
      <c r="GX390" s="18"/>
      <c r="GY390" s="18"/>
      <c r="GZ390" s="18"/>
      <c r="HA390" s="18"/>
      <c r="HB390" s="18"/>
      <c r="HC390" s="18"/>
      <c r="HD390" s="18"/>
      <c r="HE390" s="18"/>
      <c r="HF390" s="18"/>
      <c r="HG390" s="13"/>
      <c r="HH390" s="13"/>
      <c r="HI390" s="13"/>
      <c r="HJ390" s="13"/>
      <c r="HK390" s="13"/>
      <c r="HL390" s="13"/>
      <c r="HM390" s="13"/>
      <c r="HN390" s="13"/>
      <c r="HO390" s="13"/>
      <c r="HP390" s="13"/>
      <c r="HQ390" s="13"/>
      <c r="HR390" s="13"/>
      <c r="HS390" s="13"/>
      <c r="HT390" s="13"/>
      <c r="HV390" s="18"/>
      <c r="HW390" s="18"/>
      <c r="HX390" s="18"/>
      <c r="HY390" s="18"/>
      <c r="HZ390" s="18"/>
      <c r="IA390" s="18"/>
      <c r="IB390" s="18"/>
      <c r="IC390" s="18"/>
      <c r="ID390" s="18"/>
      <c r="IE390" s="18"/>
      <c r="IF390" s="18"/>
      <c r="IG390" s="18"/>
      <c r="IH390" s="18"/>
      <c r="II390" s="18"/>
      <c r="IJ390" s="18"/>
      <c r="IK390" s="18"/>
      <c r="IL390" s="18"/>
      <c r="IM390" s="18"/>
      <c r="IN390" s="18"/>
      <c r="IO390" s="18"/>
      <c r="IP390" s="18"/>
      <c r="IQ390" s="18"/>
      <c r="IR390" s="18"/>
      <c r="IS390" s="18"/>
      <c r="IT390" s="18"/>
      <c r="IU390" s="18"/>
      <c r="IV390" s="18"/>
      <c r="IW390" s="18"/>
      <c r="IX390" s="18"/>
      <c r="IY390" s="18"/>
      <c r="IZ390" s="18"/>
      <c r="JA390" s="18"/>
      <c r="JB390" s="18"/>
      <c r="JC390" s="18"/>
      <c r="JD390" s="18"/>
      <c r="JE390" s="18"/>
      <c r="JF390" s="18"/>
      <c r="JG390" s="18"/>
      <c r="JH390" s="18"/>
      <c r="JI390" s="18"/>
      <c r="JJ390" s="18"/>
      <c r="JK390" s="18"/>
      <c r="JL390" s="18"/>
      <c r="JM390" s="18"/>
      <c r="JN390" s="18"/>
      <c r="JO390" s="18"/>
      <c r="JP390" s="18"/>
      <c r="JQ390" s="18"/>
      <c r="JR390" s="18"/>
      <c r="JS390" s="18"/>
      <c r="JT390" s="18"/>
      <c r="JU390" s="18"/>
      <c r="JV390" s="18"/>
      <c r="JW390" s="18"/>
      <c r="JX390" s="18"/>
      <c r="JY390" s="18"/>
      <c r="JZ390" s="18"/>
      <c r="KA390" s="18"/>
      <c r="KB390" s="18"/>
      <c r="KC390" s="18"/>
      <c r="KD390" s="18"/>
      <c r="KE390" s="18"/>
      <c r="KF390" s="18"/>
      <c r="KG390" s="18"/>
      <c r="KH390" s="18"/>
      <c r="KI390" s="18"/>
      <c r="KJ390" s="18"/>
      <c r="KK390" s="18"/>
      <c r="KL390" s="18"/>
      <c r="KM390" s="18"/>
      <c r="KN390" s="18"/>
      <c r="KO390" s="18"/>
      <c r="KP390" s="18"/>
    </row>
    <row r="391" spans="1:302" ht="5.0999999999999996" hidden="1" customHeight="1" outlineLevel="1">
      <c r="A391" s="8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36"/>
      <c r="N391" s="136"/>
      <c r="O391" s="136"/>
      <c r="P391" s="249"/>
      <c r="Q391" s="143"/>
      <c r="R391" s="143"/>
      <c r="S391" s="143"/>
      <c r="T391" s="143"/>
      <c r="U391" s="143"/>
      <c r="V391" s="143"/>
      <c r="W391" s="143"/>
      <c r="X391" s="143"/>
      <c r="Y391" s="146"/>
      <c r="Z391" s="146"/>
      <c r="AA391" s="143"/>
      <c r="AB391" s="240"/>
      <c r="AC391" s="240"/>
      <c r="AD391" s="143"/>
      <c r="AE391" s="143"/>
      <c r="AF391" s="145"/>
      <c r="AG391" s="144"/>
      <c r="AH391" s="144"/>
      <c r="AI391" s="248"/>
      <c r="AJ391" s="144"/>
      <c r="AK391" s="247"/>
      <c r="AL391" s="22"/>
      <c r="AM391" s="21"/>
      <c r="AN391" s="21"/>
      <c r="AO391" s="38"/>
      <c r="AP391" s="38"/>
      <c r="AR391" s="38"/>
      <c r="AS391" s="940"/>
      <c r="AT391" s="54"/>
      <c r="AU391" s="22"/>
      <c r="AV391" s="22"/>
      <c r="AW391" s="22"/>
      <c r="AX391" s="22"/>
      <c r="AY391" s="22"/>
      <c r="AZ391" s="22"/>
      <c r="BA391" s="54"/>
      <c r="BB391" s="22"/>
      <c r="BC391" s="15"/>
      <c r="BD391" s="15"/>
      <c r="BE391" s="15"/>
      <c r="BF391" s="15"/>
      <c r="BG391" s="51"/>
      <c r="BH391" s="15"/>
      <c r="BI391" s="15"/>
      <c r="BJ391" s="15"/>
      <c r="BK391" s="51"/>
      <c r="BL391" s="15"/>
      <c r="BM391" s="15"/>
      <c r="BN391" s="15"/>
      <c r="BO391" s="15"/>
      <c r="BP391" s="15"/>
      <c r="BQ391" s="18"/>
      <c r="BR391" s="18"/>
      <c r="BS391" s="18"/>
      <c r="BT391" s="18"/>
      <c r="BU391" s="18"/>
      <c r="BV391" s="18"/>
      <c r="BW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  <c r="FC391" s="18"/>
      <c r="FD391" s="18"/>
      <c r="FE391" s="18"/>
      <c r="FF391" s="18"/>
      <c r="FG391" s="18"/>
      <c r="FH391" s="18"/>
      <c r="FI391" s="18"/>
      <c r="FJ391" s="18"/>
      <c r="FK391" s="18"/>
      <c r="FL391" s="18"/>
      <c r="FM391" s="18"/>
      <c r="FN391" s="18"/>
      <c r="FO391" s="18"/>
      <c r="FP391" s="18"/>
      <c r="FQ391" s="18"/>
      <c r="FR391" s="18"/>
      <c r="FS391" s="18"/>
      <c r="FT391" s="18"/>
      <c r="FU391" s="18"/>
      <c r="FV391" s="18"/>
      <c r="FW391" s="18"/>
      <c r="FX391" s="18"/>
      <c r="FY391" s="18"/>
      <c r="FZ391" s="18"/>
      <c r="GA391" s="18"/>
      <c r="GB391" s="18"/>
      <c r="GC391" s="18"/>
      <c r="GD391" s="18"/>
      <c r="GE391" s="18"/>
      <c r="GF391" s="18"/>
      <c r="GG391" s="18"/>
      <c r="GH391" s="18"/>
      <c r="GI391" s="18"/>
      <c r="GJ391" s="18"/>
      <c r="GK391" s="18"/>
      <c r="GL391" s="18"/>
      <c r="GM391" s="18"/>
      <c r="GN391" s="18"/>
      <c r="GO391" s="18"/>
      <c r="GP391" s="18"/>
      <c r="GQ391" s="18"/>
      <c r="GR391" s="18"/>
      <c r="GS391" s="18"/>
      <c r="GT391" s="18"/>
      <c r="GU391" s="18"/>
      <c r="GV391" s="18"/>
      <c r="GW391" s="18"/>
      <c r="GX391" s="18"/>
      <c r="GY391" s="18"/>
      <c r="GZ391" s="18"/>
      <c r="HA391" s="18"/>
      <c r="HB391" s="18"/>
      <c r="HC391" s="18"/>
      <c r="HD391" s="18"/>
      <c r="HE391" s="18"/>
      <c r="HF391" s="18"/>
      <c r="HG391" s="13"/>
      <c r="HH391" s="13"/>
      <c r="HI391" s="13"/>
      <c r="HJ391" s="13"/>
      <c r="HK391" s="13"/>
      <c r="HL391" s="13"/>
      <c r="HM391" s="13"/>
      <c r="HN391" s="13"/>
      <c r="HO391" s="13"/>
      <c r="HP391" s="13"/>
      <c r="HQ391" s="13"/>
      <c r="HR391" s="13"/>
      <c r="HS391" s="13"/>
      <c r="HT391" s="13"/>
      <c r="HV391" s="18"/>
      <c r="HW391" s="18"/>
      <c r="HX391" s="18"/>
      <c r="HY391" s="18"/>
      <c r="HZ391" s="18"/>
      <c r="IA391" s="18"/>
      <c r="IB391" s="18"/>
      <c r="IC391" s="18"/>
      <c r="ID391" s="18"/>
      <c r="IE391" s="18"/>
      <c r="IF391" s="18"/>
      <c r="IG391" s="18"/>
      <c r="IH391" s="18"/>
      <c r="II391" s="18"/>
      <c r="IJ391" s="18"/>
      <c r="IK391" s="18"/>
      <c r="IL391" s="18"/>
      <c r="IM391" s="18"/>
      <c r="IN391" s="18"/>
      <c r="IO391" s="18"/>
      <c r="IP391" s="18"/>
      <c r="IQ391" s="18"/>
      <c r="IR391" s="18"/>
      <c r="IS391" s="18"/>
      <c r="IT391" s="18"/>
      <c r="IU391" s="18"/>
      <c r="IV391" s="18"/>
      <c r="IW391" s="18"/>
      <c r="IX391" s="18"/>
      <c r="IY391" s="18"/>
      <c r="IZ391" s="18"/>
      <c r="JA391" s="18"/>
      <c r="JB391" s="18"/>
      <c r="JC391" s="18"/>
      <c r="JD391" s="18"/>
      <c r="JE391" s="18"/>
      <c r="JF391" s="18"/>
      <c r="JG391" s="18"/>
      <c r="JH391" s="18"/>
      <c r="JI391" s="18"/>
      <c r="JJ391" s="18"/>
      <c r="JK391" s="18"/>
      <c r="JL391" s="18"/>
      <c r="JM391" s="18"/>
      <c r="JN391" s="18"/>
      <c r="JO391" s="18"/>
      <c r="JP391" s="18"/>
      <c r="JQ391" s="18"/>
      <c r="JR391" s="18"/>
      <c r="JS391" s="18"/>
      <c r="JT391" s="18"/>
      <c r="JU391" s="18"/>
      <c r="JV391" s="18"/>
      <c r="JW391" s="18"/>
      <c r="JX391" s="18"/>
      <c r="JY391" s="18"/>
      <c r="JZ391" s="18"/>
      <c r="KA391" s="18"/>
      <c r="KB391" s="18"/>
      <c r="KC391" s="18"/>
      <c r="KD391" s="18"/>
      <c r="KE391" s="18"/>
      <c r="KF391" s="18"/>
      <c r="KG391" s="18"/>
      <c r="KH391" s="18"/>
      <c r="KI391" s="18"/>
      <c r="KJ391" s="18"/>
      <c r="KK391" s="18"/>
      <c r="KL391" s="18"/>
      <c r="KM391" s="18"/>
      <c r="KN391" s="18"/>
      <c r="KO391" s="18"/>
      <c r="KP391" s="18"/>
    </row>
    <row r="392" spans="1:302" ht="11.1" hidden="1" customHeight="1" outlineLevel="1">
      <c r="A392" s="191" t="s">
        <v>453</v>
      </c>
      <c r="B392" s="29"/>
      <c r="C392" s="52"/>
      <c r="D392" s="940" t="s">
        <v>54</v>
      </c>
      <c r="F392" s="940">
        <v>0</v>
      </c>
      <c r="G392" s="187">
        <v>41158</v>
      </c>
      <c r="H392" s="187"/>
      <c r="I392" s="1069">
        <v>671.41499999999996</v>
      </c>
      <c r="J392" s="1069"/>
      <c r="K392" s="1069"/>
      <c r="L392" s="57"/>
      <c r="M392" s="136"/>
      <c r="N392" s="136"/>
      <c r="O392" s="136"/>
      <c r="P392" s="246"/>
      <c r="Q392" s="1"/>
      <c r="T392" s="57"/>
      <c r="U392" s="57"/>
      <c r="V392" s="57"/>
      <c r="W392" s="57"/>
      <c r="X392" s="57"/>
      <c r="Y392" s="175"/>
      <c r="Z392" s="175"/>
      <c r="AA392" s="57"/>
      <c r="AB392" s="947"/>
      <c r="AC392" s="947"/>
      <c r="AD392" s="239">
        <f>-((I392*F392)-(P392*F392))</f>
        <v>0</v>
      </c>
      <c r="AE392" s="239"/>
      <c r="AF392" s="145"/>
      <c r="AG392" s="245"/>
      <c r="AH392" s="21"/>
      <c r="AI392" s="21"/>
      <c r="AJ392" s="21"/>
      <c r="AK392" s="217"/>
      <c r="AL392" s="221"/>
      <c r="AM392" s="28"/>
      <c r="AN392" s="179"/>
      <c r="AO392" s="38"/>
      <c r="AP392" s="188">
        <f>F392*I392+AN392+AN393</f>
        <v>0</v>
      </c>
      <c r="AR392" s="38"/>
      <c r="AS392" s="940"/>
      <c r="AT392" s="54"/>
      <c r="AU392" s="22"/>
      <c r="AV392" s="22"/>
      <c r="AW392" s="22"/>
      <c r="AX392" s="22"/>
      <c r="AY392" s="22"/>
      <c r="AZ392" s="22"/>
      <c r="BA392" s="54"/>
      <c r="BB392" s="22"/>
      <c r="BC392" s="15"/>
      <c r="BD392" s="15"/>
      <c r="BE392" s="15"/>
      <c r="BF392" s="15"/>
      <c r="BG392" s="51"/>
      <c r="BH392" s="15"/>
      <c r="BI392" s="15"/>
      <c r="BJ392" s="15"/>
      <c r="BK392" s="51"/>
      <c r="BL392" s="15"/>
      <c r="BM392" s="15"/>
      <c r="BN392" s="15"/>
      <c r="BO392" s="15"/>
      <c r="BP392" s="15"/>
      <c r="BQ392" s="18"/>
      <c r="BR392" s="18"/>
      <c r="BS392" s="18"/>
      <c r="BT392" s="18"/>
      <c r="BU392" s="18"/>
      <c r="BV392" s="18"/>
      <c r="BW392" s="18"/>
      <c r="BY392" s="139" t="str">
        <f>IF($AB392=0,"",$AB392)</f>
        <v/>
      </c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  <c r="FC392" s="18"/>
      <c r="FD392" s="18"/>
      <c r="FE392" s="18"/>
      <c r="FF392" s="18"/>
      <c r="FG392" s="18"/>
      <c r="FH392" s="18"/>
      <c r="FI392" s="18"/>
      <c r="FJ392" s="18"/>
      <c r="FK392" s="18"/>
      <c r="FL392" s="18"/>
      <c r="FM392" s="18"/>
      <c r="FN392" s="18"/>
      <c r="FO392" s="18"/>
      <c r="FP392" s="18"/>
      <c r="FQ392" s="18"/>
      <c r="FR392" s="18"/>
      <c r="FS392" s="18"/>
      <c r="FT392" s="18"/>
      <c r="FU392" s="18"/>
      <c r="FV392" s="18"/>
      <c r="FW392" s="18"/>
      <c r="FX392" s="18"/>
      <c r="FY392" s="18"/>
      <c r="FZ392" s="18"/>
      <c r="GA392" s="18"/>
      <c r="GB392" s="18"/>
      <c r="GC392" s="18"/>
      <c r="GD392" s="18"/>
      <c r="GE392" s="18"/>
      <c r="GF392" s="18"/>
      <c r="GG392" s="18"/>
      <c r="GH392" s="18"/>
      <c r="GI392" s="18"/>
      <c r="GJ392" s="18"/>
      <c r="GK392" s="18"/>
      <c r="GL392" s="18"/>
      <c r="GM392" s="18"/>
      <c r="GN392" s="18"/>
      <c r="GO392" s="18"/>
      <c r="GP392" s="18"/>
      <c r="GQ392" s="18"/>
      <c r="GR392" s="18"/>
      <c r="GS392" s="18"/>
      <c r="GT392" s="18"/>
      <c r="GU392" s="18"/>
      <c r="GV392" s="18"/>
      <c r="GW392" s="18"/>
      <c r="GX392" s="18"/>
      <c r="GY392" s="18"/>
      <c r="GZ392" s="18"/>
      <c r="HA392" s="18"/>
      <c r="HB392" s="18"/>
      <c r="HC392" s="18"/>
      <c r="HD392" s="18"/>
      <c r="HE392" s="18"/>
      <c r="HF392" s="18"/>
      <c r="HG392" s="13"/>
      <c r="HH392" s="13"/>
      <c r="HI392" s="13"/>
      <c r="HJ392" s="13"/>
      <c r="HK392" s="13"/>
      <c r="HL392" s="13"/>
      <c r="HM392" s="13"/>
      <c r="HN392" s="13"/>
      <c r="HO392" s="13"/>
      <c r="HP392" s="13"/>
      <c r="HQ392" s="13"/>
      <c r="HR392" s="13"/>
      <c r="HS392" s="13"/>
      <c r="HT392" s="13"/>
      <c r="HV392" s="139" t="str">
        <f>IF($AB392=0,"",$AB392)</f>
        <v/>
      </c>
      <c r="HW392" s="18"/>
      <c r="HX392" s="18"/>
      <c r="HY392" s="18"/>
      <c r="HZ392" s="18"/>
      <c r="IA392" s="18"/>
      <c r="IB392" s="18"/>
      <c r="IC392" s="18"/>
      <c r="ID392" s="18"/>
      <c r="IE392" s="18"/>
      <c r="IF392" s="18"/>
      <c r="IG392" s="18"/>
      <c r="IH392" s="18"/>
      <c r="II392" s="18"/>
      <c r="IJ392" s="18"/>
      <c r="IK392" s="18"/>
      <c r="IL392" s="18"/>
      <c r="IM392" s="18"/>
      <c r="IN392" s="18"/>
      <c r="IO392" s="18"/>
      <c r="IP392" s="18"/>
      <c r="IQ392" s="18"/>
      <c r="IR392" s="18"/>
      <c r="IS392" s="18"/>
      <c r="IT392" s="18"/>
      <c r="IU392" s="18"/>
      <c r="IV392" s="18"/>
      <c r="IW392" s="18"/>
      <c r="IX392" s="18"/>
      <c r="IY392" s="18"/>
      <c r="IZ392" s="18"/>
      <c r="JA392" s="18"/>
      <c r="JB392" s="18"/>
      <c r="JC392" s="18"/>
      <c r="JD392" s="18"/>
      <c r="JE392" s="18"/>
      <c r="JF392" s="18"/>
      <c r="JG392" s="18"/>
      <c r="JH392" s="18"/>
      <c r="JI392" s="18"/>
      <c r="JJ392" s="18"/>
      <c r="JK392" s="18"/>
      <c r="JL392" s="18"/>
      <c r="JM392" s="18"/>
      <c r="JN392" s="18"/>
      <c r="JO392" s="18"/>
      <c r="JP392" s="18"/>
      <c r="JQ392" s="18"/>
      <c r="JR392" s="18"/>
      <c r="JS392" s="18"/>
      <c r="JT392" s="18"/>
      <c r="JU392" s="18"/>
      <c r="JV392" s="18"/>
      <c r="JW392" s="18"/>
      <c r="JX392" s="18"/>
      <c r="JY392" s="18"/>
      <c r="JZ392" s="18"/>
      <c r="KA392" s="18"/>
      <c r="KB392" s="18"/>
      <c r="KC392" s="18"/>
      <c r="KD392" s="18"/>
      <c r="KE392" s="18"/>
      <c r="KF392" s="18"/>
      <c r="KG392" s="18"/>
      <c r="KH392" s="18"/>
      <c r="KI392" s="18"/>
      <c r="KJ392" s="18"/>
      <c r="KK392" s="18"/>
      <c r="KL392" s="18"/>
      <c r="KM392" s="18"/>
      <c r="KN392" s="18"/>
      <c r="KO392" s="18"/>
      <c r="KP392" s="18"/>
    </row>
    <row r="393" spans="1:302" ht="11.1" hidden="1" customHeight="1" outlineLevel="1">
      <c r="A393" s="1"/>
      <c r="B393" s="192"/>
      <c r="C393" s="52"/>
      <c r="D393" s="29"/>
      <c r="F393" s="940"/>
      <c r="G393" s="244">
        <v>1.2569999999999999</v>
      </c>
      <c r="H393" s="879"/>
      <c r="K393" s="185">
        <f>AP392</f>
        <v>0</v>
      </c>
      <c r="L393" s="57"/>
      <c r="M393" s="136"/>
      <c r="N393" s="136"/>
      <c r="O393" s="136"/>
      <c r="P393" s="243"/>
      <c r="Q393" s="8"/>
      <c r="T393" s="57"/>
      <c r="U393" s="57"/>
      <c r="V393" s="57"/>
      <c r="W393" s="57"/>
      <c r="X393" s="57"/>
      <c r="Y393" s="175"/>
      <c r="Z393" s="175"/>
      <c r="AA393" s="57"/>
      <c r="AB393" s="947"/>
      <c r="AC393" s="947"/>
      <c r="AD393" s="173">
        <f>((P392-I392)/I392)</f>
        <v>-1</v>
      </c>
      <c r="AE393" s="173"/>
      <c r="AF393" s="145"/>
      <c r="AG393" s="21"/>
      <c r="AH393" s="21"/>
      <c r="AI393" s="21"/>
      <c r="AJ393" s="21"/>
      <c r="AK393" s="217"/>
      <c r="AL393" s="21"/>
      <c r="AM393" s="21"/>
      <c r="AN393" s="179"/>
      <c r="AO393" s="38"/>
      <c r="AP393" s="38"/>
      <c r="AR393" s="38"/>
      <c r="AS393" s="940"/>
      <c r="AT393" s="54"/>
      <c r="AU393" s="22"/>
      <c r="AV393" s="22"/>
      <c r="AW393" s="22"/>
      <c r="AX393" s="22"/>
      <c r="AY393" s="22"/>
      <c r="AZ393" s="22"/>
      <c r="BA393" s="54"/>
      <c r="BB393" s="22"/>
      <c r="BC393" s="15"/>
      <c r="BD393" s="15"/>
      <c r="BE393" s="15"/>
      <c r="BF393" s="15"/>
      <c r="BG393" s="51"/>
      <c r="BH393" s="15"/>
      <c r="BI393" s="15"/>
      <c r="BJ393" s="15"/>
      <c r="BK393" s="51"/>
      <c r="BL393" s="15"/>
      <c r="BM393" s="15"/>
      <c r="BN393" s="15"/>
      <c r="BO393" s="15"/>
      <c r="BP393" s="15"/>
      <c r="BQ393" s="18"/>
      <c r="BR393" s="18"/>
      <c r="BS393" s="18"/>
      <c r="BT393" s="18"/>
      <c r="BU393" s="18"/>
      <c r="BV393" s="18"/>
      <c r="BW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  <c r="FC393" s="18"/>
      <c r="FD393" s="18"/>
      <c r="FE393" s="18"/>
      <c r="FF393" s="18"/>
      <c r="FG393" s="18"/>
      <c r="FH393" s="18"/>
      <c r="FI393" s="18"/>
      <c r="FJ393" s="18"/>
      <c r="FK393" s="18"/>
      <c r="FL393" s="18"/>
      <c r="FM393" s="18"/>
      <c r="FN393" s="18"/>
      <c r="FO393" s="18"/>
      <c r="FP393" s="18"/>
      <c r="FQ393" s="18"/>
      <c r="FR393" s="18"/>
      <c r="FS393" s="18"/>
      <c r="FT393" s="18"/>
      <c r="FU393" s="18"/>
      <c r="FV393" s="18"/>
      <c r="FW393" s="18"/>
      <c r="FX393" s="18"/>
      <c r="FY393" s="18"/>
      <c r="FZ393" s="18"/>
      <c r="GA393" s="18"/>
      <c r="GB393" s="18"/>
      <c r="GC393" s="18"/>
      <c r="GD393" s="18"/>
      <c r="GE393" s="18"/>
      <c r="GF393" s="18"/>
      <c r="GG393" s="18"/>
      <c r="GH393" s="18"/>
      <c r="GI393" s="18"/>
      <c r="GJ393" s="18"/>
      <c r="GK393" s="18"/>
      <c r="GL393" s="18"/>
      <c r="GM393" s="18"/>
      <c r="GN393" s="18"/>
      <c r="GO393" s="18"/>
      <c r="GP393" s="18"/>
      <c r="GQ393" s="18"/>
      <c r="GR393" s="18"/>
      <c r="GS393" s="18"/>
      <c r="GT393" s="18"/>
      <c r="GU393" s="18"/>
      <c r="GV393" s="18"/>
      <c r="GW393" s="18"/>
      <c r="GX393" s="18"/>
      <c r="GY393" s="18"/>
      <c r="GZ393" s="18"/>
      <c r="HA393" s="18"/>
      <c r="HB393" s="18"/>
      <c r="HC393" s="18"/>
      <c r="HD393" s="18"/>
      <c r="HE393" s="18"/>
      <c r="HF393" s="18"/>
      <c r="HG393" s="13"/>
      <c r="HH393" s="13"/>
      <c r="HI393" s="13"/>
      <c r="HJ393" s="13"/>
      <c r="HK393" s="13"/>
      <c r="HL393" s="13"/>
      <c r="HM393" s="13"/>
      <c r="HN393" s="13"/>
      <c r="HO393" s="13"/>
      <c r="HP393" s="13"/>
      <c r="HQ393" s="13"/>
      <c r="HR393" s="13"/>
      <c r="HS393" s="13"/>
      <c r="HT393" s="13"/>
      <c r="HV393" s="18"/>
      <c r="HW393" s="18"/>
      <c r="HX393" s="18"/>
      <c r="HY393" s="18"/>
      <c r="HZ393" s="18"/>
      <c r="IA393" s="18"/>
      <c r="IB393" s="18"/>
      <c r="IC393" s="18"/>
      <c r="ID393" s="18"/>
      <c r="IE393" s="18"/>
      <c r="IF393" s="18"/>
      <c r="IG393" s="18"/>
      <c r="IH393" s="18"/>
      <c r="II393" s="18"/>
      <c r="IJ393" s="18"/>
      <c r="IK393" s="18"/>
      <c r="IL393" s="18"/>
      <c r="IM393" s="18"/>
      <c r="IN393" s="18"/>
      <c r="IO393" s="18"/>
      <c r="IP393" s="18"/>
      <c r="IQ393" s="18"/>
      <c r="IR393" s="18"/>
      <c r="IS393" s="18"/>
      <c r="IT393" s="18"/>
      <c r="IU393" s="18"/>
      <c r="IV393" s="18"/>
      <c r="IW393" s="18"/>
      <c r="IX393" s="18"/>
      <c r="IY393" s="18"/>
      <c r="IZ393" s="18"/>
      <c r="JA393" s="18"/>
      <c r="JB393" s="18"/>
      <c r="JC393" s="18"/>
      <c r="JD393" s="18"/>
      <c r="JE393" s="18"/>
      <c r="JF393" s="18"/>
      <c r="JG393" s="18"/>
      <c r="JH393" s="18"/>
      <c r="JI393" s="18"/>
      <c r="JJ393" s="18"/>
      <c r="JK393" s="18"/>
      <c r="JL393" s="18"/>
      <c r="JM393" s="18"/>
      <c r="JN393" s="18"/>
      <c r="JO393" s="18"/>
      <c r="JP393" s="18"/>
      <c r="JQ393" s="18"/>
      <c r="JR393" s="18"/>
      <c r="JS393" s="18"/>
      <c r="JT393" s="18"/>
      <c r="JU393" s="18"/>
      <c r="JV393" s="18"/>
      <c r="JW393" s="18"/>
      <c r="JX393" s="18"/>
      <c r="JY393" s="18"/>
      <c r="JZ393" s="18"/>
      <c r="KA393" s="18"/>
      <c r="KB393" s="18"/>
      <c r="KC393" s="18"/>
      <c r="KD393" s="18"/>
      <c r="KE393" s="18"/>
      <c r="KF393" s="18"/>
      <c r="KG393" s="18"/>
      <c r="KH393" s="18"/>
      <c r="KI393" s="18"/>
      <c r="KJ393" s="18"/>
      <c r="KK393" s="18"/>
      <c r="KL393" s="18"/>
      <c r="KM393" s="18"/>
      <c r="KN393" s="18"/>
      <c r="KO393" s="18"/>
      <c r="KP393" s="18"/>
    </row>
    <row r="394" spans="1:302" ht="11.1" hidden="1" customHeight="1" outlineLevel="1">
      <c r="A394" s="1"/>
      <c r="B394" s="192"/>
      <c r="C394" s="52"/>
      <c r="D394" s="29"/>
      <c r="F394" s="940"/>
      <c r="G394" s="973"/>
      <c r="H394" s="973"/>
      <c r="I394" s="176"/>
      <c r="J394" s="176"/>
      <c r="K394" s="185"/>
      <c r="L394" s="57"/>
      <c r="M394" s="122"/>
      <c r="N394" s="122"/>
      <c r="O394" s="122"/>
      <c r="P394" s="233"/>
      <c r="Q394" s="8"/>
      <c r="T394" s="57"/>
      <c r="U394" s="57"/>
      <c r="V394" s="57"/>
      <c r="W394" s="57"/>
      <c r="X394" s="57"/>
      <c r="Y394" s="175"/>
      <c r="Z394" s="175"/>
      <c r="AA394" s="57"/>
      <c r="AB394" s="947"/>
      <c r="AC394" s="947"/>
      <c r="AD394" s="173"/>
      <c r="AE394" s="173"/>
      <c r="AF394" s="145"/>
      <c r="AG394" s="21"/>
      <c r="AH394" s="21"/>
      <c r="AI394" s="21"/>
      <c r="AJ394" s="21"/>
      <c r="AK394" s="217"/>
      <c r="AL394" s="21"/>
      <c r="AM394" s="21"/>
      <c r="AN394" s="21"/>
      <c r="AO394" s="38"/>
      <c r="AP394" s="38"/>
      <c r="AR394" s="38"/>
      <c r="AS394" s="940"/>
      <c r="AT394" s="54"/>
      <c r="AU394" s="22"/>
      <c r="AV394" s="22"/>
      <c r="AW394" s="22"/>
      <c r="AX394" s="22"/>
      <c r="AY394" s="22"/>
      <c r="AZ394" s="22"/>
      <c r="BA394" s="54"/>
      <c r="BB394" s="22"/>
      <c r="BC394" s="15"/>
      <c r="BD394" s="15"/>
      <c r="BE394" s="15"/>
      <c r="BF394" s="15"/>
      <c r="BG394" s="51"/>
      <c r="BH394" s="15"/>
      <c r="BI394" s="15"/>
      <c r="BJ394" s="15"/>
      <c r="BK394" s="51"/>
      <c r="BL394" s="15"/>
      <c r="BM394" s="15"/>
      <c r="BN394" s="15"/>
      <c r="BO394" s="15"/>
      <c r="BP394" s="15"/>
      <c r="BQ394" s="18"/>
      <c r="BR394" s="18"/>
      <c r="BS394" s="18"/>
      <c r="BT394" s="18"/>
      <c r="BU394" s="18"/>
      <c r="BV394" s="18"/>
      <c r="BW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  <c r="FR394" s="18"/>
      <c r="FS394" s="18"/>
      <c r="FT394" s="18"/>
      <c r="FU394" s="18"/>
      <c r="FV394" s="18"/>
      <c r="FW394" s="18"/>
      <c r="FX394" s="18"/>
      <c r="FY394" s="18"/>
      <c r="FZ394" s="18"/>
      <c r="GA394" s="18"/>
      <c r="GB394" s="18"/>
      <c r="GC394" s="18"/>
      <c r="GD394" s="18"/>
      <c r="GE394" s="18"/>
      <c r="GF394" s="18"/>
      <c r="GG394" s="18"/>
      <c r="GH394" s="18"/>
      <c r="GI394" s="18"/>
      <c r="GJ394" s="18"/>
      <c r="GK394" s="18"/>
      <c r="GL394" s="18"/>
      <c r="GM394" s="18"/>
      <c r="GN394" s="18"/>
      <c r="GO394" s="18"/>
      <c r="GP394" s="18"/>
      <c r="GQ394" s="18"/>
      <c r="GR394" s="18"/>
      <c r="GS394" s="18"/>
      <c r="GT394" s="18"/>
      <c r="GU394" s="18"/>
      <c r="GV394" s="18"/>
      <c r="GW394" s="18"/>
      <c r="GX394" s="18"/>
      <c r="GY394" s="18"/>
      <c r="GZ394" s="18"/>
      <c r="HA394" s="18"/>
      <c r="HB394" s="18"/>
      <c r="HC394" s="18"/>
      <c r="HD394" s="18"/>
      <c r="HE394" s="18"/>
      <c r="HF394" s="18"/>
      <c r="HG394" s="13"/>
      <c r="HH394" s="13"/>
      <c r="HI394" s="13"/>
      <c r="HJ394" s="13"/>
      <c r="HK394" s="13"/>
      <c r="HL394" s="13"/>
      <c r="HM394" s="13"/>
      <c r="HN394" s="13"/>
      <c r="HO394" s="13"/>
      <c r="HP394" s="13"/>
      <c r="HQ394" s="13"/>
      <c r="HR394" s="13"/>
      <c r="HS394" s="13"/>
      <c r="HT394" s="13"/>
      <c r="HV394" s="18"/>
      <c r="HW394" s="18"/>
      <c r="HX394" s="18"/>
      <c r="HY394" s="18"/>
      <c r="HZ394" s="18"/>
      <c r="IA394" s="18"/>
      <c r="IB394" s="18"/>
      <c r="IC394" s="18"/>
      <c r="ID394" s="18"/>
      <c r="IE394" s="18"/>
      <c r="IF394" s="18"/>
      <c r="IG394" s="18"/>
      <c r="IH394" s="18"/>
      <c r="II394" s="18"/>
      <c r="IJ394" s="18"/>
      <c r="IK394" s="18"/>
      <c r="IL394" s="18"/>
      <c r="IM394" s="18"/>
      <c r="IN394" s="18"/>
      <c r="IO394" s="18"/>
      <c r="IP394" s="18"/>
      <c r="IQ394" s="18"/>
      <c r="IR394" s="18"/>
      <c r="IS394" s="18"/>
      <c r="IT394" s="18"/>
      <c r="IU394" s="18"/>
      <c r="IV394" s="18"/>
      <c r="IW394" s="18"/>
      <c r="IX394" s="18"/>
      <c r="IY394" s="18"/>
      <c r="IZ394" s="18"/>
      <c r="JA394" s="18"/>
      <c r="JB394" s="18"/>
      <c r="JC394" s="18"/>
      <c r="JD394" s="18"/>
      <c r="JE394" s="18"/>
      <c r="JF394" s="18"/>
      <c r="JG394" s="18"/>
      <c r="JH394" s="18"/>
      <c r="JI394" s="18"/>
      <c r="JJ394" s="18"/>
      <c r="JK394" s="18"/>
      <c r="JL394" s="18"/>
      <c r="JM394" s="18"/>
      <c r="JN394" s="18"/>
      <c r="JO394" s="18"/>
      <c r="JP394" s="18"/>
      <c r="JQ394" s="18"/>
      <c r="JR394" s="18"/>
      <c r="JS394" s="18"/>
      <c r="JT394" s="18"/>
      <c r="JU394" s="18"/>
      <c r="JV394" s="18"/>
      <c r="JW394" s="18"/>
      <c r="JX394" s="18"/>
      <c r="JY394" s="18"/>
      <c r="JZ394" s="18"/>
      <c r="KA394" s="18"/>
      <c r="KB394" s="18"/>
      <c r="KC394" s="18"/>
      <c r="KD394" s="18"/>
      <c r="KE394" s="18"/>
      <c r="KF394" s="18"/>
      <c r="KG394" s="18"/>
      <c r="KH394" s="18"/>
      <c r="KI394" s="18"/>
      <c r="KJ394" s="18"/>
      <c r="KK394" s="18"/>
      <c r="KL394" s="18"/>
      <c r="KM394" s="18"/>
      <c r="KN394" s="18"/>
      <c r="KO394" s="18"/>
      <c r="KP394" s="18"/>
    </row>
    <row r="395" spans="1:302" ht="11.1" hidden="1" customHeight="1" outlineLevel="1">
      <c r="A395" s="1"/>
      <c r="B395" s="192"/>
      <c r="C395" s="52"/>
      <c r="D395" s="29"/>
      <c r="F395" s="940"/>
      <c r="G395" s="973"/>
      <c r="H395" s="973"/>
      <c r="I395" s="176"/>
      <c r="J395" s="176"/>
      <c r="K395" s="185"/>
      <c r="L395" s="57"/>
      <c r="M395" s="136"/>
      <c r="N395" s="136"/>
      <c r="O395" s="136"/>
      <c r="P395" s="233"/>
      <c r="Q395" s="8"/>
      <c r="T395" s="57"/>
      <c r="U395" s="57"/>
      <c r="V395" s="57"/>
      <c r="W395" s="57"/>
      <c r="X395" s="57"/>
      <c r="Y395" s="175"/>
      <c r="Z395" s="175"/>
      <c r="AA395" s="57"/>
      <c r="AB395" s="947"/>
      <c r="AC395" s="947"/>
      <c r="AD395" s="173"/>
      <c r="AE395" s="173"/>
      <c r="AF395" s="145"/>
      <c r="AG395" s="21"/>
      <c r="AH395" s="21"/>
      <c r="AI395" s="21"/>
      <c r="AJ395" s="21"/>
      <c r="AK395" s="217"/>
      <c r="AL395" s="21"/>
      <c r="AM395" s="21"/>
      <c r="AN395" s="21"/>
      <c r="AO395" s="38"/>
      <c r="AP395" s="38"/>
      <c r="AR395" s="38"/>
      <c r="AS395" s="940"/>
      <c r="AT395" s="54"/>
      <c r="AU395" s="22"/>
      <c r="AV395" s="22"/>
      <c r="AW395" s="22"/>
      <c r="AX395" s="22"/>
      <c r="AY395" s="22"/>
      <c r="AZ395" s="22"/>
      <c r="BA395" s="54"/>
      <c r="BB395" s="22"/>
      <c r="BC395" s="15"/>
      <c r="BD395" s="15"/>
      <c r="BE395" s="15"/>
      <c r="BF395" s="15"/>
      <c r="BG395" s="51"/>
      <c r="BH395" s="15"/>
      <c r="BI395" s="15"/>
      <c r="BJ395" s="15"/>
      <c r="BK395" s="51"/>
      <c r="BL395" s="15"/>
      <c r="BM395" s="15"/>
      <c r="BN395" s="15"/>
      <c r="BO395" s="15"/>
      <c r="BP395" s="15"/>
      <c r="BQ395" s="18"/>
      <c r="BR395" s="18"/>
      <c r="BS395" s="18"/>
      <c r="BT395" s="18"/>
      <c r="BU395" s="18"/>
      <c r="BV395" s="18"/>
      <c r="BW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  <c r="FC395" s="18"/>
      <c r="FD395" s="18"/>
      <c r="FE395" s="18"/>
      <c r="FF395" s="18"/>
      <c r="FG395" s="18"/>
      <c r="FH395" s="18"/>
      <c r="FI395" s="18"/>
      <c r="FJ395" s="18"/>
      <c r="FK395" s="18"/>
      <c r="FL395" s="18"/>
      <c r="FM395" s="18"/>
      <c r="FN395" s="18"/>
      <c r="FO395" s="18"/>
      <c r="FP395" s="18"/>
      <c r="FQ395" s="18"/>
      <c r="FR395" s="18"/>
      <c r="FS395" s="18"/>
      <c r="FT395" s="18"/>
      <c r="FU395" s="18"/>
      <c r="FV395" s="18"/>
      <c r="FW395" s="18"/>
      <c r="FX395" s="18"/>
      <c r="FY395" s="18"/>
      <c r="FZ395" s="18"/>
      <c r="GA395" s="18"/>
      <c r="GB395" s="18"/>
      <c r="GC395" s="18"/>
      <c r="GD395" s="18"/>
      <c r="GE395" s="18"/>
      <c r="GF395" s="18"/>
      <c r="GG395" s="18"/>
      <c r="GH395" s="18"/>
      <c r="GI395" s="18"/>
      <c r="GJ395" s="18"/>
      <c r="GK395" s="18"/>
      <c r="GL395" s="18"/>
      <c r="GM395" s="18"/>
      <c r="GN395" s="18"/>
      <c r="GO395" s="18"/>
      <c r="GP395" s="18"/>
      <c r="GQ395" s="18"/>
      <c r="GR395" s="18"/>
      <c r="GS395" s="18"/>
      <c r="GT395" s="18"/>
      <c r="GU395" s="18"/>
      <c r="GV395" s="18"/>
      <c r="GW395" s="18"/>
      <c r="GX395" s="18"/>
      <c r="GY395" s="18"/>
      <c r="GZ395" s="18"/>
      <c r="HA395" s="18"/>
      <c r="HB395" s="18"/>
      <c r="HC395" s="18"/>
      <c r="HD395" s="18"/>
      <c r="HE395" s="18"/>
      <c r="HF395" s="18"/>
      <c r="HG395" s="13"/>
      <c r="HH395" s="13"/>
      <c r="HI395" s="13"/>
      <c r="HJ395" s="13"/>
      <c r="HK395" s="13"/>
      <c r="HL395" s="13"/>
      <c r="HM395" s="13"/>
      <c r="HN395" s="13"/>
      <c r="HO395" s="13"/>
      <c r="HP395" s="13"/>
      <c r="HQ395" s="13"/>
      <c r="HR395" s="13"/>
      <c r="HS395" s="13"/>
      <c r="HT395" s="13"/>
      <c r="HV395" s="18"/>
      <c r="HW395" s="18"/>
      <c r="HX395" s="18"/>
      <c r="HY395" s="18"/>
      <c r="HZ395" s="18"/>
      <c r="IA395" s="18"/>
      <c r="IB395" s="18"/>
      <c r="IC395" s="18"/>
      <c r="ID395" s="18"/>
      <c r="IE395" s="18"/>
      <c r="IF395" s="18"/>
      <c r="IG395" s="18"/>
      <c r="IH395" s="18"/>
      <c r="II395" s="18"/>
      <c r="IJ395" s="18"/>
      <c r="IK395" s="18"/>
      <c r="IL395" s="18"/>
      <c r="IM395" s="18"/>
      <c r="IN395" s="18"/>
      <c r="IO395" s="18"/>
      <c r="IP395" s="18"/>
      <c r="IQ395" s="18"/>
      <c r="IR395" s="18"/>
      <c r="IS395" s="18"/>
      <c r="IT395" s="18"/>
      <c r="IU395" s="18"/>
      <c r="IV395" s="18"/>
      <c r="IW395" s="18"/>
      <c r="IX395" s="18"/>
      <c r="IY395" s="18"/>
      <c r="IZ395" s="18"/>
      <c r="JA395" s="18"/>
      <c r="JB395" s="18"/>
      <c r="JC395" s="18"/>
      <c r="JD395" s="18"/>
      <c r="JE395" s="18"/>
      <c r="JF395" s="18"/>
      <c r="JG395" s="18"/>
      <c r="JH395" s="18"/>
      <c r="JI395" s="18"/>
      <c r="JJ395" s="18"/>
      <c r="JK395" s="18"/>
      <c r="JL395" s="18"/>
      <c r="JM395" s="18"/>
      <c r="JN395" s="18"/>
      <c r="JO395" s="18"/>
      <c r="JP395" s="18"/>
      <c r="JQ395" s="18"/>
      <c r="JR395" s="18"/>
      <c r="JS395" s="18"/>
      <c r="JT395" s="18"/>
      <c r="JU395" s="18"/>
      <c r="JV395" s="18"/>
      <c r="JW395" s="18"/>
      <c r="JX395" s="18"/>
      <c r="JY395" s="18"/>
      <c r="JZ395" s="18"/>
      <c r="KA395" s="18"/>
      <c r="KB395" s="18"/>
      <c r="KC395" s="18"/>
      <c r="KD395" s="18"/>
      <c r="KE395" s="18"/>
      <c r="KF395" s="18"/>
      <c r="KG395" s="18"/>
      <c r="KH395" s="18"/>
      <c r="KI395" s="18"/>
      <c r="KJ395" s="18"/>
      <c r="KK395" s="18"/>
      <c r="KL395" s="18"/>
      <c r="KM395" s="18"/>
      <c r="KN395" s="18"/>
      <c r="KO395" s="18"/>
      <c r="KP395" s="18"/>
    </row>
    <row r="396" spans="1:302" ht="11.1" hidden="1" customHeight="1" outlineLevel="1">
      <c r="A396" s="1"/>
      <c r="B396" s="192"/>
      <c r="C396" s="52"/>
      <c r="D396" s="29"/>
      <c r="F396" s="940"/>
      <c r="G396" s="973"/>
      <c r="H396" s="973"/>
      <c r="I396" s="176"/>
      <c r="J396" s="176"/>
      <c r="K396" s="185"/>
      <c r="L396" s="57"/>
      <c r="M396" s="136"/>
      <c r="N396" s="136"/>
      <c r="O396" s="136"/>
      <c r="P396" s="233"/>
      <c r="Q396" s="8"/>
      <c r="T396" s="57"/>
      <c r="U396" s="57"/>
      <c r="V396" s="57"/>
      <c r="W396" s="57"/>
      <c r="X396" s="57"/>
      <c r="Y396" s="175"/>
      <c r="Z396" s="175"/>
      <c r="AA396" s="57"/>
      <c r="AB396" s="947"/>
      <c r="AC396" s="947"/>
      <c r="AD396" s="173"/>
      <c r="AE396" s="173"/>
      <c r="AF396" s="69"/>
      <c r="AG396" s="38"/>
      <c r="AH396" s="38"/>
      <c r="AI396" s="38"/>
      <c r="AJ396" s="38"/>
      <c r="AK396" s="172"/>
      <c r="AL396" s="38"/>
      <c r="AM396" s="38"/>
      <c r="AN396" s="21"/>
      <c r="AO396" s="38"/>
      <c r="AP396" s="38"/>
      <c r="AR396" s="38"/>
      <c r="AS396" s="940"/>
      <c r="AT396" s="54"/>
      <c r="AU396" s="22"/>
      <c r="AV396" s="22"/>
      <c r="AW396" s="22"/>
      <c r="AX396" s="22"/>
      <c r="AY396" s="22"/>
      <c r="AZ396" s="22"/>
      <c r="BA396" s="54"/>
      <c r="BB396" s="22"/>
      <c r="BC396" s="15"/>
      <c r="BD396" s="15"/>
      <c r="BE396" s="15"/>
      <c r="BF396" s="15"/>
      <c r="BG396" s="51"/>
      <c r="BH396" s="15"/>
      <c r="BI396" s="15"/>
      <c r="BJ396" s="15"/>
      <c r="BK396" s="51"/>
      <c r="BL396" s="15"/>
      <c r="BM396" s="15"/>
      <c r="BN396" s="15"/>
      <c r="BO396" s="15"/>
      <c r="BP396" s="15"/>
      <c r="BQ396" s="18"/>
      <c r="BR396" s="18"/>
      <c r="BS396" s="18"/>
      <c r="BT396" s="18"/>
      <c r="BU396" s="18"/>
      <c r="BV396" s="18"/>
      <c r="BW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  <c r="FR396" s="18"/>
      <c r="FS396" s="18"/>
      <c r="FT396" s="18"/>
      <c r="FU396" s="18"/>
      <c r="FV396" s="18"/>
      <c r="FW396" s="18"/>
      <c r="FX396" s="18"/>
      <c r="FY396" s="18"/>
      <c r="FZ396" s="18"/>
      <c r="GA396" s="18"/>
      <c r="GB396" s="18"/>
      <c r="GC396" s="18"/>
      <c r="GD396" s="18"/>
      <c r="GE396" s="18"/>
      <c r="GF396" s="18"/>
      <c r="GG396" s="18"/>
      <c r="GH396" s="18"/>
      <c r="GI396" s="18"/>
      <c r="GJ396" s="18"/>
      <c r="GK396" s="18"/>
      <c r="GL396" s="18"/>
      <c r="GM396" s="18"/>
      <c r="GN396" s="18"/>
      <c r="GO396" s="18"/>
      <c r="GP396" s="18"/>
      <c r="GQ396" s="18"/>
      <c r="GR396" s="18"/>
      <c r="GS396" s="18"/>
      <c r="GT396" s="18"/>
      <c r="GU396" s="18"/>
      <c r="GV396" s="18"/>
      <c r="GW396" s="18"/>
      <c r="GX396" s="18"/>
      <c r="GY396" s="18"/>
      <c r="GZ396" s="18"/>
      <c r="HA396" s="18"/>
      <c r="HB396" s="18"/>
      <c r="HC396" s="18"/>
      <c r="HD396" s="18"/>
      <c r="HE396" s="18"/>
      <c r="HF396" s="18"/>
      <c r="HG396" s="13"/>
      <c r="HH396" s="13"/>
      <c r="HI396" s="13"/>
      <c r="HJ396" s="13"/>
      <c r="HK396" s="13"/>
      <c r="HL396" s="13"/>
      <c r="HM396" s="13"/>
      <c r="HN396" s="13"/>
      <c r="HO396" s="13"/>
      <c r="HP396" s="13"/>
      <c r="HQ396" s="13"/>
      <c r="HR396" s="13"/>
      <c r="HS396" s="13"/>
      <c r="HT396" s="13"/>
      <c r="HV396" s="18"/>
      <c r="HW396" s="18"/>
      <c r="HX396" s="18"/>
      <c r="HY396" s="18"/>
      <c r="HZ396" s="18"/>
      <c r="IA396" s="18"/>
      <c r="IB396" s="18"/>
      <c r="IC396" s="18"/>
      <c r="ID396" s="18"/>
      <c r="IE396" s="18"/>
      <c r="IF396" s="18"/>
      <c r="IG396" s="18"/>
      <c r="IH396" s="18"/>
      <c r="II396" s="18"/>
      <c r="IJ396" s="18"/>
      <c r="IK396" s="18"/>
      <c r="IL396" s="18"/>
      <c r="IM396" s="18"/>
      <c r="IN396" s="18"/>
      <c r="IO396" s="18"/>
      <c r="IP396" s="18"/>
      <c r="IQ396" s="18"/>
      <c r="IR396" s="18"/>
      <c r="IS396" s="18"/>
      <c r="IT396" s="18"/>
      <c r="IU396" s="18"/>
      <c r="IV396" s="18"/>
      <c r="IW396" s="18"/>
      <c r="IX396" s="18"/>
      <c r="IY396" s="18"/>
      <c r="IZ396" s="18"/>
      <c r="JA396" s="18"/>
      <c r="JB396" s="18"/>
      <c r="JC396" s="18"/>
      <c r="JD396" s="18"/>
      <c r="JE396" s="18"/>
      <c r="JF396" s="18"/>
      <c r="JG396" s="18"/>
      <c r="JH396" s="18"/>
      <c r="JI396" s="18"/>
      <c r="JJ396" s="18"/>
      <c r="JK396" s="18"/>
      <c r="JL396" s="18"/>
      <c r="JM396" s="18"/>
      <c r="JN396" s="18"/>
      <c r="JO396" s="18"/>
      <c r="JP396" s="18"/>
      <c r="JQ396" s="18"/>
      <c r="JR396" s="18"/>
      <c r="JS396" s="18"/>
      <c r="JT396" s="18"/>
      <c r="JU396" s="18"/>
      <c r="JV396" s="18"/>
      <c r="JW396" s="18"/>
      <c r="JX396" s="18"/>
      <c r="JY396" s="18"/>
      <c r="JZ396" s="18"/>
      <c r="KA396" s="18"/>
      <c r="KB396" s="18"/>
      <c r="KC396" s="18"/>
      <c r="KD396" s="18"/>
      <c r="KE396" s="18"/>
      <c r="KF396" s="18"/>
      <c r="KG396" s="18"/>
      <c r="KH396" s="18"/>
      <c r="KI396" s="18"/>
      <c r="KJ396" s="18"/>
      <c r="KK396" s="18"/>
      <c r="KL396" s="18"/>
      <c r="KM396" s="18"/>
      <c r="KN396" s="18"/>
      <c r="KO396" s="18"/>
      <c r="KP396" s="18"/>
    </row>
    <row r="397" spans="1:302" ht="11.1" hidden="1" customHeight="1" outlineLevel="1">
      <c r="A397" s="1"/>
      <c r="B397" s="192"/>
      <c r="C397" s="52"/>
      <c r="D397" s="29"/>
      <c r="F397" s="940"/>
      <c r="G397" s="973"/>
      <c r="H397" s="973"/>
      <c r="I397" s="176"/>
      <c r="J397" s="176"/>
      <c r="K397" s="185"/>
      <c r="L397" s="57"/>
      <c r="M397" s="136"/>
      <c r="N397" s="136"/>
      <c r="O397" s="136"/>
      <c r="P397" s="242"/>
      <c r="Q397" s="8"/>
      <c r="T397" s="57"/>
      <c r="U397" s="57"/>
      <c r="V397" s="57"/>
      <c r="W397" s="57"/>
      <c r="X397" s="57"/>
      <c r="Y397" s="175"/>
      <c r="Z397" s="175"/>
      <c r="AA397" s="57"/>
      <c r="AB397" s="947"/>
      <c r="AC397" s="947"/>
      <c r="AD397" s="173"/>
      <c r="AE397" s="173"/>
      <c r="AF397" s="69"/>
      <c r="AG397" s="38"/>
      <c r="AH397" s="38"/>
      <c r="AI397" s="38"/>
      <c r="AJ397" s="38"/>
      <c r="AK397" s="172"/>
      <c r="AL397" s="38"/>
      <c r="AM397" s="38"/>
      <c r="AN397" s="21"/>
      <c r="AO397" s="38"/>
      <c r="AP397" s="38"/>
      <c r="AR397" s="38"/>
      <c r="AS397" s="940"/>
      <c r="AT397" s="54"/>
      <c r="AU397" s="22"/>
      <c r="AV397" s="22"/>
      <c r="AW397" s="22"/>
      <c r="AX397" s="22"/>
      <c r="AY397" s="22"/>
      <c r="AZ397" s="22"/>
      <c r="BA397" s="54"/>
      <c r="BB397" s="22"/>
      <c r="BC397" s="15"/>
      <c r="BD397" s="15"/>
      <c r="BE397" s="15"/>
      <c r="BF397" s="15"/>
      <c r="BG397" s="51"/>
      <c r="BH397" s="15"/>
      <c r="BI397" s="15"/>
      <c r="BJ397" s="15"/>
      <c r="BK397" s="51"/>
      <c r="BL397" s="15"/>
      <c r="BM397" s="15"/>
      <c r="BN397" s="15"/>
      <c r="BO397" s="15"/>
      <c r="BP397" s="15"/>
      <c r="BQ397" s="18"/>
      <c r="BR397" s="18"/>
      <c r="BS397" s="18"/>
      <c r="BT397" s="18"/>
      <c r="BU397" s="18"/>
      <c r="BV397" s="18"/>
      <c r="BW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  <c r="FR397" s="18"/>
      <c r="FS397" s="18"/>
      <c r="FT397" s="18"/>
      <c r="FU397" s="18"/>
      <c r="FV397" s="18"/>
      <c r="FW397" s="18"/>
      <c r="FX397" s="18"/>
      <c r="FY397" s="18"/>
      <c r="FZ397" s="18"/>
      <c r="GA397" s="18"/>
      <c r="GB397" s="18"/>
      <c r="GC397" s="18"/>
      <c r="GD397" s="18"/>
      <c r="GE397" s="18"/>
      <c r="GF397" s="18"/>
      <c r="GG397" s="18"/>
      <c r="GH397" s="18"/>
      <c r="GI397" s="18"/>
      <c r="GJ397" s="18"/>
      <c r="GK397" s="18"/>
      <c r="GL397" s="18"/>
      <c r="GM397" s="18"/>
      <c r="GN397" s="18"/>
      <c r="GO397" s="18"/>
      <c r="GP397" s="18"/>
      <c r="GQ397" s="18"/>
      <c r="GR397" s="18"/>
      <c r="GS397" s="18"/>
      <c r="GT397" s="18"/>
      <c r="GU397" s="18"/>
      <c r="GV397" s="18"/>
      <c r="GW397" s="18"/>
      <c r="GX397" s="18"/>
      <c r="GY397" s="18"/>
      <c r="GZ397" s="18"/>
      <c r="HA397" s="18"/>
      <c r="HB397" s="18"/>
      <c r="HC397" s="18"/>
      <c r="HD397" s="18"/>
      <c r="HE397" s="18"/>
      <c r="HF397" s="18"/>
      <c r="HG397" s="13"/>
      <c r="HH397" s="13"/>
      <c r="HI397" s="13"/>
      <c r="HJ397" s="13"/>
      <c r="HK397" s="13"/>
      <c r="HL397" s="13"/>
      <c r="HM397" s="13"/>
      <c r="HN397" s="13"/>
      <c r="HO397" s="13"/>
      <c r="HP397" s="13"/>
      <c r="HQ397" s="13"/>
      <c r="HR397" s="13"/>
      <c r="HS397" s="13"/>
      <c r="HT397" s="13"/>
      <c r="HV397" s="18"/>
      <c r="HW397" s="18"/>
      <c r="HX397" s="18"/>
      <c r="HY397" s="18"/>
      <c r="HZ397" s="18"/>
      <c r="IA397" s="18"/>
      <c r="IB397" s="18"/>
      <c r="IC397" s="18"/>
      <c r="ID397" s="18"/>
      <c r="IE397" s="18"/>
      <c r="IF397" s="18"/>
      <c r="IG397" s="18"/>
      <c r="IH397" s="18"/>
      <c r="II397" s="18"/>
      <c r="IJ397" s="18"/>
      <c r="IK397" s="18"/>
      <c r="IL397" s="18"/>
      <c r="IM397" s="18"/>
      <c r="IN397" s="18"/>
      <c r="IO397" s="18"/>
      <c r="IP397" s="18"/>
      <c r="IQ397" s="18"/>
      <c r="IR397" s="18"/>
      <c r="IS397" s="18"/>
      <c r="IT397" s="18"/>
      <c r="IU397" s="18"/>
      <c r="IV397" s="18"/>
      <c r="IW397" s="18"/>
      <c r="IX397" s="18"/>
      <c r="IY397" s="18"/>
      <c r="IZ397" s="18"/>
      <c r="JA397" s="18"/>
      <c r="JB397" s="18"/>
      <c r="JC397" s="18"/>
      <c r="JD397" s="18"/>
      <c r="JE397" s="18"/>
      <c r="JF397" s="18"/>
      <c r="JG397" s="18"/>
      <c r="JH397" s="18"/>
      <c r="JI397" s="18"/>
      <c r="JJ397" s="18"/>
      <c r="JK397" s="18"/>
      <c r="JL397" s="18"/>
      <c r="JM397" s="18"/>
      <c r="JN397" s="18"/>
      <c r="JO397" s="18"/>
      <c r="JP397" s="18"/>
      <c r="JQ397" s="18"/>
      <c r="JR397" s="18"/>
      <c r="JS397" s="18"/>
      <c r="JT397" s="18"/>
      <c r="JU397" s="18"/>
      <c r="JV397" s="18"/>
      <c r="JW397" s="18"/>
      <c r="JX397" s="18"/>
      <c r="JY397" s="18"/>
      <c r="JZ397" s="18"/>
      <c r="KA397" s="18"/>
      <c r="KB397" s="18"/>
      <c r="KC397" s="18"/>
      <c r="KD397" s="18"/>
      <c r="KE397" s="18"/>
      <c r="KF397" s="18"/>
      <c r="KG397" s="18"/>
      <c r="KH397" s="18"/>
      <c r="KI397" s="18"/>
      <c r="KJ397" s="18"/>
      <c r="KK397" s="18"/>
      <c r="KL397" s="18"/>
      <c r="KM397" s="18"/>
      <c r="KN397" s="18"/>
      <c r="KO397" s="18"/>
      <c r="KP397" s="18"/>
    </row>
    <row r="398" spans="1:302" ht="11.1" hidden="1" customHeight="1" outlineLevel="1">
      <c r="A398" s="1"/>
      <c r="B398" s="192"/>
      <c r="C398" s="52"/>
      <c r="D398" s="29"/>
      <c r="F398" s="940"/>
      <c r="G398" s="973"/>
      <c r="H398" s="973"/>
      <c r="I398" s="176"/>
      <c r="J398" s="176"/>
      <c r="K398" s="185"/>
      <c r="L398" s="57"/>
      <c r="M398" s="136"/>
      <c r="N398" s="136"/>
      <c r="O398" s="136"/>
      <c r="P398" s="233"/>
      <c r="Q398" s="8"/>
      <c r="T398" s="57"/>
      <c r="U398" s="57"/>
      <c r="V398" s="57"/>
      <c r="W398" s="57"/>
      <c r="X398" s="57"/>
      <c r="Y398" s="175"/>
      <c r="Z398" s="175"/>
      <c r="AA398" s="57"/>
      <c r="AB398" s="947"/>
      <c r="AC398" s="947"/>
      <c r="AD398" s="173"/>
      <c r="AE398" s="173"/>
      <c r="AF398" s="69"/>
      <c r="AG398" s="38"/>
      <c r="AH398" s="38"/>
      <c r="AI398" s="38"/>
      <c r="AJ398" s="38"/>
      <c r="AK398" s="172"/>
      <c r="AL398" s="38"/>
      <c r="AM398" s="38"/>
      <c r="AN398" s="21"/>
      <c r="AO398" s="38"/>
      <c r="AP398" s="38"/>
      <c r="AR398" s="38"/>
      <c r="AS398" s="940"/>
      <c r="AT398" s="54"/>
      <c r="AU398" s="22"/>
      <c r="AV398" s="22"/>
      <c r="AW398" s="22"/>
      <c r="AX398" s="22"/>
      <c r="AY398" s="22"/>
      <c r="AZ398" s="22"/>
      <c r="BA398" s="54"/>
      <c r="BB398" s="22"/>
      <c r="BC398" s="15"/>
      <c r="BD398" s="15"/>
      <c r="BE398" s="15"/>
      <c r="BF398" s="15"/>
      <c r="BG398" s="51"/>
      <c r="BH398" s="15"/>
      <c r="BI398" s="15"/>
      <c r="BJ398" s="15"/>
      <c r="BK398" s="51"/>
      <c r="BL398" s="15"/>
      <c r="BM398" s="15"/>
      <c r="BN398" s="15"/>
      <c r="BO398" s="15"/>
      <c r="BP398" s="15"/>
      <c r="BQ398" s="18"/>
      <c r="BR398" s="18"/>
      <c r="BS398" s="18"/>
      <c r="BT398" s="18"/>
      <c r="BU398" s="18"/>
      <c r="BV398" s="18"/>
      <c r="BW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  <c r="FC398" s="18"/>
      <c r="FD398" s="18"/>
      <c r="FE398" s="18"/>
      <c r="FF398" s="18"/>
      <c r="FG398" s="18"/>
      <c r="FH398" s="18"/>
      <c r="FI398" s="18"/>
      <c r="FJ398" s="18"/>
      <c r="FK398" s="18"/>
      <c r="FL398" s="18"/>
      <c r="FM398" s="18"/>
      <c r="FN398" s="18"/>
      <c r="FO398" s="18"/>
      <c r="FP398" s="18"/>
      <c r="FQ398" s="18"/>
      <c r="FR398" s="18"/>
      <c r="FS398" s="18"/>
      <c r="FT398" s="18"/>
      <c r="FU398" s="18"/>
      <c r="FV398" s="18"/>
      <c r="FW398" s="18"/>
      <c r="FX398" s="18"/>
      <c r="FY398" s="18"/>
      <c r="FZ398" s="18"/>
      <c r="GA398" s="18"/>
      <c r="GB398" s="18"/>
      <c r="GC398" s="18"/>
      <c r="GD398" s="18"/>
      <c r="GE398" s="18"/>
      <c r="GF398" s="18"/>
      <c r="GG398" s="18"/>
      <c r="GH398" s="18"/>
      <c r="GI398" s="18"/>
      <c r="GJ398" s="18"/>
      <c r="GK398" s="18"/>
      <c r="GL398" s="18"/>
      <c r="GM398" s="18"/>
      <c r="GN398" s="18"/>
      <c r="GO398" s="18"/>
      <c r="GP398" s="18"/>
      <c r="GQ398" s="18"/>
      <c r="GR398" s="18"/>
      <c r="GS398" s="18"/>
      <c r="GT398" s="18"/>
      <c r="GU398" s="18"/>
      <c r="GV398" s="18"/>
      <c r="GW398" s="18"/>
      <c r="GX398" s="18"/>
      <c r="GY398" s="18"/>
      <c r="GZ398" s="18"/>
      <c r="HA398" s="18"/>
      <c r="HB398" s="18"/>
      <c r="HC398" s="18"/>
      <c r="HD398" s="18"/>
      <c r="HE398" s="18"/>
      <c r="HF398" s="18"/>
      <c r="HG398" s="13"/>
      <c r="HH398" s="13"/>
      <c r="HI398" s="13"/>
      <c r="HJ398" s="13"/>
      <c r="HK398" s="13"/>
      <c r="HL398" s="13"/>
      <c r="HM398" s="13"/>
      <c r="HN398" s="13"/>
      <c r="HO398" s="13"/>
      <c r="HP398" s="13"/>
      <c r="HQ398" s="13"/>
      <c r="HR398" s="13"/>
      <c r="HS398" s="13"/>
      <c r="HT398" s="13"/>
      <c r="HV398" s="18"/>
      <c r="HW398" s="18"/>
      <c r="HX398" s="18"/>
      <c r="HY398" s="18"/>
      <c r="HZ398" s="18"/>
      <c r="IA398" s="18"/>
      <c r="IB398" s="18"/>
      <c r="IC398" s="18"/>
      <c r="ID398" s="18"/>
      <c r="IE398" s="18"/>
      <c r="IF398" s="18"/>
      <c r="IG398" s="18"/>
      <c r="IH398" s="18"/>
      <c r="II398" s="18"/>
      <c r="IJ398" s="18"/>
      <c r="IK398" s="18"/>
      <c r="IL398" s="18"/>
      <c r="IM398" s="18"/>
      <c r="IN398" s="18"/>
      <c r="IO398" s="18"/>
      <c r="IP398" s="18"/>
      <c r="IQ398" s="18"/>
      <c r="IR398" s="18"/>
      <c r="IS398" s="18"/>
      <c r="IT398" s="18"/>
      <c r="IU398" s="18"/>
      <c r="IV398" s="18"/>
      <c r="IW398" s="18"/>
      <c r="IX398" s="18"/>
      <c r="IY398" s="18"/>
      <c r="IZ398" s="18"/>
      <c r="JA398" s="18"/>
      <c r="JB398" s="18"/>
      <c r="JC398" s="18"/>
      <c r="JD398" s="18"/>
      <c r="JE398" s="18"/>
      <c r="JF398" s="18"/>
      <c r="JG398" s="18"/>
      <c r="JH398" s="18"/>
      <c r="JI398" s="18"/>
      <c r="JJ398" s="18"/>
      <c r="JK398" s="18"/>
      <c r="JL398" s="18"/>
      <c r="JM398" s="18"/>
      <c r="JN398" s="18"/>
      <c r="JO398" s="18"/>
      <c r="JP398" s="18"/>
      <c r="JQ398" s="18"/>
      <c r="JR398" s="18"/>
      <c r="JS398" s="18"/>
      <c r="JT398" s="18"/>
      <c r="JU398" s="18"/>
      <c r="JV398" s="18"/>
      <c r="JW398" s="18"/>
      <c r="JX398" s="18"/>
      <c r="JY398" s="18"/>
      <c r="JZ398" s="18"/>
      <c r="KA398" s="18"/>
      <c r="KB398" s="18"/>
      <c r="KC398" s="18"/>
      <c r="KD398" s="18"/>
      <c r="KE398" s="18"/>
      <c r="KF398" s="18"/>
      <c r="KG398" s="18"/>
      <c r="KH398" s="18"/>
      <c r="KI398" s="18"/>
      <c r="KJ398" s="18"/>
      <c r="KK398" s="18"/>
      <c r="KL398" s="18"/>
      <c r="KM398" s="18"/>
      <c r="KN398" s="18"/>
      <c r="KO398" s="18"/>
      <c r="KP398" s="18"/>
    </row>
    <row r="399" spans="1:302" ht="11.1" hidden="1" customHeight="1" outlineLevel="1">
      <c r="A399" s="1"/>
      <c r="B399" s="192"/>
      <c r="C399" s="52"/>
      <c r="D399" s="29"/>
      <c r="F399" s="940"/>
      <c r="G399" s="973"/>
      <c r="H399" s="973"/>
      <c r="I399" s="176"/>
      <c r="J399" s="176"/>
      <c r="K399" s="185"/>
      <c r="L399" s="57"/>
      <c r="M399" s="136"/>
      <c r="N399" s="136"/>
      <c r="O399" s="136"/>
      <c r="P399" s="242"/>
      <c r="Q399" s="8"/>
      <c r="T399" s="57"/>
      <c r="U399" s="57"/>
      <c r="V399" s="57"/>
      <c r="W399" s="57"/>
      <c r="X399" s="57"/>
      <c r="Y399" s="175"/>
      <c r="Z399" s="175"/>
      <c r="AA399" s="57"/>
      <c r="AB399" s="947"/>
      <c r="AC399" s="947"/>
      <c r="AD399" s="173"/>
      <c r="AE399" s="173"/>
      <c r="AF399" s="69"/>
      <c r="AG399" s="38"/>
      <c r="AH399" s="38"/>
      <c r="AI399" s="38"/>
      <c r="AJ399" s="38"/>
      <c r="AK399" s="172"/>
      <c r="AL399" s="38"/>
      <c r="AM399" s="38"/>
      <c r="AN399" s="21"/>
      <c r="AO399" s="38"/>
      <c r="AP399" s="38"/>
      <c r="AR399" s="38"/>
      <c r="AS399" s="940"/>
      <c r="AT399" s="54"/>
      <c r="AU399" s="22"/>
      <c r="AV399" s="22"/>
      <c r="AW399" s="22"/>
      <c r="AX399" s="22"/>
      <c r="AY399" s="22"/>
      <c r="AZ399" s="22"/>
      <c r="BA399" s="54"/>
      <c r="BB399" s="22"/>
      <c r="BC399" s="15"/>
      <c r="BD399" s="15"/>
      <c r="BE399" s="15"/>
      <c r="BF399" s="15"/>
      <c r="BG399" s="51"/>
      <c r="BH399" s="15"/>
      <c r="BI399" s="15"/>
      <c r="BJ399" s="15"/>
      <c r="BK399" s="51"/>
      <c r="BL399" s="15"/>
      <c r="BM399" s="15"/>
      <c r="BN399" s="15"/>
      <c r="BO399" s="15"/>
      <c r="BP399" s="15"/>
      <c r="BQ399" s="18"/>
      <c r="BR399" s="18"/>
      <c r="BS399" s="18"/>
      <c r="BT399" s="18"/>
      <c r="BU399" s="18"/>
      <c r="BV399" s="18"/>
      <c r="BW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  <c r="FC399" s="18"/>
      <c r="FD399" s="18"/>
      <c r="FE399" s="18"/>
      <c r="FF399" s="18"/>
      <c r="FG399" s="18"/>
      <c r="FH399" s="18"/>
      <c r="FI399" s="18"/>
      <c r="FJ399" s="18"/>
      <c r="FK399" s="18"/>
      <c r="FL399" s="18"/>
      <c r="FM399" s="18"/>
      <c r="FN399" s="18"/>
      <c r="FO399" s="18"/>
      <c r="FP399" s="18"/>
      <c r="FQ399" s="18"/>
      <c r="FR399" s="18"/>
      <c r="FS399" s="18"/>
      <c r="FT399" s="18"/>
      <c r="FU399" s="18"/>
      <c r="FV399" s="18"/>
      <c r="FW399" s="18"/>
      <c r="FX399" s="18"/>
      <c r="FY399" s="18"/>
      <c r="FZ399" s="18"/>
      <c r="GA399" s="18"/>
      <c r="GB399" s="18"/>
      <c r="GC399" s="18"/>
      <c r="GD399" s="18"/>
      <c r="GE399" s="18"/>
      <c r="GF399" s="18"/>
      <c r="GG399" s="18"/>
      <c r="GH399" s="18"/>
      <c r="GI399" s="18"/>
      <c r="GJ399" s="18"/>
      <c r="GK399" s="18"/>
      <c r="GL399" s="18"/>
      <c r="GM399" s="18"/>
      <c r="GN399" s="18"/>
      <c r="GO399" s="18"/>
      <c r="GP399" s="18"/>
      <c r="GQ399" s="18"/>
      <c r="GR399" s="18"/>
      <c r="GS399" s="18"/>
      <c r="GT399" s="18"/>
      <c r="GU399" s="18"/>
      <c r="GV399" s="18"/>
      <c r="GW399" s="18"/>
      <c r="GX399" s="18"/>
      <c r="GY399" s="18"/>
      <c r="GZ399" s="18"/>
      <c r="HA399" s="18"/>
      <c r="HB399" s="18"/>
      <c r="HC399" s="18"/>
      <c r="HD399" s="18"/>
      <c r="HE399" s="18"/>
      <c r="HF399" s="18"/>
      <c r="HG399" s="13"/>
      <c r="HH399" s="13"/>
      <c r="HI399" s="13"/>
      <c r="HJ399" s="13"/>
      <c r="HK399" s="13"/>
      <c r="HL399" s="13"/>
      <c r="HM399" s="13"/>
      <c r="HN399" s="13"/>
      <c r="HO399" s="13"/>
      <c r="HP399" s="13"/>
      <c r="HQ399" s="13"/>
      <c r="HR399" s="13"/>
      <c r="HS399" s="13"/>
      <c r="HT399" s="13"/>
      <c r="HV399" s="18"/>
      <c r="HW399" s="18"/>
      <c r="HX399" s="18"/>
      <c r="HY399" s="18"/>
      <c r="HZ399" s="18"/>
      <c r="IA399" s="18"/>
      <c r="IB399" s="18"/>
      <c r="IC399" s="18"/>
      <c r="ID399" s="18"/>
      <c r="IE399" s="18"/>
      <c r="IF399" s="18"/>
      <c r="IG399" s="18"/>
      <c r="IH399" s="18"/>
      <c r="II399" s="18"/>
      <c r="IJ399" s="18"/>
      <c r="IK399" s="18"/>
      <c r="IL399" s="18"/>
      <c r="IM399" s="18"/>
      <c r="IN399" s="18"/>
      <c r="IO399" s="18"/>
    </row>
    <row r="400" spans="1:302" ht="5.0999999999999996" hidden="1" customHeight="1" outlineLevel="1" collapsed="1">
      <c r="A400" s="8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36"/>
      <c r="N400" s="136"/>
      <c r="O400" s="136"/>
      <c r="P400" s="21"/>
      <c r="Q400" s="143"/>
      <c r="R400" s="143"/>
      <c r="S400" s="143"/>
      <c r="T400" s="143"/>
      <c r="U400" s="143"/>
      <c r="V400" s="143"/>
      <c r="W400" s="143"/>
      <c r="X400" s="143"/>
      <c r="Y400" s="146"/>
      <c r="Z400" s="146"/>
      <c r="AA400" s="143"/>
      <c r="AB400" s="240"/>
      <c r="AC400" s="240"/>
      <c r="AD400" s="143"/>
      <c r="AE400" s="143"/>
      <c r="AF400" s="145"/>
      <c r="AG400" s="144"/>
      <c r="AL400" s="940"/>
      <c r="AM400" s="38"/>
      <c r="AN400" s="21"/>
      <c r="AO400" s="38"/>
      <c r="AP400" s="38"/>
      <c r="AR400" s="38"/>
      <c r="AS400" s="940"/>
      <c r="AT400" s="54"/>
      <c r="AU400" s="22"/>
      <c r="AV400" s="22"/>
      <c r="AW400" s="22"/>
      <c r="AX400" s="22"/>
      <c r="AY400" s="22"/>
      <c r="AZ400" s="22"/>
      <c r="BA400" s="54"/>
      <c r="BB400" s="22"/>
      <c r="BC400" s="15"/>
      <c r="BD400" s="15"/>
      <c r="BE400" s="15"/>
      <c r="BF400" s="15"/>
      <c r="BG400" s="51"/>
      <c r="BH400" s="15"/>
      <c r="BI400" s="15"/>
      <c r="BJ400" s="15"/>
      <c r="BK400" s="51"/>
      <c r="BL400" s="15"/>
      <c r="BM400" s="15"/>
      <c r="BN400" s="15"/>
      <c r="BO400" s="15"/>
      <c r="BP400" s="15"/>
      <c r="BQ400" s="18"/>
      <c r="BR400" s="18"/>
      <c r="BS400" s="18"/>
      <c r="BT400" s="18"/>
      <c r="BU400" s="18"/>
      <c r="BV400" s="18"/>
      <c r="BW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  <c r="FC400" s="18"/>
      <c r="FD400" s="18"/>
      <c r="FE400" s="18"/>
      <c r="FF400" s="18"/>
      <c r="FG400" s="18"/>
      <c r="FH400" s="18"/>
      <c r="FI400" s="18"/>
      <c r="FJ400" s="18"/>
      <c r="FK400" s="18"/>
      <c r="FL400" s="18"/>
      <c r="FM400" s="18"/>
      <c r="FN400" s="18"/>
      <c r="FO400" s="18"/>
      <c r="FP400" s="18"/>
      <c r="FQ400" s="18"/>
      <c r="FR400" s="18"/>
      <c r="FS400" s="18"/>
      <c r="FT400" s="18"/>
      <c r="FU400" s="18"/>
      <c r="FV400" s="18"/>
      <c r="FW400" s="18"/>
      <c r="FX400" s="18"/>
      <c r="FY400" s="18"/>
      <c r="FZ400" s="18"/>
      <c r="GA400" s="18"/>
      <c r="GB400" s="18"/>
      <c r="GC400" s="18"/>
      <c r="GD400" s="18"/>
      <c r="GE400" s="18"/>
      <c r="GF400" s="18"/>
      <c r="GG400" s="18"/>
      <c r="GH400" s="18"/>
      <c r="GI400" s="18"/>
      <c r="GJ400" s="18"/>
      <c r="GK400" s="18"/>
      <c r="GL400" s="18"/>
      <c r="GM400" s="18"/>
      <c r="GN400" s="18"/>
      <c r="GO400" s="18"/>
      <c r="GP400" s="18"/>
      <c r="GQ400" s="18"/>
      <c r="GR400" s="18"/>
      <c r="GS400" s="18"/>
      <c r="GT400" s="18"/>
      <c r="GU400" s="18"/>
      <c r="GV400" s="18"/>
      <c r="GW400" s="18"/>
      <c r="GX400" s="18"/>
      <c r="GY400" s="18"/>
      <c r="GZ400" s="18"/>
      <c r="HA400" s="18"/>
      <c r="HB400" s="18"/>
      <c r="HC400" s="18"/>
      <c r="HD400" s="18"/>
      <c r="HE400" s="18"/>
      <c r="HF400" s="18"/>
      <c r="HG400" s="13"/>
      <c r="HH400" s="13"/>
      <c r="HI400" s="13"/>
      <c r="HJ400" s="13"/>
      <c r="HK400" s="13"/>
      <c r="HL400" s="13"/>
      <c r="HM400" s="13"/>
      <c r="HN400" s="13"/>
      <c r="HO400" s="13"/>
      <c r="HP400" s="13"/>
      <c r="HQ400" s="13"/>
      <c r="HR400" s="13"/>
      <c r="HS400" s="13"/>
      <c r="HT400" s="13"/>
      <c r="HV400" s="18"/>
      <c r="HW400" s="18"/>
      <c r="HX400" s="18"/>
      <c r="HY400" s="18"/>
      <c r="HZ400" s="18"/>
      <c r="IA400" s="18"/>
      <c r="IB400" s="18"/>
      <c r="IC400" s="18"/>
      <c r="ID400" s="18"/>
      <c r="IE400" s="18"/>
      <c r="IF400" s="18"/>
      <c r="IG400" s="18"/>
      <c r="IH400" s="18"/>
      <c r="II400" s="18"/>
      <c r="IJ400" s="18"/>
      <c r="IK400" s="18"/>
      <c r="IL400" s="18"/>
      <c r="IM400" s="18"/>
      <c r="IN400" s="18"/>
      <c r="IO400" s="18"/>
    </row>
    <row r="401" spans="1:249" ht="11.1" hidden="1" customHeight="1" outlineLevel="1">
      <c r="A401" s="208" t="s">
        <v>53</v>
      </c>
      <c r="B401" s="29" t="s">
        <v>465</v>
      </c>
      <c r="C401" s="52"/>
      <c r="D401" s="940" t="s">
        <v>0</v>
      </c>
      <c r="F401" s="940">
        <v>0</v>
      </c>
      <c r="G401" s="187">
        <v>44617</v>
      </c>
      <c r="H401" s="187"/>
      <c r="I401" s="1069">
        <v>2.3862070000000002</v>
      </c>
      <c r="J401" s="1069"/>
      <c r="K401" s="1069"/>
      <c r="L401" s="57"/>
      <c r="M401" s="136"/>
      <c r="N401" s="136"/>
      <c r="O401" s="136"/>
      <c r="P401" s="215"/>
      <c r="Q401" s="1"/>
      <c r="T401" s="57"/>
      <c r="U401" s="57"/>
      <c r="V401" s="57"/>
      <c r="W401" s="57"/>
      <c r="X401" s="57"/>
      <c r="Y401" s="175"/>
      <c r="Z401" s="175"/>
      <c r="AA401" s="57"/>
      <c r="AB401" s="947">
        <f>F401*P401</f>
        <v>0</v>
      </c>
      <c r="AC401" s="947"/>
      <c r="AD401" s="190">
        <f>-((I401*F401)-(P401*F401))</f>
        <v>0</v>
      </c>
      <c r="AE401" s="239"/>
      <c r="AF401" s="205"/>
      <c r="AG401" s="201"/>
      <c r="AH401" s="22"/>
      <c r="AI401" s="22"/>
      <c r="AJ401" s="22"/>
      <c r="AK401" s="178"/>
      <c r="AL401" s="179"/>
      <c r="AM401" s="238"/>
      <c r="AN401" s="179"/>
      <c r="AO401" s="38"/>
      <c r="AP401" s="188">
        <f>F401*I401+AN401+AN402</f>
        <v>0</v>
      </c>
      <c r="AR401" s="38"/>
      <c r="AS401" s="940"/>
      <c r="AT401" s="54"/>
      <c r="AU401" s="22"/>
      <c r="AV401" s="22"/>
      <c r="AW401" s="22"/>
      <c r="AX401" s="22"/>
      <c r="AY401" s="22"/>
      <c r="AZ401" s="22"/>
      <c r="BA401" s="54"/>
      <c r="BB401" s="22"/>
      <c r="BC401" s="15"/>
      <c r="BD401" s="15"/>
      <c r="BE401" s="15"/>
      <c r="BF401" s="15"/>
      <c r="BG401" s="51"/>
      <c r="BH401" s="15"/>
      <c r="BI401" s="15"/>
      <c r="BJ401" s="15"/>
      <c r="BK401" s="51"/>
      <c r="BL401" s="15"/>
      <c r="BM401" s="15"/>
      <c r="BN401" s="15"/>
      <c r="BO401" s="15"/>
      <c r="BP401" s="15"/>
      <c r="BQ401" s="18"/>
      <c r="BR401" s="18"/>
      <c r="BS401" s="18"/>
      <c r="BT401" s="18"/>
      <c r="BU401" s="18"/>
      <c r="BV401" s="18"/>
      <c r="BW401" s="18"/>
      <c r="BX401" s="139" t="str">
        <f>IF($AB401=0,"",$AB401)</f>
        <v/>
      </c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  <c r="FC401" s="18"/>
      <c r="FD401" s="18"/>
      <c r="FE401" s="18"/>
      <c r="FF401" s="18"/>
      <c r="FG401" s="18"/>
      <c r="FH401" s="18"/>
      <c r="FI401" s="18"/>
      <c r="FJ401" s="18"/>
      <c r="FK401" s="18"/>
      <c r="FL401" s="18"/>
      <c r="FM401" s="18"/>
      <c r="FN401" s="18"/>
      <c r="FO401" s="18"/>
      <c r="FP401" s="18"/>
      <c r="FQ401" s="18"/>
      <c r="FR401" s="18"/>
      <c r="FS401" s="18"/>
      <c r="FT401" s="18"/>
      <c r="FU401" s="18"/>
      <c r="FV401" s="18"/>
      <c r="FW401" s="18"/>
      <c r="FX401" s="18"/>
      <c r="FY401" s="18"/>
      <c r="FZ401" s="18"/>
      <c r="GA401" s="18"/>
      <c r="GB401" s="18"/>
      <c r="GC401" s="18"/>
      <c r="GD401" s="18"/>
      <c r="GE401" s="18"/>
      <c r="GF401" s="18"/>
      <c r="GG401" s="18"/>
      <c r="GH401" s="18"/>
      <c r="GI401" s="18"/>
      <c r="GJ401" s="18"/>
      <c r="GK401" s="18"/>
      <c r="GL401" s="18"/>
      <c r="GM401" s="18"/>
      <c r="GN401" s="18"/>
      <c r="GO401" s="18"/>
      <c r="GP401" s="18"/>
      <c r="GQ401" s="18"/>
      <c r="GR401" s="18"/>
      <c r="GS401" s="18"/>
      <c r="GT401" s="18"/>
      <c r="GU401" s="18"/>
      <c r="GV401" s="18"/>
      <c r="GW401" s="18"/>
      <c r="GX401" s="18"/>
      <c r="GY401" s="18"/>
      <c r="GZ401" s="18"/>
      <c r="HA401" s="18"/>
      <c r="HB401" s="18"/>
      <c r="HC401" s="18"/>
      <c r="HD401" s="18"/>
      <c r="HE401" s="18"/>
      <c r="HF401" s="18"/>
      <c r="HG401" s="13"/>
      <c r="HH401" s="13"/>
      <c r="HI401" s="13"/>
      <c r="HJ401" s="13"/>
      <c r="HK401" s="13"/>
      <c r="HL401" s="13"/>
      <c r="HM401" s="13"/>
      <c r="HN401" s="13"/>
      <c r="HO401" s="13"/>
      <c r="HP401" s="13"/>
      <c r="HQ401" s="13"/>
      <c r="HR401" s="13"/>
      <c r="HS401" s="13"/>
      <c r="HT401" s="13"/>
      <c r="HU401" s="139" t="str">
        <f>IF($AB401=0,"",$AB401)</f>
        <v/>
      </c>
      <c r="HV401" s="18"/>
      <c r="HW401" s="18"/>
      <c r="HX401" s="18"/>
      <c r="HY401" s="18"/>
      <c r="HZ401" s="18"/>
      <c r="IA401" s="18"/>
      <c r="IB401" s="18"/>
      <c r="IC401" s="18"/>
      <c r="ID401" s="18"/>
      <c r="IE401" s="18"/>
      <c r="IF401" s="18"/>
      <c r="IG401" s="18"/>
      <c r="IH401" s="18"/>
      <c r="II401" s="18"/>
      <c r="IJ401" s="18"/>
      <c r="IK401" s="18"/>
      <c r="IL401" s="18"/>
      <c r="IM401" s="18"/>
      <c r="IN401" s="18"/>
      <c r="IO401" s="18"/>
    </row>
    <row r="402" spans="1:249" ht="11.1" hidden="1" customHeight="1" outlineLevel="1">
      <c r="A402" s="1"/>
      <c r="B402" s="192"/>
      <c r="C402" s="52"/>
      <c r="D402" s="29"/>
      <c r="F402" s="940"/>
      <c r="G402" s="973"/>
      <c r="H402" s="973"/>
      <c r="I402" s="176"/>
      <c r="J402" s="176"/>
      <c r="K402" s="185">
        <f>AP401</f>
        <v>0</v>
      </c>
      <c r="L402" s="57"/>
      <c r="M402" s="136"/>
      <c r="N402" s="136"/>
      <c r="O402" s="136"/>
      <c r="P402" s="233"/>
      <c r="Q402" s="8"/>
      <c r="T402" s="57"/>
      <c r="U402" s="57"/>
      <c r="V402" s="57"/>
      <c r="W402" s="57"/>
      <c r="X402" s="57"/>
      <c r="Y402" s="175"/>
      <c r="Z402" s="175"/>
      <c r="AA402" s="57"/>
      <c r="AB402" s="947"/>
      <c r="AC402" s="947"/>
      <c r="AD402" s="825">
        <f>((P401-I401)/I401)</f>
        <v>-1</v>
      </c>
      <c r="AE402" s="173"/>
      <c r="AF402" s="69"/>
      <c r="AG402" s="38"/>
      <c r="AH402" s="38"/>
      <c r="AI402" s="38"/>
      <c r="AJ402" s="38"/>
      <c r="AK402" s="172"/>
      <c r="AL402" s="38"/>
      <c r="AM402" s="38"/>
      <c r="AN402" s="179"/>
      <c r="AO402" s="38"/>
      <c r="AP402" s="241"/>
      <c r="AR402" s="38"/>
      <c r="AS402" s="940"/>
      <c r="AT402" s="54"/>
      <c r="AU402" s="22"/>
      <c r="AV402" s="22"/>
      <c r="AW402" s="22"/>
      <c r="AX402" s="22"/>
      <c r="AY402" s="22"/>
      <c r="AZ402" s="22"/>
      <c r="BA402" s="54"/>
      <c r="BB402" s="22"/>
      <c r="BC402" s="15"/>
      <c r="BD402" s="15"/>
      <c r="BE402" s="15"/>
      <c r="BF402" s="15"/>
      <c r="BG402" s="51"/>
      <c r="BH402" s="15"/>
      <c r="BI402" s="15"/>
      <c r="BJ402" s="15"/>
      <c r="BK402" s="51"/>
      <c r="BL402" s="15"/>
      <c r="BM402" s="15"/>
      <c r="BN402" s="15"/>
      <c r="BO402" s="15"/>
      <c r="BP402" s="15"/>
      <c r="BQ402" s="18"/>
      <c r="BR402" s="18"/>
      <c r="BS402" s="18"/>
      <c r="BT402" s="18"/>
      <c r="BU402" s="18"/>
      <c r="BV402" s="18"/>
      <c r="BW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  <c r="FC402" s="18"/>
      <c r="FD402" s="18"/>
      <c r="FE402" s="18"/>
      <c r="FF402" s="18"/>
      <c r="FG402" s="18"/>
      <c r="FH402" s="18"/>
      <c r="FI402" s="18"/>
      <c r="FJ402" s="18"/>
      <c r="FK402" s="18"/>
      <c r="FL402" s="18"/>
      <c r="FM402" s="18"/>
      <c r="FN402" s="18"/>
      <c r="FO402" s="18"/>
      <c r="FP402" s="18"/>
      <c r="FQ402" s="18"/>
      <c r="FR402" s="18"/>
      <c r="FS402" s="18"/>
      <c r="FT402" s="18"/>
      <c r="FU402" s="18"/>
      <c r="FV402" s="18"/>
      <c r="FW402" s="18"/>
      <c r="FX402" s="18"/>
      <c r="FY402" s="18"/>
      <c r="FZ402" s="18"/>
      <c r="GA402" s="18"/>
      <c r="GB402" s="18"/>
      <c r="GC402" s="18"/>
      <c r="GD402" s="18"/>
      <c r="GE402" s="18"/>
      <c r="GF402" s="18"/>
      <c r="GG402" s="18"/>
      <c r="GH402" s="18"/>
      <c r="GI402" s="18"/>
      <c r="GJ402" s="18"/>
      <c r="GK402" s="18"/>
      <c r="GL402" s="18"/>
      <c r="GM402" s="18"/>
      <c r="GN402" s="18"/>
      <c r="GO402" s="18"/>
      <c r="GP402" s="18"/>
      <c r="GQ402" s="18"/>
      <c r="GR402" s="18"/>
      <c r="GS402" s="18"/>
      <c r="GT402" s="18"/>
      <c r="GU402" s="18"/>
      <c r="GV402" s="18"/>
      <c r="GW402" s="18"/>
      <c r="GX402" s="18"/>
      <c r="GY402" s="18"/>
      <c r="GZ402" s="18"/>
      <c r="HA402" s="18"/>
      <c r="HB402" s="18"/>
      <c r="HC402" s="18"/>
      <c r="HD402" s="18"/>
      <c r="HE402" s="18"/>
      <c r="HF402" s="18"/>
      <c r="HG402" s="13"/>
      <c r="HH402" s="13"/>
      <c r="HI402" s="13"/>
      <c r="HJ402" s="13"/>
      <c r="HK402" s="13"/>
      <c r="HL402" s="13"/>
      <c r="HM402" s="13"/>
      <c r="HN402" s="13"/>
      <c r="HO402" s="13"/>
      <c r="HP402" s="13"/>
      <c r="HQ402" s="13"/>
      <c r="HR402" s="13"/>
      <c r="HS402" s="13"/>
      <c r="HT402" s="13"/>
      <c r="HV402" s="18"/>
      <c r="HW402" s="18"/>
      <c r="HX402" s="18"/>
      <c r="HY402" s="18"/>
      <c r="HZ402" s="18"/>
      <c r="IA402" s="18"/>
      <c r="IB402" s="18"/>
      <c r="IC402" s="18"/>
      <c r="ID402" s="18"/>
      <c r="IE402" s="18"/>
      <c r="IF402" s="18"/>
      <c r="IG402" s="18"/>
      <c r="IH402" s="18"/>
      <c r="II402" s="18"/>
      <c r="IJ402" s="18"/>
      <c r="IK402" s="18"/>
      <c r="IL402" s="18"/>
      <c r="IM402" s="18"/>
      <c r="IN402" s="18"/>
      <c r="IO402" s="18"/>
    </row>
    <row r="403" spans="1:249" ht="11.1" hidden="1" customHeight="1" outlineLevel="1">
      <c r="A403" s="1"/>
      <c r="B403" s="192"/>
      <c r="C403" s="52"/>
      <c r="D403" s="29"/>
      <c r="F403" s="940"/>
      <c r="G403" s="187"/>
      <c r="H403" s="187"/>
      <c r="I403" s="237"/>
      <c r="J403" s="237"/>
      <c r="K403" s="185"/>
      <c r="L403" s="57"/>
      <c r="M403" s="136"/>
      <c r="N403" s="136"/>
      <c r="O403" s="136"/>
      <c r="P403" s="233"/>
      <c r="Q403" s="8"/>
      <c r="T403" s="57"/>
      <c r="U403" s="57"/>
      <c r="V403" s="57"/>
      <c r="W403" s="57"/>
      <c r="X403" s="57"/>
      <c r="Y403" s="175"/>
      <c r="Z403" s="175"/>
      <c r="AA403" s="57"/>
      <c r="AB403" s="947"/>
      <c r="AC403" s="947"/>
      <c r="AD403" s="173"/>
      <c r="AE403" s="173"/>
      <c r="AF403" s="69"/>
      <c r="AG403" s="38"/>
      <c r="AH403" s="38"/>
      <c r="AI403" s="38"/>
      <c r="AJ403" s="38"/>
      <c r="AK403" s="172"/>
      <c r="AL403" s="38"/>
      <c r="AM403" s="38"/>
      <c r="AN403" s="38"/>
      <c r="AO403" s="38"/>
      <c r="AP403" s="38"/>
      <c r="AR403" s="38"/>
      <c r="AS403" s="940"/>
      <c r="AT403" s="54"/>
      <c r="AU403" s="22"/>
      <c r="AV403" s="22"/>
      <c r="AW403" s="22"/>
      <c r="AX403" s="22"/>
      <c r="AY403" s="22"/>
      <c r="AZ403" s="22"/>
      <c r="BA403" s="54"/>
      <c r="BB403" s="22"/>
      <c r="BC403" s="15"/>
      <c r="BD403" s="15"/>
      <c r="BE403" s="15"/>
      <c r="BF403" s="15"/>
      <c r="BG403" s="51"/>
      <c r="BH403" s="15"/>
      <c r="BI403" s="15"/>
      <c r="BJ403" s="15"/>
      <c r="BK403" s="51"/>
      <c r="BL403" s="15"/>
      <c r="BM403" s="15"/>
      <c r="BN403" s="15"/>
      <c r="BO403" s="15"/>
      <c r="BP403" s="15"/>
      <c r="BQ403" s="18"/>
      <c r="BR403" s="18"/>
      <c r="BS403" s="18"/>
      <c r="BT403" s="18"/>
      <c r="BU403" s="18"/>
      <c r="BV403" s="18"/>
      <c r="BW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  <c r="FC403" s="18"/>
      <c r="FD403" s="18"/>
      <c r="FE403" s="18"/>
      <c r="FF403" s="18"/>
      <c r="FG403" s="18"/>
      <c r="FH403" s="18"/>
      <c r="FI403" s="18"/>
      <c r="FJ403" s="18"/>
      <c r="FK403" s="18"/>
      <c r="FL403" s="18"/>
      <c r="FM403" s="18"/>
      <c r="FN403" s="18"/>
      <c r="FO403" s="18"/>
      <c r="FP403" s="18"/>
      <c r="FQ403" s="18"/>
      <c r="FR403" s="18"/>
      <c r="FS403" s="18"/>
      <c r="FT403" s="18"/>
      <c r="FU403" s="18"/>
      <c r="FV403" s="18"/>
      <c r="FW403" s="18"/>
      <c r="FX403" s="18"/>
      <c r="FY403" s="18"/>
      <c r="FZ403" s="18"/>
      <c r="GA403" s="18"/>
      <c r="GB403" s="18"/>
      <c r="GC403" s="18"/>
      <c r="GD403" s="18"/>
      <c r="GE403" s="18"/>
      <c r="GF403" s="18"/>
      <c r="GG403" s="18"/>
      <c r="GH403" s="18"/>
      <c r="GI403" s="18"/>
      <c r="GJ403" s="18"/>
      <c r="GK403" s="18"/>
      <c r="GL403" s="18"/>
      <c r="GM403" s="18"/>
      <c r="GN403" s="18"/>
      <c r="GO403" s="18"/>
      <c r="GP403" s="18"/>
      <c r="GQ403" s="18"/>
      <c r="GR403" s="18"/>
      <c r="GS403" s="18"/>
      <c r="GT403" s="18"/>
      <c r="GU403" s="18"/>
      <c r="GV403" s="18"/>
      <c r="GW403" s="18"/>
      <c r="GX403" s="18"/>
      <c r="GY403" s="18"/>
      <c r="GZ403" s="18"/>
      <c r="HA403" s="18"/>
      <c r="HB403" s="18"/>
      <c r="HC403" s="18"/>
      <c r="HD403" s="18"/>
      <c r="HE403" s="18"/>
      <c r="HF403" s="18"/>
      <c r="HG403" s="13"/>
      <c r="HH403" s="13"/>
      <c r="HI403" s="13"/>
      <c r="HJ403" s="13"/>
      <c r="HK403" s="13"/>
      <c r="HL403" s="13"/>
      <c r="HM403" s="13"/>
      <c r="HN403" s="13"/>
      <c r="HO403" s="13"/>
      <c r="HP403" s="13"/>
      <c r="HQ403" s="13"/>
      <c r="HR403" s="13"/>
      <c r="HS403" s="13"/>
      <c r="HT403" s="13"/>
      <c r="HV403" s="18"/>
      <c r="HW403" s="18"/>
      <c r="HX403" s="18"/>
      <c r="HY403" s="18"/>
      <c r="HZ403" s="18"/>
      <c r="IA403" s="18"/>
      <c r="IB403" s="18"/>
      <c r="IC403" s="18"/>
      <c r="ID403" s="18"/>
      <c r="IE403" s="18"/>
      <c r="IF403" s="18"/>
      <c r="IG403" s="18"/>
      <c r="IH403" s="18"/>
      <c r="II403" s="18"/>
      <c r="IJ403" s="18"/>
      <c r="IK403" s="18"/>
      <c r="IL403" s="18"/>
      <c r="IM403" s="18"/>
      <c r="IN403" s="18"/>
      <c r="IO403" s="18"/>
    </row>
    <row r="404" spans="1:249" ht="11.1" hidden="1" customHeight="1" outlineLevel="1">
      <c r="A404" s="1"/>
      <c r="B404" s="192"/>
      <c r="C404" s="52"/>
      <c r="D404" s="29"/>
      <c r="F404" s="940"/>
      <c r="G404" s="973"/>
      <c r="H404" s="973"/>
      <c r="I404" s="176"/>
      <c r="J404" s="176"/>
      <c r="K404" s="185"/>
      <c r="L404" s="57"/>
      <c r="M404" s="136"/>
      <c r="N404" s="136"/>
      <c r="O404" s="136"/>
      <c r="P404" s="233"/>
      <c r="Q404" s="8"/>
      <c r="T404" s="57"/>
      <c r="U404" s="57"/>
      <c r="V404" s="57"/>
      <c r="W404" s="57"/>
      <c r="X404" s="57"/>
      <c r="Y404" s="175"/>
      <c r="Z404" s="175"/>
      <c r="AA404" s="57"/>
      <c r="AB404" s="947"/>
      <c r="AC404" s="947"/>
      <c r="AD404" s="173"/>
      <c r="AE404" s="173"/>
      <c r="AF404" s="69"/>
      <c r="AG404" s="38"/>
      <c r="AH404" s="38"/>
      <c r="AI404" s="38"/>
      <c r="AJ404" s="38"/>
      <c r="AK404" s="172"/>
      <c r="AL404" s="38"/>
      <c r="AM404" s="38"/>
      <c r="AN404" s="38"/>
      <c r="AO404" s="38"/>
      <c r="AP404" s="38"/>
      <c r="AR404" s="38"/>
      <c r="AS404" s="940"/>
      <c r="AT404" s="54"/>
      <c r="AU404" s="22"/>
      <c r="AV404" s="22"/>
      <c r="AW404" s="22"/>
      <c r="AX404" s="22"/>
      <c r="AY404" s="22"/>
      <c r="AZ404" s="22"/>
      <c r="BA404" s="54"/>
      <c r="BB404" s="22"/>
      <c r="BC404" s="15"/>
      <c r="BD404" s="15"/>
      <c r="BE404" s="15"/>
      <c r="BF404" s="15"/>
      <c r="BG404" s="51"/>
      <c r="BH404" s="15"/>
      <c r="BI404" s="15"/>
      <c r="BJ404" s="15"/>
      <c r="BK404" s="51"/>
      <c r="BL404" s="15"/>
      <c r="BM404" s="15"/>
      <c r="BN404" s="15"/>
      <c r="BO404" s="15"/>
      <c r="BP404" s="15"/>
      <c r="BQ404" s="18"/>
      <c r="BR404" s="18"/>
      <c r="BS404" s="18"/>
      <c r="BT404" s="18"/>
      <c r="BU404" s="18"/>
      <c r="BV404" s="18"/>
      <c r="BW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  <c r="FC404" s="18"/>
      <c r="FD404" s="18"/>
      <c r="FE404" s="18"/>
      <c r="FF404" s="18"/>
      <c r="FG404" s="18"/>
      <c r="FH404" s="18"/>
      <c r="FI404" s="18"/>
      <c r="FJ404" s="18"/>
      <c r="FK404" s="18"/>
      <c r="FL404" s="18"/>
      <c r="FM404" s="18"/>
      <c r="FN404" s="18"/>
      <c r="FO404" s="18"/>
      <c r="FP404" s="18"/>
      <c r="FQ404" s="18"/>
      <c r="FR404" s="18"/>
      <c r="FS404" s="18"/>
      <c r="FT404" s="18"/>
      <c r="FU404" s="18"/>
      <c r="FV404" s="18"/>
      <c r="FW404" s="18"/>
      <c r="FX404" s="18"/>
      <c r="FY404" s="18"/>
      <c r="FZ404" s="18"/>
      <c r="GA404" s="18"/>
      <c r="GB404" s="18"/>
      <c r="GC404" s="18"/>
      <c r="GD404" s="18"/>
      <c r="GE404" s="18"/>
      <c r="GF404" s="18"/>
      <c r="GG404" s="18"/>
      <c r="GH404" s="18"/>
      <c r="GI404" s="18"/>
      <c r="GJ404" s="18"/>
      <c r="GK404" s="18"/>
      <c r="GL404" s="18"/>
      <c r="GM404" s="18"/>
      <c r="GN404" s="18"/>
      <c r="GO404" s="18"/>
      <c r="GP404" s="18"/>
      <c r="GQ404" s="18"/>
      <c r="GR404" s="18"/>
      <c r="GS404" s="18"/>
      <c r="GT404" s="18"/>
      <c r="GU404" s="18"/>
      <c r="GV404" s="18"/>
      <c r="GW404" s="18"/>
      <c r="GX404" s="18"/>
      <c r="GY404" s="18"/>
      <c r="GZ404" s="18"/>
      <c r="HA404" s="18"/>
      <c r="HB404" s="18"/>
      <c r="HC404" s="18"/>
      <c r="HD404" s="18"/>
      <c r="HE404" s="18"/>
      <c r="HF404" s="18"/>
      <c r="HG404" s="13"/>
      <c r="HH404" s="13"/>
      <c r="HI404" s="13"/>
      <c r="HJ404" s="13"/>
      <c r="HK404" s="13"/>
      <c r="HL404" s="13"/>
      <c r="HM404" s="13"/>
      <c r="HN404" s="13"/>
      <c r="HO404" s="13"/>
      <c r="HP404" s="13"/>
      <c r="HQ404" s="13"/>
      <c r="HR404" s="13"/>
      <c r="HS404" s="13"/>
      <c r="HT404" s="13"/>
      <c r="HV404" s="18"/>
      <c r="HW404" s="18"/>
      <c r="HX404" s="18"/>
      <c r="HY404" s="18"/>
      <c r="HZ404" s="18"/>
      <c r="IA404" s="18"/>
      <c r="IB404" s="18"/>
      <c r="IC404" s="18"/>
      <c r="ID404" s="18"/>
      <c r="IE404" s="18"/>
      <c r="IF404" s="18"/>
      <c r="IG404" s="18"/>
      <c r="IH404" s="18"/>
      <c r="II404" s="18"/>
      <c r="IJ404" s="18"/>
      <c r="IK404" s="18"/>
      <c r="IL404" s="18"/>
      <c r="IM404" s="18"/>
      <c r="IN404" s="18"/>
      <c r="IO404" s="18"/>
    </row>
    <row r="405" spans="1:249" ht="11.1" hidden="1" customHeight="1" outlineLevel="1">
      <c r="A405" s="1"/>
      <c r="B405" s="192"/>
      <c r="C405" s="52"/>
      <c r="D405" s="29"/>
      <c r="F405" s="940"/>
      <c r="G405" s="973"/>
      <c r="H405" s="973"/>
      <c r="I405" s="176"/>
      <c r="J405" s="176"/>
      <c r="K405" s="185"/>
      <c r="L405" s="57"/>
      <c r="M405" s="136"/>
      <c r="N405" s="136"/>
      <c r="O405" s="136"/>
      <c r="P405" s="233"/>
      <c r="Q405" s="8"/>
      <c r="T405" s="57"/>
      <c r="U405" s="57"/>
      <c r="V405" s="57"/>
      <c r="W405" s="57"/>
      <c r="X405" s="57"/>
      <c r="Y405" s="175"/>
      <c r="Z405" s="175"/>
      <c r="AA405" s="57"/>
      <c r="AB405" s="947"/>
      <c r="AC405" s="947"/>
      <c r="AD405" s="173"/>
      <c r="AE405" s="173"/>
      <c r="AF405" s="69"/>
      <c r="AG405" s="38"/>
      <c r="AH405" s="38"/>
      <c r="AI405" s="38"/>
      <c r="AJ405" s="38"/>
      <c r="AK405" s="172"/>
      <c r="AL405" s="38"/>
      <c r="AM405" s="38"/>
      <c r="AN405" s="38"/>
      <c r="AO405" s="38"/>
      <c r="AP405" s="38"/>
      <c r="AR405" s="38"/>
      <c r="AS405" s="940"/>
      <c r="AT405" s="54"/>
      <c r="AU405" s="22"/>
      <c r="AV405" s="22"/>
      <c r="AW405" s="22"/>
      <c r="AX405" s="22"/>
      <c r="AY405" s="22"/>
      <c r="AZ405" s="22"/>
      <c r="BA405" s="54"/>
      <c r="BB405" s="22"/>
      <c r="BC405" s="15"/>
      <c r="BD405" s="15"/>
      <c r="BE405" s="15"/>
      <c r="BF405" s="15"/>
      <c r="BG405" s="51"/>
      <c r="BH405" s="15"/>
      <c r="BI405" s="15"/>
      <c r="BJ405" s="15"/>
      <c r="BK405" s="51"/>
      <c r="BL405" s="15"/>
      <c r="BM405" s="15"/>
      <c r="BN405" s="15"/>
      <c r="BO405" s="15"/>
      <c r="BP405" s="15"/>
      <c r="BQ405" s="18"/>
      <c r="BR405" s="18"/>
      <c r="BS405" s="18"/>
      <c r="BT405" s="18"/>
      <c r="BU405" s="18"/>
      <c r="BV405" s="18"/>
      <c r="BW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  <c r="FR405" s="18"/>
      <c r="FS405" s="18"/>
      <c r="FT405" s="18"/>
      <c r="FU405" s="18"/>
      <c r="FV405" s="18"/>
      <c r="FW405" s="18"/>
      <c r="FX405" s="18"/>
      <c r="FY405" s="18"/>
      <c r="FZ405" s="18"/>
      <c r="GA405" s="18"/>
      <c r="GB405" s="18"/>
      <c r="GC405" s="18"/>
      <c r="GD405" s="18"/>
      <c r="GE405" s="18"/>
      <c r="GF405" s="18"/>
      <c r="GG405" s="18"/>
      <c r="GH405" s="18"/>
      <c r="GI405" s="18"/>
      <c r="GJ405" s="18"/>
      <c r="GK405" s="18"/>
      <c r="GL405" s="18"/>
      <c r="GM405" s="18"/>
      <c r="GN405" s="18"/>
      <c r="GO405" s="18"/>
      <c r="GP405" s="18"/>
      <c r="GQ405" s="18"/>
      <c r="GR405" s="18"/>
      <c r="GS405" s="18"/>
      <c r="GT405" s="18"/>
      <c r="GU405" s="18"/>
      <c r="GV405" s="18"/>
      <c r="GW405" s="18"/>
      <c r="GX405" s="18"/>
      <c r="GY405" s="18"/>
      <c r="GZ405" s="18"/>
      <c r="HA405" s="18"/>
      <c r="HB405" s="18"/>
      <c r="HC405" s="18"/>
      <c r="HD405" s="18"/>
      <c r="HE405" s="18"/>
      <c r="HF405" s="18"/>
      <c r="HG405" s="13"/>
      <c r="HH405" s="13"/>
      <c r="HI405" s="13"/>
      <c r="HJ405" s="13"/>
      <c r="HK405" s="13"/>
      <c r="HL405" s="13"/>
      <c r="HM405" s="13"/>
      <c r="HN405" s="13"/>
      <c r="HO405" s="13"/>
      <c r="HP405" s="13"/>
      <c r="HQ405" s="13"/>
      <c r="HR405" s="13"/>
      <c r="HS405" s="13"/>
      <c r="HT405" s="13"/>
      <c r="HV405" s="18"/>
      <c r="HW405" s="18"/>
      <c r="HX405" s="18"/>
      <c r="HY405" s="18"/>
      <c r="HZ405" s="18"/>
      <c r="IA405" s="18"/>
      <c r="IB405" s="18"/>
      <c r="IC405" s="18"/>
      <c r="ID405" s="18"/>
      <c r="IE405" s="18"/>
      <c r="IF405" s="18"/>
      <c r="IG405" s="18"/>
      <c r="IH405" s="18"/>
      <c r="II405" s="18"/>
      <c r="IJ405" s="18"/>
      <c r="IK405" s="18"/>
      <c r="IL405" s="18"/>
      <c r="IM405" s="18"/>
      <c r="IN405" s="18"/>
      <c r="IO405" s="18"/>
    </row>
    <row r="406" spans="1:249" ht="11.1" hidden="1" customHeight="1" outlineLevel="1">
      <c r="A406" s="1"/>
      <c r="B406" s="192"/>
      <c r="C406" s="52"/>
      <c r="D406" s="29"/>
      <c r="F406" s="940"/>
      <c r="G406" s="973"/>
      <c r="H406" s="973"/>
      <c r="I406" s="176"/>
      <c r="J406" s="176"/>
      <c r="K406" s="185"/>
      <c r="L406" s="57"/>
      <c r="M406" s="136"/>
      <c r="N406" s="136"/>
      <c r="O406" s="136"/>
      <c r="P406" s="233"/>
      <c r="Q406" s="8"/>
      <c r="T406" s="57"/>
      <c r="U406" s="57"/>
      <c r="V406" s="57"/>
      <c r="W406" s="57"/>
      <c r="X406" s="57"/>
      <c r="Y406" s="175"/>
      <c r="Z406" s="175"/>
      <c r="AA406" s="57"/>
      <c r="AB406" s="947"/>
      <c r="AC406" s="947"/>
      <c r="AD406" s="173"/>
      <c r="AE406" s="173"/>
      <c r="AF406" s="69"/>
      <c r="AG406" s="38"/>
      <c r="AH406" s="38"/>
      <c r="AI406" s="38"/>
      <c r="AJ406" s="38"/>
      <c r="AK406" s="172"/>
      <c r="AL406" s="38"/>
      <c r="AM406" s="38"/>
      <c r="AN406" s="38"/>
      <c r="AO406" s="38"/>
      <c r="AP406" s="38"/>
      <c r="AR406" s="38"/>
      <c r="AS406" s="940"/>
      <c r="AT406" s="54"/>
      <c r="AU406" s="22"/>
      <c r="AV406" s="22"/>
      <c r="AW406" s="22"/>
      <c r="AX406" s="22"/>
      <c r="AY406" s="22"/>
      <c r="AZ406" s="22"/>
      <c r="BA406" s="54"/>
      <c r="BB406" s="22"/>
      <c r="BC406" s="15"/>
      <c r="BD406" s="15"/>
      <c r="BE406" s="15"/>
      <c r="BF406" s="15"/>
      <c r="BG406" s="51"/>
      <c r="BH406" s="15"/>
      <c r="BI406" s="15"/>
      <c r="BJ406" s="15"/>
      <c r="BK406" s="51"/>
      <c r="BL406" s="15"/>
      <c r="BM406" s="15"/>
      <c r="BN406" s="15"/>
      <c r="BO406" s="15"/>
      <c r="BP406" s="15"/>
      <c r="BQ406" s="18"/>
      <c r="BR406" s="18"/>
      <c r="BS406" s="18"/>
      <c r="BT406" s="18"/>
      <c r="BU406" s="18"/>
      <c r="BV406" s="18"/>
      <c r="BW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  <c r="FC406" s="18"/>
      <c r="FD406" s="18"/>
      <c r="FE406" s="18"/>
      <c r="FF406" s="18"/>
      <c r="FG406" s="18"/>
      <c r="FH406" s="18"/>
      <c r="FI406" s="18"/>
      <c r="FJ406" s="18"/>
      <c r="FK406" s="18"/>
      <c r="FL406" s="18"/>
      <c r="FM406" s="18"/>
      <c r="FN406" s="18"/>
      <c r="FO406" s="18"/>
      <c r="FP406" s="18"/>
      <c r="FQ406" s="18"/>
      <c r="FR406" s="18"/>
      <c r="FS406" s="18"/>
      <c r="FT406" s="18"/>
      <c r="FU406" s="18"/>
      <c r="FV406" s="18"/>
      <c r="FW406" s="18"/>
      <c r="FX406" s="18"/>
      <c r="FY406" s="18"/>
      <c r="FZ406" s="18"/>
      <c r="GA406" s="18"/>
      <c r="GB406" s="18"/>
      <c r="GC406" s="18"/>
      <c r="GD406" s="18"/>
      <c r="GE406" s="18"/>
      <c r="GF406" s="18"/>
      <c r="GG406" s="18"/>
      <c r="GH406" s="18"/>
      <c r="GI406" s="18"/>
      <c r="GJ406" s="18"/>
      <c r="GK406" s="18"/>
      <c r="GL406" s="18"/>
      <c r="GM406" s="18"/>
      <c r="GN406" s="18"/>
      <c r="GO406" s="18"/>
      <c r="GP406" s="18"/>
      <c r="GQ406" s="18"/>
      <c r="GR406" s="18"/>
      <c r="GS406" s="18"/>
      <c r="GT406" s="18"/>
      <c r="GU406" s="18"/>
      <c r="GV406" s="18"/>
      <c r="GW406" s="18"/>
      <c r="GX406" s="18"/>
      <c r="GY406" s="18"/>
      <c r="GZ406" s="18"/>
      <c r="HA406" s="18"/>
      <c r="HB406" s="18"/>
      <c r="HC406" s="18"/>
      <c r="HD406" s="18"/>
      <c r="HE406" s="18"/>
      <c r="HF406" s="18"/>
      <c r="HG406" s="13"/>
      <c r="HH406" s="13"/>
      <c r="HI406" s="13"/>
      <c r="HJ406" s="13"/>
      <c r="HK406" s="13"/>
      <c r="HL406" s="13"/>
      <c r="HM406" s="13"/>
      <c r="HN406" s="13"/>
      <c r="HO406" s="13"/>
      <c r="HP406" s="13"/>
      <c r="HQ406" s="13"/>
      <c r="HR406" s="13"/>
      <c r="HS406" s="13"/>
      <c r="HT406" s="13"/>
      <c r="HV406" s="18"/>
      <c r="HW406" s="18"/>
      <c r="HX406" s="18"/>
      <c r="HY406" s="18"/>
      <c r="HZ406" s="18"/>
      <c r="IA406" s="18"/>
      <c r="IB406" s="18"/>
      <c r="IC406" s="18"/>
      <c r="ID406" s="18"/>
      <c r="IE406" s="18"/>
      <c r="IF406" s="18"/>
      <c r="IG406" s="18"/>
      <c r="IH406" s="18"/>
      <c r="II406" s="18"/>
      <c r="IJ406" s="18"/>
      <c r="IK406" s="18"/>
      <c r="IL406" s="18"/>
      <c r="IM406" s="18"/>
      <c r="IN406" s="18"/>
      <c r="IO406" s="18"/>
    </row>
    <row r="407" spans="1:249" ht="11.1" hidden="1" customHeight="1" outlineLevel="1">
      <c r="A407" s="1"/>
      <c r="B407" s="192"/>
      <c r="C407" s="52"/>
      <c r="D407" s="29"/>
      <c r="F407" s="940"/>
      <c r="G407" s="973"/>
      <c r="H407" s="973"/>
      <c r="I407" s="176"/>
      <c r="J407" s="176"/>
      <c r="K407" s="185"/>
      <c r="L407" s="57"/>
      <c r="M407" s="136"/>
      <c r="N407" s="136"/>
      <c r="O407" s="136"/>
      <c r="P407" s="233"/>
      <c r="Q407" s="8"/>
      <c r="T407" s="57"/>
      <c r="U407" s="57"/>
      <c r="V407" s="57"/>
      <c r="W407" s="57"/>
      <c r="X407" s="57"/>
      <c r="Y407" s="175"/>
      <c r="Z407" s="175"/>
      <c r="AA407" s="57"/>
      <c r="AB407" s="947"/>
      <c r="AC407" s="947"/>
      <c r="AD407" s="173"/>
      <c r="AE407" s="173"/>
      <c r="AF407" s="69"/>
      <c r="AG407" s="38"/>
      <c r="AH407" s="38"/>
      <c r="AI407" s="38"/>
      <c r="AJ407" s="38"/>
      <c r="AK407" s="172"/>
      <c r="AL407" s="38"/>
      <c r="AM407" s="38"/>
      <c r="AN407" s="38"/>
      <c r="AO407" s="38"/>
      <c r="AP407" s="38"/>
      <c r="AR407" s="38"/>
      <c r="AS407" s="940"/>
      <c r="AT407" s="54"/>
      <c r="AU407" s="22"/>
      <c r="AV407" s="22"/>
      <c r="AW407" s="22"/>
      <c r="AX407" s="22"/>
      <c r="AY407" s="22"/>
      <c r="AZ407" s="22"/>
      <c r="BA407" s="54"/>
      <c r="BB407" s="22"/>
      <c r="BC407" s="15"/>
      <c r="BD407" s="15"/>
      <c r="BE407" s="15"/>
      <c r="BF407" s="15"/>
      <c r="BG407" s="51"/>
      <c r="BH407" s="15"/>
      <c r="BI407" s="15"/>
      <c r="BJ407" s="15"/>
      <c r="BK407" s="51"/>
      <c r="BL407" s="15"/>
      <c r="BM407" s="15"/>
      <c r="BN407" s="15"/>
      <c r="BO407" s="15"/>
      <c r="BP407" s="15"/>
      <c r="BQ407" s="18"/>
      <c r="BR407" s="18"/>
      <c r="BS407" s="18"/>
      <c r="BT407" s="18"/>
      <c r="BU407" s="18"/>
      <c r="BV407" s="18"/>
      <c r="BW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  <c r="GN407" s="18"/>
      <c r="GO407" s="18"/>
      <c r="GP407" s="18"/>
      <c r="GQ407" s="18"/>
      <c r="GR407" s="18"/>
      <c r="GS407" s="18"/>
      <c r="GT407" s="18"/>
      <c r="GU407" s="18"/>
      <c r="GV407" s="18"/>
      <c r="GW407" s="18"/>
      <c r="GX407" s="18"/>
      <c r="GY407" s="18"/>
      <c r="GZ407" s="18"/>
      <c r="HA407" s="18"/>
      <c r="HB407" s="18"/>
      <c r="HC407" s="18"/>
      <c r="HD407" s="18"/>
      <c r="HE407" s="18"/>
      <c r="HF407" s="18"/>
      <c r="HG407" s="13"/>
      <c r="HH407" s="13"/>
      <c r="HI407" s="13"/>
      <c r="HJ407" s="13"/>
      <c r="HK407" s="13"/>
      <c r="HL407" s="13"/>
      <c r="HM407" s="13"/>
      <c r="HN407" s="13"/>
      <c r="HO407" s="13"/>
      <c r="HP407" s="13"/>
      <c r="HQ407" s="13"/>
      <c r="HR407" s="13"/>
      <c r="HS407" s="13"/>
      <c r="HT407" s="13"/>
      <c r="HV407" s="18"/>
      <c r="HW407" s="18"/>
      <c r="HX407" s="18"/>
      <c r="HY407" s="18"/>
      <c r="HZ407" s="18"/>
      <c r="IA407" s="18"/>
      <c r="IB407" s="18"/>
      <c r="IC407" s="18"/>
      <c r="ID407" s="18"/>
      <c r="IE407" s="18"/>
      <c r="IF407" s="18"/>
      <c r="IG407" s="18"/>
      <c r="IH407" s="18"/>
      <c r="II407" s="18"/>
      <c r="IJ407" s="18"/>
      <c r="IK407" s="18"/>
      <c r="IL407" s="18"/>
      <c r="IM407" s="18"/>
      <c r="IN407" s="18"/>
      <c r="IO407" s="18"/>
    </row>
    <row r="408" spans="1:249" ht="11.1" hidden="1" customHeight="1" outlineLevel="1">
      <c r="A408" s="1"/>
      <c r="B408" s="192"/>
      <c r="C408" s="52"/>
      <c r="D408" s="29"/>
      <c r="F408" s="940"/>
      <c r="G408" s="973"/>
      <c r="H408" s="973"/>
      <c r="I408" s="176"/>
      <c r="J408" s="176"/>
      <c r="K408" s="185"/>
      <c r="L408" s="57"/>
      <c r="M408" s="136"/>
      <c r="N408" s="136"/>
      <c r="O408" s="136"/>
      <c r="P408" s="233"/>
      <c r="Q408" s="8"/>
      <c r="T408" s="57"/>
      <c r="U408" s="57"/>
      <c r="V408" s="57"/>
      <c r="W408" s="57"/>
      <c r="X408" s="57"/>
      <c r="Y408" s="175"/>
      <c r="Z408" s="175"/>
      <c r="AA408" s="57"/>
      <c r="AB408" s="947"/>
      <c r="AC408" s="947"/>
      <c r="AD408" s="173"/>
      <c r="AE408" s="173"/>
      <c r="AF408" s="69"/>
      <c r="AG408" s="38"/>
      <c r="AH408" s="38"/>
      <c r="AI408" s="38"/>
      <c r="AJ408" s="38"/>
      <c r="AK408" s="172"/>
      <c r="AL408" s="38"/>
      <c r="AM408" s="38"/>
      <c r="AN408" s="38"/>
      <c r="AO408" s="38"/>
      <c r="AP408" s="38"/>
      <c r="AR408" s="38"/>
      <c r="AS408" s="940"/>
      <c r="AT408" s="54"/>
      <c r="AU408" s="22"/>
      <c r="AV408" s="22"/>
      <c r="AW408" s="22"/>
      <c r="AX408" s="22"/>
      <c r="AY408" s="22"/>
      <c r="AZ408" s="22"/>
      <c r="BA408" s="54"/>
      <c r="BB408" s="22"/>
      <c r="BC408" s="15"/>
      <c r="BD408" s="15"/>
      <c r="BE408" s="15"/>
      <c r="BF408" s="15"/>
      <c r="BG408" s="51"/>
      <c r="BH408" s="15"/>
      <c r="BI408" s="15"/>
      <c r="BJ408" s="15"/>
      <c r="BK408" s="51"/>
      <c r="BL408" s="15"/>
      <c r="BM408" s="15"/>
      <c r="BN408" s="15"/>
      <c r="BO408" s="15"/>
      <c r="BP408" s="15"/>
      <c r="BQ408" s="18"/>
      <c r="BR408" s="18"/>
      <c r="BS408" s="18"/>
      <c r="BT408" s="18"/>
      <c r="BU408" s="18"/>
      <c r="BV408" s="18"/>
      <c r="BW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  <c r="FC408" s="18"/>
      <c r="FD408" s="18"/>
      <c r="FE408" s="18"/>
      <c r="FF408" s="18"/>
      <c r="FG408" s="18"/>
      <c r="FH408" s="18"/>
      <c r="FI408" s="18"/>
      <c r="FJ408" s="18"/>
      <c r="FK408" s="18"/>
      <c r="FL408" s="18"/>
      <c r="FM408" s="18"/>
      <c r="FN408" s="18"/>
      <c r="FO408" s="18"/>
      <c r="FP408" s="18"/>
      <c r="FQ408" s="18"/>
      <c r="FR408" s="18"/>
      <c r="FS408" s="18"/>
      <c r="FT408" s="18"/>
      <c r="FU408" s="18"/>
      <c r="FV408" s="18"/>
      <c r="FW408" s="18"/>
      <c r="FX408" s="18"/>
      <c r="FY408" s="18"/>
      <c r="FZ408" s="18"/>
      <c r="GA408" s="18"/>
      <c r="GB408" s="18"/>
      <c r="GC408" s="18"/>
      <c r="GD408" s="18"/>
      <c r="GE408" s="18"/>
      <c r="GF408" s="18"/>
      <c r="GG408" s="18"/>
      <c r="GH408" s="18"/>
      <c r="GI408" s="18"/>
      <c r="GJ408" s="18"/>
      <c r="GK408" s="18"/>
      <c r="GL408" s="18"/>
      <c r="GM408" s="18"/>
      <c r="GN408" s="18"/>
      <c r="GO408" s="18"/>
      <c r="GP408" s="18"/>
      <c r="GQ408" s="18"/>
      <c r="GR408" s="18"/>
      <c r="GS408" s="18"/>
      <c r="GT408" s="18"/>
      <c r="GU408" s="18"/>
      <c r="GV408" s="18"/>
      <c r="GW408" s="18"/>
      <c r="GX408" s="18"/>
      <c r="GY408" s="18"/>
      <c r="GZ408" s="18"/>
      <c r="HA408" s="18"/>
      <c r="HB408" s="18"/>
      <c r="HC408" s="18"/>
      <c r="HD408" s="18"/>
      <c r="HE408" s="18"/>
      <c r="HF408" s="18"/>
      <c r="HG408" s="13"/>
      <c r="HH408" s="13"/>
      <c r="HI408" s="13"/>
      <c r="HJ408" s="13"/>
      <c r="HK408" s="13"/>
      <c r="HL408" s="13"/>
      <c r="HM408" s="13"/>
      <c r="HN408" s="13"/>
      <c r="HO408" s="13"/>
      <c r="HP408" s="13"/>
      <c r="HQ408" s="13"/>
      <c r="HR408" s="13"/>
      <c r="HS408" s="13"/>
      <c r="HT408" s="13"/>
      <c r="HV408" s="18"/>
      <c r="HW408" s="18"/>
      <c r="HX408" s="18"/>
      <c r="HY408" s="18"/>
      <c r="HZ408" s="18"/>
      <c r="IA408" s="18"/>
      <c r="IB408" s="18"/>
      <c r="IC408" s="18"/>
      <c r="ID408" s="18"/>
      <c r="IE408" s="18"/>
      <c r="IF408" s="18"/>
      <c r="IG408" s="18"/>
      <c r="IH408" s="18"/>
      <c r="II408" s="18"/>
      <c r="IJ408" s="18"/>
      <c r="IK408" s="18"/>
      <c r="IL408" s="18"/>
      <c r="IM408" s="18"/>
      <c r="IN408" s="18"/>
      <c r="IO408" s="18"/>
    </row>
    <row r="409" spans="1:249" ht="5.0999999999999996" hidden="1" customHeight="1" outlineLevel="1">
      <c r="A409" s="8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36"/>
      <c r="N409" s="136"/>
      <c r="O409" s="136"/>
      <c r="P409" s="21"/>
      <c r="Q409" s="143"/>
      <c r="R409" s="143"/>
      <c r="S409" s="143"/>
      <c r="T409" s="143"/>
      <c r="U409" s="143"/>
      <c r="V409" s="143"/>
      <c r="W409" s="143"/>
      <c r="X409" s="143"/>
      <c r="Y409" s="146"/>
      <c r="Z409" s="146"/>
      <c r="AA409" s="143"/>
      <c r="AB409" s="240"/>
      <c r="AC409" s="240"/>
      <c r="AD409" s="143"/>
      <c r="AE409" s="143"/>
      <c r="AF409" s="145"/>
      <c r="AG409" s="144"/>
      <c r="AL409" s="940"/>
      <c r="AM409" s="38"/>
      <c r="AN409" s="21"/>
      <c r="AO409" s="38"/>
      <c r="AP409" s="38"/>
      <c r="AR409" s="38"/>
      <c r="AS409" s="940"/>
      <c r="AT409" s="54"/>
      <c r="AU409" s="22"/>
      <c r="AV409" s="22"/>
      <c r="AW409" s="22"/>
      <c r="AX409" s="22"/>
      <c r="AY409" s="22"/>
      <c r="AZ409" s="22"/>
      <c r="BA409" s="54"/>
      <c r="BB409" s="22"/>
      <c r="BC409" s="15"/>
      <c r="BD409" s="15"/>
      <c r="BE409" s="15"/>
      <c r="BF409" s="15"/>
      <c r="BG409" s="51"/>
      <c r="BH409" s="15"/>
      <c r="BI409" s="15"/>
      <c r="BJ409" s="15"/>
      <c r="BK409" s="51"/>
      <c r="BL409" s="15"/>
      <c r="BM409" s="15"/>
      <c r="BN409" s="15"/>
      <c r="BO409" s="15"/>
      <c r="BP409" s="15"/>
      <c r="BQ409" s="18"/>
      <c r="BR409" s="18"/>
      <c r="BS409" s="18"/>
      <c r="BT409" s="18"/>
      <c r="BU409" s="18"/>
      <c r="BV409" s="18"/>
      <c r="BW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  <c r="FC409" s="18"/>
      <c r="FD409" s="18"/>
      <c r="FE409" s="18"/>
      <c r="FF409" s="18"/>
      <c r="FG409" s="18"/>
      <c r="FH409" s="18"/>
      <c r="FI409" s="18"/>
      <c r="FJ409" s="18"/>
      <c r="FK409" s="18"/>
      <c r="FL409" s="18"/>
      <c r="FM409" s="18"/>
      <c r="FN409" s="18"/>
      <c r="FO409" s="18"/>
      <c r="FP409" s="18"/>
      <c r="FQ409" s="18"/>
      <c r="FR409" s="18"/>
      <c r="FS409" s="18"/>
      <c r="FT409" s="18"/>
      <c r="FU409" s="18"/>
      <c r="FV409" s="18"/>
      <c r="FW409" s="18"/>
      <c r="FX409" s="18"/>
      <c r="FY409" s="18"/>
      <c r="FZ409" s="18"/>
      <c r="GA409" s="18"/>
      <c r="GB409" s="18"/>
      <c r="GC409" s="18"/>
      <c r="GD409" s="18"/>
      <c r="GE409" s="18"/>
      <c r="GF409" s="18"/>
      <c r="GG409" s="18"/>
      <c r="GH409" s="18"/>
      <c r="GI409" s="18"/>
      <c r="GJ409" s="18"/>
      <c r="GK409" s="18"/>
      <c r="GL409" s="18"/>
      <c r="GM409" s="18"/>
      <c r="GN409" s="18"/>
      <c r="GO409" s="18"/>
      <c r="GP409" s="18"/>
      <c r="GQ409" s="18"/>
      <c r="GR409" s="18"/>
      <c r="GS409" s="18"/>
      <c r="GT409" s="18"/>
      <c r="GU409" s="18"/>
      <c r="GV409" s="18"/>
      <c r="GW409" s="18"/>
      <c r="GX409" s="18"/>
      <c r="GY409" s="18"/>
      <c r="GZ409" s="18"/>
      <c r="HA409" s="18"/>
      <c r="HB409" s="18"/>
      <c r="HC409" s="18"/>
      <c r="HD409" s="18"/>
      <c r="HE409" s="18"/>
      <c r="HF409" s="18"/>
      <c r="HG409" s="13"/>
      <c r="HH409" s="13"/>
      <c r="HI409" s="13"/>
      <c r="HJ409" s="13"/>
      <c r="HK409" s="13"/>
      <c r="HL409" s="13"/>
      <c r="HM409" s="13"/>
      <c r="HN409" s="13"/>
      <c r="HO409" s="13"/>
      <c r="HP409" s="13"/>
      <c r="HQ409" s="13"/>
      <c r="HR409" s="13"/>
      <c r="HS409" s="13"/>
      <c r="HT409" s="13"/>
      <c r="HV409" s="18"/>
      <c r="HW409" s="18"/>
      <c r="HX409" s="18"/>
      <c r="HY409" s="18"/>
      <c r="HZ409" s="18"/>
      <c r="IA409" s="18"/>
      <c r="IB409" s="18"/>
      <c r="IC409" s="18"/>
      <c r="ID409" s="18"/>
      <c r="IE409" s="18"/>
      <c r="IF409" s="18"/>
      <c r="IG409" s="18"/>
      <c r="IH409" s="18"/>
      <c r="II409" s="18"/>
      <c r="IJ409" s="18"/>
      <c r="IK409" s="18"/>
      <c r="IL409" s="18"/>
      <c r="IM409" s="18"/>
      <c r="IN409" s="18"/>
      <c r="IO409" s="18"/>
    </row>
    <row r="410" spans="1:249" ht="11.1" hidden="1" customHeight="1" outlineLevel="1">
      <c r="A410" s="208" t="s">
        <v>52</v>
      </c>
      <c r="B410" s="29"/>
      <c r="C410" s="52"/>
      <c r="D410" s="940" t="s">
        <v>51</v>
      </c>
      <c r="F410" s="940">
        <v>0</v>
      </c>
      <c r="G410" s="187">
        <v>42067</v>
      </c>
      <c r="H410" s="187"/>
      <c r="I410" s="1069">
        <v>5.93</v>
      </c>
      <c r="J410" s="1069"/>
      <c r="K410" s="1069"/>
      <c r="L410" s="57"/>
      <c r="M410" s="136"/>
      <c r="N410" s="136"/>
      <c r="O410" s="136"/>
      <c r="P410" s="215"/>
      <c r="Q410" s="1"/>
      <c r="T410" s="57"/>
      <c r="U410" s="57"/>
      <c r="V410" s="57"/>
      <c r="W410" s="57"/>
      <c r="X410" s="57"/>
      <c r="Y410" s="175"/>
      <c r="Z410" s="175"/>
      <c r="AA410" s="57"/>
      <c r="AB410" s="947">
        <f>F410*P410</f>
        <v>0</v>
      </c>
      <c r="AC410" s="947"/>
      <c r="AD410" s="190">
        <f>-((I410*F410)-(P410*F410))</f>
        <v>0</v>
      </c>
      <c r="AE410" s="239"/>
      <c r="AF410" s="205" t="e">
        <f>IF(#REF!-AP410&lt;0,#REF!-AP410,(#REF!-AP410)*0.74)</f>
        <v>#REF!</v>
      </c>
      <c r="AG410" s="201"/>
      <c r="AH410" s="22"/>
      <c r="AI410" s="22"/>
      <c r="AJ410" s="22"/>
      <c r="AK410" s="178"/>
      <c r="AL410" s="179"/>
      <c r="AM410" s="238"/>
      <c r="AN410" s="179"/>
      <c r="AO410" s="38"/>
      <c r="AP410" s="188">
        <f>F410*I410+AN410+AN411</f>
        <v>0</v>
      </c>
      <c r="AR410" s="38"/>
      <c r="AS410" s="940"/>
      <c r="AT410" s="54"/>
      <c r="AU410" s="22"/>
      <c r="AV410" s="22"/>
      <c r="AW410" s="22"/>
      <c r="AX410" s="22"/>
      <c r="AY410" s="22"/>
      <c r="AZ410" s="22"/>
      <c r="BA410" s="54"/>
      <c r="BB410" s="22"/>
      <c r="BC410" s="15"/>
      <c r="BD410" s="15"/>
      <c r="BE410" s="15"/>
      <c r="BF410" s="15"/>
      <c r="BG410" s="51"/>
      <c r="BH410" s="15"/>
      <c r="BI410" s="15"/>
      <c r="BJ410" s="15"/>
      <c r="BK410" s="51"/>
      <c r="BL410" s="15"/>
      <c r="BM410" s="15"/>
      <c r="BN410" s="15"/>
      <c r="BO410" s="15"/>
      <c r="BP410" s="15"/>
      <c r="BQ410" s="18"/>
      <c r="BR410" s="18"/>
      <c r="BS410" s="18"/>
      <c r="BT410" s="18"/>
      <c r="BU410" s="18"/>
      <c r="BV410" s="18"/>
      <c r="BW410" s="18"/>
      <c r="BX410" s="139" t="str">
        <f>IF($AB410=0,"",$AB410)</f>
        <v/>
      </c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  <c r="FC410" s="18"/>
      <c r="FD410" s="18"/>
      <c r="FE410" s="18"/>
      <c r="FF410" s="18"/>
      <c r="FG410" s="18"/>
      <c r="FH410" s="18"/>
      <c r="FI410" s="18"/>
      <c r="FJ410" s="18"/>
      <c r="FK410" s="18"/>
      <c r="FL410" s="18"/>
      <c r="FM410" s="18"/>
      <c r="FN410" s="18"/>
      <c r="FO410" s="18"/>
      <c r="FP410" s="18"/>
      <c r="FQ410" s="18"/>
      <c r="FR410" s="18"/>
      <c r="FS410" s="18"/>
      <c r="FT410" s="18"/>
      <c r="FU410" s="18"/>
      <c r="FV410" s="18"/>
      <c r="FW410" s="18"/>
      <c r="FX410" s="18"/>
      <c r="FY410" s="18"/>
      <c r="FZ410" s="18"/>
      <c r="GA410" s="18"/>
      <c r="GB410" s="18"/>
      <c r="GC410" s="18"/>
      <c r="GD410" s="18"/>
      <c r="GE410" s="18"/>
      <c r="GF410" s="18"/>
      <c r="GG410" s="18"/>
      <c r="GH410" s="18"/>
      <c r="GI410" s="18"/>
      <c r="GJ410" s="18"/>
      <c r="GK410" s="18"/>
      <c r="GL410" s="18"/>
      <c r="GM410" s="18"/>
      <c r="GN410" s="18"/>
      <c r="GO410" s="18"/>
      <c r="GP410" s="18"/>
      <c r="GQ410" s="18"/>
      <c r="GR410" s="18"/>
      <c r="GS410" s="18"/>
      <c r="GT410" s="18"/>
      <c r="GU410" s="18"/>
      <c r="GV410" s="18"/>
      <c r="GW410" s="18"/>
      <c r="GX410" s="18"/>
      <c r="GY410" s="18"/>
      <c r="GZ410" s="18"/>
      <c r="HA410" s="18"/>
      <c r="HB410" s="18"/>
      <c r="HC410" s="18"/>
      <c r="HD410" s="18"/>
      <c r="HE410" s="18"/>
      <c r="HF410" s="18"/>
      <c r="HG410" s="13"/>
      <c r="HH410" s="13"/>
      <c r="HI410" s="13"/>
      <c r="HJ410" s="13"/>
      <c r="HK410" s="13"/>
      <c r="HL410" s="13"/>
      <c r="HM410" s="13"/>
      <c r="HN410" s="13"/>
      <c r="HO410" s="13"/>
      <c r="HP410" s="13"/>
      <c r="HQ410" s="13"/>
      <c r="HR410" s="13"/>
      <c r="HS410" s="13"/>
      <c r="HT410" s="13"/>
      <c r="HU410" s="139" t="str">
        <f>IF($AB410=0,"",$AB410)</f>
        <v/>
      </c>
      <c r="HV410" s="18"/>
      <c r="HW410" s="18"/>
      <c r="HX410" s="18"/>
      <c r="HY410" s="18"/>
      <c r="HZ410" s="18"/>
      <c r="IA410" s="18"/>
      <c r="IB410" s="18"/>
      <c r="IC410" s="18"/>
      <c r="ID410" s="18"/>
      <c r="IE410" s="18"/>
      <c r="IF410" s="18"/>
      <c r="IG410" s="18"/>
      <c r="IH410" s="18"/>
      <c r="II410" s="18"/>
      <c r="IJ410" s="18"/>
      <c r="IK410" s="18"/>
      <c r="IL410" s="18"/>
      <c r="IM410" s="18"/>
      <c r="IN410" s="18"/>
      <c r="IO410" s="18"/>
    </row>
    <row r="411" spans="1:249" ht="11.1" hidden="1" customHeight="1" outlineLevel="1">
      <c r="A411" s="1" t="s">
        <v>50</v>
      </c>
      <c r="B411" s="192"/>
      <c r="C411" s="52"/>
      <c r="D411" s="29"/>
      <c r="F411" s="940"/>
      <c r="G411" s="973"/>
      <c r="H411" s="973"/>
      <c r="I411" s="176"/>
      <c r="J411" s="176"/>
      <c r="K411" s="185">
        <f>AP410</f>
        <v>0</v>
      </c>
      <c r="L411" s="57"/>
      <c r="M411" s="136"/>
      <c r="N411" s="136"/>
      <c r="O411" s="136"/>
      <c r="P411" s="233"/>
      <c r="Q411" s="8"/>
      <c r="T411" s="57"/>
      <c r="U411" s="57"/>
      <c r="V411" s="57"/>
      <c r="W411" s="57"/>
      <c r="X411" s="57"/>
      <c r="Y411" s="175"/>
      <c r="Z411" s="175"/>
      <c r="AA411" s="57"/>
      <c r="AB411" s="947"/>
      <c r="AC411" s="947"/>
      <c r="AD411" s="219">
        <f>((P410-I410)/I410)</f>
        <v>-1</v>
      </c>
      <c r="AE411" s="173"/>
      <c r="AF411" s="69"/>
      <c r="AG411" s="38"/>
      <c r="AH411" s="38"/>
      <c r="AI411" s="38"/>
      <c r="AJ411" s="38"/>
      <c r="AK411" s="172"/>
      <c r="AL411" s="38"/>
      <c r="AM411" s="38"/>
      <c r="AN411" s="213"/>
      <c r="AO411" s="38"/>
      <c r="AP411" s="38"/>
      <c r="AR411" s="38"/>
      <c r="AS411" s="940"/>
      <c r="AT411" s="54"/>
      <c r="AU411" s="22"/>
      <c r="AV411" s="22"/>
      <c r="AW411" s="22"/>
      <c r="AX411" s="22"/>
      <c r="AY411" s="22"/>
      <c r="AZ411" s="22"/>
      <c r="BA411" s="54"/>
      <c r="BB411" s="22"/>
      <c r="BC411" s="15"/>
      <c r="BD411" s="15"/>
      <c r="BE411" s="15"/>
      <c r="BF411" s="15"/>
      <c r="BG411" s="51"/>
      <c r="BH411" s="15"/>
      <c r="BI411" s="15"/>
      <c r="BJ411" s="15"/>
      <c r="BK411" s="51"/>
      <c r="BL411" s="15"/>
      <c r="BM411" s="15"/>
      <c r="BN411" s="15"/>
      <c r="BO411" s="15"/>
      <c r="BP411" s="15"/>
      <c r="BQ411" s="18"/>
      <c r="BR411" s="18"/>
      <c r="BS411" s="18"/>
      <c r="BT411" s="18"/>
      <c r="BU411" s="18"/>
      <c r="BV411" s="18"/>
      <c r="BW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  <c r="FR411" s="18"/>
      <c r="FS411" s="18"/>
      <c r="FT411" s="18"/>
      <c r="FU411" s="18"/>
      <c r="FV411" s="18"/>
      <c r="FW411" s="18"/>
      <c r="FX411" s="18"/>
      <c r="FY411" s="18"/>
      <c r="FZ411" s="18"/>
      <c r="GA411" s="18"/>
      <c r="GB411" s="18"/>
      <c r="GC411" s="18"/>
      <c r="GD411" s="18"/>
      <c r="GE411" s="18"/>
      <c r="GF411" s="18"/>
      <c r="GG411" s="18"/>
      <c r="GH411" s="18"/>
      <c r="GI411" s="18"/>
      <c r="GJ411" s="18"/>
      <c r="GK411" s="18"/>
      <c r="GL411" s="18"/>
      <c r="GM411" s="18"/>
      <c r="GN411" s="18"/>
      <c r="GO411" s="18"/>
      <c r="GP411" s="18"/>
      <c r="GQ411" s="18"/>
      <c r="GR411" s="18"/>
      <c r="GS411" s="18"/>
      <c r="GT411" s="18"/>
      <c r="GU411" s="18"/>
      <c r="GV411" s="18"/>
      <c r="GW411" s="18"/>
      <c r="GX411" s="18"/>
      <c r="GY411" s="18"/>
      <c r="GZ411" s="18"/>
      <c r="HA411" s="18"/>
      <c r="HB411" s="18"/>
      <c r="HC411" s="18"/>
      <c r="HD411" s="18"/>
      <c r="HE411" s="18"/>
      <c r="HF411" s="18"/>
      <c r="HG411" s="13"/>
      <c r="HH411" s="13"/>
      <c r="HI411" s="13"/>
      <c r="HJ411" s="13"/>
      <c r="HK411" s="13"/>
      <c r="HL411" s="13"/>
      <c r="HM411" s="13"/>
      <c r="HN411" s="13"/>
      <c r="HO411" s="13"/>
      <c r="HP411" s="13"/>
      <c r="HQ411" s="13"/>
      <c r="HR411" s="13"/>
      <c r="HS411" s="13"/>
      <c r="HT411" s="13"/>
      <c r="HV411" s="18"/>
      <c r="HW411" s="18"/>
      <c r="HX411" s="18"/>
      <c r="HY411" s="18"/>
      <c r="HZ411" s="18"/>
      <c r="IA411" s="18"/>
      <c r="IB411" s="18"/>
      <c r="IC411" s="18"/>
      <c r="ID411" s="18"/>
      <c r="IE411" s="18"/>
      <c r="IF411" s="18"/>
      <c r="IG411" s="18"/>
      <c r="IH411" s="18"/>
      <c r="II411" s="18"/>
      <c r="IJ411" s="18"/>
      <c r="IK411" s="18"/>
      <c r="IL411" s="18"/>
      <c r="IM411" s="18"/>
      <c r="IN411" s="18"/>
      <c r="IO411" s="18"/>
    </row>
    <row r="412" spans="1:249" ht="11.1" hidden="1" customHeight="1" outlineLevel="1">
      <c r="A412" s="1"/>
      <c r="B412" s="192"/>
      <c r="C412" s="52"/>
      <c r="D412" s="29"/>
      <c r="F412" s="940"/>
      <c r="G412" s="187"/>
      <c r="H412" s="187"/>
      <c r="I412" s="237"/>
      <c r="J412" s="237"/>
      <c r="K412" s="185"/>
      <c r="L412" s="57"/>
      <c r="M412" s="136"/>
      <c r="N412" s="136"/>
      <c r="O412" s="136"/>
      <c r="P412" s="233"/>
      <c r="Q412" s="8"/>
      <c r="T412" s="57"/>
      <c r="U412" s="57"/>
      <c r="V412" s="57"/>
      <c r="W412" s="57"/>
      <c r="X412" s="57"/>
      <c r="Y412" s="175"/>
      <c r="Z412" s="175"/>
      <c r="AA412" s="57"/>
      <c r="AB412" s="947"/>
      <c r="AC412" s="947"/>
      <c r="AD412" s="173"/>
      <c r="AE412" s="173"/>
      <c r="AF412" s="69"/>
      <c r="AG412" s="38"/>
      <c r="AH412" s="38"/>
      <c r="AI412" s="38"/>
      <c r="AJ412" s="38"/>
      <c r="AK412" s="172"/>
      <c r="AL412" s="38"/>
      <c r="AM412" s="38"/>
      <c r="AN412" s="38"/>
      <c r="AO412" s="38"/>
      <c r="AP412" s="38"/>
      <c r="AR412" s="38"/>
      <c r="AS412" s="940"/>
      <c r="AT412" s="54"/>
      <c r="AU412" s="22"/>
      <c r="AV412" s="22"/>
      <c r="AW412" s="22"/>
      <c r="AX412" s="22"/>
      <c r="AY412" s="22"/>
      <c r="AZ412" s="22"/>
      <c r="BA412" s="54"/>
      <c r="BB412" s="22"/>
      <c r="BC412" s="15"/>
      <c r="BD412" s="15"/>
      <c r="BE412" s="15"/>
      <c r="BF412" s="15"/>
      <c r="BG412" s="51"/>
      <c r="BH412" s="15"/>
      <c r="BI412" s="15"/>
      <c r="BJ412" s="15"/>
      <c r="BK412" s="51"/>
      <c r="BL412" s="15"/>
      <c r="BM412" s="15"/>
      <c r="BN412" s="15"/>
      <c r="BO412" s="15"/>
      <c r="BP412" s="15"/>
      <c r="BQ412" s="18"/>
      <c r="BR412" s="18"/>
      <c r="BS412" s="18"/>
      <c r="BT412" s="18"/>
      <c r="BU412" s="18"/>
      <c r="BV412" s="18"/>
      <c r="BW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  <c r="FR412" s="18"/>
      <c r="FS412" s="18"/>
      <c r="FT412" s="18"/>
      <c r="FU412" s="18"/>
      <c r="FV412" s="18"/>
      <c r="FW412" s="18"/>
      <c r="FX412" s="18"/>
      <c r="FY412" s="18"/>
      <c r="FZ412" s="18"/>
      <c r="GA412" s="18"/>
      <c r="GB412" s="18"/>
      <c r="GC412" s="18"/>
      <c r="GD412" s="18"/>
      <c r="GE412" s="18"/>
      <c r="GF412" s="18"/>
      <c r="GG412" s="18"/>
      <c r="GH412" s="18"/>
      <c r="GI412" s="18"/>
      <c r="GJ412" s="18"/>
      <c r="GK412" s="18"/>
      <c r="GL412" s="18"/>
      <c r="GM412" s="18"/>
      <c r="GN412" s="18"/>
      <c r="GO412" s="18"/>
      <c r="GP412" s="18"/>
      <c r="GQ412" s="18"/>
      <c r="GR412" s="18"/>
      <c r="GS412" s="18"/>
      <c r="GT412" s="18"/>
      <c r="GU412" s="18"/>
      <c r="GV412" s="18"/>
      <c r="GW412" s="18"/>
      <c r="GX412" s="18"/>
      <c r="GY412" s="18"/>
      <c r="GZ412" s="18"/>
      <c r="HA412" s="18"/>
      <c r="HB412" s="18"/>
      <c r="HC412" s="18"/>
      <c r="HD412" s="18"/>
      <c r="HE412" s="18"/>
      <c r="HF412" s="18"/>
      <c r="HG412" s="13"/>
      <c r="HH412" s="13"/>
      <c r="HI412" s="13"/>
      <c r="HJ412" s="13"/>
      <c r="HK412" s="13"/>
      <c r="HL412" s="13"/>
      <c r="HM412" s="13"/>
      <c r="HN412" s="13"/>
      <c r="HO412" s="13"/>
      <c r="HP412" s="13"/>
      <c r="HQ412" s="13"/>
      <c r="HR412" s="13"/>
      <c r="HS412" s="13"/>
      <c r="HT412" s="13"/>
      <c r="HV412" s="18"/>
      <c r="HW412" s="18"/>
      <c r="HX412" s="18"/>
      <c r="HY412" s="18"/>
      <c r="HZ412" s="18"/>
      <c r="IA412" s="18"/>
      <c r="IB412" s="18"/>
      <c r="IC412" s="18"/>
      <c r="ID412" s="18"/>
      <c r="IE412" s="18"/>
      <c r="IF412" s="18"/>
      <c r="IG412" s="18"/>
      <c r="IH412" s="18"/>
      <c r="II412" s="18"/>
      <c r="IJ412" s="18"/>
      <c r="IK412" s="18"/>
      <c r="IL412" s="18"/>
      <c r="IM412" s="18"/>
      <c r="IN412" s="18"/>
      <c r="IO412" s="18"/>
    </row>
    <row r="413" spans="1:249" ht="11.1" hidden="1" customHeight="1" outlineLevel="1">
      <c r="A413" s="1"/>
      <c r="B413" s="192"/>
      <c r="C413" s="52"/>
      <c r="D413" s="29"/>
      <c r="F413" s="940"/>
      <c r="G413" s="973"/>
      <c r="H413" s="973"/>
      <c r="I413" s="176"/>
      <c r="J413" s="176"/>
      <c r="K413" s="185"/>
      <c r="L413" s="57"/>
      <c r="M413" s="136"/>
      <c r="N413" s="136"/>
      <c r="O413" s="136"/>
      <c r="P413" s="233"/>
      <c r="Q413" s="8"/>
      <c r="T413" s="57"/>
      <c r="U413" s="57"/>
      <c r="V413" s="57"/>
      <c r="W413" s="57"/>
      <c r="X413" s="57"/>
      <c r="Y413" s="175"/>
      <c r="Z413" s="175"/>
      <c r="AA413" s="57"/>
      <c r="AB413" s="947"/>
      <c r="AC413" s="947"/>
      <c r="AD413" s="173"/>
      <c r="AE413" s="173"/>
      <c r="AF413" s="69"/>
      <c r="AG413" s="38"/>
      <c r="AH413" s="38"/>
      <c r="AI413" s="38"/>
      <c r="AJ413" s="38"/>
      <c r="AK413" s="172"/>
      <c r="AL413" s="38"/>
      <c r="AM413" s="38"/>
      <c r="AN413" s="38"/>
      <c r="AO413" s="38"/>
      <c r="AP413" s="38"/>
      <c r="AR413" s="38"/>
      <c r="AS413" s="940"/>
      <c r="AT413" s="54"/>
      <c r="AU413" s="22"/>
      <c r="AV413" s="22"/>
      <c r="AW413" s="22"/>
      <c r="AX413" s="22"/>
      <c r="AY413" s="22"/>
      <c r="AZ413" s="22"/>
      <c r="BA413" s="54"/>
      <c r="BB413" s="22"/>
      <c r="BC413" s="15"/>
      <c r="BD413" s="15"/>
      <c r="BE413" s="15"/>
      <c r="BF413" s="15"/>
      <c r="BG413" s="51"/>
      <c r="BH413" s="15"/>
      <c r="BI413" s="15"/>
      <c r="BJ413" s="15"/>
      <c r="BK413" s="51"/>
      <c r="BL413" s="15"/>
      <c r="BM413" s="15"/>
      <c r="BN413" s="15"/>
      <c r="BO413" s="15"/>
      <c r="BP413" s="15"/>
      <c r="BQ413" s="18"/>
      <c r="BR413" s="18"/>
      <c r="BS413" s="18"/>
      <c r="BT413" s="18"/>
      <c r="BU413" s="18"/>
      <c r="BV413" s="18"/>
      <c r="BW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  <c r="EZ413" s="18"/>
      <c r="FA413" s="18"/>
      <c r="FB413" s="18"/>
      <c r="FC413" s="18"/>
      <c r="FD413" s="18"/>
      <c r="FE413" s="18"/>
      <c r="FF413" s="18"/>
      <c r="FG413" s="18"/>
      <c r="FH413" s="18"/>
      <c r="FI413" s="18"/>
      <c r="FJ413" s="18"/>
      <c r="FK413" s="18"/>
      <c r="FL413" s="18"/>
      <c r="FM413" s="18"/>
      <c r="FN413" s="18"/>
      <c r="FO413" s="18"/>
      <c r="FP413" s="18"/>
      <c r="FQ413" s="18"/>
      <c r="FR413" s="18"/>
      <c r="FS413" s="18"/>
      <c r="FT413" s="18"/>
      <c r="FU413" s="18"/>
      <c r="FV413" s="18"/>
      <c r="FW413" s="18"/>
      <c r="FX413" s="18"/>
      <c r="FY413" s="18"/>
      <c r="FZ413" s="18"/>
      <c r="GA413" s="18"/>
      <c r="GB413" s="18"/>
      <c r="GC413" s="18"/>
      <c r="GD413" s="18"/>
      <c r="GE413" s="18"/>
      <c r="GF413" s="18"/>
      <c r="GG413" s="18"/>
      <c r="GH413" s="18"/>
      <c r="GI413" s="18"/>
      <c r="GJ413" s="18"/>
      <c r="GK413" s="18"/>
      <c r="GL413" s="18"/>
      <c r="GM413" s="18"/>
      <c r="GN413" s="18"/>
      <c r="GO413" s="18"/>
      <c r="GP413" s="18"/>
      <c r="GQ413" s="18"/>
      <c r="GR413" s="18"/>
      <c r="GS413" s="18"/>
      <c r="GT413" s="18"/>
      <c r="GU413" s="18"/>
      <c r="GV413" s="18"/>
      <c r="GW413" s="18"/>
      <c r="GX413" s="18"/>
      <c r="GY413" s="18"/>
      <c r="GZ413" s="18"/>
      <c r="HA413" s="18"/>
      <c r="HB413" s="18"/>
      <c r="HC413" s="18"/>
      <c r="HD413" s="18"/>
      <c r="HE413" s="18"/>
      <c r="HF413" s="18"/>
      <c r="HG413" s="13"/>
      <c r="HH413" s="13"/>
      <c r="HI413" s="13"/>
      <c r="HJ413" s="13"/>
      <c r="HK413" s="13"/>
      <c r="HL413" s="13"/>
      <c r="HM413" s="13"/>
      <c r="HN413" s="13"/>
      <c r="HO413" s="13"/>
      <c r="HP413" s="13"/>
      <c r="HQ413" s="13"/>
      <c r="HR413" s="13"/>
      <c r="HS413" s="13"/>
      <c r="HT413" s="13"/>
      <c r="HV413" s="18"/>
      <c r="HW413" s="18"/>
      <c r="HX413" s="18"/>
      <c r="HY413" s="18"/>
      <c r="HZ413" s="18"/>
      <c r="IA413" s="18"/>
      <c r="IB413" s="18"/>
      <c r="IC413" s="18"/>
      <c r="ID413" s="18"/>
      <c r="IE413" s="18"/>
      <c r="IF413" s="18"/>
      <c r="IG413" s="18"/>
      <c r="IH413" s="18"/>
      <c r="II413" s="18"/>
      <c r="IJ413" s="18"/>
      <c r="IK413" s="18"/>
      <c r="IL413" s="18"/>
      <c r="IM413" s="18"/>
      <c r="IN413" s="18"/>
      <c r="IO413" s="18"/>
    </row>
    <row r="414" spans="1:249" ht="11.1" hidden="1" customHeight="1" outlineLevel="1">
      <c r="A414" s="1"/>
      <c r="B414" s="192"/>
      <c r="C414" s="52"/>
      <c r="D414" s="29"/>
      <c r="F414" s="940"/>
      <c r="G414" s="973"/>
      <c r="H414" s="973"/>
      <c r="I414" s="176"/>
      <c r="J414" s="176"/>
      <c r="K414" s="185"/>
      <c r="L414" s="57"/>
      <c r="M414" s="136"/>
      <c r="N414" s="136"/>
      <c r="O414" s="136"/>
      <c r="P414" s="233"/>
      <c r="Q414" s="8"/>
      <c r="T414" s="57"/>
      <c r="U414" s="57"/>
      <c r="V414" s="57"/>
      <c r="W414" s="57"/>
      <c r="X414" s="57"/>
      <c r="Y414" s="175"/>
      <c r="Z414" s="175"/>
      <c r="AA414" s="57"/>
      <c r="AB414" s="947"/>
      <c r="AC414" s="947"/>
      <c r="AD414" s="173"/>
      <c r="AE414" s="173"/>
      <c r="AF414" s="69"/>
      <c r="AG414" s="38"/>
      <c r="AH414" s="38"/>
      <c r="AI414" s="38"/>
      <c r="AJ414" s="38"/>
      <c r="AK414" s="172"/>
      <c r="AL414" s="38"/>
      <c r="AM414" s="38"/>
      <c r="AN414" s="38"/>
      <c r="AO414" s="38"/>
      <c r="AP414" s="38"/>
      <c r="AR414" s="38"/>
      <c r="AS414" s="940"/>
      <c r="AT414" s="54"/>
      <c r="AU414" s="22"/>
      <c r="AV414" s="22"/>
      <c r="AW414" s="22"/>
      <c r="AX414" s="22"/>
      <c r="AY414" s="22"/>
      <c r="AZ414" s="22"/>
      <c r="BA414" s="54"/>
      <c r="BB414" s="22"/>
      <c r="BC414" s="15"/>
      <c r="BD414" s="15"/>
      <c r="BE414" s="15"/>
      <c r="BF414" s="15"/>
      <c r="BG414" s="51"/>
      <c r="BH414" s="15"/>
      <c r="BI414" s="15"/>
      <c r="BJ414" s="15"/>
      <c r="BK414" s="51"/>
      <c r="BL414" s="15"/>
      <c r="BM414" s="15"/>
      <c r="BN414" s="15"/>
      <c r="BO414" s="15"/>
      <c r="BP414" s="15"/>
      <c r="BQ414" s="18"/>
      <c r="BR414" s="18"/>
      <c r="BS414" s="18"/>
      <c r="BT414" s="18"/>
      <c r="BU414" s="18"/>
      <c r="BV414" s="18"/>
      <c r="BW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  <c r="EZ414" s="18"/>
      <c r="FA414" s="18"/>
      <c r="FB414" s="18"/>
      <c r="FC414" s="18"/>
      <c r="FD414" s="18"/>
      <c r="FE414" s="18"/>
      <c r="FF414" s="18"/>
      <c r="FG414" s="18"/>
      <c r="FH414" s="18"/>
      <c r="FI414" s="18"/>
      <c r="FJ414" s="18"/>
      <c r="FK414" s="18"/>
      <c r="FL414" s="18"/>
      <c r="FM414" s="18"/>
      <c r="FN414" s="18"/>
      <c r="FO414" s="18"/>
      <c r="FP414" s="18"/>
      <c r="FQ414" s="18"/>
      <c r="FR414" s="18"/>
      <c r="FS414" s="18"/>
      <c r="FT414" s="18"/>
      <c r="FU414" s="18"/>
      <c r="FV414" s="18"/>
      <c r="FW414" s="18"/>
      <c r="FX414" s="18"/>
      <c r="FY414" s="18"/>
      <c r="FZ414" s="18"/>
      <c r="GA414" s="18"/>
      <c r="GB414" s="18"/>
      <c r="GC414" s="18"/>
      <c r="GD414" s="18"/>
      <c r="GE414" s="18"/>
      <c r="GF414" s="18"/>
      <c r="GG414" s="18"/>
      <c r="GH414" s="18"/>
      <c r="GI414" s="18"/>
      <c r="GJ414" s="18"/>
      <c r="GK414" s="18"/>
      <c r="GL414" s="18"/>
      <c r="GM414" s="18"/>
      <c r="GN414" s="18"/>
      <c r="GO414" s="18"/>
      <c r="GP414" s="18"/>
      <c r="GQ414" s="18"/>
      <c r="GR414" s="18"/>
      <c r="GS414" s="18"/>
      <c r="GT414" s="18"/>
      <c r="GU414" s="18"/>
      <c r="GV414" s="18"/>
      <c r="GW414" s="18"/>
      <c r="GX414" s="18"/>
      <c r="GY414" s="18"/>
      <c r="GZ414" s="18"/>
      <c r="HA414" s="18"/>
      <c r="HB414" s="18"/>
      <c r="HC414" s="18"/>
      <c r="HD414" s="18"/>
      <c r="HE414" s="18"/>
      <c r="HF414" s="18"/>
      <c r="HG414" s="13"/>
      <c r="HH414" s="13"/>
      <c r="HI414" s="13"/>
      <c r="HJ414" s="13"/>
      <c r="HK414" s="13"/>
      <c r="HL414" s="13"/>
      <c r="HM414" s="13"/>
      <c r="HN414" s="13"/>
      <c r="HO414" s="13"/>
      <c r="HP414" s="13"/>
      <c r="HQ414" s="13"/>
      <c r="HR414" s="13"/>
      <c r="HS414" s="13"/>
      <c r="HT414" s="13"/>
      <c r="HV414" s="18"/>
      <c r="HW414" s="18"/>
      <c r="HX414" s="18"/>
      <c r="HY414" s="18"/>
      <c r="HZ414" s="18"/>
      <c r="IA414" s="18"/>
      <c r="IB414" s="18"/>
      <c r="IC414" s="18"/>
      <c r="ID414" s="18"/>
      <c r="IE414" s="18"/>
      <c r="IF414" s="18"/>
      <c r="IG414" s="18"/>
      <c r="IH414" s="18"/>
      <c r="II414" s="18"/>
      <c r="IJ414" s="18"/>
      <c r="IK414" s="18"/>
      <c r="IL414" s="18"/>
      <c r="IM414" s="18"/>
      <c r="IN414" s="18"/>
      <c r="IO414" s="18"/>
    </row>
    <row r="415" spans="1:249" ht="11.1" hidden="1" customHeight="1" outlineLevel="1">
      <c r="A415" s="1"/>
      <c r="B415" s="192"/>
      <c r="C415" s="52"/>
      <c r="D415" s="29"/>
      <c r="F415" s="940"/>
      <c r="G415" s="973"/>
      <c r="H415" s="973"/>
      <c r="I415" s="176"/>
      <c r="J415" s="176"/>
      <c r="K415" s="185"/>
      <c r="L415" s="57"/>
      <c r="M415" s="136"/>
      <c r="N415" s="136"/>
      <c r="O415" s="136"/>
      <c r="P415" s="233"/>
      <c r="Q415" s="8"/>
      <c r="T415" s="57"/>
      <c r="U415" s="57"/>
      <c r="V415" s="57"/>
      <c r="W415" s="57"/>
      <c r="X415" s="57"/>
      <c r="Y415" s="175"/>
      <c r="Z415" s="175"/>
      <c r="AA415" s="57"/>
      <c r="AB415" s="947"/>
      <c r="AC415" s="947"/>
      <c r="AD415" s="173"/>
      <c r="AE415" s="173"/>
      <c r="AF415" s="69"/>
      <c r="AG415" s="38"/>
      <c r="AH415" s="38"/>
      <c r="AI415" s="38"/>
      <c r="AJ415" s="38"/>
      <c r="AK415" s="172"/>
      <c r="AL415" s="38"/>
      <c r="AM415" s="38"/>
      <c r="AN415" s="38"/>
      <c r="AO415" s="38"/>
      <c r="AP415" s="38"/>
      <c r="AR415" s="38"/>
      <c r="AS415" s="940"/>
      <c r="AT415" s="54"/>
      <c r="AU415" s="22"/>
      <c r="AV415" s="22"/>
      <c r="AW415" s="22"/>
      <c r="AX415" s="22"/>
      <c r="AY415" s="22"/>
      <c r="AZ415" s="22"/>
      <c r="BA415" s="54"/>
      <c r="BB415" s="22"/>
      <c r="BC415" s="15"/>
      <c r="BD415" s="15"/>
      <c r="BE415" s="15"/>
      <c r="BF415" s="15"/>
      <c r="BG415" s="51"/>
      <c r="BH415" s="15"/>
      <c r="BI415" s="15"/>
      <c r="BJ415" s="15"/>
      <c r="BK415" s="51"/>
      <c r="BL415" s="15"/>
      <c r="BM415" s="15"/>
      <c r="BN415" s="15"/>
      <c r="BO415" s="15"/>
      <c r="BP415" s="15"/>
      <c r="BQ415" s="18"/>
      <c r="BR415" s="18"/>
      <c r="BS415" s="18"/>
      <c r="BT415" s="18"/>
      <c r="BU415" s="18"/>
      <c r="BV415" s="18"/>
      <c r="BW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  <c r="FR415" s="18"/>
      <c r="FS415" s="18"/>
      <c r="FT415" s="18"/>
      <c r="FU415" s="18"/>
      <c r="FV415" s="18"/>
      <c r="FW415" s="18"/>
      <c r="FX415" s="18"/>
      <c r="FY415" s="18"/>
      <c r="FZ415" s="18"/>
      <c r="GA415" s="18"/>
      <c r="GB415" s="18"/>
      <c r="GC415" s="18"/>
      <c r="GD415" s="18"/>
      <c r="GE415" s="18"/>
      <c r="GF415" s="18"/>
      <c r="GG415" s="18"/>
      <c r="GH415" s="18"/>
      <c r="GI415" s="18"/>
      <c r="GJ415" s="18"/>
      <c r="GK415" s="18"/>
      <c r="GL415" s="18"/>
      <c r="GM415" s="18"/>
      <c r="GN415" s="18"/>
      <c r="GO415" s="18"/>
      <c r="GP415" s="18"/>
      <c r="GQ415" s="18"/>
      <c r="GR415" s="18"/>
      <c r="GS415" s="18"/>
      <c r="GT415" s="18"/>
      <c r="GU415" s="18"/>
      <c r="GV415" s="18"/>
      <c r="GW415" s="18"/>
      <c r="GX415" s="18"/>
      <c r="GY415" s="18"/>
      <c r="GZ415" s="18"/>
      <c r="HA415" s="18"/>
      <c r="HB415" s="18"/>
      <c r="HC415" s="18"/>
      <c r="HD415" s="18"/>
      <c r="HE415" s="18"/>
      <c r="HF415" s="18"/>
      <c r="HG415" s="13"/>
      <c r="HH415" s="13"/>
      <c r="HI415" s="13"/>
      <c r="HJ415" s="13"/>
      <c r="HK415" s="13"/>
      <c r="HL415" s="13"/>
      <c r="HM415" s="13"/>
      <c r="HN415" s="13"/>
      <c r="HO415" s="13"/>
      <c r="HP415" s="13"/>
      <c r="HQ415" s="13"/>
      <c r="HR415" s="13"/>
      <c r="HS415" s="13"/>
      <c r="HT415" s="13"/>
      <c r="HV415" s="18"/>
      <c r="HW415" s="18"/>
      <c r="HX415" s="18"/>
      <c r="HY415" s="18"/>
      <c r="HZ415" s="18"/>
      <c r="IA415" s="18"/>
      <c r="IB415" s="18"/>
      <c r="IC415" s="18"/>
      <c r="ID415" s="18"/>
      <c r="IE415" s="18"/>
      <c r="IF415" s="18"/>
      <c r="IG415" s="18"/>
      <c r="IH415" s="18"/>
      <c r="II415" s="18"/>
      <c r="IJ415" s="18"/>
      <c r="IK415" s="18"/>
      <c r="IL415" s="18"/>
      <c r="IM415" s="18"/>
      <c r="IN415" s="18"/>
      <c r="IO415" s="18"/>
    </row>
    <row r="416" spans="1:249" ht="11.1" hidden="1" customHeight="1" outlineLevel="1">
      <c r="A416" s="1"/>
      <c r="B416" s="192"/>
      <c r="C416" s="52"/>
      <c r="D416" s="29"/>
      <c r="F416" s="940"/>
      <c r="G416" s="973"/>
      <c r="H416" s="973"/>
      <c r="I416" s="176"/>
      <c r="J416" s="176"/>
      <c r="K416" s="185"/>
      <c r="L416" s="57"/>
      <c r="M416" s="136"/>
      <c r="N416" s="136"/>
      <c r="O416" s="136"/>
      <c r="P416" s="233"/>
      <c r="Q416" s="8"/>
      <c r="T416" s="57"/>
      <c r="U416" s="57"/>
      <c r="V416" s="57"/>
      <c r="W416" s="57"/>
      <c r="X416" s="57"/>
      <c r="Y416" s="175"/>
      <c r="Z416" s="175"/>
      <c r="AA416" s="57"/>
      <c r="AB416" s="947"/>
      <c r="AC416" s="947"/>
      <c r="AD416" s="173"/>
      <c r="AE416" s="173"/>
      <c r="AF416" s="69"/>
      <c r="AG416" s="38"/>
      <c r="AH416" s="38"/>
      <c r="AI416" s="38"/>
      <c r="AJ416" s="38"/>
      <c r="AK416" s="172"/>
      <c r="AL416" s="38"/>
      <c r="AM416" s="38"/>
      <c r="AN416" s="38"/>
      <c r="AO416" s="38"/>
      <c r="AP416" s="38"/>
      <c r="AR416" s="38"/>
      <c r="AS416" s="940"/>
      <c r="AT416" s="54"/>
      <c r="AU416" s="22"/>
      <c r="AV416" s="22"/>
      <c r="AW416" s="22"/>
      <c r="AX416" s="22"/>
      <c r="AY416" s="22"/>
      <c r="AZ416" s="22"/>
      <c r="BA416" s="54"/>
      <c r="BB416" s="22"/>
      <c r="BC416" s="15"/>
      <c r="BD416" s="15"/>
      <c r="BE416" s="15"/>
      <c r="BF416" s="15"/>
      <c r="BG416" s="51"/>
      <c r="BH416" s="15"/>
      <c r="BI416" s="15"/>
      <c r="BJ416" s="15"/>
      <c r="BK416" s="51"/>
      <c r="BL416" s="15"/>
      <c r="BM416" s="15"/>
      <c r="BN416" s="15"/>
      <c r="BO416" s="15"/>
      <c r="BP416" s="15"/>
      <c r="BQ416" s="18"/>
      <c r="BR416" s="18"/>
      <c r="BS416" s="18"/>
      <c r="BT416" s="18"/>
      <c r="BU416" s="18"/>
      <c r="BV416" s="18"/>
      <c r="BW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  <c r="FR416" s="18"/>
      <c r="FS416" s="18"/>
      <c r="FT416" s="18"/>
      <c r="FU416" s="18"/>
      <c r="FV416" s="18"/>
      <c r="FW416" s="18"/>
      <c r="FX416" s="18"/>
      <c r="FY416" s="18"/>
      <c r="FZ416" s="18"/>
      <c r="GA416" s="18"/>
      <c r="GB416" s="18"/>
      <c r="GC416" s="18"/>
      <c r="GD416" s="18"/>
      <c r="GE416" s="18"/>
      <c r="GF416" s="18"/>
      <c r="GG416" s="18"/>
      <c r="GH416" s="18"/>
      <c r="GI416" s="18"/>
      <c r="GJ416" s="18"/>
      <c r="GK416" s="18"/>
      <c r="GL416" s="18"/>
      <c r="GM416" s="18"/>
      <c r="GN416" s="18"/>
      <c r="GO416" s="18"/>
      <c r="GP416" s="18"/>
      <c r="GQ416" s="18"/>
      <c r="GR416" s="18"/>
      <c r="GS416" s="18"/>
      <c r="GT416" s="18"/>
      <c r="GU416" s="18"/>
      <c r="GV416" s="18"/>
      <c r="GW416" s="18"/>
      <c r="GX416" s="18"/>
      <c r="GY416" s="18"/>
      <c r="GZ416" s="18"/>
      <c r="HA416" s="18"/>
      <c r="HB416" s="18"/>
      <c r="HC416" s="18"/>
      <c r="HD416" s="18"/>
      <c r="HE416" s="18"/>
      <c r="HF416" s="18"/>
      <c r="HG416" s="13"/>
      <c r="HH416" s="13"/>
      <c r="HI416" s="13"/>
      <c r="HJ416" s="13"/>
      <c r="HK416" s="13"/>
      <c r="HL416" s="13"/>
      <c r="HM416" s="13"/>
      <c r="HN416" s="13"/>
      <c r="HO416" s="13"/>
      <c r="HP416" s="13"/>
      <c r="HQ416" s="13"/>
      <c r="HR416" s="13"/>
      <c r="HS416" s="13"/>
      <c r="HT416" s="13"/>
      <c r="HV416" s="18"/>
      <c r="HW416" s="18"/>
      <c r="HX416" s="18"/>
      <c r="HY416" s="18"/>
      <c r="HZ416" s="18"/>
      <c r="IA416" s="18"/>
      <c r="IB416" s="18"/>
      <c r="IC416" s="18"/>
      <c r="ID416" s="18"/>
      <c r="IE416" s="18"/>
      <c r="IF416" s="18"/>
      <c r="IG416" s="18"/>
      <c r="IH416" s="18"/>
      <c r="II416" s="18"/>
      <c r="IJ416" s="18"/>
      <c r="IK416" s="18"/>
      <c r="IL416" s="18"/>
      <c r="IM416" s="18"/>
      <c r="IN416" s="18"/>
      <c r="IO416" s="18"/>
    </row>
    <row r="417" spans="1:302" ht="11.1" hidden="1" customHeight="1" outlineLevel="1">
      <c r="A417" s="1"/>
      <c r="B417" s="192"/>
      <c r="C417" s="52"/>
      <c r="D417" s="29"/>
      <c r="F417" s="940"/>
      <c r="G417" s="973"/>
      <c r="H417" s="973"/>
      <c r="I417" s="176"/>
      <c r="J417" s="176"/>
      <c r="K417" s="185"/>
      <c r="L417" s="57"/>
      <c r="M417" s="136"/>
      <c r="N417" s="136"/>
      <c r="O417" s="136"/>
      <c r="P417" s="233"/>
      <c r="Q417" s="8"/>
      <c r="T417" s="57"/>
      <c r="U417" s="57"/>
      <c r="V417" s="57"/>
      <c r="W417" s="57"/>
      <c r="X417" s="57"/>
      <c r="Y417" s="175"/>
      <c r="Z417" s="175"/>
      <c r="AA417" s="57"/>
      <c r="AB417" s="947"/>
      <c r="AC417" s="947"/>
      <c r="AD417" s="173"/>
      <c r="AE417" s="173"/>
      <c r="AF417" s="69"/>
      <c r="AG417" s="38"/>
      <c r="AH417" s="38"/>
      <c r="AI417" s="38"/>
      <c r="AJ417" s="38"/>
      <c r="AK417" s="172"/>
      <c r="AL417" s="38"/>
      <c r="AM417" s="38"/>
      <c r="AN417" s="38"/>
      <c r="AO417" s="38"/>
      <c r="AP417" s="38"/>
      <c r="AR417" s="38"/>
      <c r="AS417" s="940"/>
      <c r="AT417" s="54"/>
      <c r="AU417" s="22"/>
      <c r="AV417" s="22"/>
      <c r="AW417" s="22"/>
      <c r="AX417" s="22"/>
      <c r="AY417" s="22"/>
      <c r="AZ417" s="22"/>
      <c r="BA417" s="54"/>
      <c r="BB417" s="22"/>
      <c r="BC417" s="15"/>
      <c r="BD417" s="15"/>
      <c r="BE417" s="15"/>
      <c r="BF417" s="15"/>
      <c r="BG417" s="51"/>
      <c r="BH417" s="15"/>
      <c r="BI417" s="15"/>
      <c r="BJ417" s="15"/>
      <c r="BK417" s="51"/>
      <c r="BL417" s="15"/>
      <c r="BM417" s="15"/>
      <c r="BN417" s="15"/>
      <c r="BO417" s="15"/>
      <c r="BP417" s="15"/>
      <c r="BQ417" s="18"/>
      <c r="BR417" s="18"/>
      <c r="BS417" s="18"/>
      <c r="BT417" s="18"/>
      <c r="BU417" s="18"/>
      <c r="BV417" s="18"/>
      <c r="BW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  <c r="FR417" s="18"/>
      <c r="FS417" s="18"/>
      <c r="FT417" s="18"/>
      <c r="FU417" s="18"/>
      <c r="FV417" s="18"/>
      <c r="FW417" s="18"/>
      <c r="FX417" s="18"/>
      <c r="FY417" s="18"/>
      <c r="FZ417" s="18"/>
      <c r="GA417" s="18"/>
      <c r="GB417" s="18"/>
      <c r="GC417" s="18"/>
      <c r="GD417" s="18"/>
      <c r="GE417" s="18"/>
      <c r="GF417" s="18"/>
      <c r="GG417" s="18"/>
      <c r="GH417" s="18"/>
      <c r="GI417" s="18"/>
      <c r="GJ417" s="18"/>
      <c r="GK417" s="18"/>
      <c r="GL417" s="18"/>
      <c r="GM417" s="18"/>
      <c r="GN417" s="18"/>
      <c r="GO417" s="18"/>
      <c r="GP417" s="18"/>
      <c r="GQ417" s="18"/>
      <c r="GR417" s="18"/>
      <c r="GS417" s="18"/>
      <c r="GT417" s="18"/>
      <c r="GU417" s="18"/>
      <c r="GV417" s="18"/>
      <c r="GW417" s="18"/>
      <c r="GX417" s="18"/>
      <c r="GY417" s="18"/>
      <c r="GZ417" s="18"/>
      <c r="HA417" s="18"/>
      <c r="HB417" s="18"/>
      <c r="HC417" s="18"/>
      <c r="HD417" s="18"/>
      <c r="HE417" s="18"/>
      <c r="HF417" s="18"/>
      <c r="HG417" s="13"/>
      <c r="HH417" s="13"/>
      <c r="HI417" s="13"/>
      <c r="HJ417" s="13"/>
      <c r="HK417" s="13"/>
      <c r="HL417" s="13"/>
      <c r="HM417" s="13"/>
      <c r="HN417" s="13"/>
      <c r="HO417" s="13"/>
      <c r="HP417" s="13"/>
      <c r="HQ417" s="13"/>
      <c r="HR417" s="13"/>
      <c r="HS417" s="13"/>
      <c r="HT417" s="13"/>
      <c r="HV417" s="18"/>
      <c r="HW417" s="18"/>
      <c r="HX417" s="18"/>
      <c r="HY417" s="18"/>
      <c r="HZ417" s="18"/>
      <c r="IA417" s="18"/>
      <c r="IB417" s="18"/>
      <c r="IC417" s="18"/>
      <c r="ID417" s="18"/>
      <c r="IE417" s="18"/>
      <c r="IF417" s="18"/>
      <c r="IG417" s="18"/>
      <c r="IH417" s="18"/>
      <c r="II417" s="18"/>
      <c r="IJ417" s="18"/>
      <c r="IK417" s="18"/>
      <c r="IL417" s="18"/>
      <c r="IM417" s="18"/>
      <c r="IN417" s="18"/>
      <c r="IO417" s="18"/>
    </row>
    <row r="418" spans="1:302" ht="5.0999999999999996" hidden="1" customHeight="1" outlineLevel="1" collapsed="1">
      <c r="A418" s="1"/>
      <c r="B418" s="192"/>
      <c r="C418" s="52"/>
      <c r="D418" s="29"/>
      <c r="F418" s="940"/>
      <c r="G418" s="973"/>
      <c r="H418" s="973"/>
      <c r="I418" s="176"/>
      <c r="J418" s="176"/>
      <c r="K418" s="185"/>
      <c r="L418" s="57"/>
      <c r="M418" s="136"/>
      <c r="N418" s="136"/>
      <c r="O418" s="136"/>
      <c r="P418" s="233"/>
      <c r="Q418" s="8"/>
      <c r="T418" s="57"/>
      <c r="U418" s="57"/>
      <c r="V418" s="57"/>
      <c r="W418" s="57"/>
      <c r="X418" s="57"/>
      <c r="Y418" s="175"/>
      <c r="Z418" s="175"/>
      <c r="AA418" s="57"/>
      <c r="AB418" s="947"/>
      <c r="AC418" s="947"/>
      <c r="AD418" s="173"/>
      <c r="AE418" s="173"/>
      <c r="AF418" s="69"/>
      <c r="AG418" s="38"/>
      <c r="AH418" s="38"/>
      <c r="AI418" s="38"/>
      <c r="AJ418" s="38"/>
      <c r="AK418" s="172"/>
      <c r="AL418" s="38"/>
      <c r="AM418" s="38"/>
      <c r="AN418" s="38"/>
      <c r="AO418" s="38"/>
      <c r="AP418" s="38"/>
      <c r="AR418" s="38"/>
      <c r="AS418" s="940"/>
      <c r="AT418" s="54"/>
      <c r="AU418" s="22"/>
      <c r="AV418" s="22"/>
      <c r="AW418" s="22"/>
      <c r="AX418" s="22"/>
      <c r="AY418" s="22"/>
      <c r="AZ418" s="22"/>
      <c r="BA418" s="54"/>
      <c r="BB418" s="22"/>
      <c r="BC418" s="15"/>
      <c r="BD418" s="15"/>
      <c r="BE418" s="15"/>
      <c r="BF418" s="15"/>
      <c r="BG418" s="51"/>
      <c r="BH418" s="15"/>
      <c r="BI418" s="15"/>
      <c r="BJ418" s="15"/>
      <c r="BK418" s="51"/>
      <c r="BL418" s="15"/>
      <c r="BM418" s="15"/>
      <c r="BN418" s="15"/>
      <c r="BO418" s="15"/>
      <c r="BP418" s="15"/>
      <c r="BQ418" s="18"/>
      <c r="BR418" s="18"/>
      <c r="BS418" s="18"/>
      <c r="BT418" s="18"/>
      <c r="BU418" s="18"/>
      <c r="BV418" s="18"/>
      <c r="BW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  <c r="FR418" s="18"/>
      <c r="FS418" s="18"/>
      <c r="FT418" s="18"/>
      <c r="FU418" s="18"/>
      <c r="FV418" s="18"/>
      <c r="FW418" s="18"/>
      <c r="FX418" s="18"/>
      <c r="FY418" s="18"/>
      <c r="FZ418" s="18"/>
      <c r="GA418" s="18"/>
      <c r="GB418" s="18"/>
      <c r="GC418" s="18"/>
      <c r="GD418" s="18"/>
      <c r="GE418" s="18"/>
      <c r="GF418" s="18"/>
      <c r="GG418" s="18"/>
      <c r="GH418" s="18"/>
      <c r="GI418" s="18"/>
      <c r="GJ418" s="18"/>
      <c r="GK418" s="18"/>
      <c r="GL418" s="18"/>
      <c r="GM418" s="18"/>
      <c r="GN418" s="18"/>
      <c r="GO418" s="18"/>
      <c r="GP418" s="18"/>
      <c r="GQ418" s="18"/>
      <c r="GR418" s="18"/>
      <c r="GS418" s="18"/>
      <c r="GT418" s="18"/>
      <c r="GU418" s="18"/>
      <c r="GV418" s="18"/>
      <c r="GW418" s="18"/>
      <c r="GX418" s="18"/>
      <c r="GY418" s="18"/>
      <c r="GZ418" s="18"/>
      <c r="HA418" s="18"/>
      <c r="HB418" s="18"/>
      <c r="HC418" s="18"/>
      <c r="HD418" s="18"/>
      <c r="HE418" s="18"/>
      <c r="HF418" s="18"/>
      <c r="HG418" s="13"/>
      <c r="HH418" s="13"/>
      <c r="HI418" s="13"/>
      <c r="HJ418" s="13"/>
      <c r="HK418" s="13"/>
      <c r="HL418" s="13"/>
      <c r="HM418" s="13"/>
      <c r="HN418" s="13"/>
      <c r="HO418" s="13"/>
      <c r="HP418" s="13"/>
      <c r="HQ418" s="13"/>
      <c r="HR418" s="13"/>
      <c r="HS418" s="13"/>
      <c r="HT418" s="13"/>
      <c r="HV418" s="18"/>
      <c r="HW418" s="18"/>
      <c r="HX418" s="18"/>
      <c r="HY418" s="18"/>
      <c r="HZ418" s="18"/>
      <c r="IA418" s="18"/>
      <c r="IB418" s="18"/>
      <c r="IC418" s="18"/>
      <c r="ID418" s="18"/>
      <c r="IE418" s="18"/>
      <c r="IF418" s="18"/>
      <c r="IG418" s="18"/>
      <c r="IH418" s="18"/>
      <c r="II418" s="18"/>
      <c r="IJ418" s="18"/>
      <c r="IK418" s="18"/>
      <c r="IL418" s="18"/>
      <c r="IM418" s="18"/>
      <c r="IN418" s="18"/>
      <c r="IO418" s="18"/>
    </row>
    <row r="419" spans="1:302" s="23" customFormat="1" ht="11.1" hidden="1" customHeight="1" outlineLevel="1">
      <c r="A419" s="236" t="s">
        <v>49</v>
      </c>
      <c r="B419" s="231"/>
      <c r="C419" s="229"/>
      <c r="D419" s="940" t="s">
        <v>48</v>
      </c>
      <c r="E419" s="230"/>
      <c r="F419" s="940">
        <v>0</v>
      </c>
      <c r="G419" s="187">
        <v>42198</v>
      </c>
      <c r="H419" s="187"/>
      <c r="I419" s="1069">
        <v>8.2650000000000006</v>
      </c>
      <c r="J419" s="1069"/>
      <c r="K419" s="1069"/>
      <c r="L419" s="879"/>
      <c r="M419" s="136"/>
      <c r="N419" s="136"/>
      <c r="O419" s="136"/>
      <c r="P419" s="215"/>
      <c r="Q419" s="15"/>
      <c r="S419" s="15"/>
      <c r="T419" s="226"/>
      <c r="U419" s="226"/>
      <c r="V419" s="226"/>
      <c r="W419" s="226"/>
      <c r="X419" s="15"/>
      <c r="Y419" s="157"/>
      <c r="Z419" s="157"/>
      <c r="AA419" s="15"/>
      <c r="AB419" s="947">
        <f>F419*P419</f>
        <v>0</v>
      </c>
      <c r="AC419" s="947"/>
      <c r="AD419" s="190">
        <f>-((I419*F419)-(P419*F419))</f>
        <v>0</v>
      </c>
      <c r="AE419" s="190"/>
      <c r="AF419" s="205" t="e">
        <f>IF(#REF!-AP419&lt;0,#REF!-AP419,(#REF!-AP419)*0.74)</f>
        <v>#REF!</v>
      </c>
      <c r="AG419" s="7"/>
      <c r="AH419" s="7"/>
      <c r="AI419" s="7"/>
      <c r="AJ419" s="7"/>
      <c r="AK419" s="235"/>
      <c r="AL419" s="940"/>
      <c r="AM419" s="940"/>
      <c r="AN419" s="179"/>
      <c r="AO419" s="38"/>
      <c r="AP419" s="188">
        <f>F419*I419+AN419+AN420</f>
        <v>0</v>
      </c>
      <c r="AQ419" s="14"/>
      <c r="AR419" s="940"/>
      <c r="AS419" s="67"/>
      <c r="AT419" s="54"/>
      <c r="AU419" s="22"/>
      <c r="AV419" s="22"/>
      <c r="AW419" s="22"/>
      <c r="AX419" s="22"/>
      <c r="AY419" s="22"/>
      <c r="AZ419" s="22"/>
      <c r="BA419" s="54"/>
      <c r="BB419" s="22"/>
      <c r="BC419" s="22"/>
      <c r="BD419" s="22"/>
      <c r="BE419" s="15"/>
      <c r="BF419" s="15"/>
      <c r="BG419" s="51"/>
      <c r="BH419" s="15"/>
      <c r="BI419" s="15"/>
      <c r="BJ419" s="15"/>
      <c r="BK419" s="51"/>
      <c r="BL419" s="15"/>
      <c r="BM419" s="15"/>
      <c r="BN419" s="15"/>
      <c r="BO419" s="15"/>
      <c r="BP419" s="15"/>
      <c r="BQ419" s="15"/>
      <c r="BR419" s="15"/>
      <c r="BS419" s="15"/>
      <c r="BT419" s="15"/>
      <c r="BU419" s="15"/>
      <c r="BV419" s="15"/>
      <c r="BW419" s="15"/>
      <c r="BX419" s="139" t="str">
        <f>IF($AB419=0,"",$AB419)</f>
        <v/>
      </c>
      <c r="BY419" s="15"/>
      <c r="BZ419" s="15"/>
      <c r="CA419" s="15"/>
      <c r="CB419" s="15"/>
      <c r="CC419" s="15"/>
      <c r="CD419" s="15"/>
      <c r="CE419" s="15"/>
      <c r="CF419" s="15"/>
      <c r="CG419" s="15"/>
      <c r="CH419" s="15"/>
      <c r="CI419" s="15"/>
      <c r="CJ419" s="15"/>
      <c r="CK419" s="15"/>
      <c r="CL419" s="15"/>
      <c r="CM419" s="15"/>
      <c r="CN419" s="15"/>
      <c r="CO419" s="15"/>
      <c r="CP419" s="15"/>
      <c r="CQ419" s="15"/>
      <c r="CR419" s="15"/>
      <c r="CS419" s="51"/>
      <c r="CT419" s="15"/>
      <c r="CU419" s="15"/>
      <c r="CV419" s="15"/>
      <c r="CW419" s="15"/>
      <c r="CX419" s="15"/>
      <c r="CY419" s="15"/>
      <c r="CZ419" s="15"/>
      <c r="DA419" s="15"/>
      <c r="DB419" s="15"/>
      <c r="DC419" s="15"/>
      <c r="DD419" s="15"/>
      <c r="DE419" s="15"/>
      <c r="DF419" s="15"/>
      <c r="DG419" s="15"/>
      <c r="DH419" s="15"/>
      <c r="DI419" s="15"/>
      <c r="DJ419" s="15"/>
      <c r="DK419" s="15"/>
      <c r="DL419" s="15"/>
      <c r="DM419" s="15"/>
      <c r="DN419" s="15"/>
      <c r="DO419" s="51"/>
      <c r="DP419" s="15"/>
      <c r="DQ419" s="15"/>
      <c r="DR419" s="15"/>
      <c r="DS419" s="15"/>
      <c r="DT419" s="15"/>
      <c r="DU419" s="15"/>
      <c r="DV419" s="15"/>
      <c r="DW419" s="15"/>
      <c r="DX419" s="15"/>
      <c r="DY419" s="15"/>
      <c r="DZ419" s="15"/>
      <c r="EA419" s="15"/>
      <c r="EB419" s="15"/>
      <c r="EC419" s="15"/>
      <c r="ED419" s="15"/>
      <c r="EE419" s="15"/>
      <c r="EF419" s="15"/>
      <c r="EG419" s="15"/>
      <c r="EH419" s="15"/>
      <c r="EI419" s="15"/>
      <c r="EJ419" s="15"/>
      <c r="EK419" s="15"/>
      <c r="EL419" s="15"/>
      <c r="EM419" s="15"/>
      <c r="EN419" s="15"/>
      <c r="EO419" s="15"/>
      <c r="EP419" s="15"/>
      <c r="EQ419" s="15"/>
      <c r="ER419" s="15"/>
      <c r="ES419" s="15"/>
      <c r="ET419" s="15"/>
      <c r="EU419" s="15"/>
      <c r="EV419" s="15"/>
      <c r="EW419" s="15"/>
      <c r="EX419" s="15"/>
      <c r="EY419" s="15"/>
      <c r="EZ419" s="15"/>
      <c r="FA419" s="15"/>
      <c r="FB419" s="15"/>
      <c r="FC419" s="15"/>
      <c r="FD419" s="15"/>
      <c r="FE419" s="15"/>
      <c r="FF419" s="15"/>
      <c r="FG419" s="15"/>
      <c r="FH419" s="15"/>
      <c r="FI419" s="15"/>
      <c r="FJ419" s="15"/>
      <c r="FK419" s="15"/>
      <c r="FL419" s="15"/>
      <c r="FM419" s="15"/>
      <c r="FN419" s="15"/>
      <c r="FO419" s="15"/>
      <c r="FP419" s="15"/>
      <c r="FQ419" s="15"/>
      <c r="FR419" s="15"/>
      <c r="FS419" s="15"/>
      <c r="FT419" s="15"/>
      <c r="FU419" s="15"/>
      <c r="FV419" s="15"/>
      <c r="FW419" s="15"/>
      <c r="FX419" s="15"/>
      <c r="FY419" s="15"/>
      <c r="FZ419" s="15"/>
      <c r="GA419" s="15"/>
      <c r="GB419" s="15"/>
      <c r="GC419" s="15"/>
      <c r="GD419" s="15"/>
      <c r="GE419" s="15"/>
      <c r="GF419" s="15"/>
      <c r="GG419" s="15"/>
      <c r="GH419" s="15"/>
      <c r="GI419" s="15"/>
      <c r="GJ419" s="15"/>
      <c r="GK419" s="15"/>
      <c r="GL419" s="15"/>
      <c r="GM419" s="15"/>
      <c r="GN419" s="15"/>
      <c r="GO419" s="15"/>
      <c r="GP419" s="15"/>
      <c r="GQ419" s="15"/>
      <c r="GR419" s="15"/>
      <c r="GS419" s="15"/>
      <c r="GT419" s="15"/>
      <c r="GU419" s="15"/>
      <c r="GV419" s="15"/>
      <c r="GW419" s="15"/>
      <c r="GX419" s="15"/>
      <c r="GY419" s="15"/>
      <c r="GZ419" s="15"/>
      <c r="HA419" s="15"/>
      <c r="HB419" s="15"/>
      <c r="HC419" s="15"/>
      <c r="HD419" s="15"/>
      <c r="HE419" s="15"/>
      <c r="HF419" s="15"/>
      <c r="HG419" s="981"/>
      <c r="HH419" s="981"/>
      <c r="HI419" s="981"/>
      <c r="HJ419" s="981"/>
      <c r="HK419" s="981"/>
      <c r="HL419" s="981"/>
      <c r="HM419" s="981"/>
      <c r="HN419" s="981"/>
      <c r="HO419" s="981"/>
      <c r="HP419" s="981"/>
      <c r="HQ419" s="981"/>
      <c r="HR419" s="981"/>
      <c r="HS419" s="981"/>
      <c r="HT419" s="981"/>
      <c r="HU419" s="139" t="str">
        <f>IF($AB419=0,"",$AB419)</f>
        <v/>
      </c>
      <c r="HV419" s="15"/>
      <c r="HW419" s="15"/>
      <c r="HX419" s="15"/>
      <c r="HY419" s="15"/>
      <c r="HZ419" s="15"/>
      <c r="IA419" s="15"/>
      <c r="IB419" s="15"/>
      <c r="IC419" s="15"/>
      <c r="ID419" s="15"/>
      <c r="IE419" s="15"/>
      <c r="IF419" s="15"/>
      <c r="IG419" s="15"/>
      <c r="IH419" s="15"/>
      <c r="II419" s="15"/>
      <c r="IJ419" s="15"/>
      <c r="IK419" s="15"/>
      <c r="IL419" s="15"/>
      <c r="IM419" s="15"/>
      <c r="IN419" s="15"/>
      <c r="IO419" s="15"/>
      <c r="JR419" s="14"/>
      <c r="JS419" s="14"/>
      <c r="JT419" s="14"/>
      <c r="JU419" s="14"/>
      <c r="JV419" s="14"/>
      <c r="JW419" s="14"/>
      <c r="JX419" s="14"/>
      <c r="JY419" s="14"/>
      <c r="JZ419" s="14"/>
      <c r="KA419" s="14"/>
      <c r="KB419" s="14"/>
      <c r="KC419" s="14"/>
      <c r="KD419" s="14"/>
      <c r="KE419" s="14"/>
      <c r="KF419" s="14"/>
      <c r="KG419" s="14"/>
      <c r="KH419" s="14"/>
      <c r="KI419" s="14"/>
      <c r="KJ419" s="14"/>
      <c r="KK419" s="14"/>
      <c r="KL419" s="14"/>
      <c r="KM419" s="14"/>
      <c r="KN419" s="14"/>
      <c r="KO419" s="14"/>
      <c r="KP419" s="14"/>
    </row>
    <row r="420" spans="1:302" s="23" customFormat="1" ht="11.1" hidden="1" customHeight="1" outlineLevel="1">
      <c r="A420" s="23" t="s">
        <v>47</v>
      </c>
      <c r="B420" s="231"/>
      <c r="C420" s="229"/>
      <c r="D420" s="229"/>
      <c r="E420" s="230"/>
      <c r="F420" s="229"/>
      <c r="G420" s="229"/>
      <c r="H420" s="229"/>
      <c r="I420" s="16"/>
      <c r="J420" s="16"/>
      <c r="K420" s="185">
        <f>AP419</f>
        <v>0</v>
      </c>
      <c r="L420" s="879"/>
      <c r="M420" s="136"/>
      <c r="N420" s="136"/>
      <c r="O420" s="136"/>
      <c r="P420" s="233"/>
      <c r="Q420" s="15"/>
      <c r="S420" s="15"/>
      <c r="T420" s="226"/>
      <c r="U420" s="226"/>
      <c r="V420" s="226"/>
      <c r="W420" s="226"/>
      <c r="X420" s="15"/>
      <c r="Y420" s="157"/>
      <c r="Z420" s="157"/>
      <c r="AA420" s="15"/>
      <c r="AB420" s="947"/>
      <c r="AC420" s="947"/>
      <c r="AD420" s="219">
        <f>((P419-I419)/I419)</f>
        <v>-1</v>
      </c>
      <c r="AE420" s="219"/>
      <c r="AF420" s="69"/>
      <c r="AG420" s="7"/>
      <c r="AH420" s="7"/>
      <c r="AI420" s="7"/>
      <c r="AJ420" s="7"/>
      <c r="AK420" s="235"/>
      <c r="AL420" s="940"/>
      <c r="AM420" s="940"/>
      <c r="AN420" s="213"/>
      <c r="AO420" s="38"/>
      <c r="AP420" s="38"/>
      <c r="AQ420" s="14"/>
      <c r="AR420" s="940"/>
      <c r="AS420" s="67"/>
      <c r="AT420" s="54"/>
      <c r="AU420" s="22"/>
      <c r="AV420" s="22"/>
      <c r="AW420" s="22"/>
      <c r="AX420" s="22"/>
      <c r="AY420" s="22"/>
      <c r="AZ420" s="22"/>
      <c r="BA420" s="54"/>
      <c r="BB420" s="22"/>
      <c r="BC420" s="22"/>
      <c r="BD420" s="22"/>
      <c r="BE420" s="15"/>
      <c r="BF420" s="15"/>
      <c r="BG420" s="51"/>
      <c r="BH420" s="15"/>
      <c r="BI420" s="15"/>
      <c r="BJ420" s="15"/>
      <c r="BK420" s="51"/>
      <c r="BL420" s="15"/>
      <c r="BM420" s="15"/>
      <c r="BN420" s="15"/>
      <c r="BO420" s="15"/>
      <c r="BP420" s="15"/>
      <c r="BQ420" s="15"/>
      <c r="BR420" s="15"/>
      <c r="BS420" s="15"/>
      <c r="BT420" s="15"/>
      <c r="BU420" s="15"/>
      <c r="BV420" s="15"/>
      <c r="BW420" s="15"/>
      <c r="BX420" s="51"/>
      <c r="BY420" s="15"/>
      <c r="BZ420" s="15"/>
      <c r="CA420" s="15"/>
      <c r="CB420" s="15"/>
      <c r="CC420" s="15"/>
      <c r="CD420" s="15"/>
      <c r="CE420" s="15"/>
      <c r="CF420" s="15"/>
      <c r="CG420" s="15"/>
      <c r="CH420" s="15"/>
      <c r="CI420" s="15"/>
      <c r="CJ420" s="15"/>
      <c r="CK420" s="15"/>
      <c r="CL420" s="15"/>
      <c r="CM420" s="15"/>
      <c r="CN420" s="15"/>
      <c r="CO420" s="15"/>
      <c r="CP420" s="15"/>
      <c r="CQ420" s="15"/>
      <c r="CR420" s="15"/>
      <c r="CS420" s="51"/>
      <c r="CT420" s="15"/>
      <c r="CU420" s="15"/>
      <c r="CV420" s="15"/>
      <c r="CW420" s="15"/>
      <c r="CX420" s="15"/>
      <c r="CY420" s="15"/>
      <c r="CZ420" s="15"/>
      <c r="DA420" s="15"/>
      <c r="DB420" s="15"/>
      <c r="DC420" s="15"/>
      <c r="DD420" s="15"/>
      <c r="DE420" s="15"/>
      <c r="DF420" s="15"/>
      <c r="DG420" s="15"/>
      <c r="DH420" s="15"/>
      <c r="DI420" s="15"/>
      <c r="DJ420" s="15"/>
      <c r="DK420" s="15"/>
      <c r="DL420" s="15"/>
      <c r="DM420" s="15"/>
      <c r="DN420" s="15"/>
      <c r="DO420" s="51"/>
      <c r="DP420" s="15"/>
      <c r="DQ420" s="15"/>
      <c r="DR420" s="15"/>
      <c r="DS420" s="15"/>
      <c r="DT420" s="15"/>
      <c r="DU420" s="15"/>
      <c r="DV420" s="15"/>
      <c r="DW420" s="15"/>
      <c r="DX420" s="15"/>
      <c r="DY420" s="15"/>
      <c r="DZ420" s="15"/>
      <c r="EA420" s="15"/>
      <c r="EB420" s="15"/>
      <c r="EC420" s="15"/>
      <c r="ED420" s="15"/>
      <c r="EE420" s="15"/>
      <c r="EF420" s="15"/>
      <c r="EG420" s="15"/>
      <c r="EH420" s="15"/>
      <c r="EI420" s="15"/>
      <c r="EJ420" s="15"/>
      <c r="EK420" s="15"/>
      <c r="EL420" s="15"/>
      <c r="EM420" s="15"/>
      <c r="EN420" s="15"/>
      <c r="EO420" s="15"/>
      <c r="EP420" s="15"/>
      <c r="EQ420" s="15"/>
      <c r="ER420" s="15"/>
      <c r="ES420" s="15"/>
      <c r="ET420" s="15"/>
      <c r="EU420" s="15"/>
      <c r="EV420" s="15"/>
      <c r="EW420" s="15"/>
      <c r="EX420" s="15"/>
      <c r="EY420" s="15"/>
      <c r="EZ420" s="15"/>
      <c r="FA420" s="15"/>
      <c r="FB420" s="15"/>
      <c r="FC420" s="15"/>
      <c r="FD420" s="15"/>
      <c r="FE420" s="15"/>
      <c r="FF420" s="15"/>
      <c r="FG420" s="15"/>
      <c r="FH420" s="15"/>
      <c r="FI420" s="15"/>
      <c r="FJ420" s="15"/>
      <c r="FK420" s="15"/>
      <c r="FL420" s="15"/>
      <c r="FM420" s="15"/>
      <c r="FN420" s="15"/>
      <c r="FO420" s="15"/>
      <c r="FP420" s="15"/>
      <c r="FQ420" s="15"/>
      <c r="FR420" s="15"/>
      <c r="FS420" s="15"/>
      <c r="FT420" s="15"/>
      <c r="FU420" s="15"/>
      <c r="FV420" s="15"/>
      <c r="FW420" s="15"/>
      <c r="FX420" s="15"/>
      <c r="FY420" s="15"/>
      <c r="FZ420" s="15"/>
      <c r="GA420" s="15"/>
      <c r="GB420" s="15"/>
      <c r="GC420" s="15"/>
      <c r="GD420" s="15"/>
      <c r="GE420" s="15"/>
      <c r="GF420" s="15"/>
      <c r="GG420" s="15"/>
      <c r="GH420" s="15"/>
      <c r="GI420" s="15"/>
      <c r="GJ420" s="15"/>
      <c r="GK420" s="15"/>
      <c r="GL420" s="15"/>
      <c r="GM420" s="15"/>
      <c r="GN420" s="15"/>
      <c r="GO420" s="15"/>
      <c r="GP420" s="15"/>
      <c r="GQ420" s="15"/>
      <c r="GR420" s="15"/>
      <c r="GS420" s="15"/>
      <c r="GT420" s="15"/>
      <c r="GU420" s="15"/>
      <c r="GV420" s="15"/>
      <c r="GW420" s="15"/>
      <c r="GX420" s="15"/>
      <c r="GY420" s="15"/>
      <c r="GZ420" s="15"/>
      <c r="HA420" s="15"/>
      <c r="HB420" s="15"/>
      <c r="HC420" s="15"/>
      <c r="HD420" s="15"/>
      <c r="HE420" s="15"/>
      <c r="HF420" s="15"/>
      <c r="HG420" s="981"/>
      <c r="HH420" s="981"/>
      <c r="HI420" s="981"/>
      <c r="HJ420" s="981"/>
      <c r="HK420" s="981"/>
      <c r="HL420" s="981"/>
      <c r="HM420" s="981"/>
      <c r="HN420" s="981"/>
      <c r="HO420" s="981"/>
      <c r="HP420" s="981"/>
      <c r="HQ420" s="981"/>
      <c r="HR420" s="981"/>
      <c r="HS420" s="981"/>
      <c r="HT420" s="981"/>
      <c r="HU420" s="51"/>
      <c r="HV420" s="15"/>
      <c r="HW420" s="15"/>
      <c r="HX420" s="15"/>
      <c r="HY420" s="15"/>
      <c r="HZ420" s="15"/>
      <c r="IA420" s="15"/>
      <c r="IB420" s="15"/>
      <c r="IC420" s="15"/>
      <c r="ID420" s="15"/>
      <c r="IE420" s="15"/>
      <c r="IF420" s="15"/>
      <c r="IG420" s="15"/>
      <c r="IH420" s="15"/>
      <c r="II420" s="15"/>
      <c r="IJ420" s="15"/>
      <c r="IK420" s="15"/>
      <c r="IL420" s="15"/>
      <c r="IM420" s="15"/>
      <c r="IN420" s="15"/>
      <c r="IO420" s="15"/>
      <c r="JR420" s="14"/>
      <c r="JS420" s="14"/>
      <c r="JT420" s="14"/>
      <c r="JU420" s="14"/>
      <c r="JV420" s="14"/>
      <c r="JW420" s="14"/>
      <c r="JX420" s="14"/>
      <c r="JY420" s="14"/>
      <c r="JZ420" s="14"/>
      <c r="KA420" s="14"/>
      <c r="KB420" s="14"/>
      <c r="KC420" s="14"/>
      <c r="KD420" s="14"/>
      <c r="KE420" s="14"/>
      <c r="KF420" s="14"/>
      <c r="KG420" s="14"/>
      <c r="KH420" s="14"/>
      <c r="KI420" s="14"/>
      <c r="KJ420" s="14"/>
      <c r="KK420" s="14"/>
      <c r="KL420" s="14"/>
      <c r="KM420" s="14"/>
      <c r="KN420" s="14"/>
      <c r="KO420" s="14"/>
      <c r="KP420" s="14"/>
    </row>
    <row r="421" spans="1:302" s="23" customFormat="1" ht="11.1" hidden="1" customHeight="1" outlineLevel="1">
      <c r="A421" s="232" t="s">
        <v>46</v>
      </c>
      <c r="B421" s="231"/>
      <c r="C421" s="229"/>
      <c r="D421" s="229"/>
      <c r="E421" s="230"/>
      <c r="F421" s="229"/>
      <c r="G421" s="229"/>
      <c r="H421" s="229"/>
      <c r="I421" s="16"/>
      <c r="J421" s="16"/>
      <c r="K421" s="228"/>
      <c r="L421" s="879"/>
      <c r="M421" s="136"/>
      <c r="N421" s="136"/>
      <c r="O421" s="136"/>
      <c r="P421" s="234"/>
      <c r="Q421" s="15"/>
      <c r="S421" s="15"/>
      <c r="T421" s="226"/>
      <c r="U421" s="226"/>
      <c r="V421" s="226"/>
      <c r="W421" s="226"/>
      <c r="X421" s="15"/>
      <c r="Y421" s="157"/>
      <c r="Z421" s="157"/>
      <c r="AA421" s="15"/>
      <c r="AB421" s="947"/>
      <c r="AC421" s="947"/>
      <c r="AD421" s="219"/>
      <c r="AE421" s="219"/>
      <c r="AF421" s="69"/>
      <c r="AG421" s="7"/>
      <c r="AH421" s="7"/>
      <c r="AI421" s="7"/>
      <c r="AJ421" s="7"/>
      <c r="AK421" s="235"/>
      <c r="AL421" s="940"/>
      <c r="AM421" s="940"/>
      <c r="AN421" s="940"/>
      <c r="AO421" s="940"/>
      <c r="AP421" s="940"/>
      <c r="AR421" s="940"/>
      <c r="AS421" s="67"/>
      <c r="AT421" s="54"/>
      <c r="AU421" s="22"/>
      <c r="AV421" s="22"/>
      <c r="AW421" s="22"/>
      <c r="AX421" s="22"/>
      <c r="AY421" s="22"/>
      <c r="AZ421" s="22"/>
      <c r="BA421" s="54"/>
      <c r="BB421" s="22"/>
      <c r="BC421" s="22"/>
      <c r="BD421" s="22"/>
      <c r="BE421" s="15"/>
      <c r="BF421" s="15"/>
      <c r="BG421" s="51"/>
      <c r="BH421" s="15"/>
      <c r="BI421" s="15"/>
      <c r="BJ421" s="15"/>
      <c r="BK421" s="51"/>
      <c r="BL421" s="15"/>
      <c r="BM421" s="15"/>
      <c r="BN421" s="15"/>
      <c r="BO421" s="15"/>
      <c r="BP421" s="15"/>
      <c r="BQ421" s="15"/>
      <c r="BR421" s="15"/>
      <c r="BS421" s="15"/>
      <c r="BT421" s="15"/>
      <c r="BU421" s="15"/>
      <c r="BV421" s="15"/>
      <c r="BW421" s="15"/>
      <c r="BX421" s="51"/>
      <c r="BY421" s="15"/>
      <c r="BZ421" s="15"/>
      <c r="CA421" s="15"/>
      <c r="CB421" s="15"/>
      <c r="CC421" s="15"/>
      <c r="CD421" s="15"/>
      <c r="CE421" s="15"/>
      <c r="CF421" s="15"/>
      <c r="CG421" s="15"/>
      <c r="CH421" s="15"/>
      <c r="CI421" s="15"/>
      <c r="CJ421" s="15"/>
      <c r="CK421" s="15"/>
      <c r="CL421" s="15"/>
      <c r="CM421" s="15"/>
      <c r="CN421" s="15"/>
      <c r="CO421" s="15"/>
      <c r="CP421" s="15"/>
      <c r="CQ421" s="15"/>
      <c r="CR421" s="15"/>
      <c r="CS421" s="51"/>
      <c r="CT421" s="15"/>
      <c r="CU421" s="15"/>
      <c r="CV421" s="15"/>
      <c r="CW421" s="15"/>
      <c r="CX421" s="15"/>
      <c r="CY421" s="15"/>
      <c r="CZ421" s="15"/>
      <c r="DA421" s="15"/>
      <c r="DB421" s="15"/>
      <c r="DC421" s="15"/>
      <c r="DD421" s="15"/>
      <c r="DE421" s="15"/>
      <c r="DF421" s="15"/>
      <c r="DG421" s="15"/>
      <c r="DH421" s="15"/>
      <c r="DI421" s="15"/>
      <c r="DJ421" s="15"/>
      <c r="DK421" s="15"/>
      <c r="DL421" s="15"/>
      <c r="DM421" s="15"/>
      <c r="DN421" s="15"/>
      <c r="DO421" s="51"/>
      <c r="DP421" s="15"/>
      <c r="DQ421" s="15"/>
      <c r="DR421" s="15"/>
      <c r="DS421" s="15"/>
      <c r="DT421" s="15"/>
      <c r="DU421" s="15"/>
      <c r="DV421" s="15"/>
      <c r="DW421" s="15"/>
      <c r="DX421" s="15"/>
      <c r="DY421" s="15"/>
      <c r="DZ421" s="15"/>
      <c r="EA421" s="15"/>
      <c r="EB421" s="15"/>
      <c r="EC421" s="15"/>
      <c r="ED421" s="15"/>
      <c r="EE421" s="15"/>
      <c r="EF421" s="15"/>
      <c r="EG421" s="15"/>
      <c r="EH421" s="15"/>
      <c r="EI421" s="15"/>
      <c r="EJ421" s="15"/>
      <c r="EK421" s="15"/>
      <c r="EL421" s="15"/>
      <c r="EM421" s="15"/>
      <c r="EN421" s="15"/>
      <c r="EO421" s="15"/>
      <c r="EP421" s="15"/>
      <c r="EQ421" s="15"/>
      <c r="ER421" s="15"/>
      <c r="ES421" s="15"/>
      <c r="ET421" s="15"/>
      <c r="EU421" s="15"/>
      <c r="EV421" s="15"/>
      <c r="EW421" s="15"/>
      <c r="EX421" s="15"/>
      <c r="EY421" s="15"/>
      <c r="EZ421" s="15"/>
      <c r="FA421" s="15"/>
      <c r="FB421" s="15"/>
      <c r="FC421" s="15"/>
      <c r="FD421" s="15"/>
      <c r="FE421" s="15"/>
      <c r="FF421" s="15"/>
      <c r="FG421" s="15"/>
      <c r="FH421" s="15"/>
      <c r="FI421" s="15"/>
      <c r="FJ421" s="15"/>
      <c r="FK421" s="15"/>
      <c r="FL421" s="15"/>
      <c r="FM421" s="15"/>
      <c r="FN421" s="15"/>
      <c r="FO421" s="15"/>
      <c r="FP421" s="15"/>
      <c r="FQ421" s="15"/>
      <c r="FR421" s="15"/>
      <c r="FS421" s="15"/>
      <c r="FT421" s="15"/>
      <c r="FU421" s="15"/>
      <c r="FV421" s="15"/>
      <c r="FW421" s="15"/>
      <c r="FX421" s="15"/>
      <c r="FY421" s="15"/>
      <c r="FZ421" s="15"/>
      <c r="GA421" s="15"/>
      <c r="GB421" s="15"/>
      <c r="GC421" s="15"/>
      <c r="GD421" s="15"/>
      <c r="GE421" s="15"/>
      <c r="GF421" s="15"/>
      <c r="GG421" s="15"/>
      <c r="GH421" s="15"/>
      <c r="GI421" s="15"/>
      <c r="GJ421" s="15"/>
      <c r="GK421" s="15"/>
      <c r="GL421" s="15"/>
      <c r="GM421" s="15"/>
      <c r="GN421" s="15"/>
      <c r="GO421" s="15"/>
      <c r="GP421" s="15"/>
      <c r="GQ421" s="15"/>
      <c r="GR421" s="15"/>
      <c r="GS421" s="15"/>
      <c r="GT421" s="15"/>
      <c r="GU421" s="15"/>
      <c r="GV421" s="15"/>
      <c r="GW421" s="15"/>
      <c r="GX421" s="15"/>
      <c r="GY421" s="15"/>
      <c r="GZ421" s="15"/>
      <c r="HA421" s="15"/>
      <c r="HB421" s="15"/>
      <c r="HC421" s="15"/>
      <c r="HD421" s="15"/>
      <c r="HE421" s="15"/>
      <c r="HF421" s="15"/>
      <c r="HG421" s="981"/>
      <c r="HH421" s="981"/>
      <c r="HI421" s="981"/>
      <c r="HJ421" s="981"/>
      <c r="HK421" s="981"/>
      <c r="HL421" s="981"/>
      <c r="HM421" s="981"/>
      <c r="HN421" s="981"/>
      <c r="HO421" s="981"/>
      <c r="HP421" s="981"/>
      <c r="HQ421" s="981"/>
      <c r="HR421" s="981"/>
      <c r="HS421" s="981"/>
      <c r="HT421" s="981"/>
      <c r="HU421" s="51"/>
      <c r="HV421" s="15"/>
      <c r="HW421" s="15"/>
      <c r="HX421" s="15"/>
      <c r="HY421" s="15"/>
      <c r="HZ421" s="15"/>
      <c r="IA421" s="15"/>
      <c r="IB421" s="15"/>
      <c r="IC421" s="15"/>
      <c r="ID421" s="15"/>
      <c r="IE421" s="15"/>
      <c r="IF421" s="15"/>
      <c r="IG421" s="15"/>
      <c r="IH421" s="15"/>
      <c r="II421" s="15"/>
      <c r="IJ421" s="15"/>
      <c r="IK421" s="15"/>
      <c r="IL421" s="15"/>
      <c r="IM421" s="15"/>
      <c r="IN421" s="15"/>
      <c r="IO421" s="15"/>
    </row>
    <row r="422" spans="1:302" s="23" customFormat="1" ht="11.1" hidden="1" customHeight="1" outlineLevel="1">
      <c r="A422" s="23" t="s">
        <v>45</v>
      </c>
      <c r="B422" s="231"/>
      <c r="C422" s="229"/>
      <c r="D422" s="229"/>
      <c r="E422" s="230"/>
      <c r="F422" s="229"/>
      <c r="G422" s="229"/>
      <c r="H422" s="229"/>
      <c r="I422" s="16"/>
      <c r="J422" s="16"/>
      <c r="K422" s="228"/>
      <c r="L422" s="879"/>
      <c r="M422" s="136"/>
      <c r="N422" s="136"/>
      <c r="O422" s="136"/>
      <c r="P422" s="234"/>
      <c r="Q422" s="15"/>
      <c r="S422" s="15"/>
      <c r="T422" s="226"/>
      <c r="U422" s="226"/>
      <c r="V422" s="226"/>
      <c r="W422" s="226"/>
      <c r="X422" s="15"/>
      <c r="Y422" s="157"/>
      <c r="Z422" s="157"/>
      <c r="AA422" s="15"/>
      <c r="AB422" s="947"/>
      <c r="AC422" s="947"/>
      <c r="AD422" s="219"/>
      <c r="AE422" s="219"/>
      <c r="AF422" s="69"/>
      <c r="AG422" s="7"/>
      <c r="AH422" s="7"/>
      <c r="AI422" s="7"/>
      <c r="AJ422" s="7"/>
      <c r="AK422" s="235"/>
      <c r="AL422" s="940"/>
      <c r="AM422" s="940"/>
      <c r="AN422" s="940"/>
      <c r="AO422" s="940"/>
      <c r="AP422" s="940"/>
      <c r="AR422" s="940"/>
      <c r="AS422" s="67"/>
      <c r="AT422" s="54"/>
      <c r="AU422" s="22"/>
      <c r="AV422" s="22"/>
      <c r="AW422" s="22"/>
      <c r="AX422" s="22"/>
      <c r="AY422" s="22"/>
      <c r="AZ422" s="22"/>
      <c r="BA422" s="54"/>
      <c r="BB422" s="22"/>
      <c r="BC422" s="22"/>
      <c r="BD422" s="22"/>
      <c r="BE422" s="15"/>
      <c r="BF422" s="15"/>
      <c r="BG422" s="51"/>
      <c r="BH422" s="15"/>
      <c r="BI422" s="15"/>
      <c r="BJ422" s="15"/>
      <c r="BK422" s="51"/>
      <c r="BL422" s="15"/>
      <c r="BM422" s="15"/>
      <c r="BN422" s="15"/>
      <c r="BO422" s="15"/>
      <c r="BP422" s="15"/>
      <c r="BQ422" s="15"/>
      <c r="BR422" s="15"/>
      <c r="BS422" s="15"/>
      <c r="BT422" s="15"/>
      <c r="BU422" s="15"/>
      <c r="BV422" s="15"/>
      <c r="BW422" s="15"/>
      <c r="BX422" s="51"/>
      <c r="BY422" s="15"/>
      <c r="BZ422" s="15"/>
      <c r="CA422" s="15"/>
      <c r="CB422" s="15"/>
      <c r="CC422" s="15"/>
      <c r="CD422" s="15"/>
      <c r="CE422" s="15"/>
      <c r="CF422" s="15"/>
      <c r="CG422" s="15"/>
      <c r="CH422" s="15"/>
      <c r="CI422" s="15"/>
      <c r="CJ422" s="15"/>
      <c r="CK422" s="15"/>
      <c r="CL422" s="15"/>
      <c r="CM422" s="15"/>
      <c r="CN422" s="15"/>
      <c r="CO422" s="15"/>
      <c r="CP422" s="15"/>
      <c r="CQ422" s="15"/>
      <c r="CR422" s="15"/>
      <c r="CS422" s="51"/>
      <c r="CT422" s="15"/>
      <c r="CU422" s="15"/>
      <c r="CV422" s="15"/>
      <c r="CW422" s="15"/>
      <c r="CX422" s="15"/>
      <c r="CY422" s="15"/>
      <c r="CZ422" s="15"/>
      <c r="DA422" s="15"/>
      <c r="DB422" s="15"/>
      <c r="DC422" s="15"/>
      <c r="DD422" s="15"/>
      <c r="DE422" s="15"/>
      <c r="DF422" s="15"/>
      <c r="DG422" s="15"/>
      <c r="DH422" s="15"/>
      <c r="DI422" s="15"/>
      <c r="DJ422" s="15"/>
      <c r="DK422" s="15"/>
      <c r="DL422" s="15"/>
      <c r="DM422" s="15"/>
      <c r="DN422" s="15"/>
      <c r="DO422" s="51"/>
      <c r="DP422" s="15"/>
      <c r="DQ422" s="15"/>
      <c r="DR422" s="15"/>
      <c r="DS422" s="15"/>
      <c r="DT422" s="15"/>
      <c r="DU422" s="15"/>
      <c r="DV422" s="15"/>
      <c r="DW422" s="15"/>
      <c r="DX422" s="15"/>
      <c r="DY422" s="15"/>
      <c r="DZ422" s="15"/>
      <c r="EA422" s="15"/>
      <c r="EB422" s="15"/>
      <c r="EC422" s="15"/>
      <c r="ED422" s="15"/>
      <c r="EE422" s="15"/>
      <c r="EF422" s="15"/>
      <c r="EG422" s="15"/>
      <c r="EH422" s="15"/>
      <c r="EI422" s="15"/>
      <c r="EJ422" s="15"/>
      <c r="EK422" s="15"/>
      <c r="EL422" s="15"/>
      <c r="EM422" s="15"/>
      <c r="EN422" s="15"/>
      <c r="EO422" s="15"/>
      <c r="EP422" s="15"/>
      <c r="EQ422" s="15"/>
      <c r="ER422" s="15"/>
      <c r="ES422" s="15"/>
      <c r="ET422" s="15"/>
      <c r="EU422" s="15"/>
      <c r="EV422" s="15"/>
      <c r="EW422" s="15"/>
      <c r="EX422" s="15"/>
      <c r="EY422" s="15"/>
      <c r="EZ422" s="15"/>
      <c r="FA422" s="15"/>
      <c r="FB422" s="15"/>
      <c r="FC422" s="15"/>
      <c r="FD422" s="15"/>
      <c r="FE422" s="15"/>
      <c r="FF422" s="15"/>
      <c r="FG422" s="15"/>
      <c r="FH422" s="15"/>
      <c r="FI422" s="15"/>
      <c r="FJ422" s="15"/>
      <c r="FK422" s="15"/>
      <c r="FL422" s="15"/>
      <c r="FM422" s="15"/>
      <c r="FN422" s="15"/>
      <c r="FO422" s="15"/>
      <c r="FP422" s="15"/>
      <c r="FQ422" s="15"/>
      <c r="FR422" s="15"/>
      <c r="FS422" s="15"/>
      <c r="FT422" s="15"/>
      <c r="FU422" s="15"/>
      <c r="FV422" s="15"/>
      <c r="FW422" s="15"/>
      <c r="FX422" s="15"/>
      <c r="FY422" s="15"/>
      <c r="FZ422" s="15"/>
      <c r="GA422" s="15"/>
      <c r="GB422" s="15"/>
      <c r="GC422" s="15"/>
      <c r="GD422" s="15"/>
      <c r="GE422" s="15"/>
      <c r="GF422" s="15"/>
      <c r="GG422" s="15"/>
      <c r="GH422" s="15"/>
      <c r="GI422" s="15"/>
      <c r="GJ422" s="15"/>
      <c r="GK422" s="15"/>
      <c r="GL422" s="15"/>
      <c r="GM422" s="15"/>
      <c r="GN422" s="15"/>
      <c r="GO422" s="15"/>
      <c r="GP422" s="15"/>
      <c r="GQ422" s="15"/>
      <c r="GR422" s="15"/>
      <c r="GS422" s="15"/>
      <c r="GT422" s="15"/>
      <c r="GU422" s="15"/>
      <c r="GV422" s="15"/>
      <c r="GW422" s="15"/>
      <c r="GX422" s="15"/>
      <c r="GY422" s="15"/>
      <c r="GZ422" s="15"/>
      <c r="HA422" s="15"/>
      <c r="HB422" s="15"/>
      <c r="HC422" s="15"/>
      <c r="HD422" s="15"/>
      <c r="HE422" s="15"/>
      <c r="HF422" s="15"/>
      <c r="HG422" s="981"/>
      <c r="HH422" s="981"/>
      <c r="HI422" s="981"/>
      <c r="HJ422" s="981"/>
      <c r="HK422" s="981"/>
      <c r="HL422" s="981"/>
      <c r="HM422" s="981"/>
      <c r="HN422" s="981"/>
      <c r="HO422" s="981"/>
      <c r="HP422" s="981"/>
      <c r="HQ422" s="981"/>
      <c r="HR422" s="981"/>
      <c r="HS422" s="981"/>
      <c r="HT422" s="981"/>
      <c r="HU422" s="51"/>
      <c r="HV422" s="15"/>
      <c r="HW422" s="15"/>
      <c r="HX422" s="15"/>
      <c r="HY422" s="15"/>
      <c r="HZ422" s="15"/>
      <c r="IA422" s="15"/>
      <c r="IB422" s="15"/>
      <c r="IC422" s="15"/>
      <c r="ID422" s="15"/>
      <c r="IE422" s="15"/>
      <c r="IF422" s="15"/>
      <c r="IG422" s="15"/>
      <c r="IH422" s="15"/>
      <c r="II422" s="15"/>
      <c r="IJ422" s="15"/>
      <c r="IK422" s="15"/>
      <c r="IL422" s="15"/>
      <c r="IM422" s="15"/>
      <c r="IN422" s="15"/>
      <c r="IO422" s="15"/>
    </row>
    <row r="423" spans="1:302" s="23" customFormat="1" ht="11.1" hidden="1" customHeight="1" outlineLevel="1">
      <c r="A423" s="232"/>
      <c r="B423" s="231"/>
      <c r="C423" s="229"/>
      <c r="D423" s="229"/>
      <c r="E423" s="230"/>
      <c r="F423" s="229"/>
      <c r="G423" s="229"/>
      <c r="H423" s="229"/>
      <c r="I423" s="16"/>
      <c r="J423" s="16"/>
      <c r="K423" s="228"/>
      <c r="L423" s="879"/>
      <c r="M423" s="223"/>
      <c r="N423" s="223"/>
      <c r="O423" s="223"/>
      <c r="P423" s="234"/>
      <c r="Q423" s="15"/>
      <c r="S423" s="15"/>
      <c r="T423" s="226"/>
      <c r="U423" s="226"/>
      <c r="V423" s="226"/>
      <c r="W423" s="226"/>
      <c r="X423" s="15"/>
      <c r="Y423" s="157"/>
      <c r="Z423" s="157"/>
      <c r="AA423" s="15"/>
      <c r="AB423" s="947"/>
      <c r="AC423" s="947"/>
      <c r="AD423" s="219"/>
      <c r="AE423" s="219"/>
      <c r="AF423" s="69"/>
      <c r="AG423" s="7"/>
      <c r="AH423" s="7"/>
      <c r="AI423" s="7"/>
      <c r="AJ423" s="7"/>
      <c r="AK423" s="235"/>
      <c r="AL423" s="940"/>
      <c r="AM423" s="940"/>
      <c r="AN423" s="940"/>
      <c r="AO423" s="940"/>
      <c r="AP423" s="940"/>
      <c r="AR423" s="940"/>
      <c r="AS423" s="67"/>
      <c r="AT423" s="54"/>
      <c r="AU423" s="22"/>
      <c r="AV423" s="22"/>
      <c r="AW423" s="22"/>
      <c r="AX423" s="22"/>
      <c r="AY423" s="22"/>
      <c r="AZ423" s="22"/>
      <c r="BA423" s="54"/>
      <c r="BB423" s="22"/>
      <c r="BC423" s="22"/>
      <c r="BD423" s="22"/>
      <c r="BE423" s="15"/>
      <c r="BF423" s="15"/>
      <c r="BG423" s="51"/>
      <c r="BH423" s="15"/>
      <c r="BI423" s="15"/>
      <c r="BJ423" s="15"/>
      <c r="BK423" s="51"/>
      <c r="BL423" s="15"/>
      <c r="BM423" s="15"/>
      <c r="BN423" s="15"/>
      <c r="BO423" s="15"/>
      <c r="BP423" s="15"/>
      <c r="BQ423" s="15"/>
      <c r="BR423" s="15"/>
      <c r="BS423" s="15"/>
      <c r="BT423" s="15"/>
      <c r="BU423" s="15"/>
      <c r="BV423" s="15"/>
      <c r="BW423" s="15"/>
      <c r="BX423" s="51"/>
      <c r="BY423" s="15"/>
      <c r="BZ423" s="15"/>
      <c r="CA423" s="15"/>
      <c r="CB423" s="15"/>
      <c r="CC423" s="15"/>
      <c r="CD423" s="15"/>
      <c r="CE423" s="15"/>
      <c r="CF423" s="15"/>
      <c r="CG423" s="15"/>
      <c r="CH423" s="15"/>
      <c r="CI423" s="15"/>
      <c r="CJ423" s="15"/>
      <c r="CK423" s="15"/>
      <c r="CL423" s="15"/>
      <c r="CM423" s="15"/>
      <c r="CN423" s="15"/>
      <c r="CO423" s="15"/>
      <c r="CP423" s="15"/>
      <c r="CQ423" s="15"/>
      <c r="CR423" s="15"/>
      <c r="CS423" s="51"/>
      <c r="CT423" s="15"/>
      <c r="CU423" s="15"/>
      <c r="CV423" s="15"/>
      <c r="CW423" s="15"/>
      <c r="CX423" s="15"/>
      <c r="CY423" s="15"/>
      <c r="CZ423" s="15"/>
      <c r="DA423" s="15"/>
      <c r="DB423" s="15"/>
      <c r="DC423" s="15"/>
      <c r="DD423" s="15"/>
      <c r="DE423" s="15"/>
      <c r="DF423" s="15"/>
      <c r="DG423" s="15"/>
      <c r="DH423" s="15"/>
      <c r="DI423" s="15"/>
      <c r="DJ423" s="15"/>
      <c r="DK423" s="15"/>
      <c r="DL423" s="15"/>
      <c r="DM423" s="15"/>
      <c r="DN423" s="15"/>
      <c r="DO423" s="51"/>
      <c r="DP423" s="15"/>
      <c r="DQ423" s="15"/>
      <c r="DR423" s="15"/>
      <c r="DS423" s="15"/>
      <c r="DT423" s="15"/>
      <c r="DU423" s="15"/>
      <c r="DV423" s="15"/>
      <c r="DW423" s="15"/>
      <c r="DX423" s="15"/>
      <c r="DY423" s="15"/>
      <c r="DZ423" s="15"/>
      <c r="EA423" s="15"/>
      <c r="EB423" s="15"/>
      <c r="EC423" s="15"/>
      <c r="ED423" s="15"/>
      <c r="EE423" s="15"/>
      <c r="EF423" s="15"/>
      <c r="EG423" s="15"/>
      <c r="EH423" s="15"/>
      <c r="EI423" s="15"/>
      <c r="EJ423" s="15"/>
      <c r="EK423" s="15"/>
      <c r="EL423" s="15"/>
      <c r="EM423" s="15"/>
      <c r="EN423" s="15"/>
      <c r="EO423" s="15"/>
      <c r="EP423" s="15"/>
      <c r="EQ423" s="15"/>
      <c r="ER423" s="15"/>
      <c r="ES423" s="15"/>
      <c r="ET423" s="15"/>
      <c r="EU423" s="15"/>
      <c r="EV423" s="15"/>
      <c r="EW423" s="15"/>
      <c r="EX423" s="15"/>
      <c r="EY423" s="15"/>
      <c r="EZ423" s="15"/>
      <c r="FA423" s="15"/>
      <c r="FB423" s="15"/>
      <c r="FC423" s="15"/>
      <c r="FD423" s="15"/>
      <c r="FE423" s="15"/>
      <c r="FF423" s="15"/>
      <c r="FG423" s="15"/>
      <c r="FH423" s="15"/>
      <c r="FI423" s="15"/>
      <c r="FJ423" s="15"/>
      <c r="FK423" s="15"/>
      <c r="FL423" s="15"/>
      <c r="FM423" s="15"/>
      <c r="FN423" s="15"/>
      <c r="FO423" s="15"/>
      <c r="FP423" s="15"/>
      <c r="FQ423" s="15"/>
      <c r="FR423" s="15"/>
      <c r="FS423" s="15"/>
      <c r="FT423" s="15"/>
      <c r="FU423" s="15"/>
      <c r="FV423" s="15"/>
      <c r="FW423" s="15"/>
      <c r="FX423" s="15"/>
      <c r="FY423" s="15"/>
      <c r="FZ423" s="15"/>
      <c r="GA423" s="15"/>
      <c r="GB423" s="15"/>
      <c r="GC423" s="15"/>
      <c r="GD423" s="15"/>
      <c r="GE423" s="15"/>
      <c r="GF423" s="15"/>
      <c r="GG423" s="15"/>
      <c r="GH423" s="15"/>
      <c r="GI423" s="15"/>
      <c r="GJ423" s="15"/>
      <c r="GK423" s="15"/>
      <c r="GL423" s="15"/>
      <c r="GM423" s="15"/>
      <c r="GN423" s="15"/>
      <c r="GO423" s="15"/>
      <c r="GP423" s="15"/>
      <c r="GQ423" s="15"/>
      <c r="GR423" s="15"/>
      <c r="GS423" s="15"/>
      <c r="GT423" s="15"/>
      <c r="GU423" s="15"/>
      <c r="GV423" s="15"/>
      <c r="GW423" s="15"/>
      <c r="GX423" s="15"/>
      <c r="GY423" s="15"/>
      <c r="GZ423" s="15"/>
      <c r="HA423" s="15"/>
      <c r="HB423" s="15"/>
      <c r="HC423" s="15"/>
      <c r="HD423" s="15"/>
      <c r="HE423" s="15"/>
      <c r="HF423" s="15"/>
      <c r="HG423" s="981"/>
      <c r="HH423" s="981"/>
      <c r="HI423" s="981"/>
      <c r="HJ423" s="981"/>
      <c r="HK423" s="981"/>
      <c r="HL423" s="981"/>
      <c r="HM423" s="981"/>
      <c r="HN423" s="981"/>
      <c r="HO423" s="981"/>
      <c r="HP423" s="981"/>
      <c r="HQ423" s="981"/>
      <c r="HR423" s="981"/>
      <c r="HS423" s="981"/>
      <c r="HT423" s="981"/>
      <c r="HU423" s="51"/>
      <c r="HV423" s="15"/>
      <c r="HW423" s="15"/>
      <c r="HX423" s="15"/>
      <c r="HY423" s="15"/>
      <c r="HZ423" s="15"/>
      <c r="IA423" s="15"/>
      <c r="IB423" s="15"/>
      <c r="IC423" s="15"/>
      <c r="ID423" s="15"/>
      <c r="IE423" s="15"/>
      <c r="IF423" s="15"/>
      <c r="IG423" s="15"/>
      <c r="IH423" s="15"/>
      <c r="II423" s="15"/>
      <c r="IJ423" s="15"/>
      <c r="IK423" s="15"/>
      <c r="IL423" s="15"/>
      <c r="IM423" s="15"/>
      <c r="IN423" s="15"/>
      <c r="IO423" s="15"/>
    </row>
    <row r="424" spans="1:302" s="23" customFormat="1" ht="11.1" hidden="1" customHeight="1" outlineLevel="1">
      <c r="A424" s="232"/>
      <c r="B424" s="231"/>
      <c r="C424" s="229"/>
      <c r="D424" s="229"/>
      <c r="E424" s="230"/>
      <c r="F424" s="229"/>
      <c r="G424" s="229"/>
      <c r="H424" s="229"/>
      <c r="I424" s="16"/>
      <c r="J424" s="16"/>
      <c r="K424" s="228"/>
      <c r="L424" s="879"/>
      <c r="M424" s="223"/>
      <c r="N424" s="223"/>
      <c r="O424" s="223"/>
      <c r="P424" s="234"/>
      <c r="Q424" s="15"/>
      <c r="S424" s="15"/>
      <c r="T424" s="226"/>
      <c r="U424" s="226"/>
      <c r="V424" s="226"/>
      <c r="W424" s="226"/>
      <c r="X424" s="15"/>
      <c r="Y424" s="157"/>
      <c r="Z424" s="157"/>
      <c r="AA424" s="15"/>
      <c r="AB424" s="947"/>
      <c r="AC424" s="947"/>
      <c r="AD424" s="219"/>
      <c r="AE424" s="219"/>
      <c r="AF424" s="69"/>
      <c r="AG424" s="981"/>
      <c r="AH424" s="981"/>
      <c r="AI424" s="981"/>
      <c r="AJ424" s="981"/>
      <c r="AK424" s="225"/>
      <c r="AL424" s="22"/>
      <c r="AM424" s="22"/>
      <c r="AN424" s="22"/>
      <c r="AO424" s="22"/>
      <c r="AP424" s="940"/>
      <c r="AR424" s="940"/>
      <c r="AS424" s="67"/>
      <c r="AT424" s="54"/>
      <c r="AU424" s="22"/>
      <c r="AV424" s="22"/>
      <c r="AW424" s="22"/>
      <c r="AX424" s="22"/>
      <c r="AY424" s="22"/>
      <c r="AZ424" s="22"/>
      <c r="BA424" s="54"/>
      <c r="BB424" s="22"/>
      <c r="BC424" s="22"/>
      <c r="BD424" s="22"/>
      <c r="BE424" s="15"/>
      <c r="BF424" s="15"/>
      <c r="BG424" s="51"/>
      <c r="BH424" s="15"/>
      <c r="BI424" s="15"/>
      <c r="BJ424" s="15"/>
      <c r="BK424" s="51"/>
      <c r="BL424" s="15"/>
      <c r="BM424" s="15"/>
      <c r="BN424" s="15"/>
      <c r="BO424" s="15"/>
      <c r="BP424" s="15"/>
      <c r="BQ424" s="15"/>
      <c r="BR424" s="15"/>
      <c r="BS424" s="15"/>
      <c r="BT424" s="15"/>
      <c r="BU424" s="15"/>
      <c r="BV424" s="15"/>
      <c r="BW424" s="15"/>
      <c r="BX424" s="51"/>
      <c r="BY424" s="15"/>
      <c r="BZ424" s="15"/>
      <c r="CA424" s="15"/>
      <c r="CB424" s="15"/>
      <c r="CC424" s="15"/>
      <c r="CD424" s="15"/>
      <c r="CE424" s="15"/>
      <c r="CF424" s="15"/>
      <c r="CG424" s="15"/>
      <c r="CH424" s="15"/>
      <c r="CI424" s="15"/>
      <c r="CJ424" s="15"/>
      <c r="CK424" s="15"/>
      <c r="CL424" s="15"/>
      <c r="CM424" s="15"/>
      <c r="CN424" s="15"/>
      <c r="CO424" s="15"/>
      <c r="CP424" s="15"/>
      <c r="CQ424" s="15"/>
      <c r="CR424" s="15"/>
      <c r="CS424" s="51"/>
      <c r="CT424" s="15"/>
      <c r="CU424" s="15"/>
      <c r="CV424" s="15"/>
      <c r="CW424" s="15"/>
      <c r="CX424" s="15"/>
      <c r="CY424" s="15"/>
      <c r="CZ424" s="15"/>
      <c r="DA424" s="15"/>
      <c r="DB424" s="15"/>
      <c r="DC424" s="15"/>
      <c r="DD424" s="15"/>
      <c r="DE424" s="15"/>
      <c r="DF424" s="15"/>
      <c r="DG424" s="15"/>
      <c r="DH424" s="15"/>
      <c r="DI424" s="15"/>
      <c r="DJ424" s="15"/>
      <c r="DK424" s="15"/>
      <c r="DL424" s="15"/>
      <c r="DM424" s="15"/>
      <c r="DN424" s="15"/>
      <c r="DO424" s="51"/>
      <c r="DP424" s="15"/>
      <c r="DQ424" s="15"/>
      <c r="DR424" s="15"/>
      <c r="DS424" s="15"/>
      <c r="DT424" s="15"/>
      <c r="DU424" s="15"/>
      <c r="DV424" s="15"/>
      <c r="DW424" s="15"/>
      <c r="DX424" s="15"/>
      <c r="DY424" s="15"/>
      <c r="DZ424" s="15"/>
      <c r="EA424" s="15"/>
      <c r="EB424" s="15"/>
      <c r="EC424" s="15"/>
      <c r="ED424" s="15"/>
      <c r="EE424" s="15"/>
      <c r="EF424" s="15"/>
      <c r="EG424" s="15"/>
      <c r="EH424" s="15"/>
      <c r="EI424" s="15"/>
      <c r="EJ424" s="15"/>
      <c r="EK424" s="15"/>
      <c r="EL424" s="15"/>
      <c r="EM424" s="15"/>
      <c r="EN424" s="15"/>
      <c r="EO424" s="15"/>
      <c r="EP424" s="15"/>
      <c r="EQ424" s="15"/>
      <c r="ER424" s="15"/>
      <c r="ES424" s="15"/>
      <c r="ET424" s="15"/>
      <c r="EU424" s="15"/>
      <c r="EV424" s="15"/>
      <c r="EW424" s="15"/>
      <c r="EX424" s="15"/>
      <c r="EY424" s="15"/>
      <c r="EZ424" s="15"/>
      <c r="FA424" s="15"/>
      <c r="FB424" s="15"/>
      <c r="FC424" s="15"/>
      <c r="FD424" s="15"/>
      <c r="FE424" s="15"/>
      <c r="FF424" s="15"/>
      <c r="FG424" s="15"/>
      <c r="FH424" s="15"/>
      <c r="FI424" s="15"/>
      <c r="FJ424" s="15"/>
      <c r="FK424" s="15"/>
      <c r="FL424" s="15"/>
      <c r="FM424" s="15"/>
      <c r="FN424" s="15"/>
      <c r="FO424" s="15"/>
      <c r="FP424" s="15"/>
      <c r="FQ424" s="15"/>
      <c r="FR424" s="15"/>
      <c r="FS424" s="15"/>
      <c r="FT424" s="15"/>
      <c r="FU424" s="15"/>
      <c r="FV424" s="15"/>
      <c r="FW424" s="15"/>
      <c r="FX424" s="15"/>
      <c r="FY424" s="15"/>
      <c r="FZ424" s="15"/>
      <c r="GA424" s="15"/>
      <c r="GB424" s="15"/>
      <c r="GC424" s="15"/>
      <c r="GD424" s="15"/>
      <c r="GE424" s="15"/>
      <c r="GF424" s="15"/>
      <c r="GG424" s="15"/>
      <c r="GH424" s="15"/>
      <c r="GI424" s="15"/>
      <c r="GJ424" s="15"/>
      <c r="GK424" s="15"/>
      <c r="GL424" s="15"/>
      <c r="GM424" s="15"/>
      <c r="GN424" s="15"/>
      <c r="GO424" s="15"/>
      <c r="GP424" s="15"/>
      <c r="GQ424" s="15"/>
      <c r="GR424" s="15"/>
      <c r="GS424" s="15"/>
      <c r="GT424" s="15"/>
      <c r="GU424" s="15"/>
      <c r="GV424" s="15"/>
      <c r="GW424" s="15"/>
      <c r="GX424" s="15"/>
      <c r="GY424" s="15"/>
      <c r="GZ424" s="15"/>
      <c r="HA424" s="15"/>
      <c r="HB424" s="15"/>
      <c r="HC424" s="15"/>
      <c r="HD424" s="15"/>
      <c r="HE424" s="15"/>
      <c r="HF424" s="15"/>
      <c r="HG424" s="981"/>
      <c r="HH424" s="981"/>
      <c r="HI424" s="981"/>
      <c r="HJ424" s="981"/>
      <c r="HK424" s="981"/>
      <c r="HL424" s="981"/>
      <c r="HM424" s="981"/>
      <c r="HN424" s="981"/>
      <c r="HO424" s="981"/>
      <c r="HP424" s="981"/>
      <c r="HQ424" s="981"/>
      <c r="HR424" s="981"/>
      <c r="HS424" s="981"/>
      <c r="HT424" s="981"/>
      <c r="HU424" s="51"/>
      <c r="HV424" s="15"/>
      <c r="HW424" s="15"/>
      <c r="HX424" s="15"/>
      <c r="HY424" s="15"/>
      <c r="HZ424" s="15"/>
      <c r="IA424" s="15"/>
      <c r="IB424" s="15"/>
      <c r="IC424" s="15"/>
      <c r="ID424" s="15"/>
      <c r="IE424" s="15"/>
      <c r="IF424" s="15"/>
      <c r="IG424" s="15"/>
      <c r="IH424" s="15"/>
      <c r="II424" s="15"/>
      <c r="IJ424" s="15"/>
      <c r="IK424" s="15"/>
      <c r="IL424" s="15"/>
      <c r="IM424" s="15"/>
      <c r="IN424" s="15"/>
      <c r="IO424" s="15"/>
    </row>
    <row r="425" spans="1:302" s="23" customFormat="1" ht="11.1" hidden="1" customHeight="1" outlineLevel="1">
      <c r="A425" s="232"/>
      <c r="B425" s="231"/>
      <c r="C425" s="229"/>
      <c r="D425" s="229"/>
      <c r="E425" s="230"/>
      <c r="F425" s="229"/>
      <c r="G425" s="229"/>
      <c r="H425" s="229"/>
      <c r="I425" s="16"/>
      <c r="J425" s="16"/>
      <c r="K425" s="228"/>
      <c r="L425" s="879"/>
      <c r="M425" s="223"/>
      <c r="N425" s="223"/>
      <c r="O425" s="223"/>
      <c r="P425" s="234"/>
      <c r="Q425" s="15"/>
      <c r="S425" s="15"/>
      <c r="T425" s="226"/>
      <c r="U425" s="226"/>
      <c r="V425" s="226"/>
      <c r="W425" s="226"/>
      <c r="X425" s="15"/>
      <c r="Y425" s="157"/>
      <c r="Z425" s="157"/>
      <c r="AA425" s="15"/>
      <c r="AB425" s="947"/>
      <c r="AC425" s="947"/>
      <c r="AD425" s="219"/>
      <c r="AE425" s="219"/>
      <c r="AF425" s="69"/>
      <c r="AG425" s="981"/>
      <c r="AH425" s="981"/>
      <c r="AI425" s="981"/>
      <c r="AJ425" s="981"/>
      <c r="AK425" s="225"/>
      <c r="AL425" s="22"/>
      <c r="AM425" s="22"/>
      <c r="AN425" s="22"/>
      <c r="AO425" s="22"/>
      <c r="AP425" s="940"/>
      <c r="AR425" s="940"/>
      <c r="AS425" s="67"/>
      <c r="AT425" s="54"/>
      <c r="AU425" s="22"/>
      <c r="AV425" s="22"/>
      <c r="AW425" s="22"/>
      <c r="AX425" s="22"/>
      <c r="AY425" s="22"/>
      <c r="AZ425" s="22"/>
      <c r="BA425" s="54"/>
      <c r="BB425" s="22"/>
      <c r="BC425" s="22"/>
      <c r="BD425" s="22"/>
      <c r="BE425" s="15"/>
      <c r="BF425" s="15"/>
      <c r="BG425" s="51"/>
      <c r="BH425" s="15"/>
      <c r="BI425" s="15"/>
      <c r="BJ425" s="15"/>
      <c r="BK425" s="51"/>
      <c r="BL425" s="15"/>
      <c r="BM425" s="15"/>
      <c r="BN425" s="15"/>
      <c r="BO425" s="15"/>
      <c r="BP425" s="15"/>
      <c r="BQ425" s="15"/>
      <c r="BR425" s="15"/>
      <c r="BS425" s="15"/>
      <c r="BT425" s="15"/>
      <c r="BU425" s="15"/>
      <c r="BV425" s="15"/>
      <c r="BW425" s="15"/>
      <c r="BX425" s="51"/>
      <c r="BY425" s="15"/>
      <c r="BZ425" s="15"/>
      <c r="CA425" s="15"/>
      <c r="CB425" s="15"/>
      <c r="CC425" s="15"/>
      <c r="CD425" s="15"/>
      <c r="CE425" s="15"/>
      <c r="CF425" s="15"/>
      <c r="CG425" s="15"/>
      <c r="CH425" s="15"/>
      <c r="CI425" s="15"/>
      <c r="CJ425" s="15"/>
      <c r="CK425" s="15"/>
      <c r="CL425" s="15"/>
      <c r="CM425" s="15"/>
      <c r="CN425" s="15"/>
      <c r="CO425" s="15"/>
      <c r="CP425" s="15"/>
      <c r="CQ425" s="15"/>
      <c r="CR425" s="15"/>
      <c r="CS425" s="51"/>
      <c r="CT425" s="15"/>
      <c r="CU425" s="15"/>
      <c r="CV425" s="15"/>
      <c r="CW425" s="15"/>
      <c r="CX425" s="15"/>
      <c r="CY425" s="15"/>
      <c r="CZ425" s="15"/>
      <c r="DA425" s="15"/>
      <c r="DB425" s="15"/>
      <c r="DC425" s="15"/>
      <c r="DD425" s="15"/>
      <c r="DE425" s="15"/>
      <c r="DF425" s="15"/>
      <c r="DG425" s="15"/>
      <c r="DH425" s="15"/>
      <c r="DI425" s="15"/>
      <c r="DJ425" s="15"/>
      <c r="DK425" s="15"/>
      <c r="DL425" s="15"/>
      <c r="DM425" s="15"/>
      <c r="DN425" s="15"/>
      <c r="DO425" s="51"/>
      <c r="DP425" s="15"/>
      <c r="DQ425" s="15"/>
      <c r="DR425" s="15"/>
      <c r="DS425" s="15"/>
      <c r="DT425" s="15"/>
      <c r="DU425" s="15"/>
      <c r="DV425" s="15"/>
      <c r="DW425" s="15"/>
      <c r="DX425" s="15"/>
      <c r="DY425" s="15"/>
      <c r="DZ425" s="15"/>
      <c r="EA425" s="15"/>
      <c r="EB425" s="15"/>
      <c r="EC425" s="15"/>
      <c r="ED425" s="15"/>
      <c r="EE425" s="15"/>
      <c r="EF425" s="15"/>
      <c r="EG425" s="15"/>
      <c r="EH425" s="15"/>
      <c r="EI425" s="15"/>
      <c r="EJ425" s="15"/>
      <c r="EK425" s="15"/>
      <c r="EL425" s="15"/>
      <c r="EM425" s="15"/>
      <c r="EN425" s="15"/>
      <c r="EO425" s="15"/>
      <c r="EP425" s="15"/>
      <c r="EQ425" s="15"/>
      <c r="ER425" s="15"/>
      <c r="ES425" s="15"/>
      <c r="ET425" s="15"/>
      <c r="EU425" s="15"/>
      <c r="EV425" s="15"/>
      <c r="EW425" s="15"/>
      <c r="EX425" s="15"/>
      <c r="EY425" s="15"/>
      <c r="EZ425" s="15"/>
      <c r="FA425" s="15"/>
      <c r="FB425" s="15"/>
      <c r="FC425" s="15"/>
      <c r="FD425" s="15"/>
      <c r="FE425" s="15"/>
      <c r="FF425" s="15"/>
      <c r="FG425" s="15"/>
      <c r="FH425" s="15"/>
      <c r="FI425" s="15"/>
      <c r="FJ425" s="15"/>
      <c r="FK425" s="15"/>
      <c r="FL425" s="15"/>
      <c r="FM425" s="15"/>
      <c r="FN425" s="15"/>
      <c r="FO425" s="15"/>
      <c r="FP425" s="15"/>
      <c r="FQ425" s="15"/>
      <c r="FR425" s="15"/>
      <c r="FS425" s="15"/>
      <c r="FT425" s="15"/>
      <c r="FU425" s="15"/>
      <c r="FV425" s="15"/>
      <c r="FW425" s="15"/>
      <c r="FX425" s="15"/>
      <c r="FY425" s="15"/>
      <c r="FZ425" s="15"/>
      <c r="GA425" s="15"/>
      <c r="GB425" s="15"/>
      <c r="GC425" s="15"/>
      <c r="GD425" s="15"/>
      <c r="GE425" s="15"/>
      <c r="GF425" s="15"/>
      <c r="GG425" s="15"/>
      <c r="GH425" s="15"/>
      <c r="GI425" s="15"/>
      <c r="GJ425" s="15"/>
      <c r="GK425" s="15"/>
      <c r="GL425" s="15"/>
      <c r="GM425" s="15"/>
      <c r="GN425" s="15"/>
      <c r="GO425" s="15"/>
      <c r="GP425" s="15"/>
      <c r="GQ425" s="15"/>
      <c r="GR425" s="15"/>
      <c r="GS425" s="15"/>
      <c r="GT425" s="15"/>
      <c r="GU425" s="15"/>
      <c r="GV425" s="15"/>
      <c r="GW425" s="15"/>
      <c r="GX425" s="15"/>
      <c r="GY425" s="15"/>
      <c r="GZ425" s="15"/>
      <c r="HA425" s="15"/>
      <c r="HB425" s="15"/>
      <c r="HC425" s="15"/>
      <c r="HD425" s="15"/>
      <c r="HE425" s="15"/>
      <c r="HF425" s="15"/>
      <c r="HG425" s="981"/>
      <c r="HH425" s="981"/>
      <c r="HI425" s="981"/>
      <c r="HJ425" s="981"/>
      <c r="HK425" s="981"/>
      <c r="HL425" s="981"/>
      <c r="HM425" s="981"/>
      <c r="HN425" s="981"/>
      <c r="HO425" s="981"/>
      <c r="HP425" s="981"/>
      <c r="HQ425" s="981"/>
      <c r="HR425" s="981"/>
      <c r="HS425" s="981"/>
      <c r="HT425" s="981"/>
      <c r="HU425" s="51"/>
      <c r="HV425" s="15"/>
      <c r="HW425" s="15"/>
      <c r="HX425" s="15"/>
      <c r="HY425" s="15"/>
      <c r="HZ425" s="15"/>
      <c r="IA425" s="15"/>
      <c r="IB425" s="15"/>
      <c r="IC425" s="15"/>
      <c r="ID425" s="15"/>
      <c r="IE425" s="15"/>
      <c r="IF425" s="15"/>
      <c r="IG425" s="15"/>
      <c r="IH425" s="15"/>
      <c r="II425" s="15"/>
      <c r="IJ425" s="15"/>
      <c r="IK425" s="15"/>
      <c r="IL425" s="15"/>
      <c r="IM425" s="15"/>
      <c r="IN425" s="15"/>
      <c r="IO425" s="15"/>
    </row>
    <row r="426" spans="1:302" s="23" customFormat="1" ht="11.1" hidden="1" customHeight="1" outlineLevel="1">
      <c r="A426" s="232"/>
      <c r="B426" s="231"/>
      <c r="C426" s="229"/>
      <c r="D426" s="229"/>
      <c r="E426" s="230"/>
      <c r="F426" s="229"/>
      <c r="G426" s="229"/>
      <c r="H426" s="229"/>
      <c r="I426" s="16"/>
      <c r="J426" s="16"/>
      <c r="K426" s="228"/>
      <c r="L426" s="879"/>
      <c r="M426" s="223"/>
      <c r="N426" s="223"/>
      <c r="O426" s="223"/>
      <c r="P426" s="234"/>
      <c r="Q426" s="15"/>
      <c r="S426" s="15"/>
      <c r="T426" s="226"/>
      <c r="U426" s="226"/>
      <c r="V426" s="226"/>
      <c r="W426" s="226"/>
      <c r="X426" s="15"/>
      <c r="Y426" s="157"/>
      <c r="Z426" s="157"/>
      <c r="AA426" s="15"/>
      <c r="AB426" s="947"/>
      <c r="AC426" s="947"/>
      <c r="AD426" s="219"/>
      <c r="AE426" s="219"/>
      <c r="AF426" s="69"/>
      <c r="AG426" s="981"/>
      <c r="AH426" s="981"/>
      <c r="AI426" s="981"/>
      <c r="AJ426" s="981"/>
      <c r="AK426" s="225"/>
      <c r="AL426" s="22"/>
      <c r="AM426" s="22"/>
      <c r="AN426" s="22"/>
      <c r="AO426" s="22"/>
      <c r="AP426" s="940"/>
      <c r="AR426" s="940"/>
      <c r="AS426" s="67"/>
      <c r="AT426" s="54"/>
      <c r="AU426" s="22"/>
      <c r="AV426" s="22"/>
      <c r="AW426" s="22"/>
      <c r="AX426" s="22"/>
      <c r="AY426" s="22"/>
      <c r="AZ426" s="22"/>
      <c r="BA426" s="54"/>
      <c r="BB426" s="22"/>
      <c r="BC426" s="22"/>
      <c r="BD426" s="22"/>
      <c r="BE426" s="15"/>
      <c r="BF426" s="15"/>
      <c r="BG426" s="51"/>
      <c r="BH426" s="15"/>
      <c r="BI426" s="15"/>
      <c r="BJ426" s="15"/>
      <c r="BK426" s="51"/>
      <c r="BL426" s="15"/>
      <c r="BM426" s="15"/>
      <c r="BN426" s="15"/>
      <c r="BO426" s="15"/>
      <c r="BP426" s="15"/>
      <c r="BQ426" s="15"/>
      <c r="BR426" s="15"/>
      <c r="BS426" s="15"/>
      <c r="BT426" s="15"/>
      <c r="BU426" s="15"/>
      <c r="BV426" s="15"/>
      <c r="BW426" s="15"/>
      <c r="BX426" s="51"/>
      <c r="BY426" s="15"/>
      <c r="BZ426" s="15"/>
      <c r="CA426" s="15"/>
      <c r="CB426" s="15"/>
      <c r="CC426" s="15"/>
      <c r="CD426" s="15"/>
      <c r="CE426" s="15"/>
      <c r="CF426" s="15"/>
      <c r="CG426" s="15"/>
      <c r="CH426" s="15"/>
      <c r="CI426" s="15"/>
      <c r="CJ426" s="15"/>
      <c r="CK426" s="15"/>
      <c r="CL426" s="15"/>
      <c r="CM426" s="15"/>
      <c r="CN426" s="15"/>
      <c r="CO426" s="15"/>
      <c r="CP426" s="15"/>
      <c r="CQ426" s="15"/>
      <c r="CR426" s="15"/>
      <c r="CS426" s="51"/>
      <c r="CT426" s="15"/>
      <c r="CU426" s="15"/>
      <c r="CV426" s="15"/>
      <c r="CW426" s="15"/>
      <c r="CX426" s="15"/>
      <c r="CY426" s="15"/>
      <c r="CZ426" s="15"/>
      <c r="DA426" s="15"/>
      <c r="DB426" s="15"/>
      <c r="DC426" s="15"/>
      <c r="DD426" s="15"/>
      <c r="DE426" s="15"/>
      <c r="DF426" s="15"/>
      <c r="DG426" s="15"/>
      <c r="DH426" s="15"/>
      <c r="DI426" s="15"/>
      <c r="DJ426" s="15"/>
      <c r="DK426" s="15"/>
      <c r="DL426" s="15"/>
      <c r="DM426" s="15"/>
      <c r="DN426" s="15"/>
      <c r="DO426" s="51"/>
      <c r="DP426" s="15"/>
      <c r="DQ426" s="15"/>
      <c r="DR426" s="15"/>
      <c r="DS426" s="15"/>
      <c r="DT426" s="15"/>
      <c r="DU426" s="15"/>
      <c r="DV426" s="15"/>
      <c r="DW426" s="15"/>
      <c r="DX426" s="15"/>
      <c r="DY426" s="15"/>
      <c r="DZ426" s="15"/>
      <c r="EA426" s="15"/>
      <c r="EB426" s="15"/>
      <c r="EC426" s="15"/>
      <c r="ED426" s="15"/>
      <c r="EE426" s="15"/>
      <c r="EF426" s="15"/>
      <c r="EG426" s="15"/>
      <c r="EH426" s="15"/>
      <c r="EI426" s="15"/>
      <c r="EJ426" s="15"/>
      <c r="EK426" s="15"/>
      <c r="EL426" s="15"/>
      <c r="EM426" s="15"/>
      <c r="EN426" s="15"/>
      <c r="EO426" s="15"/>
      <c r="EP426" s="15"/>
      <c r="EQ426" s="15"/>
      <c r="ER426" s="15"/>
      <c r="ES426" s="15"/>
      <c r="ET426" s="15"/>
      <c r="EU426" s="15"/>
      <c r="EV426" s="15"/>
      <c r="EW426" s="15"/>
      <c r="EX426" s="15"/>
      <c r="EY426" s="15"/>
      <c r="EZ426" s="15"/>
      <c r="FA426" s="15"/>
      <c r="FB426" s="15"/>
      <c r="FC426" s="15"/>
      <c r="FD426" s="15"/>
      <c r="FE426" s="15"/>
      <c r="FF426" s="15"/>
      <c r="FG426" s="15"/>
      <c r="FH426" s="15"/>
      <c r="FI426" s="15"/>
      <c r="FJ426" s="15"/>
      <c r="FK426" s="15"/>
      <c r="FL426" s="15"/>
      <c r="FM426" s="15"/>
      <c r="FN426" s="15"/>
      <c r="FO426" s="15"/>
      <c r="FP426" s="15"/>
      <c r="FQ426" s="15"/>
      <c r="FR426" s="15"/>
      <c r="FS426" s="15"/>
      <c r="FT426" s="15"/>
      <c r="FU426" s="15"/>
      <c r="FV426" s="15"/>
      <c r="FW426" s="15"/>
      <c r="FX426" s="15"/>
      <c r="FY426" s="15"/>
      <c r="FZ426" s="15"/>
      <c r="GA426" s="15"/>
      <c r="GB426" s="15"/>
      <c r="GC426" s="15"/>
      <c r="GD426" s="15"/>
      <c r="GE426" s="15"/>
      <c r="GF426" s="15"/>
      <c r="GG426" s="15"/>
      <c r="GH426" s="15"/>
      <c r="GI426" s="15"/>
      <c r="GJ426" s="15"/>
      <c r="GK426" s="15"/>
      <c r="GL426" s="15"/>
      <c r="GM426" s="15"/>
      <c r="GN426" s="15"/>
      <c r="GO426" s="15"/>
      <c r="GP426" s="15"/>
      <c r="GQ426" s="15"/>
      <c r="GR426" s="15"/>
      <c r="GS426" s="15"/>
      <c r="GT426" s="15"/>
      <c r="GU426" s="15"/>
      <c r="GV426" s="15"/>
      <c r="GW426" s="15"/>
      <c r="GX426" s="15"/>
      <c r="GY426" s="15"/>
      <c r="GZ426" s="15"/>
      <c r="HA426" s="15"/>
      <c r="HB426" s="15"/>
      <c r="HC426" s="15"/>
      <c r="HD426" s="15"/>
      <c r="HE426" s="15"/>
      <c r="HF426" s="15"/>
      <c r="HG426" s="981"/>
      <c r="HH426" s="981"/>
      <c r="HI426" s="981"/>
      <c r="HJ426" s="981"/>
      <c r="HK426" s="981"/>
      <c r="HL426" s="981"/>
      <c r="HM426" s="981"/>
      <c r="HN426" s="981"/>
      <c r="HO426" s="981"/>
      <c r="HP426" s="981"/>
      <c r="HQ426" s="981"/>
      <c r="HR426" s="981"/>
      <c r="HS426" s="981"/>
      <c r="HT426" s="981"/>
      <c r="HU426" s="51"/>
      <c r="HV426" s="15"/>
      <c r="HW426" s="15"/>
      <c r="HX426" s="15"/>
      <c r="HY426" s="15"/>
      <c r="HZ426" s="15"/>
      <c r="IA426" s="15"/>
      <c r="IB426" s="15"/>
      <c r="IC426" s="15"/>
      <c r="ID426" s="15"/>
      <c r="IE426" s="15"/>
      <c r="IF426" s="15"/>
      <c r="IG426" s="15"/>
      <c r="IH426" s="15"/>
      <c r="II426" s="15"/>
      <c r="IJ426" s="15"/>
      <c r="IK426" s="15"/>
      <c r="IL426" s="15"/>
      <c r="IM426" s="15"/>
      <c r="IN426" s="15"/>
      <c r="IO426" s="15"/>
    </row>
    <row r="427" spans="1:302" s="23" customFormat="1" ht="11.1" hidden="1" customHeight="1" outlineLevel="1">
      <c r="A427" s="232"/>
      <c r="B427" s="231"/>
      <c r="C427" s="229"/>
      <c r="D427" s="229"/>
      <c r="E427" s="230"/>
      <c r="F427" s="229"/>
      <c r="G427" s="229"/>
      <c r="H427" s="229"/>
      <c r="I427" s="16"/>
      <c r="J427" s="16"/>
      <c r="K427" s="228"/>
      <c r="L427" s="879"/>
      <c r="M427" s="223"/>
      <c r="N427" s="223"/>
      <c r="O427" s="223"/>
      <c r="P427" s="234"/>
      <c r="Q427" s="15"/>
      <c r="S427" s="15"/>
      <c r="T427" s="226"/>
      <c r="U427" s="226"/>
      <c r="V427" s="226"/>
      <c r="W427" s="226"/>
      <c r="X427" s="15"/>
      <c r="Y427" s="157"/>
      <c r="Z427" s="157"/>
      <c r="AA427" s="15"/>
      <c r="AB427" s="947"/>
      <c r="AC427" s="947"/>
      <c r="AD427" s="219"/>
      <c r="AE427" s="219"/>
      <c r="AF427" s="69"/>
      <c r="AG427" s="981"/>
      <c r="AH427" s="981"/>
      <c r="AI427" s="981"/>
      <c r="AJ427" s="981"/>
      <c r="AK427" s="225"/>
      <c r="AL427" s="22"/>
      <c r="AM427" s="22"/>
      <c r="AN427" s="22"/>
      <c r="AO427" s="22"/>
      <c r="AP427" s="940"/>
      <c r="AR427" s="940"/>
      <c r="AS427" s="67"/>
      <c r="AT427" s="54"/>
      <c r="AU427" s="22"/>
      <c r="AV427" s="22"/>
      <c r="AW427" s="22"/>
      <c r="AX427" s="22"/>
      <c r="AY427" s="22"/>
      <c r="AZ427" s="22"/>
      <c r="BA427" s="54"/>
      <c r="BB427" s="22"/>
      <c r="BC427" s="22"/>
      <c r="BD427" s="22"/>
      <c r="BE427" s="15"/>
      <c r="BF427" s="15"/>
      <c r="BG427" s="51"/>
      <c r="BH427" s="15"/>
      <c r="BI427" s="15"/>
      <c r="BJ427" s="15"/>
      <c r="BK427" s="51"/>
      <c r="BL427" s="15"/>
      <c r="BM427" s="15"/>
      <c r="BN427" s="15"/>
      <c r="BO427" s="15"/>
      <c r="BP427" s="15"/>
      <c r="BQ427" s="15"/>
      <c r="BR427" s="15"/>
      <c r="BS427" s="15"/>
      <c r="BT427" s="15"/>
      <c r="BU427" s="15"/>
      <c r="BV427" s="15"/>
      <c r="BW427" s="15"/>
      <c r="BX427" s="51"/>
      <c r="BY427" s="15"/>
      <c r="BZ427" s="15"/>
      <c r="CA427" s="15"/>
      <c r="CB427" s="15"/>
      <c r="CC427" s="15"/>
      <c r="CD427" s="15"/>
      <c r="CE427" s="15"/>
      <c r="CF427" s="15"/>
      <c r="CG427" s="15"/>
      <c r="CH427" s="15"/>
      <c r="CI427" s="15"/>
      <c r="CJ427" s="15"/>
      <c r="CK427" s="15"/>
      <c r="CL427" s="15"/>
      <c r="CM427" s="15"/>
      <c r="CN427" s="15"/>
      <c r="CO427" s="15"/>
      <c r="CP427" s="15"/>
      <c r="CQ427" s="15"/>
      <c r="CR427" s="15"/>
      <c r="CS427" s="51"/>
      <c r="CT427" s="15"/>
      <c r="CU427" s="15"/>
      <c r="CV427" s="15"/>
      <c r="CW427" s="15"/>
      <c r="CX427" s="15"/>
      <c r="CY427" s="15"/>
      <c r="CZ427" s="15"/>
      <c r="DA427" s="15"/>
      <c r="DB427" s="15"/>
      <c r="DC427" s="15"/>
      <c r="DD427" s="15"/>
      <c r="DE427" s="15"/>
      <c r="DF427" s="15"/>
      <c r="DG427" s="15"/>
      <c r="DH427" s="15"/>
      <c r="DI427" s="15"/>
      <c r="DJ427" s="15"/>
      <c r="DK427" s="15"/>
      <c r="DL427" s="15"/>
      <c r="DM427" s="15"/>
      <c r="DN427" s="15"/>
      <c r="DO427" s="51"/>
      <c r="DP427" s="15"/>
      <c r="DQ427" s="15"/>
      <c r="DR427" s="15"/>
      <c r="DS427" s="15"/>
      <c r="DT427" s="15"/>
      <c r="DU427" s="15"/>
      <c r="DV427" s="15"/>
      <c r="DW427" s="15"/>
      <c r="DX427" s="15"/>
      <c r="DY427" s="15"/>
      <c r="DZ427" s="15"/>
      <c r="EA427" s="15"/>
      <c r="EB427" s="15"/>
      <c r="EC427" s="15"/>
      <c r="ED427" s="15"/>
      <c r="EE427" s="15"/>
      <c r="EF427" s="15"/>
      <c r="EG427" s="15"/>
      <c r="EH427" s="15"/>
      <c r="EI427" s="15"/>
      <c r="EJ427" s="15"/>
      <c r="EK427" s="15"/>
      <c r="EL427" s="15"/>
      <c r="EM427" s="15"/>
      <c r="EN427" s="15"/>
      <c r="EO427" s="15"/>
      <c r="EP427" s="15"/>
      <c r="EQ427" s="15"/>
      <c r="ER427" s="15"/>
      <c r="ES427" s="15"/>
      <c r="ET427" s="15"/>
      <c r="EU427" s="15"/>
      <c r="EV427" s="15"/>
      <c r="EW427" s="15"/>
      <c r="EX427" s="15"/>
      <c r="EY427" s="15"/>
      <c r="EZ427" s="15"/>
      <c r="FA427" s="15"/>
      <c r="FB427" s="15"/>
      <c r="FC427" s="15"/>
      <c r="FD427" s="15"/>
      <c r="FE427" s="15"/>
      <c r="FF427" s="15"/>
      <c r="FG427" s="15"/>
      <c r="FH427" s="15"/>
      <c r="FI427" s="15"/>
      <c r="FJ427" s="15"/>
      <c r="FK427" s="15"/>
      <c r="FL427" s="15"/>
      <c r="FM427" s="15"/>
      <c r="FN427" s="15"/>
      <c r="FO427" s="15"/>
      <c r="FP427" s="15"/>
      <c r="FQ427" s="15"/>
      <c r="FR427" s="15"/>
      <c r="FS427" s="15"/>
      <c r="FT427" s="15"/>
      <c r="FU427" s="15"/>
      <c r="FV427" s="15"/>
      <c r="FW427" s="15"/>
      <c r="FX427" s="15"/>
      <c r="FY427" s="15"/>
      <c r="FZ427" s="15"/>
      <c r="GA427" s="15"/>
      <c r="GB427" s="15"/>
      <c r="GC427" s="15"/>
      <c r="GD427" s="15"/>
      <c r="GE427" s="15"/>
      <c r="GF427" s="15"/>
      <c r="GG427" s="15"/>
      <c r="GH427" s="15"/>
      <c r="GI427" s="15"/>
      <c r="GJ427" s="15"/>
      <c r="GK427" s="15"/>
      <c r="GL427" s="15"/>
      <c r="GM427" s="15"/>
      <c r="GN427" s="15"/>
      <c r="GO427" s="15"/>
      <c r="GP427" s="15"/>
      <c r="GQ427" s="15"/>
      <c r="GR427" s="15"/>
      <c r="GS427" s="15"/>
      <c r="GT427" s="15"/>
      <c r="GU427" s="15"/>
      <c r="GV427" s="15"/>
      <c r="GW427" s="15"/>
      <c r="GX427" s="15"/>
      <c r="GY427" s="15"/>
      <c r="GZ427" s="15"/>
      <c r="HA427" s="15"/>
      <c r="HB427" s="15"/>
      <c r="HC427" s="15"/>
      <c r="HD427" s="15"/>
      <c r="HE427" s="15"/>
      <c r="HF427" s="15"/>
      <c r="HG427" s="981"/>
      <c r="HH427" s="981"/>
      <c r="HI427" s="981"/>
      <c r="HJ427" s="981"/>
      <c r="HK427" s="981"/>
      <c r="HL427" s="981"/>
      <c r="HM427" s="981"/>
      <c r="HN427" s="981"/>
      <c r="HO427" s="981"/>
      <c r="HP427" s="981"/>
      <c r="HQ427" s="981"/>
      <c r="HR427" s="981"/>
      <c r="HS427" s="981"/>
      <c r="HT427" s="981"/>
      <c r="HU427" s="51"/>
      <c r="HV427" s="15"/>
      <c r="HW427" s="15"/>
      <c r="HX427" s="15"/>
      <c r="HY427" s="15"/>
      <c r="HZ427" s="15"/>
      <c r="IA427" s="15"/>
      <c r="IB427" s="15"/>
      <c r="IC427" s="15"/>
      <c r="ID427" s="15"/>
      <c r="IE427" s="15"/>
      <c r="IF427" s="15"/>
      <c r="IG427" s="15"/>
      <c r="IH427" s="15"/>
      <c r="II427" s="15"/>
      <c r="IJ427" s="15"/>
      <c r="IK427" s="15"/>
      <c r="IL427" s="15"/>
      <c r="IM427" s="15"/>
      <c r="IN427" s="15"/>
      <c r="IO427" s="15"/>
    </row>
    <row r="428" spans="1:302" s="23" customFormat="1" ht="11.1" hidden="1" customHeight="1" outlineLevel="1">
      <c r="A428" s="232"/>
      <c r="B428" s="231"/>
      <c r="C428" s="229"/>
      <c r="D428" s="229"/>
      <c r="E428" s="230"/>
      <c r="F428" s="229"/>
      <c r="G428" s="229"/>
      <c r="H428" s="229"/>
      <c r="I428" s="16"/>
      <c r="J428" s="16"/>
      <c r="K428" s="228"/>
      <c r="L428" s="879"/>
      <c r="M428" s="223"/>
      <c r="N428" s="223"/>
      <c r="O428" s="223"/>
      <c r="P428" s="234"/>
      <c r="Q428" s="15"/>
      <c r="S428" s="15"/>
      <c r="T428" s="226"/>
      <c r="U428" s="226"/>
      <c r="V428" s="226"/>
      <c r="W428" s="226"/>
      <c r="X428" s="15"/>
      <c r="Y428" s="157"/>
      <c r="Z428" s="157"/>
      <c r="AA428" s="15"/>
      <c r="AB428" s="947"/>
      <c r="AC428" s="947"/>
      <c r="AD428" s="219"/>
      <c r="AE428" s="219"/>
      <c r="AF428" s="69"/>
      <c r="AG428" s="981"/>
      <c r="AH428" s="981"/>
      <c r="AI428" s="981"/>
      <c r="AJ428" s="981"/>
      <c r="AK428" s="225"/>
      <c r="AL428" s="22"/>
      <c r="AM428" s="22"/>
      <c r="AN428" s="22"/>
      <c r="AO428" s="22"/>
      <c r="AP428" s="940"/>
      <c r="AR428" s="940"/>
      <c r="AS428" s="67"/>
      <c r="AT428" s="54"/>
      <c r="AU428" s="22"/>
      <c r="AV428" s="22"/>
      <c r="AW428" s="22"/>
      <c r="AX428" s="22"/>
      <c r="AY428" s="22"/>
      <c r="AZ428" s="22"/>
      <c r="BA428" s="54"/>
      <c r="BB428" s="22"/>
      <c r="BC428" s="22"/>
      <c r="BD428" s="22"/>
      <c r="BE428" s="15"/>
      <c r="BF428" s="15"/>
      <c r="BG428" s="51"/>
      <c r="BH428" s="15"/>
      <c r="BI428" s="15"/>
      <c r="BJ428" s="15"/>
      <c r="BK428" s="51"/>
      <c r="BL428" s="15"/>
      <c r="BM428" s="15"/>
      <c r="BN428" s="15"/>
      <c r="BO428" s="15"/>
      <c r="BP428" s="15"/>
      <c r="BQ428" s="15"/>
      <c r="BR428" s="15"/>
      <c r="BS428" s="15"/>
      <c r="BT428" s="15"/>
      <c r="BU428" s="15"/>
      <c r="BV428" s="15"/>
      <c r="BW428" s="15"/>
      <c r="BX428" s="51"/>
      <c r="BY428" s="15"/>
      <c r="BZ428" s="15"/>
      <c r="CA428" s="15"/>
      <c r="CB428" s="15"/>
      <c r="CC428" s="15"/>
      <c r="CD428" s="15"/>
      <c r="CE428" s="15"/>
      <c r="CF428" s="15"/>
      <c r="CG428" s="15"/>
      <c r="CH428" s="15"/>
      <c r="CI428" s="15"/>
      <c r="CJ428" s="15"/>
      <c r="CK428" s="15"/>
      <c r="CL428" s="15"/>
      <c r="CM428" s="15"/>
      <c r="CN428" s="15"/>
      <c r="CO428" s="15"/>
      <c r="CP428" s="15"/>
      <c r="CQ428" s="15"/>
      <c r="CR428" s="15"/>
      <c r="CS428" s="51"/>
      <c r="CT428" s="15"/>
      <c r="CU428" s="15"/>
      <c r="CV428" s="15"/>
      <c r="CW428" s="15"/>
      <c r="CX428" s="15"/>
      <c r="CY428" s="15"/>
      <c r="CZ428" s="15"/>
      <c r="DA428" s="15"/>
      <c r="DB428" s="15"/>
      <c r="DC428" s="15"/>
      <c r="DD428" s="15"/>
      <c r="DE428" s="15"/>
      <c r="DF428" s="15"/>
      <c r="DG428" s="15"/>
      <c r="DH428" s="15"/>
      <c r="DI428" s="15"/>
      <c r="DJ428" s="15"/>
      <c r="DK428" s="15"/>
      <c r="DL428" s="15"/>
      <c r="DM428" s="15"/>
      <c r="DN428" s="15"/>
      <c r="DO428" s="51"/>
      <c r="DP428" s="15"/>
      <c r="DQ428" s="15"/>
      <c r="DR428" s="15"/>
      <c r="DS428" s="15"/>
      <c r="DT428" s="15"/>
      <c r="DU428" s="15"/>
      <c r="DV428" s="15"/>
      <c r="DW428" s="15"/>
      <c r="DX428" s="15"/>
      <c r="DY428" s="15"/>
      <c r="DZ428" s="15"/>
      <c r="EA428" s="15"/>
      <c r="EB428" s="15"/>
      <c r="EC428" s="15"/>
      <c r="ED428" s="15"/>
      <c r="EE428" s="15"/>
      <c r="EF428" s="15"/>
      <c r="EG428" s="15"/>
      <c r="EH428" s="15"/>
      <c r="EI428" s="15"/>
      <c r="EJ428" s="15"/>
      <c r="EK428" s="15"/>
      <c r="EL428" s="15"/>
      <c r="EM428" s="15"/>
      <c r="EN428" s="15"/>
      <c r="EO428" s="15"/>
      <c r="EP428" s="15"/>
      <c r="EQ428" s="15"/>
      <c r="ER428" s="15"/>
      <c r="ES428" s="15"/>
      <c r="ET428" s="15"/>
      <c r="EU428" s="15"/>
      <c r="EV428" s="15"/>
      <c r="EW428" s="15"/>
      <c r="EX428" s="15"/>
      <c r="EY428" s="15"/>
      <c r="EZ428" s="15"/>
      <c r="FA428" s="15"/>
      <c r="FB428" s="15"/>
      <c r="FC428" s="15"/>
      <c r="FD428" s="15"/>
      <c r="FE428" s="15"/>
      <c r="FF428" s="15"/>
      <c r="FG428" s="15"/>
      <c r="FH428" s="15"/>
      <c r="FI428" s="15"/>
      <c r="FJ428" s="15"/>
      <c r="FK428" s="15"/>
      <c r="FL428" s="15"/>
      <c r="FM428" s="15"/>
      <c r="FN428" s="15"/>
      <c r="FO428" s="15"/>
      <c r="FP428" s="15"/>
      <c r="FQ428" s="15"/>
      <c r="FR428" s="15"/>
      <c r="FS428" s="15"/>
      <c r="FT428" s="15"/>
      <c r="FU428" s="15"/>
      <c r="FV428" s="15"/>
      <c r="FW428" s="15"/>
      <c r="FX428" s="15"/>
      <c r="FY428" s="15"/>
      <c r="FZ428" s="15"/>
      <c r="GA428" s="15"/>
      <c r="GB428" s="15"/>
      <c r="GC428" s="15"/>
      <c r="GD428" s="15"/>
      <c r="GE428" s="15"/>
      <c r="GF428" s="15"/>
      <c r="GG428" s="15"/>
      <c r="GH428" s="15"/>
      <c r="GI428" s="15"/>
      <c r="GJ428" s="15"/>
      <c r="GK428" s="15"/>
      <c r="GL428" s="15"/>
      <c r="GM428" s="15"/>
      <c r="GN428" s="15"/>
      <c r="GO428" s="15"/>
      <c r="GP428" s="15"/>
      <c r="GQ428" s="15"/>
      <c r="GR428" s="15"/>
      <c r="GS428" s="15"/>
      <c r="GT428" s="15"/>
      <c r="GU428" s="15"/>
      <c r="GV428" s="15"/>
      <c r="GW428" s="15"/>
      <c r="GX428" s="15"/>
      <c r="GY428" s="15"/>
      <c r="GZ428" s="15"/>
      <c r="HA428" s="15"/>
      <c r="HB428" s="15"/>
      <c r="HC428" s="15"/>
      <c r="HD428" s="15"/>
      <c r="HE428" s="15"/>
      <c r="HF428" s="15"/>
      <c r="HG428" s="981"/>
      <c r="HH428" s="981"/>
      <c r="HI428" s="981"/>
      <c r="HJ428" s="981"/>
      <c r="HK428" s="981"/>
      <c r="HL428" s="981"/>
      <c r="HM428" s="981"/>
      <c r="HN428" s="981"/>
      <c r="HO428" s="981"/>
      <c r="HP428" s="981"/>
      <c r="HQ428" s="981"/>
      <c r="HR428" s="981"/>
      <c r="HS428" s="981"/>
      <c r="HT428" s="981"/>
      <c r="HU428" s="51"/>
      <c r="HV428" s="15"/>
      <c r="HW428" s="15"/>
      <c r="HX428" s="15"/>
      <c r="HY428" s="15"/>
      <c r="HZ428" s="15"/>
      <c r="IA428" s="15"/>
      <c r="IB428" s="15"/>
      <c r="IC428" s="15"/>
      <c r="ID428" s="15"/>
      <c r="IE428" s="15"/>
      <c r="IF428" s="15"/>
      <c r="IG428" s="15"/>
      <c r="IH428" s="15"/>
      <c r="II428" s="15"/>
      <c r="IJ428" s="15"/>
      <c r="IK428" s="15"/>
      <c r="IL428" s="15"/>
      <c r="IM428" s="15"/>
      <c r="IN428" s="15"/>
      <c r="IO428" s="15"/>
    </row>
    <row r="429" spans="1:302" s="23" customFormat="1" ht="11.1" hidden="1" customHeight="1" outlineLevel="1">
      <c r="A429" s="232"/>
      <c r="B429" s="231"/>
      <c r="C429" s="229"/>
      <c r="D429" s="229"/>
      <c r="E429" s="230"/>
      <c r="F429" s="229"/>
      <c r="G429" s="229"/>
      <c r="H429" s="229"/>
      <c r="I429" s="16"/>
      <c r="J429" s="16"/>
      <c r="K429" s="228"/>
      <c r="L429" s="879"/>
      <c r="M429" s="223"/>
      <c r="N429" s="223"/>
      <c r="O429" s="223"/>
      <c r="P429" s="234"/>
      <c r="Q429" s="15"/>
      <c r="S429" s="15"/>
      <c r="T429" s="226"/>
      <c r="U429" s="226"/>
      <c r="V429" s="226"/>
      <c r="W429" s="226"/>
      <c r="X429" s="15"/>
      <c r="Y429" s="157"/>
      <c r="Z429" s="157"/>
      <c r="AA429" s="15"/>
      <c r="AB429" s="947"/>
      <c r="AC429" s="947"/>
      <c r="AD429" s="219"/>
      <c r="AE429" s="219"/>
      <c r="AF429" s="69"/>
      <c r="AG429" s="981"/>
      <c r="AH429" s="981"/>
      <c r="AI429" s="981"/>
      <c r="AJ429" s="981"/>
      <c r="AK429" s="225"/>
      <c r="AL429" s="22"/>
      <c r="AM429" s="22"/>
      <c r="AN429" s="22"/>
      <c r="AO429" s="22"/>
      <c r="AP429" s="940"/>
      <c r="AR429" s="940"/>
      <c r="AS429" s="67"/>
      <c r="AT429" s="54"/>
      <c r="AU429" s="22"/>
      <c r="AV429" s="22"/>
      <c r="AW429" s="22"/>
      <c r="AX429" s="22"/>
      <c r="AY429" s="22"/>
      <c r="AZ429" s="22"/>
      <c r="BA429" s="54"/>
      <c r="BB429" s="22"/>
      <c r="BC429" s="22"/>
      <c r="BD429" s="22"/>
      <c r="BE429" s="15"/>
      <c r="BF429" s="15"/>
      <c r="BG429" s="51"/>
      <c r="BH429" s="15"/>
      <c r="BI429" s="15"/>
      <c r="BJ429" s="15"/>
      <c r="BK429" s="51"/>
      <c r="BL429" s="15"/>
      <c r="BM429" s="15"/>
      <c r="BN429" s="15"/>
      <c r="BO429" s="15"/>
      <c r="BP429" s="15"/>
      <c r="BQ429" s="15"/>
      <c r="BR429" s="15"/>
      <c r="BS429" s="15"/>
      <c r="BT429" s="15"/>
      <c r="BU429" s="15"/>
      <c r="BV429" s="15"/>
      <c r="BW429" s="15"/>
      <c r="BX429" s="51"/>
      <c r="BY429" s="15"/>
      <c r="BZ429" s="15"/>
      <c r="CA429" s="15"/>
      <c r="CB429" s="15"/>
      <c r="CC429" s="15"/>
      <c r="CD429" s="15"/>
      <c r="CE429" s="15"/>
      <c r="CF429" s="15"/>
      <c r="CG429" s="15"/>
      <c r="CH429" s="15"/>
      <c r="CI429" s="15"/>
      <c r="CJ429" s="15"/>
      <c r="CK429" s="15"/>
      <c r="CL429" s="15"/>
      <c r="CM429" s="15"/>
      <c r="CN429" s="15"/>
      <c r="CO429" s="15"/>
      <c r="CP429" s="15"/>
      <c r="CQ429" s="15"/>
      <c r="CR429" s="15"/>
      <c r="CS429" s="51"/>
      <c r="CT429" s="15"/>
      <c r="CU429" s="15"/>
      <c r="CV429" s="15"/>
      <c r="CW429" s="15"/>
      <c r="CX429" s="15"/>
      <c r="CY429" s="15"/>
      <c r="CZ429" s="15"/>
      <c r="DA429" s="15"/>
      <c r="DB429" s="15"/>
      <c r="DC429" s="15"/>
      <c r="DD429" s="15"/>
      <c r="DE429" s="15"/>
      <c r="DF429" s="15"/>
      <c r="DG429" s="15"/>
      <c r="DH429" s="15"/>
      <c r="DI429" s="15"/>
      <c r="DJ429" s="15"/>
      <c r="DK429" s="15"/>
      <c r="DL429" s="15"/>
      <c r="DM429" s="15"/>
      <c r="DN429" s="15"/>
      <c r="DO429" s="51"/>
      <c r="DP429" s="15"/>
      <c r="DQ429" s="15"/>
      <c r="DR429" s="15"/>
      <c r="DS429" s="15"/>
      <c r="DT429" s="15"/>
      <c r="DU429" s="15"/>
      <c r="DV429" s="15"/>
      <c r="DW429" s="15"/>
      <c r="DX429" s="15"/>
      <c r="DY429" s="15"/>
      <c r="DZ429" s="15"/>
      <c r="EA429" s="15"/>
      <c r="EB429" s="15"/>
      <c r="EC429" s="15"/>
      <c r="ED429" s="15"/>
      <c r="EE429" s="15"/>
      <c r="EF429" s="15"/>
      <c r="EG429" s="15"/>
      <c r="EH429" s="15"/>
      <c r="EI429" s="15"/>
      <c r="EJ429" s="15"/>
      <c r="EK429" s="15"/>
      <c r="EL429" s="15"/>
      <c r="EM429" s="15"/>
      <c r="EN429" s="15"/>
      <c r="EO429" s="15"/>
      <c r="EP429" s="15"/>
      <c r="EQ429" s="15"/>
      <c r="ER429" s="15"/>
      <c r="ES429" s="15"/>
      <c r="ET429" s="15"/>
      <c r="EU429" s="15"/>
      <c r="EV429" s="15"/>
      <c r="EW429" s="15"/>
      <c r="EX429" s="15"/>
      <c r="EY429" s="15"/>
      <c r="EZ429" s="15"/>
      <c r="FA429" s="15"/>
      <c r="FB429" s="15"/>
      <c r="FC429" s="15"/>
      <c r="FD429" s="15"/>
      <c r="FE429" s="15"/>
      <c r="FF429" s="15"/>
      <c r="FG429" s="15"/>
      <c r="FH429" s="15"/>
      <c r="FI429" s="15"/>
      <c r="FJ429" s="15"/>
      <c r="FK429" s="15"/>
      <c r="FL429" s="15"/>
      <c r="FM429" s="15"/>
      <c r="FN429" s="15"/>
      <c r="FO429" s="15"/>
      <c r="FP429" s="15"/>
      <c r="FQ429" s="15"/>
      <c r="FR429" s="15"/>
      <c r="FS429" s="15"/>
      <c r="FT429" s="15"/>
      <c r="FU429" s="15"/>
      <c r="FV429" s="15"/>
      <c r="FW429" s="15"/>
      <c r="FX429" s="15"/>
      <c r="FY429" s="15"/>
      <c r="FZ429" s="15"/>
      <c r="GA429" s="15"/>
      <c r="GB429" s="15"/>
      <c r="GC429" s="15"/>
      <c r="GD429" s="15"/>
      <c r="GE429" s="15"/>
      <c r="GF429" s="15"/>
      <c r="GG429" s="15"/>
      <c r="GH429" s="15"/>
      <c r="GI429" s="15"/>
      <c r="GJ429" s="15"/>
      <c r="GK429" s="15"/>
      <c r="GL429" s="15"/>
      <c r="GM429" s="15"/>
      <c r="GN429" s="15"/>
      <c r="GO429" s="15"/>
      <c r="GP429" s="15"/>
      <c r="GQ429" s="15"/>
      <c r="GR429" s="15"/>
      <c r="GS429" s="15"/>
      <c r="GT429" s="15"/>
      <c r="GU429" s="15"/>
      <c r="GV429" s="15"/>
      <c r="GW429" s="15"/>
      <c r="GX429" s="15"/>
      <c r="GY429" s="15"/>
      <c r="GZ429" s="15"/>
      <c r="HA429" s="15"/>
      <c r="HB429" s="15"/>
      <c r="HC429" s="15"/>
      <c r="HD429" s="15"/>
      <c r="HE429" s="15"/>
      <c r="HF429" s="15"/>
      <c r="HG429" s="981"/>
      <c r="HH429" s="981"/>
      <c r="HI429" s="981"/>
      <c r="HJ429" s="981"/>
      <c r="HK429" s="981"/>
      <c r="HL429" s="981"/>
      <c r="HM429" s="981"/>
      <c r="HN429" s="981"/>
      <c r="HO429" s="981"/>
      <c r="HP429" s="981"/>
      <c r="HQ429" s="981"/>
      <c r="HR429" s="981"/>
      <c r="HS429" s="981"/>
      <c r="HT429" s="981"/>
      <c r="HU429" s="51"/>
      <c r="HV429" s="15"/>
      <c r="HW429" s="15"/>
      <c r="HX429" s="15"/>
      <c r="HY429" s="15"/>
      <c r="HZ429" s="15"/>
      <c r="IA429" s="15"/>
      <c r="IB429" s="15"/>
      <c r="IC429" s="15"/>
      <c r="ID429" s="15"/>
      <c r="IE429" s="15"/>
      <c r="IF429" s="15"/>
      <c r="IG429" s="15"/>
      <c r="IH429" s="15"/>
      <c r="II429" s="15"/>
      <c r="IJ429" s="15"/>
      <c r="IK429" s="15"/>
      <c r="IL429" s="15"/>
      <c r="IM429" s="15"/>
      <c r="IN429" s="15"/>
      <c r="IO429" s="15"/>
    </row>
    <row r="430" spans="1:302" s="23" customFormat="1" ht="11.1" hidden="1" customHeight="1" outlineLevel="1">
      <c r="A430" s="232"/>
      <c r="B430" s="231"/>
      <c r="C430" s="229"/>
      <c r="D430" s="229"/>
      <c r="E430" s="230"/>
      <c r="F430" s="229"/>
      <c r="G430" s="229"/>
      <c r="H430" s="229"/>
      <c r="I430" s="16"/>
      <c r="J430" s="16"/>
      <c r="K430" s="228"/>
      <c r="L430" s="879"/>
      <c r="M430" s="223"/>
      <c r="N430" s="223"/>
      <c r="O430" s="223"/>
      <c r="P430" s="940"/>
      <c r="Q430" s="15"/>
      <c r="S430" s="15"/>
      <c r="T430" s="226"/>
      <c r="U430" s="226"/>
      <c r="V430" s="226"/>
      <c r="W430" s="226"/>
      <c r="X430" s="15"/>
      <c r="Y430" s="157"/>
      <c r="Z430" s="157"/>
      <c r="AA430" s="15"/>
      <c r="AB430" s="947"/>
      <c r="AC430" s="947"/>
      <c r="AD430" s="219"/>
      <c r="AE430" s="219"/>
      <c r="AF430" s="69"/>
      <c r="AG430" s="981"/>
      <c r="AH430" s="981"/>
      <c r="AI430" s="981"/>
      <c r="AJ430" s="981"/>
      <c r="AK430" s="225"/>
      <c r="AL430" s="22"/>
      <c r="AM430" s="22"/>
      <c r="AN430" s="22"/>
      <c r="AO430" s="22"/>
      <c r="AP430" s="940"/>
      <c r="AR430" s="940"/>
      <c r="AS430" s="67"/>
      <c r="AT430" s="54"/>
      <c r="AU430" s="22"/>
      <c r="AV430" s="22"/>
      <c r="AW430" s="22"/>
      <c r="AX430" s="22"/>
      <c r="AY430" s="22"/>
      <c r="AZ430" s="22"/>
      <c r="BA430" s="54"/>
      <c r="BB430" s="22"/>
      <c r="BC430" s="22"/>
      <c r="BD430" s="22"/>
      <c r="BE430" s="15"/>
      <c r="BF430" s="15"/>
      <c r="BG430" s="51"/>
      <c r="BH430" s="15"/>
      <c r="BI430" s="15"/>
      <c r="BJ430" s="15"/>
      <c r="BK430" s="51"/>
      <c r="BL430" s="15"/>
      <c r="BM430" s="15"/>
      <c r="BN430" s="15"/>
      <c r="BO430" s="15"/>
      <c r="BP430" s="15"/>
      <c r="BQ430" s="15"/>
      <c r="BR430" s="15"/>
      <c r="BS430" s="15"/>
      <c r="BT430" s="15"/>
      <c r="BU430" s="15"/>
      <c r="BV430" s="15"/>
      <c r="BW430" s="15"/>
      <c r="BX430" s="51"/>
      <c r="BY430" s="15"/>
      <c r="BZ430" s="15"/>
      <c r="CA430" s="15"/>
      <c r="CB430" s="15"/>
      <c r="CC430" s="15"/>
      <c r="CD430" s="15"/>
      <c r="CE430" s="15"/>
      <c r="CF430" s="15"/>
      <c r="CG430" s="15"/>
      <c r="CH430" s="15"/>
      <c r="CI430" s="15"/>
      <c r="CJ430" s="15"/>
      <c r="CK430" s="15"/>
      <c r="CL430" s="15"/>
      <c r="CM430" s="15"/>
      <c r="CN430" s="15"/>
      <c r="CO430" s="15"/>
      <c r="CP430" s="15"/>
      <c r="CQ430" s="15"/>
      <c r="CR430" s="15"/>
      <c r="CS430" s="51"/>
      <c r="CT430" s="15"/>
      <c r="CU430" s="15"/>
      <c r="CV430" s="15"/>
      <c r="CW430" s="15"/>
      <c r="CX430" s="15"/>
      <c r="CY430" s="15"/>
      <c r="CZ430" s="15"/>
      <c r="DA430" s="15"/>
      <c r="DB430" s="15"/>
      <c r="DC430" s="15"/>
      <c r="DD430" s="15"/>
      <c r="DE430" s="15"/>
      <c r="DF430" s="15"/>
      <c r="DG430" s="15"/>
      <c r="DH430" s="15"/>
      <c r="DI430" s="15"/>
      <c r="DJ430" s="15"/>
      <c r="DK430" s="15"/>
      <c r="DL430" s="15"/>
      <c r="DM430" s="15"/>
      <c r="DN430" s="15"/>
      <c r="DO430" s="51"/>
      <c r="DP430" s="15"/>
      <c r="DQ430" s="15"/>
      <c r="DR430" s="15"/>
      <c r="DS430" s="15"/>
      <c r="DT430" s="15"/>
      <c r="DU430" s="15"/>
      <c r="DV430" s="15"/>
      <c r="DW430" s="15"/>
      <c r="DX430" s="15"/>
      <c r="DY430" s="15"/>
      <c r="DZ430" s="15"/>
      <c r="EA430" s="15"/>
      <c r="EB430" s="15"/>
      <c r="EC430" s="15"/>
      <c r="ED430" s="15"/>
      <c r="EE430" s="15"/>
      <c r="EF430" s="15"/>
      <c r="EG430" s="15"/>
      <c r="EH430" s="15"/>
      <c r="EI430" s="15"/>
      <c r="EJ430" s="15"/>
      <c r="EK430" s="15"/>
      <c r="EL430" s="15"/>
      <c r="EM430" s="15"/>
      <c r="EN430" s="15"/>
      <c r="EO430" s="15"/>
      <c r="EP430" s="15"/>
      <c r="EQ430" s="15"/>
      <c r="ER430" s="15"/>
      <c r="ES430" s="15"/>
      <c r="ET430" s="15"/>
      <c r="EU430" s="15"/>
      <c r="EV430" s="15"/>
      <c r="EW430" s="15"/>
      <c r="EX430" s="15"/>
      <c r="EY430" s="15"/>
      <c r="EZ430" s="15"/>
      <c r="FA430" s="15"/>
      <c r="FB430" s="15"/>
      <c r="FC430" s="15"/>
      <c r="FD430" s="15"/>
      <c r="FE430" s="15"/>
      <c r="FF430" s="15"/>
      <c r="FG430" s="15"/>
      <c r="FH430" s="15"/>
      <c r="FI430" s="15"/>
      <c r="FJ430" s="15"/>
      <c r="FK430" s="15"/>
      <c r="FL430" s="15"/>
      <c r="FM430" s="15"/>
      <c r="FN430" s="15"/>
      <c r="FO430" s="15"/>
      <c r="FP430" s="15"/>
      <c r="FQ430" s="15"/>
      <c r="FR430" s="15"/>
      <c r="FS430" s="15"/>
      <c r="FT430" s="15"/>
      <c r="FU430" s="15"/>
      <c r="FV430" s="15"/>
      <c r="FW430" s="15"/>
      <c r="FX430" s="15"/>
      <c r="FY430" s="15"/>
      <c r="FZ430" s="15"/>
      <c r="GA430" s="15"/>
      <c r="GB430" s="15"/>
      <c r="GC430" s="15"/>
      <c r="GD430" s="15"/>
      <c r="GE430" s="15"/>
      <c r="GF430" s="15"/>
      <c r="GG430" s="15"/>
      <c r="GH430" s="15"/>
      <c r="GI430" s="15"/>
      <c r="GJ430" s="15"/>
      <c r="GK430" s="15"/>
      <c r="GL430" s="15"/>
      <c r="GM430" s="15"/>
      <c r="GN430" s="15"/>
      <c r="GO430" s="15"/>
      <c r="GP430" s="15"/>
      <c r="GQ430" s="15"/>
      <c r="GR430" s="15"/>
      <c r="GS430" s="15"/>
      <c r="GT430" s="15"/>
      <c r="GU430" s="15"/>
      <c r="GV430" s="15"/>
      <c r="GW430" s="15"/>
      <c r="GX430" s="15"/>
      <c r="GY430" s="15"/>
      <c r="GZ430" s="15"/>
      <c r="HA430" s="15"/>
      <c r="HB430" s="15"/>
      <c r="HC430" s="15"/>
      <c r="HD430" s="15"/>
      <c r="HE430" s="15"/>
      <c r="HF430" s="15"/>
      <c r="HG430" s="981"/>
      <c r="HH430" s="981"/>
      <c r="HI430" s="981"/>
      <c r="HJ430" s="981"/>
      <c r="HK430" s="981"/>
      <c r="HL430" s="981"/>
      <c r="HM430" s="981"/>
      <c r="HN430" s="981"/>
      <c r="HO430" s="981"/>
      <c r="HP430" s="981"/>
      <c r="HQ430" s="981"/>
      <c r="HR430" s="981"/>
      <c r="HS430" s="981"/>
      <c r="HT430" s="981"/>
      <c r="HU430" s="51"/>
      <c r="HV430" s="15"/>
      <c r="HW430" s="15"/>
      <c r="HX430" s="15"/>
      <c r="HY430" s="15"/>
      <c r="HZ430" s="15"/>
      <c r="IA430" s="15"/>
      <c r="IB430" s="15"/>
      <c r="IC430" s="15"/>
      <c r="ID430" s="15"/>
      <c r="IE430" s="15"/>
      <c r="IF430" s="15"/>
      <c r="IG430" s="15"/>
      <c r="IH430" s="15"/>
      <c r="II430" s="15"/>
      <c r="IJ430" s="15"/>
      <c r="IK430" s="15"/>
      <c r="IL430" s="15"/>
      <c r="IM430" s="15"/>
      <c r="IN430" s="15"/>
      <c r="IO430" s="15"/>
    </row>
    <row r="431" spans="1:302" s="23" customFormat="1" ht="11.1" hidden="1" customHeight="1" outlineLevel="1">
      <c r="A431" s="232"/>
      <c r="B431" s="231"/>
      <c r="C431" s="229"/>
      <c r="D431" s="229"/>
      <c r="E431" s="230"/>
      <c r="F431" s="229"/>
      <c r="G431" s="229"/>
      <c r="H431" s="229"/>
      <c r="I431" s="16"/>
      <c r="J431" s="16"/>
      <c r="K431" s="228"/>
      <c r="L431" s="879"/>
      <c r="M431" s="223"/>
      <c r="N431" s="223"/>
      <c r="O431" s="223"/>
      <c r="P431" s="233"/>
      <c r="Q431" s="15"/>
      <c r="S431" s="15"/>
      <c r="T431" s="226"/>
      <c r="U431" s="226"/>
      <c r="V431" s="226"/>
      <c r="W431" s="226"/>
      <c r="X431" s="15"/>
      <c r="Y431" s="157"/>
      <c r="Z431" s="157"/>
      <c r="AA431" s="15"/>
      <c r="AB431" s="947"/>
      <c r="AC431" s="947"/>
      <c r="AD431" s="219"/>
      <c r="AE431" s="219"/>
      <c r="AF431" s="69"/>
      <c r="AG431" s="981"/>
      <c r="AH431" s="981"/>
      <c r="AI431" s="981"/>
      <c r="AJ431" s="981"/>
      <c r="AK431" s="225"/>
      <c r="AL431" s="22"/>
      <c r="AM431" s="22"/>
      <c r="AN431" s="22"/>
      <c r="AO431" s="22"/>
      <c r="AP431" s="940"/>
      <c r="AR431" s="940"/>
      <c r="AS431" s="67"/>
      <c r="AT431" s="54"/>
      <c r="AU431" s="22"/>
      <c r="AV431" s="22"/>
      <c r="AW431" s="22"/>
      <c r="AX431" s="22"/>
      <c r="AY431" s="22"/>
      <c r="AZ431" s="22"/>
      <c r="BA431" s="54"/>
      <c r="BB431" s="22"/>
      <c r="BC431" s="22"/>
      <c r="BD431" s="22"/>
      <c r="BE431" s="15"/>
      <c r="BF431" s="15"/>
      <c r="BG431" s="51"/>
      <c r="BH431" s="15"/>
      <c r="BI431" s="15"/>
      <c r="BJ431" s="15"/>
      <c r="BK431" s="51"/>
      <c r="BL431" s="15"/>
      <c r="BM431" s="15"/>
      <c r="BN431" s="15"/>
      <c r="BO431" s="15"/>
      <c r="BP431" s="15"/>
      <c r="BQ431" s="15"/>
      <c r="BR431" s="15"/>
      <c r="BS431" s="15"/>
      <c r="BT431" s="15"/>
      <c r="BU431" s="15"/>
      <c r="BV431" s="15"/>
      <c r="BW431" s="15"/>
      <c r="BX431" s="51"/>
      <c r="BY431" s="15"/>
      <c r="BZ431" s="15"/>
      <c r="CA431" s="15"/>
      <c r="CB431" s="15"/>
      <c r="CC431" s="15"/>
      <c r="CD431" s="15"/>
      <c r="CE431" s="15"/>
      <c r="CF431" s="15"/>
      <c r="CG431" s="15"/>
      <c r="CH431" s="15"/>
      <c r="CI431" s="15"/>
      <c r="CJ431" s="15"/>
      <c r="CK431" s="15"/>
      <c r="CL431" s="15"/>
      <c r="CM431" s="15"/>
      <c r="CN431" s="15"/>
      <c r="CO431" s="15"/>
      <c r="CP431" s="15"/>
      <c r="CQ431" s="15"/>
      <c r="CR431" s="15"/>
      <c r="CS431" s="51"/>
      <c r="CT431" s="15"/>
      <c r="CU431" s="15"/>
      <c r="CV431" s="15"/>
      <c r="CW431" s="15"/>
      <c r="CX431" s="15"/>
      <c r="CY431" s="15"/>
      <c r="CZ431" s="15"/>
      <c r="DA431" s="15"/>
      <c r="DB431" s="15"/>
      <c r="DC431" s="15"/>
      <c r="DD431" s="15"/>
      <c r="DE431" s="15"/>
      <c r="DF431" s="15"/>
      <c r="DG431" s="15"/>
      <c r="DH431" s="15"/>
      <c r="DI431" s="15"/>
      <c r="DJ431" s="15"/>
      <c r="DK431" s="15"/>
      <c r="DL431" s="15"/>
      <c r="DM431" s="15"/>
      <c r="DN431" s="15"/>
      <c r="DO431" s="51"/>
      <c r="DP431" s="15"/>
      <c r="DQ431" s="15"/>
      <c r="DR431" s="15"/>
      <c r="DS431" s="15"/>
      <c r="DT431" s="15"/>
      <c r="DU431" s="15"/>
      <c r="DV431" s="15"/>
      <c r="DW431" s="15"/>
      <c r="DX431" s="15"/>
      <c r="DY431" s="15"/>
      <c r="DZ431" s="15"/>
      <c r="EA431" s="15"/>
      <c r="EB431" s="15"/>
      <c r="EC431" s="15"/>
      <c r="ED431" s="15"/>
      <c r="EE431" s="15"/>
      <c r="EF431" s="15"/>
      <c r="EG431" s="15"/>
      <c r="EH431" s="15"/>
      <c r="EI431" s="15"/>
      <c r="EJ431" s="15"/>
      <c r="EK431" s="15"/>
      <c r="EL431" s="15"/>
      <c r="EM431" s="15"/>
      <c r="EN431" s="15"/>
      <c r="EO431" s="15"/>
      <c r="EP431" s="15"/>
      <c r="EQ431" s="15"/>
      <c r="ER431" s="15"/>
      <c r="ES431" s="15"/>
      <c r="ET431" s="15"/>
      <c r="EU431" s="15"/>
      <c r="EV431" s="15"/>
      <c r="EW431" s="15"/>
      <c r="EX431" s="15"/>
      <c r="EY431" s="15"/>
      <c r="EZ431" s="15"/>
      <c r="FA431" s="15"/>
      <c r="FB431" s="15"/>
      <c r="FC431" s="15"/>
      <c r="FD431" s="15"/>
      <c r="FE431" s="15"/>
      <c r="FF431" s="15"/>
      <c r="FG431" s="15"/>
      <c r="FH431" s="15"/>
      <c r="FI431" s="15"/>
      <c r="FJ431" s="15"/>
      <c r="FK431" s="15"/>
      <c r="FL431" s="15"/>
      <c r="FM431" s="15"/>
      <c r="FN431" s="15"/>
      <c r="FO431" s="15"/>
      <c r="FP431" s="15"/>
      <c r="FQ431" s="15"/>
      <c r="FR431" s="15"/>
      <c r="FS431" s="15"/>
      <c r="FT431" s="15"/>
      <c r="FU431" s="15"/>
      <c r="FV431" s="15"/>
      <c r="FW431" s="15"/>
      <c r="FX431" s="15"/>
      <c r="FY431" s="15"/>
      <c r="FZ431" s="15"/>
      <c r="GA431" s="15"/>
      <c r="GB431" s="15"/>
      <c r="GC431" s="15"/>
      <c r="GD431" s="15"/>
      <c r="GE431" s="15"/>
      <c r="GF431" s="15"/>
      <c r="GG431" s="15"/>
      <c r="GH431" s="15"/>
      <c r="GI431" s="15"/>
      <c r="GJ431" s="15"/>
      <c r="GK431" s="15"/>
      <c r="GL431" s="15"/>
      <c r="GM431" s="15"/>
      <c r="GN431" s="15"/>
      <c r="GO431" s="15"/>
      <c r="GP431" s="15"/>
      <c r="GQ431" s="15"/>
      <c r="GR431" s="15"/>
      <c r="GS431" s="15"/>
      <c r="GT431" s="15"/>
      <c r="GU431" s="15"/>
      <c r="GV431" s="15"/>
      <c r="GW431" s="15"/>
      <c r="GX431" s="15"/>
      <c r="GY431" s="15"/>
      <c r="GZ431" s="15"/>
      <c r="HA431" s="15"/>
      <c r="HB431" s="15"/>
      <c r="HC431" s="15"/>
      <c r="HD431" s="15"/>
      <c r="HE431" s="15"/>
      <c r="HF431" s="15"/>
      <c r="HG431" s="981"/>
      <c r="HH431" s="981"/>
      <c r="HI431" s="981"/>
      <c r="HJ431" s="981"/>
      <c r="HK431" s="981"/>
      <c r="HL431" s="981"/>
      <c r="HM431" s="981"/>
      <c r="HN431" s="981"/>
      <c r="HO431" s="981"/>
      <c r="HP431" s="981"/>
      <c r="HQ431" s="981"/>
      <c r="HR431" s="981"/>
      <c r="HS431" s="981"/>
      <c r="HT431" s="981"/>
      <c r="HU431" s="51"/>
      <c r="HV431" s="15"/>
      <c r="HW431" s="15"/>
      <c r="HX431" s="15"/>
      <c r="HY431" s="15"/>
      <c r="HZ431" s="15"/>
      <c r="IA431" s="15"/>
      <c r="IB431" s="15"/>
      <c r="IC431" s="15"/>
      <c r="ID431" s="15"/>
      <c r="IE431" s="15"/>
      <c r="IF431" s="15"/>
      <c r="IG431" s="15"/>
      <c r="IH431" s="15"/>
      <c r="II431" s="15"/>
      <c r="IJ431" s="15"/>
      <c r="IK431" s="15"/>
      <c r="IL431" s="15"/>
      <c r="IM431" s="15"/>
      <c r="IN431" s="15"/>
      <c r="IO431" s="15"/>
    </row>
    <row r="432" spans="1:302" s="23" customFormat="1" ht="5.0999999999999996" hidden="1" customHeight="1" outlineLevel="1" collapsed="1">
      <c r="A432" s="232"/>
      <c r="B432" s="231"/>
      <c r="C432" s="229"/>
      <c r="D432" s="229"/>
      <c r="E432" s="230"/>
      <c r="F432" s="229"/>
      <c r="G432" s="229"/>
      <c r="H432" s="229"/>
      <c r="I432" s="16"/>
      <c r="J432" s="16"/>
      <c r="K432" s="228"/>
      <c r="L432" s="879"/>
      <c r="M432" s="223"/>
      <c r="N432" s="223"/>
      <c r="O432" s="223"/>
      <c r="P432" s="218"/>
      <c r="Q432" s="15"/>
      <c r="S432" s="15"/>
      <c r="T432" s="226"/>
      <c r="U432" s="226"/>
      <c r="V432" s="226"/>
      <c r="W432" s="226"/>
      <c r="X432" s="15"/>
      <c r="Y432" s="157"/>
      <c r="Z432" s="157"/>
      <c r="AA432" s="15"/>
      <c r="AB432" s="947"/>
      <c r="AC432" s="947"/>
      <c r="AD432" s="219"/>
      <c r="AE432" s="219"/>
      <c r="AF432" s="69"/>
      <c r="AG432" s="981"/>
      <c r="AH432" s="981"/>
      <c r="AI432" s="981"/>
      <c r="AJ432" s="981"/>
      <c r="AK432" s="225"/>
      <c r="AL432" s="22"/>
      <c r="AM432" s="22"/>
      <c r="AN432" s="22"/>
      <c r="AO432" s="22"/>
      <c r="AP432" s="940"/>
      <c r="AR432" s="940"/>
      <c r="AS432" s="67"/>
      <c r="AT432" s="54"/>
      <c r="AU432" s="22"/>
      <c r="AV432" s="22"/>
      <c r="AW432" s="22"/>
      <c r="AX432" s="22"/>
      <c r="AY432" s="22"/>
      <c r="AZ432" s="22"/>
      <c r="BA432" s="54"/>
      <c r="BB432" s="22"/>
      <c r="BC432" s="22"/>
      <c r="BD432" s="22"/>
      <c r="BE432" s="15"/>
      <c r="BF432" s="15"/>
      <c r="BG432" s="51"/>
      <c r="BH432" s="15"/>
      <c r="BI432" s="15"/>
      <c r="BJ432" s="15"/>
      <c r="BK432" s="51"/>
      <c r="BL432" s="15"/>
      <c r="BM432" s="15"/>
      <c r="BN432" s="15"/>
      <c r="BO432" s="15"/>
      <c r="BP432" s="15"/>
      <c r="BQ432" s="15"/>
      <c r="BR432" s="15"/>
      <c r="BS432" s="15"/>
      <c r="BT432" s="15"/>
      <c r="BU432" s="15"/>
      <c r="BV432" s="15"/>
      <c r="BW432" s="15"/>
      <c r="BX432" s="51"/>
      <c r="BY432" s="15"/>
      <c r="BZ432" s="15"/>
      <c r="CA432" s="15"/>
      <c r="CB432" s="15"/>
      <c r="CC432" s="15"/>
      <c r="CD432" s="15"/>
      <c r="CE432" s="15"/>
      <c r="CF432" s="15"/>
      <c r="CG432" s="15"/>
      <c r="CH432" s="15"/>
      <c r="CI432" s="15"/>
      <c r="CJ432" s="15"/>
      <c r="CK432" s="15"/>
      <c r="CL432" s="15"/>
      <c r="CM432" s="15"/>
      <c r="CN432" s="15"/>
      <c r="CO432" s="15"/>
      <c r="CP432" s="15"/>
      <c r="CQ432" s="15"/>
      <c r="CR432" s="15"/>
      <c r="CS432" s="51"/>
      <c r="CT432" s="15"/>
      <c r="CU432" s="15"/>
      <c r="CV432" s="15"/>
      <c r="CW432" s="15"/>
      <c r="CX432" s="15"/>
      <c r="CY432" s="15"/>
      <c r="CZ432" s="15"/>
      <c r="DA432" s="15"/>
      <c r="DB432" s="15"/>
      <c r="DC432" s="15"/>
      <c r="DD432" s="15"/>
      <c r="DE432" s="15"/>
      <c r="DF432" s="15"/>
      <c r="DG432" s="15"/>
      <c r="DH432" s="15"/>
      <c r="DI432" s="15"/>
      <c r="DJ432" s="15"/>
      <c r="DK432" s="15"/>
      <c r="DL432" s="15"/>
      <c r="DM432" s="15"/>
      <c r="DN432" s="15"/>
      <c r="DO432" s="51"/>
      <c r="DP432" s="15"/>
      <c r="DQ432" s="15"/>
      <c r="DR432" s="15"/>
      <c r="DS432" s="15"/>
      <c r="DT432" s="15"/>
      <c r="DU432" s="15"/>
      <c r="DV432" s="15"/>
      <c r="DW432" s="15"/>
      <c r="DX432" s="15"/>
      <c r="DY432" s="15"/>
      <c r="DZ432" s="15"/>
      <c r="EA432" s="15"/>
      <c r="EB432" s="15"/>
      <c r="EC432" s="15"/>
      <c r="ED432" s="15"/>
      <c r="EE432" s="15"/>
      <c r="EF432" s="15"/>
      <c r="EG432" s="15"/>
      <c r="EH432" s="15"/>
      <c r="EI432" s="15"/>
      <c r="EJ432" s="15"/>
      <c r="EK432" s="15"/>
      <c r="EL432" s="15"/>
      <c r="EM432" s="15"/>
      <c r="EN432" s="15"/>
      <c r="EO432" s="15"/>
      <c r="EP432" s="15"/>
      <c r="EQ432" s="15"/>
      <c r="ER432" s="15"/>
      <c r="ES432" s="15"/>
      <c r="ET432" s="15"/>
      <c r="EU432" s="15"/>
      <c r="EV432" s="15"/>
      <c r="EW432" s="15"/>
      <c r="EX432" s="15"/>
      <c r="EY432" s="15"/>
      <c r="EZ432" s="15"/>
      <c r="FA432" s="15"/>
      <c r="FB432" s="15"/>
      <c r="FC432" s="15"/>
      <c r="FD432" s="15"/>
      <c r="FE432" s="15"/>
      <c r="FF432" s="15"/>
      <c r="FG432" s="15"/>
      <c r="FH432" s="15"/>
      <c r="FI432" s="15"/>
      <c r="FJ432" s="15"/>
      <c r="FK432" s="15"/>
      <c r="FL432" s="15"/>
      <c r="FM432" s="15"/>
      <c r="FN432" s="15"/>
      <c r="FO432" s="15"/>
      <c r="FP432" s="15"/>
      <c r="FQ432" s="15"/>
      <c r="FR432" s="15"/>
      <c r="FS432" s="15"/>
      <c r="FT432" s="15"/>
      <c r="FU432" s="15"/>
      <c r="FV432" s="15"/>
      <c r="FW432" s="15"/>
      <c r="FX432" s="15"/>
      <c r="FY432" s="15"/>
      <c r="FZ432" s="15"/>
      <c r="GA432" s="15"/>
      <c r="GB432" s="15"/>
      <c r="GC432" s="15"/>
      <c r="GD432" s="15"/>
      <c r="GE432" s="15"/>
      <c r="GF432" s="15"/>
      <c r="GG432" s="15"/>
      <c r="GH432" s="15"/>
      <c r="GI432" s="15"/>
      <c r="GJ432" s="15"/>
      <c r="GK432" s="15"/>
      <c r="GL432" s="15"/>
      <c r="GM432" s="15"/>
      <c r="GN432" s="15"/>
      <c r="GO432" s="15"/>
      <c r="GP432" s="15"/>
      <c r="GQ432" s="15"/>
      <c r="GR432" s="15"/>
      <c r="GS432" s="15"/>
      <c r="GT432" s="15"/>
      <c r="GU432" s="15"/>
      <c r="GV432" s="15"/>
      <c r="GW432" s="15"/>
      <c r="GX432" s="15"/>
      <c r="GY432" s="15"/>
      <c r="GZ432" s="15"/>
      <c r="HA432" s="15"/>
      <c r="HB432" s="15"/>
      <c r="HC432" s="15"/>
      <c r="HD432" s="15"/>
      <c r="HE432" s="15"/>
      <c r="HF432" s="15"/>
      <c r="HG432" s="981"/>
      <c r="HH432" s="981"/>
      <c r="HI432" s="981"/>
      <c r="HJ432" s="981"/>
      <c r="HK432" s="981"/>
      <c r="HL432" s="981"/>
      <c r="HM432" s="981"/>
      <c r="HN432" s="981"/>
      <c r="HO432" s="981"/>
      <c r="HP432" s="981"/>
      <c r="HQ432" s="981"/>
      <c r="HR432" s="981"/>
      <c r="HS432" s="981"/>
      <c r="HT432" s="981"/>
      <c r="HU432" s="51"/>
      <c r="HV432" s="15"/>
      <c r="HW432" s="15"/>
      <c r="HX432" s="15"/>
      <c r="HY432" s="15"/>
      <c r="HZ432" s="15"/>
      <c r="IA432" s="15"/>
      <c r="IB432" s="15"/>
      <c r="IC432" s="15"/>
      <c r="ID432" s="15"/>
      <c r="IE432" s="15"/>
      <c r="IF432" s="15"/>
      <c r="IG432" s="15"/>
      <c r="IH432" s="15"/>
      <c r="II432" s="15"/>
      <c r="IJ432" s="15"/>
      <c r="IK432" s="15"/>
      <c r="IL432" s="15"/>
      <c r="IM432" s="15"/>
      <c r="IN432" s="15"/>
      <c r="IO432" s="15"/>
    </row>
    <row r="433" spans="1:302" ht="11.1" hidden="1" customHeight="1" outlineLevel="1">
      <c r="A433" s="191" t="s">
        <v>44</v>
      </c>
      <c r="B433" s="29"/>
      <c r="C433" s="52"/>
      <c r="D433" s="940" t="s">
        <v>43</v>
      </c>
      <c r="F433" s="940">
        <v>0</v>
      </c>
      <c r="G433" s="187">
        <v>42151</v>
      </c>
      <c r="H433" s="187"/>
      <c r="I433" s="1069">
        <v>84.7</v>
      </c>
      <c r="J433" s="1069"/>
      <c r="K433" s="1069"/>
      <c r="L433" s="57"/>
      <c r="M433" s="223"/>
      <c r="N433" s="223"/>
      <c r="O433" s="223"/>
      <c r="P433" s="215">
        <v>0</v>
      </c>
      <c r="Q433" s="1"/>
      <c r="T433" s="57"/>
      <c r="U433" s="57"/>
      <c r="V433" s="57"/>
      <c r="W433" s="57"/>
      <c r="X433" s="57"/>
      <c r="Y433" s="175"/>
      <c r="Z433" s="175"/>
      <c r="AA433" s="57"/>
      <c r="AB433" s="947">
        <f>F433*P433</f>
        <v>0</v>
      </c>
      <c r="AC433" s="947"/>
      <c r="AD433" s="190">
        <f>-((I433*F433)-(P433*F433))</f>
        <v>0</v>
      </c>
      <c r="AE433" s="190"/>
      <c r="AF433" s="205" t="e">
        <f>IF(#REF!-AP433&lt;0,#REF!-AP433,(#REF!-AP433)*0.74)</f>
        <v>#REF!</v>
      </c>
      <c r="AG433" s="222"/>
      <c r="AH433" s="21"/>
      <c r="AI433" s="21"/>
      <c r="AJ433" s="21"/>
      <c r="AK433" s="217"/>
      <c r="AL433" s="221"/>
      <c r="AM433" s="28"/>
      <c r="AN433" s="179"/>
      <c r="AO433" s="38"/>
      <c r="AP433" s="188">
        <f>F433*I433+AN433+AN434</f>
        <v>0</v>
      </c>
      <c r="AR433" s="38"/>
      <c r="AS433" s="67"/>
      <c r="AT433" s="171"/>
      <c r="AU433" s="21"/>
      <c r="AV433" s="21"/>
      <c r="AW433" s="21"/>
      <c r="AX433" s="21"/>
      <c r="AY433" s="21"/>
      <c r="AZ433" s="21"/>
      <c r="BA433" s="171"/>
      <c r="BB433" s="21"/>
      <c r="BC433" s="21"/>
      <c r="BD433" s="21"/>
      <c r="BE433" s="18"/>
      <c r="BF433" s="18"/>
      <c r="BH433" s="18"/>
      <c r="BI433" s="18"/>
      <c r="BJ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39" t="str">
        <f>IF($AB433=0,"",$AB433)</f>
        <v/>
      </c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  <c r="FR433" s="18"/>
      <c r="FS433" s="18"/>
      <c r="FT433" s="18"/>
      <c r="FU433" s="18"/>
      <c r="FV433" s="18"/>
      <c r="FW433" s="18"/>
      <c r="FX433" s="18"/>
      <c r="FY433" s="18"/>
      <c r="FZ433" s="18"/>
      <c r="GA433" s="18"/>
      <c r="GB433" s="18"/>
      <c r="GC433" s="18"/>
      <c r="GD433" s="18"/>
      <c r="GE433" s="18"/>
      <c r="GF433" s="18"/>
      <c r="GG433" s="18"/>
      <c r="GH433" s="18"/>
      <c r="GI433" s="18"/>
      <c r="GJ433" s="18"/>
      <c r="GK433" s="18"/>
      <c r="GL433" s="18"/>
      <c r="GM433" s="18"/>
      <c r="GN433" s="18"/>
      <c r="GO433" s="18"/>
      <c r="GP433" s="18"/>
      <c r="GQ433" s="18"/>
      <c r="GR433" s="18"/>
      <c r="GS433" s="18"/>
      <c r="GT433" s="18"/>
      <c r="GU433" s="18"/>
      <c r="GV433" s="18"/>
      <c r="GW433" s="18"/>
      <c r="GX433" s="18"/>
      <c r="GY433" s="18"/>
      <c r="GZ433" s="18"/>
      <c r="HA433" s="18"/>
      <c r="HB433" s="18"/>
      <c r="HC433" s="18"/>
      <c r="HD433" s="18"/>
      <c r="HE433" s="18"/>
      <c r="HF433" s="18"/>
      <c r="HG433" s="13"/>
      <c r="HH433" s="13"/>
      <c r="HI433" s="13"/>
      <c r="HJ433" s="13"/>
      <c r="HK433" s="13"/>
      <c r="HL433" s="13"/>
      <c r="HM433" s="13"/>
      <c r="HN433" s="13"/>
      <c r="HO433" s="13"/>
      <c r="HP433" s="13"/>
      <c r="HQ433" s="13"/>
      <c r="HR433" s="13"/>
      <c r="HS433" s="13"/>
      <c r="HT433" s="13"/>
      <c r="HU433" s="139" t="str">
        <f>IF($AB433=0,"",$AB433)</f>
        <v/>
      </c>
      <c r="HV433" s="18"/>
      <c r="HW433" s="18"/>
      <c r="HX433" s="18"/>
      <c r="HY433" s="18"/>
      <c r="HZ433" s="18"/>
      <c r="IA433" s="18"/>
      <c r="IB433" s="18"/>
      <c r="IC433" s="18"/>
      <c r="ID433" s="18"/>
      <c r="IE433" s="18"/>
      <c r="IF433" s="18"/>
      <c r="IG433" s="18"/>
      <c r="IH433" s="18"/>
      <c r="II433" s="18"/>
      <c r="IJ433" s="18"/>
      <c r="IK433" s="18"/>
      <c r="IL433" s="18"/>
      <c r="IM433" s="18"/>
      <c r="IN433" s="18"/>
      <c r="IO433" s="18"/>
      <c r="JR433" s="23"/>
      <c r="JS433" s="23"/>
      <c r="JT433" s="23"/>
      <c r="JU433" s="23"/>
      <c r="JV433" s="23"/>
      <c r="JW433" s="23"/>
      <c r="JX433" s="23"/>
      <c r="JY433" s="23"/>
      <c r="JZ433" s="23"/>
      <c r="KA433" s="23"/>
      <c r="KB433" s="23"/>
      <c r="KC433" s="23"/>
      <c r="KD433" s="23"/>
      <c r="KE433" s="23"/>
      <c r="KF433" s="23"/>
      <c r="KG433" s="23"/>
      <c r="KH433" s="23"/>
      <c r="KI433" s="23"/>
      <c r="KJ433" s="23"/>
      <c r="KK433" s="23"/>
      <c r="KL433" s="23"/>
      <c r="KM433" s="23"/>
      <c r="KN433" s="23"/>
      <c r="KO433" s="23"/>
      <c r="KP433" s="23"/>
    </row>
    <row r="434" spans="1:302" ht="11.1" hidden="1" customHeight="1" outlineLevel="1">
      <c r="A434" s="1" t="s">
        <v>42</v>
      </c>
      <c r="B434" s="192"/>
      <c r="C434" s="52"/>
      <c r="D434" s="29"/>
      <c r="F434" s="940"/>
      <c r="G434" s="176"/>
      <c r="H434" s="176"/>
      <c r="I434" s="186"/>
      <c r="J434" s="186"/>
      <c r="K434" s="185">
        <f>AP433</f>
        <v>0</v>
      </c>
      <c r="L434" s="57"/>
      <c r="M434" s="136"/>
      <c r="N434" s="136"/>
      <c r="O434" s="136"/>
      <c r="P434" s="220"/>
      <c r="Q434" s="8"/>
      <c r="T434" s="57"/>
      <c r="U434" s="57"/>
      <c r="V434" s="57"/>
      <c r="W434" s="57"/>
      <c r="X434" s="57"/>
      <c r="Y434" s="175"/>
      <c r="Z434" s="175"/>
      <c r="AA434" s="57"/>
      <c r="AB434" s="947"/>
      <c r="AC434" s="947"/>
      <c r="AD434" s="219">
        <f>((P433-I433)/I433)</f>
        <v>-1</v>
      </c>
      <c r="AE434" s="219"/>
      <c r="AF434" s="69"/>
      <c r="AG434" s="21"/>
      <c r="AH434" s="21"/>
      <c r="AI434" s="21"/>
      <c r="AJ434" s="21"/>
      <c r="AK434" s="217"/>
      <c r="AL434" s="21"/>
      <c r="AM434" s="21"/>
      <c r="AN434" s="213"/>
      <c r="AO434" s="38"/>
      <c r="AP434" s="38"/>
      <c r="AR434" s="38"/>
      <c r="AS434" s="67"/>
      <c r="AT434" s="171"/>
      <c r="AU434" s="21"/>
      <c r="AV434" s="21"/>
      <c r="AW434" s="21"/>
      <c r="AX434" s="21"/>
      <c r="AY434" s="21"/>
      <c r="AZ434" s="21"/>
      <c r="BA434" s="171"/>
      <c r="BB434" s="21"/>
      <c r="BC434" s="21"/>
      <c r="BD434" s="21"/>
      <c r="BE434" s="18"/>
      <c r="BF434" s="18"/>
      <c r="BH434" s="18"/>
      <c r="BI434" s="18"/>
      <c r="BJ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  <c r="FR434" s="18"/>
      <c r="FS434" s="18"/>
      <c r="FT434" s="18"/>
      <c r="FU434" s="18"/>
      <c r="FV434" s="18"/>
      <c r="FW434" s="18"/>
      <c r="FX434" s="18"/>
      <c r="FY434" s="18"/>
      <c r="FZ434" s="18"/>
      <c r="GA434" s="18"/>
      <c r="GB434" s="18"/>
      <c r="GC434" s="18"/>
      <c r="GD434" s="18"/>
      <c r="GE434" s="18"/>
      <c r="GF434" s="18"/>
      <c r="GG434" s="18"/>
      <c r="GH434" s="18"/>
      <c r="GI434" s="18"/>
      <c r="GJ434" s="18"/>
      <c r="GK434" s="18"/>
      <c r="GL434" s="18"/>
      <c r="GM434" s="18"/>
      <c r="GN434" s="18"/>
      <c r="GO434" s="18"/>
      <c r="GP434" s="18"/>
      <c r="GQ434" s="18"/>
      <c r="GR434" s="18"/>
      <c r="GS434" s="18"/>
      <c r="GT434" s="18"/>
      <c r="GU434" s="18"/>
      <c r="GV434" s="18"/>
      <c r="GW434" s="18"/>
      <c r="GX434" s="18"/>
      <c r="GY434" s="18"/>
      <c r="GZ434" s="18"/>
      <c r="HA434" s="18"/>
      <c r="HB434" s="18"/>
      <c r="HC434" s="18"/>
      <c r="HD434" s="18"/>
      <c r="HE434" s="18"/>
      <c r="HF434" s="18"/>
      <c r="HG434" s="13"/>
      <c r="HH434" s="13"/>
      <c r="HI434" s="13"/>
      <c r="HJ434" s="13"/>
      <c r="HK434" s="13"/>
      <c r="HL434" s="13"/>
      <c r="HM434" s="13"/>
      <c r="HN434" s="13"/>
      <c r="HO434" s="13"/>
      <c r="HP434" s="13"/>
      <c r="HQ434" s="13"/>
      <c r="HR434" s="13"/>
      <c r="HS434" s="13"/>
      <c r="HT434" s="13"/>
      <c r="HV434" s="18"/>
      <c r="HW434" s="18"/>
      <c r="HX434" s="18"/>
      <c r="HY434" s="18"/>
      <c r="HZ434" s="18"/>
      <c r="IA434" s="18"/>
      <c r="IB434" s="18"/>
      <c r="IC434" s="18"/>
      <c r="ID434" s="18"/>
      <c r="IE434" s="18"/>
      <c r="IF434" s="18"/>
      <c r="IG434" s="18"/>
      <c r="IH434" s="18"/>
      <c r="II434" s="18"/>
      <c r="IJ434" s="18"/>
      <c r="IK434" s="18"/>
      <c r="IL434" s="18"/>
      <c r="IM434" s="18"/>
      <c r="IN434" s="18"/>
      <c r="IO434" s="18"/>
      <c r="JR434" s="23"/>
      <c r="JS434" s="23"/>
      <c r="JT434" s="23"/>
      <c r="JU434" s="23"/>
      <c r="JV434" s="23"/>
      <c r="JW434" s="23"/>
      <c r="JX434" s="23"/>
      <c r="JY434" s="23"/>
      <c r="JZ434" s="23"/>
      <c r="KA434" s="23"/>
      <c r="KB434" s="23"/>
      <c r="KC434" s="23"/>
      <c r="KD434" s="23"/>
      <c r="KE434" s="23"/>
      <c r="KF434" s="23"/>
      <c r="KG434" s="23"/>
      <c r="KH434" s="23"/>
      <c r="KI434" s="23"/>
      <c r="KJ434" s="23"/>
      <c r="KK434" s="23"/>
      <c r="KL434" s="23"/>
      <c r="KM434" s="23"/>
      <c r="KN434" s="23"/>
      <c r="KO434" s="23"/>
      <c r="KP434" s="23"/>
    </row>
    <row r="435" spans="1:302" ht="11.1" hidden="1" customHeight="1" outlineLevel="1">
      <c r="A435" s="1"/>
      <c r="B435" s="192"/>
      <c r="C435" s="52"/>
      <c r="D435" s="29"/>
      <c r="F435" s="940"/>
      <c r="G435" s="176"/>
      <c r="H435" s="176"/>
      <c r="I435" s="176"/>
      <c r="J435" s="176"/>
      <c r="K435" s="941"/>
      <c r="L435" s="57"/>
      <c r="M435" s="136"/>
      <c r="N435" s="136"/>
      <c r="O435" s="136"/>
      <c r="P435" s="197"/>
      <c r="Q435" s="8"/>
      <c r="T435" s="57"/>
      <c r="U435" s="57"/>
      <c r="V435" s="57"/>
      <c r="W435" s="57"/>
      <c r="X435" s="57"/>
      <c r="Y435" s="175"/>
      <c r="Z435" s="175"/>
      <c r="AA435" s="57"/>
      <c r="AB435" s="174"/>
      <c r="AC435" s="174"/>
      <c r="AD435" s="173"/>
      <c r="AE435" s="173"/>
      <c r="AF435" s="69"/>
      <c r="AG435" s="21"/>
      <c r="AH435" s="21"/>
      <c r="AI435" s="21"/>
      <c r="AJ435" s="21"/>
      <c r="AK435" s="217"/>
      <c r="AL435" s="21"/>
      <c r="AM435" s="21"/>
      <c r="AN435" s="21"/>
      <c r="AO435" s="21"/>
      <c r="AP435" s="38"/>
      <c r="AR435" s="38"/>
      <c r="AS435" s="67"/>
      <c r="AT435" s="171"/>
      <c r="AU435" s="21"/>
      <c r="AV435" s="21"/>
      <c r="AW435" s="21"/>
      <c r="AX435" s="21"/>
      <c r="AY435" s="21"/>
      <c r="AZ435" s="21"/>
      <c r="BA435" s="171"/>
      <c r="BB435" s="21"/>
      <c r="BC435" s="21"/>
      <c r="BD435" s="21"/>
      <c r="BE435" s="18"/>
      <c r="BF435" s="18"/>
      <c r="BH435" s="18"/>
      <c r="BI435" s="18"/>
      <c r="BJ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  <c r="FR435" s="18"/>
      <c r="FS435" s="18"/>
      <c r="FT435" s="18"/>
      <c r="FU435" s="18"/>
      <c r="FV435" s="18"/>
      <c r="FW435" s="18"/>
      <c r="FX435" s="18"/>
      <c r="FY435" s="18"/>
      <c r="FZ435" s="18"/>
      <c r="GA435" s="18"/>
      <c r="GB435" s="18"/>
      <c r="GC435" s="18"/>
      <c r="GD435" s="18"/>
      <c r="GE435" s="18"/>
      <c r="GF435" s="18"/>
      <c r="GG435" s="18"/>
      <c r="GH435" s="18"/>
      <c r="GI435" s="18"/>
      <c r="GJ435" s="18"/>
      <c r="GK435" s="18"/>
      <c r="GL435" s="18"/>
      <c r="GM435" s="18"/>
      <c r="GN435" s="18"/>
      <c r="GO435" s="18"/>
      <c r="GP435" s="18"/>
      <c r="GQ435" s="18"/>
      <c r="GR435" s="18"/>
      <c r="GS435" s="18"/>
      <c r="GT435" s="18"/>
      <c r="GU435" s="18"/>
      <c r="GV435" s="18"/>
      <c r="GW435" s="18"/>
      <c r="GX435" s="18"/>
      <c r="GY435" s="18"/>
      <c r="GZ435" s="18"/>
      <c r="HA435" s="18"/>
      <c r="HB435" s="18"/>
      <c r="HC435" s="18"/>
      <c r="HD435" s="18"/>
      <c r="HE435" s="18"/>
      <c r="HF435" s="18"/>
      <c r="HG435" s="13"/>
      <c r="HH435" s="13"/>
      <c r="HI435" s="13"/>
      <c r="HJ435" s="13"/>
      <c r="HK435" s="13"/>
      <c r="HL435" s="13"/>
      <c r="HM435" s="13"/>
      <c r="HN435" s="13"/>
      <c r="HO435" s="13"/>
      <c r="HP435" s="13"/>
      <c r="HQ435" s="13"/>
      <c r="HR435" s="13"/>
      <c r="HS435" s="13"/>
      <c r="HT435" s="13"/>
      <c r="HV435" s="18"/>
      <c r="HW435" s="18"/>
      <c r="HX435" s="18"/>
      <c r="HY435" s="18"/>
      <c r="HZ435" s="18"/>
      <c r="IA435" s="18"/>
      <c r="IB435" s="18"/>
      <c r="IC435" s="18"/>
      <c r="ID435" s="18"/>
      <c r="IE435" s="18"/>
      <c r="IF435" s="18"/>
      <c r="IG435" s="18"/>
      <c r="IH435" s="18"/>
      <c r="II435" s="18"/>
      <c r="IJ435" s="18"/>
      <c r="IK435" s="18"/>
      <c r="IL435" s="18"/>
      <c r="IM435" s="18"/>
      <c r="IN435" s="18"/>
      <c r="IO435" s="18"/>
    </row>
    <row r="436" spans="1:302" ht="11.1" hidden="1" customHeight="1" outlineLevel="1">
      <c r="A436" s="1"/>
      <c r="B436" s="192"/>
      <c r="C436" s="52"/>
      <c r="D436" s="29"/>
      <c r="F436" s="940"/>
      <c r="G436" s="176"/>
      <c r="H436" s="176"/>
      <c r="I436" s="176"/>
      <c r="J436" s="176"/>
      <c r="K436" s="941"/>
      <c r="L436" s="57"/>
      <c r="M436" s="136"/>
      <c r="N436" s="136"/>
      <c r="O436" s="136"/>
      <c r="P436" s="218"/>
      <c r="Q436" s="8"/>
      <c r="T436" s="57"/>
      <c r="U436" s="57"/>
      <c r="V436" s="57"/>
      <c r="W436" s="57"/>
      <c r="X436" s="57"/>
      <c r="Y436" s="175"/>
      <c r="Z436" s="175"/>
      <c r="AA436" s="57"/>
      <c r="AB436" s="174"/>
      <c r="AC436" s="174"/>
      <c r="AD436" s="173"/>
      <c r="AE436" s="173"/>
      <c r="AF436" s="69"/>
      <c r="AG436" s="21"/>
      <c r="AH436" s="21"/>
      <c r="AI436" s="21"/>
      <c r="AJ436" s="21"/>
      <c r="AK436" s="217"/>
      <c r="AL436" s="21"/>
      <c r="AM436" s="21"/>
      <c r="AN436" s="21"/>
      <c r="AO436" s="21"/>
      <c r="AP436" s="38"/>
      <c r="AR436" s="38"/>
      <c r="AS436" s="67"/>
      <c r="AT436" s="171"/>
      <c r="AU436" s="21"/>
      <c r="AV436" s="21"/>
      <c r="AW436" s="21"/>
      <c r="AX436" s="21"/>
      <c r="AY436" s="21"/>
      <c r="AZ436" s="21"/>
      <c r="BA436" s="171"/>
      <c r="BB436" s="21"/>
      <c r="BC436" s="21"/>
      <c r="BD436" s="21"/>
      <c r="BE436" s="18"/>
      <c r="BF436" s="18"/>
      <c r="BH436" s="18"/>
      <c r="BI436" s="18"/>
      <c r="BJ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  <c r="FR436" s="18"/>
      <c r="FS436" s="18"/>
      <c r="FT436" s="18"/>
      <c r="FU436" s="18"/>
      <c r="FV436" s="18"/>
      <c r="FW436" s="18"/>
      <c r="FX436" s="18"/>
      <c r="FY436" s="18"/>
      <c r="FZ436" s="18"/>
      <c r="GA436" s="18"/>
      <c r="GB436" s="18"/>
      <c r="GC436" s="18"/>
      <c r="GD436" s="18"/>
      <c r="GE436" s="18"/>
      <c r="GF436" s="18"/>
      <c r="GG436" s="18"/>
      <c r="GH436" s="18"/>
      <c r="GI436" s="18"/>
      <c r="GJ436" s="18"/>
      <c r="GK436" s="18"/>
      <c r="GL436" s="18"/>
      <c r="GM436" s="18"/>
      <c r="GN436" s="18"/>
      <c r="GO436" s="18"/>
      <c r="GP436" s="18"/>
      <c r="GQ436" s="18"/>
      <c r="GR436" s="18"/>
      <c r="GS436" s="18"/>
      <c r="GT436" s="18"/>
      <c r="GU436" s="18"/>
      <c r="GV436" s="18"/>
      <c r="GW436" s="18"/>
      <c r="GX436" s="18"/>
      <c r="GY436" s="18"/>
      <c r="GZ436" s="18"/>
      <c r="HA436" s="18"/>
      <c r="HB436" s="18"/>
      <c r="HC436" s="18"/>
      <c r="HD436" s="18"/>
      <c r="HE436" s="18"/>
      <c r="HF436" s="18"/>
      <c r="HG436" s="13"/>
      <c r="HH436" s="13"/>
      <c r="HI436" s="13"/>
      <c r="HJ436" s="13"/>
      <c r="HK436" s="13"/>
      <c r="HL436" s="13"/>
      <c r="HM436" s="13"/>
      <c r="HN436" s="13"/>
      <c r="HO436" s="13"/>
      <c r="HP436" s="13"/>
      <c r="HQ436" s="13"/>
      <c r="HR436" s="13"/>
      <c r="HS436" s="13"/>
      <c r="HT436" s="13"/>
      <c r="HV436" s="18"/>
      <c r="HW436" s="18"/>
      <c r="HX436" s="18"/>
      <c r="HY436" s="18"/>
      <c r="HZ436" s="18"/>
      <c r="IA436" s="18"/>
      <c r="IB436" s="18"/>
      <c r="IC436" s="18"/>
      <c r="ID436" s="18"/>
      <c r="IE436" s="18"/>
      <c r="IF436" s="18"/>
      <c r="IG436" s="18"/>
      <c r="IH436" s="18"/>
      <c r="II436" s="18"/>
      <c r="IJ436" s="18"/>
      <c r="IK436" s="18"/>
      <c r="IL436" s="18"/>
      <c r="IM436" s="18"/>
      <c r="IN436" s="18"/>
      <c r="IO436" s="18"/>
    </row>
    <row r="437" spans="1:302" ht="11.1" hidden="1" customHeight="1" outlineLevel="1">
      <c r="A437" s="1"/>
      <c r="B437" s="192"/>
      <c r="C437" s="52"/>
      <c r="D437" s="29"/>
      <c r="F437" s="940"/>
      <c r="G437" s="176"/>
      <c r="H437" s="176"/>
      <c r="I437" s="176"/>
      <c r="J437" s="176"/>
      <c r="K437" s="941"/>
      <c r="L437" s="57"/>
      <c r="M437" s="136"/>
      <c r="N437" s="136"/>
      <c r="O437" s="136"/>
      <c r="P437" s="218"/>
      <c r="Q437" s="143"/>
      <c r="T437" s="57"/>
      <c r="U437" s="57"/>
      <c r="V437" s="57"/>
      <c r="W437" s="57"/>
      <c r="X437" s="57"/>
      <c r="Y437" s="175"/>
      <c r="Z437" s="175"/>
      <c r="AA437" s="57"/>
      <c r="AB437" s="174"/>
      <c r="AC437" s="174"/>
      <c r="AD437" s="173"/>
      <c r="AE437" s="173"/>
      <c r="AF437" s="69"/>
      <c r="AG437" s="21"/>
      <c r="AH437" s="21"/>
      <c r="AI437" s="21"/>
      <c r="AJ437" s="21"/>
      <c r="AK437" s="217"/>
      <c r="AL437" s="21"/>
      <c r="AM437" s="21"/>
      <c r="AN437" s="21"/>
      <c r="AO437" s="21"/>
      <c r="AP437" s="38"/>
      <c r="AR437" s="38"/>
      <c r="AS437" s="67"/>
      <c r="AT437" s="171"/>
      <c r="AU437" s="21"/>
      <c r="AV437" s="21"/>
      <c r="AW437" s="21"/>
      <c r="AX437" s="21"/>
      <c r="AY437" s="21"/>
      <c r="AZ437" s="21"/>
      <c r="BA437" s="171"/>
      <c r="BB437" s="21"/>
      <c r="BC437" s="21"/>
      <c r="BD437" s="21"/>
      <c r="BE437" s="18"/>
      <c r="BF437" s="18"/>
      <c r="BH437" s="18"/>
      <c r="BI437" s="18"/>
      <c r="BJ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/>
      <c r="FO437" s="18"/>
      <c r="FP437" s="18"/>
      <c r="FQ437" s="18"/>
      <c r="FR437" s="18"/>
      <c r="FS437" s="18"/>
      <c r="FT437" s="18"/>
      <c r="FU437" s="18"/>
      <c r="FV437" s="18"/>
      <c r="FW437" s="18"/>
      <c r="FX437" s="18"/>
      <c r="FY437" s="18"/>
      <c r="FZ437" s="18"/>
      <c r="GA437" s="18"/>
      <c r="GB437" s="18"/>
      <c r="GC437" s="18"/>
      <c r="GD437" s="18"/>
      <c r="GE437" s="18"/>
      <c r="GF437" s="18"/>
      <c r="GG437" s="18"/>
      <c r="GH437" s="18"/>
      <c r="GI437" s="18"/>
      <c r="GJ437" s="18"/>
      <c r="GK437" s="18"/>
      <c r="GL437" s="18"/>
      <c r="GM437" s="18"/>
      <c r="GN437" s="18"/>
      <c r="GO437" s="18"/>
      <c r="GP437" s="18"/>
      <c r="GQ437" s="18"/>
      <c r="GR437" s="18"/>
      <c r="GS437" s="18"/>
      <c r="GT437" s="18"/>
      <c r="GU437" s="18"/>
      <c r="GV437" s="18"/>
      <c r="GW437" s="18"/>
      <c r="GX437" s="18"/>
      <c r="GY437" s="18"/>
      <c r="GZ437" s="18"/>
      <c r="HA437" s="18"/>
      <c r="HB437" s="18"/>
      <c r="HC437" s="18"/>
      <c r="HD437" s="18"/>
      <c r="HE437" s="18"/>
      <c r="HF437" s="18"/>
      <c r="HG437" s="13"/>
      <c r="HH437" s="13"/>
      <c r="HI437" s="13"/>
      <c r="HJ437" s="13"/>
      <c r="HK437" s="13"/>
      <c r="HL437" s="13"/>
      <c r="HM437" s="13"/>
      <c r="HN437" s="13"/>
      <c r="HO437" s="13"/>
      <c r="HP437" s="13"/>
      <c r="HQ437" s="13"/>
      <c r="HR437" s="13"/>
      <c r="HS437" s="13"/>
      <c r="HT437" s="13"/>
      <c r="HV437" s="18"/>
      <c r="HW437" s="18"/>
      <c r="HX437" s="18"/>
      <c r="HY437" s="18"/>
      <c r="HZ437" s="18"/>
      <c r="IA437" s="18"/>
      <c r="IB437" s="18"/>
      <c r="IC437" s="18"/>
      <c r="ID437" s="18"/>
      <c r="IE437" s="18"/>
      <c r="IF437" s="18"/>
      <c r="IG437" s="18"/>
      <c r="IH437" s="18"/>
      <c r="II437" s="18"/>
      <c r="IJ437" s="18"/>
      <c r="IK437" s="18"/>
      <c r="IL437" s="18"/>
      <c r="IM437" s="18"/>
      <c r="IN437" s="18"/>
      <c r="IO437" s="18"/>
    </row>
    <row r="438" spans="1:302" s="23" customFormat="1" ht="11.1" hidden="1" customHeight="1" outlineLevel="1">
      <c r="A438" s="1"/>
      <c r="B438" s="192"/>
      <c r="C438" s="52"/>
      <c r="D438" s="29"/>
      <c r="E438" s="14"/>
      <c r="F438" s="940"/>
      <c r="G438" s="176"/>
      <c r="H438" s="176"/>
      <c r="I438" s="176"/>
      <c r="J438" s="176"/>
      <c r="K438" s="941"/>
      <c r="L438" s="57"/>
      <c r="M438" s="136"/>
      <c r="N438" s="136"/>
      <c r="O438" s="136"/>
      <c r="P438" s="218"/>
      <c r="Q438" s="8"/>
      <c r="R438" s="14"/>
      <c r="S438" s="14"/>
      <c r="T438" s="57"/>
      <c r="U438" s="57"/>
      <c r="V438" s="57"/>
      <c r="W438" s="57"/>
      <c r="X438" s="57"/>
      <c r="Y438" s="175"/>
      <c r="Z438" s="175"/>
      <c r="AA438" s="57"/>
      <c r="AB438" s="174"/>
      <c r="AC438" s="174"/>
      <c r="AD438" s="173"/>
      <c r="AE438" s="173"/>
      <c r="AF438" s="69"/>
      <c r="AG438" s="21"/>
      <c r="AH438" s="21"/>
      <c r="AI438" s="21"/>
      <c r="AJ438" s="21"/>
      <c r="AK438" s="217"/>
      <c r="AL438" s="21"/>
      <c r="AM438" s="21"/>
      <c r="AN438" s="21"/>
      <c r="AO438" s="21"/>
      <c r="AP438" s="38"/>
      <c r="AR438" s="38"/>
      <c r="AS438" s="67"/>
      <c r="AT438" s="171"/>
      <c r="AU438" s="21"/>
      <c r="AV438" s="21"/>
      <c r="AW438" s="21"/>
      <c r="AX438" s="21"/>
      <c r="AY438" s="21"/>
      <c r="AZ438" s="21"/>
      <c r="BA438" s="171"/>
      <c r="BB438" s="21"/>
      <c r="BC438" s="21"/>
      <c r="BD438" s="21"/>
      <c r="BE438" s="18"/>
      <c r="BF438" s="18"/>
      <c r="BG438" s="32"/>
      <c r="BH438" s="18"/>
      <c r="BI438" s="18"/>
      <c r="BJ438" s="18"/>
      <c r="BK438" s="32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32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32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32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/>
      <c r="FC438" s="18"/>
      <c r="FD438" s="18"/>
      <c r="FE438" s="18"/>
      <c r="FF438" s="18"/>
      <c r="FG438" s="18"/>
      <c r="FH438" s="18"/>
      <c r="FI438" s="18"/>
      <c r="FJ438" s="18"/>
      <c r="FK438" s="18"/>
      <c r="FL438" s="18"/>
      <c r="FM438" s="18"/>
      <c r="FN438" s="18"/>
      <c r="FO438" s="18"/>
      <c r="FP438" s="18"/>
      <c r="FQ438" s="18"/>
      <c r="FR438" s="18"/>
      <c r="FS438" s="18"/>
      <c r="FT438" s="18"/>
      <c r="FU438" s="18"/>
      <c r="FV438" s="18"/>
      <c r="FW438" s="18"/>
      <c r="FX438" s="18"/>
      <c r="FY438" s="18"/>
      <c r="FZ438" s="18"/>
      <c r="GA438" s="18"/>
      <c r="GB438" s="18"/>
      <c r="GC438" s="18"/>
      <c r="GD438" s="18"/>
      <c r="GE438" s="18"/>
      <c r="GF438" s="18"/>
      <c r="GG438" s="18"/>
      <c r="GH438" s="18"/>
      <c r="GI438" s="18"/>
      <c r="GJ438" s="18"/>
      <c r="GK438" s="18"/>
      <c r="GL438" s="18"/>
      <c r="GM438" s="18"/>
      <c r="GN438" s="18"/>
      <c r="GO438" s="18"/>
      <c r="GP438" s="18"/>
      <c r="GQ438" s="18"/>
      <c r="GR438" s="18"/>
      <c r="GS438" s="18"/>
      <c r="GT438" s="18"/>
      <c r="GU438" s="18"/>
      <c r="GV438" s="18"/>
      <c r="GW438" s="18"/>
      <c r="GX438" s="18"/>
      <c r="GY438" s="18"/>
      <c r="GZ438" s="18"/>
      <c r="HA438" s="18"/>
      <c r="HB438" s="18"/>
      <c r="HC438" s="18"/>
      <c r="HD438" s="18"/>
      <c r="HE438" s="18"/>
      <c r="HF438" s="18"/>
      <c r="HG438" s="13"/>
      <c r="HH438" s="13"/>
      <c r="HI438" s="13"/>
      <c r="HJ438" s="13"/>
      <c r="HK438" s="13"/>
      <c r="HL438" s="13"/>
      <c r="HM438" s="13"/>
      <c r="HN438" s="13"/>
      <c r="HO438" s="13"/>
      <c r="HP438" s="13"/>
      <c r="HQ438" s="13"/>
      <c r="HR438" s="13"/>
      <c r="HS438" s="13"/>
      <c r="HT438" s="13"/>
      <c r="HU438" s="32"/>
      <c r="HV438" s="18"/>
      <c r="HW438" s="18"/>
      <c r="HX438" s="18"/>
      <c r="HY438" s="18"/>
      <c r="HZ438" s="18"/>
      <c r="IA438" s="18"/>
      <c r="IB438" s="18"/>
      <c r="IC438" s="18"/>
      <c r="ID438" s="18"/>
      <c r="IE438" s="18"/>
      <c r="IF438" s="18"/>
      <c r="IG438" s="18"/>
      <c r="IH438" s="18"/>
      <c r="II438" s="18"/>
      <c r="IJ438" s="18"/>
      <c r="IK438" s="18"/>
      <c r="IL438" s="18"/>
      <c r="IM438" s="18"/>
      <c r="IN438" s="18"/>
      <c r="IO438" s="18"/>
      <c r="IP438" s="14"/>
      <c r="IQ438" s="14"/>
      <c r="IR438" s="14"/>
      <c r="IS438" s="14"/>
      <c r="IT438" s="14"/>
      <c r="IU438" s="14"/>
      <c r="IV438" s="14"/>
      <c r="IW438" s="14"/>
      <c r="IX438" s="14"/>
      <c r="IY438" s="14"/>
      <c r="IZ438" s="14"/>
      <c r="JA438" s="14"/>
      <c r="JB438" s="14"/>
      <c r="JC438" s="14"/>
      <c r="JD438" s="14"/>
      <c r="JE438" s="14"/>
      <c r="JF438" s="14"/>
      <c r="JG438" s="14"/>
      <c r="JH438" s="14"/>
      <c r="JI438" s="14"/>
      <c r="JJ438" s="14"/>
      <c r="JK438" s="14"/>
      <c r="JL438" s="14"/>
      <c r="JM438" s="14"/>
      <c r="JN438" s="14"/>
      <c r="JO438" s="14"/>
      <c r="JP438" s="14"/>
      <c r="JQ438" s="14"/>
      <c r="JR438" s="14"/>
      <c r="JS438" s="14"/>
      <c r="JT438" s="14"/>
      <c r="JU438" s="14"/>
      <c r="JV438" s="14"/>
      <c r="JW438" s="14"/>
      <c r="JX438" s="14"/>
      <c r="JY438" s="14"/>
      <c r="JZ438" s="14"/>
      <c r="KA438" s="14"/>
      <c r="KB438" s="14"/>
      <c r="KC438" s="14"/>
      <c r="KD438" s="14"/>
      <c r="KE438" s="14"/>
      <c r="KF438" s="14"/>
      <c r="KG438" s="14"/>
      <c r="KH438" s="14"/>
      <c r="KI438" s="14"/>
      <c r="KJ438" s="14"/>
      <c r="KK438" s="14"/>
      <c r="KL438" s="14"/>
      <c r="KM438" s="14"/>
      <c r="KN438" s="14"/>
      <c r="KO438" s="14"/>
      <c r="KP438" s="14"/>
    </row>
    <row r="439" spans="1:302" s="23" customFormat="1" ht="11.1" hidden="1" customHeight="1" outlineLevel="1">
      <c r="A439" s="1"/>
      <c r="B439" s="192"/>
      <c r="C439" s="52"/>
      <c r="D439" s="29"/>
      <c r="E439" s="14"/>
      <c r="F439" s="940"/>
      <c r="G439" s="176"/>
      <c r="H439" s="176"/>
      <c r="I439" s="176"/>
      <c r="J439" s="176"/>
      <c r="K439" s="941"/>
      <c r="L439" s="57"/>
      <c r="M439" s="136"/>
      <c r="N439" s="136"/>
      <c r="O439" s="136"/>
      <c r="P439" s="38"/>
      <c r="Q439" s="8"/>
      <c r="R439" s="14"/>
      <c r="S439" s="14"/>
      <c r="T439" s="57"/>
      <c r="U439" s="57"/>
      <c r="V439" s="57"/>
      <c r="W439" s="57"/>
      <c r="X439" s="57"/>
      <c r="Y439" s="175"/>
      <c r="Z439" s="175"/>
      <c r="AA439" s="57"/>
      <c r="AB439" s="174"/>
      <c r="AC439" s="174"/>
      <c r="AD439" s="173"/>
      <c r="AE439" s="173"/>
      <c r="AF439" s="69"/>
      <c r="AG439" s="21"/>
      <c r="AH439" s="21"/>
      <c r="AI439" s="21"/>
      <c r="AJ439" s="21"/>
      <c r="AK439" s="217"/>
      <c r="AL439" s="21"/>
      <c r="AM439" s="21"/>
      <c r="AN439" s="21"/>
      <c r="AO439" s="21"/>
      <c r="AP439" s="38"/>
      <c r="AR439" s="38"/>
      <c r="AS439" s="67"/>
      <c r="AT439" s="171"/>
      <c r="AU439" s="21"/>
      <c r="AV439" s="21"/>
      <c r="AW439" s="21"/>
      <c r="AX439" s="21"/>
      <c r="AY439" s="21"/>
      <c r="AZ439" s="21"/>
      <c r="BA439" s="171"/>
      <c r="BB439" s="21"/>
      <c r="BC439" s="21"/>
      <c r="BD439" s="21"/>
      <c r="BE439" s="18"/>
      <c r="BF439" s="18"/>
      <c r="BG439" s="32"/>
      <c r="BH439" s="18"/>
      <c r="BI439" s="18"/>
      <c r="BJ439" s="18"/>
      <c r="BK439" s="32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32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32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32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  <c r="EZ439" s="18"/>
      <c r="FA439" s="18"/>
      <c r="FB439" s="18"/>
      <c r="FC439" s="18"/>
      <c r="FD439" s="18"/>
      <c r="FE439" s="18"/>
      <c r="FF439" s="18"/>
      <c r="FG439" s="18"/>
      <c r="FH439" s="18"/>
      <c r="FI439" s="18"/>
      <c r="FJ439" s="18"/>
      <c r="FK439" s="18"/>
      <c r="FL439" s="18"/>
      <c r="FM439" s="18"/>
      <c r="FN439" s="18"/>
      <c r="FO439" s="18"/>
      <c r="FP439" s="18"/>
      <c r="FQ439" s="18"/>
      <c r="FR439" s="18"/>
      <c r="FS439" s="18"/>
      <c r="FT439" s="18"/>
      <c r="FU439" s="18"/>
      <c r="FV439" s="18"/>
      <c r="FW439" s="18"/>
      <c r="FX439" s="18"/>
      <c r="FY439" s="18"/>
      <c r="FZ439" s="18"/>
      <c r="GA439" s="18"/>
      <c r="GB439" s="18"/>
      <c r="GC439" s="18"/>
      <c r="GD439" s="18"/>
      <c r="GE439" s="18"/>
      <c r="GF439" s="18"/>
      <c r="GG439" s="18"/>
      <c r="GH439" s="18"/>
      <c r="GI439" s="18"/>
      <c r="GJ439" s="18"/>
      <c r="GK439" s="18"/>
      <c r="GL439" s="18"/>
      <c r="GM439" s="18"/>
      <c r="GN439" s="18"/>
      <c r="GO439" s="18"/>
      <c r="GP439" s="18"/>
      <c r="GQ439" s="18"/>
      <c r="GR439" s="18"/>
      <c r="GS439" s="18"/>
      <c r="GT439" s="18"/>
      <c r="GU439" s="18"/>
      <c r="GV439" s="18"/>
      <c r="GW439" s="18"/>
      <c r="GX439" s="18"/>
      <c r="GY439" s="18"/>
      <c r="GZ439" s="18"/>
      <c r="HA439" s="18"/>
      <c r="HB439" s="18"/>
      <c r="HC439" s="18"/>
      <c r="HD439" s="18"/>
      <c r="HE439" s="18"/>
      <c r="HF439" s="18"/>
      <c r="HG439" s="13"/>
      <c r="HH439" s="13"/>
      <c r="HI439" s="13"/>
      <c r="HJ439" s="13"/>
      <c r="HK439" s="13"/>
      <c r="HL439" s="13"/>
      <c r="HM439" s="13"/>
      <c r="HN439" s="13"/>
      <c r="HO439" s="13"/>
      <c r="HP439" s="13"/>
      <c r="HQ439" s="13"/>
      <c r="HR439" s="13"/>
      <c r="HS439" s="13"/>
      <c r="HT439" s="13"/>
      <c r="HU439" s="32"/>
      <c r="HV439" s="18"/>
      <c r="HW439" s="18"/>
      <c r="HX439" s="18"/>
      <c r="HY439" s="18"/>
      <c r="HZ439" s="18"/>
      <c r="IA439" s="18"/>
      <c r="IB439" s="18"/>
      <c r="IC439" s="18"/>
      <c r="ID439" s="18"/>
      <c r="IE439" s="18"/>
      <c r="IF439" s="18"/>
      <c r="IG439" s="18"/>
      <c r="IH439" s="18"/>
      <c r="II439" s="18"/>
      <c r="IJ439" s="18"/>
      <c r="IK439" s="18"/>
      <c r="IL439" s="18"/>
      <c r="IM439" s="18"/>
      <c r="IN439" s="18"/>
      <c r="IO439" s="18"/>
      <c r="IP439" s="14"/>
      <c r="IQ439" s="14"/>
      <c r="IR439" s="14"/>
      <c r="IS439" s="14"/>
      <c r="IT439" s="14"/>
      <c r="IU439" s="14"/>
      <c r="IV439" s="14"/>
      <c r="IW439" s="14"/>
      <c r="IX439" s="14"/>
      <c r="IY439" s="14"/>
      <c r="IZ439" s="14"/>
      <c r="JA439" s="14"/>
      <c r="JB439" s="14"/>
      <c r="JC439" s="14"/>
      <c r="JD439" s="14"/>
      <c r="JE439" s="14"/>
      <c r="JF439" s="14"/>
      <c r="JG439" s="14"/>
      <c r="JH439" s="14"/>
      <c r="JI439" s="14"/>
      <c r="JJ439" s="14"/>
      <c r="JK439" s="14"/>
      <c r="JL439" s="14"/>
      <c r="JM439" s="14"/>
      <c r="JN439" s="14"/>
      <c r="JO439" s="14"/>
      <c r="JP439" s="14"/>
      <c r="JQ439" s="14"/>
      <c r="JR439" s="14"/>
      <c r="JS439" s="14"/>
      <c r="JT439" s="14"/>
      <c r="JU439" s="14"/>
      <c r="JV439" s="14"/>
      <c r="JW439" s="14"/>
      <c r="JX439" s="14"/>
      <c r="JY439" s="14"/>
      <c r="JZ439" s="14"/>
      <c r="KA439" s="14"/>
      <c r="KB439" s="14"/>
      <c r="KC439" s="14"/>
      <c r="KD439" s="14"/>
      <c r="KE439" s="14"/>
      <c r="KF439" s="14"/>
      <c r="KG439" s="14"/>
      <c r="KH439" s="14"/>
      <c r="KI439" s="14"/>
      <c r="KJ439" s="14"/>
      <c r="KK439" s="14"/>
      <c r="KL439" s="14"/>
      <c r="KM439" s="14"/>
      <c r="KN439" s="14"/>
      <c r="KO439" s="14"/>
      <c r="KP439" s="14"/>
    </row>
    <row r="440" spans="1:302" s="23" customFormat="1" ht="11.1" hidden="1" customHeight="1" outlineLevel="1">
      <c r="A440" s="1"/>
      <c r="B440" s="192"/>
      <c r="C440" s="52"/>
      <c r="D440" s="29"/>
      <c r="E440" s="14"/>
      <c r="F440" s="940"/>
      <c r="G440" s="176"/>
      <c r="H440" s="176"/>
      <c r="I440" s="176"/>
      <c r="J440" s="176"/>
      <c r="K440" s="941"/>
      <c r="L440" s="57"/>
      <c r="M440" s="136"/>
      <c r="N440" s="136"/>
      <c r="O440" s="136"/>
      <c r="Q440" s="8"/>
      <c r="R440" s="14"/>
      <c r="S440" s="14"/>
      <c r="T440" s="57"/>
      <c r="U440" s="57"/>
      <c r="V440" s="57"/>
      <c r="W440" s="57"/>
      <c r="X440" s="57"/>
      <c r="Y440" s="175"/>
      <c r="Z440" s="175"/>
      <c r="AA440" s="57"/>
      <c r="AB440" s="174"/>
      <c r="AC440" s="174"/>
      <c r="AD440" s="173"/>
      <c r="AE440" s="173"/>
      <c r="AF440" s="69"/>
      <c r="AG440" s="21"/>
      <c r="AH440" s="21"/>
      <c r="AI440" s="21"/>
      <c r="AJ440" s="21"/>
      <c r="AK440" s="217"/>
      <c r="AL440" s="21"/>
      <c r="AM440" s="21"/>
      <c r="AN440" s="21"/>
      <c r="AO440" s="21"/>
      <c r="AP440" s="38"/>
      <c r="AR440" s="38"/>
      <c r="AS440" s="67"/>
      <c r="AT440" s="171"/>
      <c r="AU440" s="21"/>
      <c r="AV440" s="21"/>
      <c r="AW440" s="21"/>
      <c r="AX440" s="21"/>
      <c r="AY440" s="21"/>
      <c r="AZ440" s="21"/>
      <c r="BA440" s="171"/>
      <c r="BB440" s="21"/>
      <c r="BC440" s="21"/>
      <c r="BD440" s="21"/>
      <c r="BE440" s="18"/>
      <c r="BF440" s="18"/>
      <c r="BG440" s="32"/>
      <c r="BH440" s="18"/>
      <c r="BI440" s="18"/>
      <c r="BJ440" s="18"/>
      <c r="BK440" s="32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32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32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32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  <c r="FR440" s="18"/>
      <c r="FS440" s="18"/>
      <c r="FT440" s="18"/>
      <c r="FU440" s="18"/>
      <c r="FV440" s="18"/>
      <c r="FW440" s="18"/>
      <c r="FX440" s="18"/>
      <c r="FY440" s="18"/>
      <c r="FZ440" s="18"/>
      <c r="GA440" s="18"/>
      <c r="GB440" s="18"/>
      <c r="GC440" s="18"/>
      <c r="GD440" s="18"/>
      <c r="GE440" s="18"/>
      <c r="GF440" s="18"/>
      <c r="GG440" s="18"/>
      <c r="GH440" s="18"/>
      <c r="GI440" s="18"/>
      <c r="GJ440" s="18"/>
      <c r="GK440" s="18"/>
      <c r="GL440" s="18"/>
      <c r="GM440" s="18"/>
      <c r="GN440" s="18"/>
      <c r="GO440" s="18"/>
      <c r="GP440" s="18"/>
      <c r="GQ440" s="18"/>
      <c r="GR440" s="18"/>
      <c r="GS440" s="18"/>
      <c r="GT440" s="18"/>
      <c r="GU440" s="18"/>
      <c r="GV440" s="18"/>
      <c r="GW440" s="18"/>
      <c r="GX440" s="18"/>
      <c r="GY440" s="18"/>
      <c r="GZ440" s="18"/>
      <c r="HA440" s="18"/>
      <c r="HB440" s="18"/>
      <c r="HC440" s="18"/>
      <c r="HD440" s="18"/>
      <c r="HE440" s="18"/>
      <c r="HF440" s="18"/>
      <c r="HG440" s="13"/>
      <c r="HH440" s="13"/>
      <c r="HI440" s="13"/>
      <c r="HJ440" s="13"/>
      <c r="HK440" s="13"/>
      <c r="HL440" s="13"/>
      <c r="HM440" s="13"/>
      <c r="HN440" s="13"/>
      <c r="HO440" s="13"/>
      <c r="HP440" s="13"/>
      <c r="HQ440" s="13"/>
      <c r="HR440" s="13"/>
      <c r="HS440" s="13"/>
      <c r="HT440" s="13"/>
      <c r="HU440" s="32"/>
      <c r="HV440" s="18"/>
      <c r="HW440" s="18"/>
      <c r="HX440" s="18"/>
      <c r="HY440" s="18"/>
      <c r="HZ440" s="18"/>
      <c r="IA440" s="18"/>
      <c r="IB440" s="18"/>
      <c r="IC440" s="18"/>
      <c r="ID440" s="18"/>
      <c r="IE440" s="18"/>
      <c r="IF440" s="18"/>
      <c r="IG440" s="18"/>
      <c r="IH440" s="18"/>
      <c r="II440" s="18"/>
      <c r="IJ440" s="18"/>
      <c r="IK440" s="18"/>
      <c r="IL440" s="18"/>
      <c r="IM440" s="18"/>
      <c r="IN440" s="18"/>
      <c r="IO440" s="18"/>
      <c r="IP440" s="14"/>
      <c r="IQ440" s="14"/>
      <c r="IR440" s="14"/>
      <c r="IS440" s="14"/>
      <c r="IT440" s="14"/>
      <c r="IU440" s="14"/>
      <c r="IV440" s="14"/>
      <c r="IW440" s="14"/>
      <c r="IX440" s="14"/>
      <c r="IY440" s="14"/>
      <c r="IZ440" s="14"/>
      <c r="JA440" s="14"/>
      <c r="JB440" s="14"/>
      <c r="JC440" s="14"/>
      <c r="JD440" s="14"/>
      <c r="JE440" s="14"/>
      <c r="JF440" s="14"/>
      <c r="JG440" s="14"/>
      <c r="JH440" s="14"/>
      <c r="JI440" s="14"/>
      <c r="JJ440" s="14"/>
      <c r="JK440" s="14"/>
      <c r="JL440" s="14"/>
      <c r="JM440" s="14"/>
      <c r="JN440" s="14"/>
      <c r="JO440" s="14"/>
      <c r="JP440" s="14"/>
      <c r="JQ440" s="14"/>
      <c r="JR440" s="14"/>
      <c r="JS440" s="14"/>
      <c r="JT440" s="14"/>
      <c r="JU440" s="14"/>
      <c r="JV440" s="14"/>
      <c r="JW440" s="14"/>
      <c r="JX440" s="14"/>
      <c r="JY440" s="14"/>
      <c r="JZ440" s="14"/>
      <c r="KA440" s="14"/>
      <c r="KB440" s="14"/>
      <c r="KC440" s="14"/>
      <c r="KD440" s="14"/>
      <c r="KE440" s="14"/>
      <c r="KF440" s="14"/>
      <c r="KG440" s="14"/>
      <c r="KH440" s="14"/>
      <c r="KI440" s="14"/>
      <c r="KJ440" s="14"/>
      <c r="KK440" s="14"/>
      <c r="KL440" s="14"/>
      <c r="KM440" s="14"/>
      <c r="KN440" s="14"/>
      <c r="KO440" s="14"/>
      <c r="KP440" s="14"/>
    </row>
    <row r="441" spans="1:302" s="23" customFormat="1" ht="11.1" hidden="1" customHeight="1" outlineLevel="1">
      <c r="A441" s="1"/>
      <c r="B441" s="192"/>
      <c r="C441" s="52"/>
      <c r="D441" s="29"/>
      <c r="E441" s="14"/>
      <c r="F441" s="940"/>
      <c r="G441" s="176"/>
      <c r="H441" s="176"/>
      <c r="I441" s="176"/>
      <c r="J441" s="176"/>
      <c r="K441" s="941"/>
      <c r="L441" s="57"/>
      <c r="M441" s="136"/>
      <c r="N441" s="136"/>
      <c r="O441" s="136"/>
      <c r="P441" s="216"/>
      <c r="Q441" s="8"/>
      <c r="R441" s="14"/>
      <c r="S441" s="14"/>
      <c r="T441" s="57"/>
      <c r="U441" s="57"/>
      <c r="V441" s="57"/>
      <c r="W441" s="57"/>
      <c r="X441" s="57"/>
      <c r="Y441" s="175"/>
      <c r="Z441" s="175"/>
      <c r="AA441" s="57"/>
      <c r="AB441" s="174"/>
      <c r="AC441" s="174"/>
      <c r="AD441" s="173"/>
      <c r="AE441" s="173"/>
      <c r="AF441" s="69"/>
      <c r="AG441" s="22"/>
      <c r="AH441" s="22"/>
      <c r="AI441" s="22"/>
      <c r="AJ441" s="22"/>
      <c r="AK441" s="178"/>
      <c r="AL441" s="22"/>
      <c r="AM441" s="22"/>
      <c r="AN441" s="22"/>
      <c r="AO441" s="22"/>
      <c r="AP441" s="22"/>
      <c r="AQ441" s="15"/>
      <c r="AR441" s="38"/>
      <c r="AS441" s="67"/>
      <c r="AT441" s="171"/>
      <c r="AU441" s="21"/>
      <c r="AV441" s="21"/>
      <c r="AW441" s="21"/>
      <c r="AX441" s="21"/>
      <c r="AY441" s="21"/>
      <c r="AZ441" s="21"/>
      <c r="BA441" s="171"/>
      <c r="BB441" s="21"/>
      <c r="BC441" s="21"/>
      <c r="BD441" s="21"/>
      <c r="BE441" s="18"/>
      <c r="BF441" s="18"/>
      <c r="BG441" s="32"/>
      <c r="BH441" s="18"/>
      <c r="BI441" s="18"/>
      <c r="BJ441" s="18"/>
      <c r="BK441" s="32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32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32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32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  <c r="FR441" s="18"/>
      <c r="FS441" s="18"/>
      <c r="FT441" s="18"/>
      <c r="FU441" s="18"/>
      <c r="FV441" s="18"/>
      <c r="FW441" s="18"/>
      <c r="FX441" s="18"/>
      <c r="FY441" s="18"/>
      <c r="FZ441" s="18"/>
      <c r="GA441" s="18"/>
      <c r="GB441" s="18"/>
      <c r="GC441" s="18"/>
      <c r="GD441" s="18"/>
      <c r="GE441" s="18"/>
      <c r="GF441" s="18"/>
      <c r="GG441" s="18"/>
      <c r="GH441" s="18"/>
      <c r="GI441" s="18"/>
      <c r="GJ441" s="18"/>
      <c r="GK441" s="18"/>
      <c r="GL441" s="18"/>
      <c r="GM441" s="18"/>
      <c r="GN441" s="18"/>
      <c r="GO441" s="18"/>
      <c r="GP441" s="18"/>
      <c r="GQ441" s="18"/>
      <c r="GR441" s="18"/>
      <c r="GS441" s="18"/>
      <c r="GT441" s="18"/>
      <c r="GU441" s="18"/>
      <c r="GV441" s="18"/>
      <c r="GW441" s="18"/>
      <c r="GX441" s="18"/>
      <c r="GY441" s="18"/>
      <c r="GZ441" s="18"/>
      <c r="HA441" s="18"/>
      <c r="HB441" s="18"/>
      <c r="HC441" s="18"/>
      <c r="HD441" s="18"/>
      <c r="HE441" s="18"/>
      <c r="HF441" s="18"/>
      <c r="HG441" s="13"/>
      <c r="HH441" s="13"/>
      <c r="HI441" s="13"/>
      <c r="HJ441" s="13"/>
      <c r="HK441" s="13"/>
      <c r="HL441" s="13"/>
      <c r="HM441" s="13"/>
      <c r="HN441" s="13"/>
      <c r="HO441" s="13"/>
      <c r="HP441" s="13"/>
      <c r="HQ441" s="13"/>
      <c r="HR441" s="13"/>
      <c r="HS441" s="13"/>
      <c r="HT441" s="13"/>
      <c r="HU441" s="32"/>
      <c r="HV441" s="18"/>
      <c r="HW441" s="18"/>
      <c r="HX441" s="18"/>
      <c r="HY441" s="18"/>
      <c r="HZ441" s="18"/>
      <c r="IA441" s="18"/>
      <c r="IB441" s="18"/>
      <c r="IC441" s="18"/>
      <c r="ID441" s="18"/>
      <c r="IE441" s="18"/>
      <c r="IF441" s="18"/>
      <c r="IG441" s="18"/>
      <c r="IH441" s="18"/>
      <c r="II441" s="18"/>
      <c r="IJ441" s="18"/>
      <c r="IK441" s="18"/>
      <c r="IL441" s="18"/>
      <c r="IM441" s="18"/>
      <c r="IN441" s="18"/>
      <c r="IO441" s="18"/>
      <c r="IP441" s="14"/>
      <c r="IQ441" s="14"/>
      <c r="IR441" s="14"/>
      <c r="IS441" s="14"/>
      <c r="IT441" s="14"/>
      <c r="IU441" s="14"/>
      <c r="IV441" s="14"/>
      <c r="IW441" s="14"/>
      <c r="IX441" s="14"/>
      <c r="IY441" s="14"/>
      <c r="IZ441" s="14"/>
      <c r="JA441" s="14"/>
      <c r="JB441" s="14"/>
      <c r="JC441" s="14"/>
      <c r="JD441" s="14"/>
      <c r="JE441" s="14"/>
      <c r="JF441" s="14"/>
      <c r="JG441" s="14"/>
      <c r="JH441" s="14"/>
      <c r="JI441" s="14"/>
      <c r="JJ441" s="14"/>
      <c r="JK441" s="14"/>
      <c r="JL441" s="14"/>
      <c r="JM441" s="14"/>
      <c r="JN441" s="14"/>
      <c r="JO441" s="14"/>
      <c r="JP441" s="14"/>
      <c r="JQ441" s="14"/>
      <c r="JR441" s="14"/>
      <c r="JS441" s="14"/>
      <c r="JT441" s="14"/>
      <c r="JU441" s="14"/>
      <c r="JV441" s="14"/>
      <c r="JW441" s="14"/>
      <c r="JX441" s="14"/>
      <c r="JY441" s="14"/>
      <c r="JZ441" s="14"/>
      <c r="KA441" s="14"/>
      <c r="KB441" s="14"/>
      <c r="KC441" s="14"/>
      <c r="KD441" s="14"/>
      <c r="KE441" s="14"/>
      <c r="KF441" s="14"/>
      <c r="KG441" s="14"/>
      <c r="KH441" s="14"/>
      <c r="KI441" s="14"/>
      <c r="KJ441" s="14"/>
      <c r="KK441" s="14"/>
      <c r="KL441" s="14"/>
      <c r="KM441" s="14"/>
      <c r="KN441" s="14"/>
      <c r="KO441" s="14"/>
      <c r="KP441" s="14"/>
    </row>
    <row r="442" spans="1:302" s="23" customFormat="1" ht="11.1" hidden="1" customHeight="1" outlineLevel="1">
      <c r="A442" s="1"/>
      <c r="B442" s="192"/>
      <c r="C442" s="52"/>
      <c r="D442" s="29"/>
      <c r="E442" s="14"/>
      <c r="F442" s="940"/>
      <c r="G442" s="176"/>
      <c r="H442" s="176"/>
      <c r="I442" s="176"/>
      <c r="J442" s="176"/>
      <c r="K442" s="941"/>
      <c r="L442" s="57"/>
      <c r="M442" s="136"/>
      <c r="N442" s="136"/>
      <c r="O442" s="136"/>
      <c r="P442" s="199">
        <v>17.149999999999999</v>
      </c>
      <c r="Q442" s="8"/>
      <c r="R442" s="14"/>
      <c r="S442" s="14"/>
      <c r="T442" s="57"/>
      <c r="U442" s="57"/>
      <c r="V442" s="57"/>
      <c r="W442" s="57"/>
      <c r="X442" s="57"/>
      <c r="Y442" s="175"/>
      <c r="Z442" s="175"/>
      <c r="AA442" s="57"/>
      <c r="AB442" s="174"/>
      <c r="AC442" s="174"/>
      <c r="AD442" s="173"/>
      <c r="AE442" s="173"/>
      <c r="AF442" s="69"/>
      <c r="AG442" s="22"/>
      <c r="AH442" s="22"/>
      <c r="AI442" s="22"/>
      <c r="AJ442" s="22"/>
      <c r="AK442" s="178"/>
      <c r="AL442" s="22"/>
      <c r="AM442" s="22"/>
      <c r="AN442" s="22"/>
      <c r="AO442" s="22"/>
      <c r="AP442" s="22"/>
      <c r="AQ442" s="15"/>
      <c r="AR442" s="38"/>
      <c r="AS442" s="67"/>
      <c r="AT442" s="171"/>
      <c r="AU442" s="21"/>
      <c r="AV442" s="21"/>
      <c r="AW442" s="21"/>
      <c r="AX442" s="21"/>
      <c r="AY442" s="21"/>
      <c r="AZ442" s="21"/>
      <c r="BA442" s="171"/>
      <c r="BB442" s="21"/>
      <c r="BC442" s="21"/>
      <c r="BD442" s="21"/>
      <c r="BE442" s="18"/>
      <c r="BF442" s="18"/>
      <c r="BG442" s="32"/>
      <c r="BH442" s="18"/>
      <c r="BI442" s="18"/>
      <c r="BJ442" s="18"/>
      <c r="BK442" s="32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32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32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32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  <c r="EZ442" s="18"/>
      <c r="FA442" s="18"/>
      <c r="FB442" s="18"/>
      <c r="FC442" s="18"/>
      <c r="FD442" s="18"/>
      <c r="FE442" s="18"/>
      <c r="FF442" s="18"/>
      <c r="FG442" s="18"/>
      <c r="FH442" s="18"/>
      <c r="FI442" s="18"/>
      <c r="FJ442" s="18"/>
      <c r="FK442" s="18"/>
      <c r="FL442" s="18"/>
      <c r="FM442" s="18"/>
      <c r="FN442" s="18"/>
      <c r="FO442" s="18"/>
      <c r="FP442" s="18"/>
      <c r="FQ442" s="18"/>
      <c r="FR442" s="18"/>
      <c r="FS442" s="18"/>
      <c r="FT442" s="18"/>
      <c r="FU442" s="18"/>
      <c r="FV442" s="18"/>
      <c r="FW442" s="18"/>
      <c r="FX442" s="18"/>
      <c r="FY442" s="18"/>
      <c r="FZ442" s="18"/>
      <c r="GA442" s="18"/>
      <c r="GB442" s="18"/>
      <c r="GC442" s="18"/>
      <c r="GD442" s="18"/>
      <c r="GE442" s="18"/>
      <c r="GF442" s="18"/>
      <c r="GG442" s="18"/>
      <c r="GH442" s="18"/>
      <c r="GI442" s="18"/>
      <c r="GJ442" s="18"/>
      <c r="GK442" s="18"/>
      <c r="GL442" s="18"/>
      <c r="GM442" s="18"/>
      <c r="GN442" s="18"/>
      <c r="GO442" s="18"/>
      <c r="GP442" s="18"/>
      <c r="GQ442" s="18"/>
      <c r="GR442" s="18"/>
      <c r="GS442" s="18"/>
      <c r="GT442" s="18"/>
      <c r="GU442" s="18"/>
      <c r="GV442" s="18"/>
      <c r="GW442" s="18"/>
      <c r="GX442" s="18"/>
      <c r="GY442" s="18"/>
      <c r="GZ442" s="18"/>
      <c r="HA442" s="18"/>
      <c r="HB442" s="18"/>
      <c r="HC442" s="18"/>
      <c r="HD442" s="18"/>
      <c r="HE442" s="18"/>
      <c r="HF442" s="18"/>
      <c r="HG442" s="13"/>
      <c r="HH442" s="13"/>
      <c r="HI442" s="13"/>
      <c r="HJ442" s="13"/>
      <c r="HK442" s="13"/>
      <c r="HL442" s="13"/>
      <c r="HM442" s="13"/>
      <c r="HN442" s="13"/>
      <c r="HO442" s="13"/>
      <c r="HP442" s="13"/>
      <c r="HQ442" s="13"/>
      <c r="HR442" s="13"/>
      <c r="HS442" s="13"/>
      <c r="HT442" s="13"/>
      <c r="HU442" s="32"/>
      <c r="HV442" s="18"/>
      <c r="HW442" s="18"/>
      <c r="HX442" s="18"/>
      <c r="HY442" s="18"/>
      <c r="HZ442" s="18"/>
      <c r="IA442" s="18"/>
      <c r="IB442" s="18"/>
      <c r="IC442" s="18"/>
      <c r="ID442" s="18"/>
      <c r="IE442" s="18"/>
      <c r="IF442" s="18"/>
      <c r="IG442" s="18"/>
      <c r="IH442" s="18"/>
      <c r="II442" s="18"/>
      <c r="IJ442" s="18"/>
      <c r="IK442" s="18"/>
      <c r="IL442" s="18"/>
      <c r="IM442" s="18"/>
      <c r="IN442" s="18"/>
      <c r="IO442" s="18"/>
      <c r="IP442" s="14"/>
      <c r="IQ442" s="14"/>
      <c r="IR442" s="14"/>
      <c r="IS442" s="14"/>
      <c r="IT442" s="14"/>
      <c r="IU442" s="14"/>
      <c r="IV442" s="14"/>
      <c r="IW442" s="14"/>
      <c r="IX442" s="14"/>
      <c r="IY442" s="14"/>
      <c r="IZ442" s="14"/>
      <c r="JA442" s="14"/>
      <c r="JB442" s="14"/>
      <c r="JC442" s="14"/>
      <c r="JD442" s="14"/>
      <c r="JE442" s="14"/>
      <c r="JF442" s="14"/>
      <c r="JG442" s="14"/>
      <c r="JH442" s="14"/>
      <c r="JI442" s="14"/>
      <c r="JJ442" s="14"/>
      <c r="JK442" s="14"/>
      <c r="JL442" s="14"/>
      <c r="JM442" s="14"/>
      <c r="JN442" s="14"/>
      <c r="JO442" s="14"/>
      <c r="JP442" s="14"/>
      <c r="JQ442" s="14"/>
      <c r="JR442" s="14"/>
      <c r="JS442" s="14"/>
      <c r="JT442" s="14"/>
      <c r="JU442" s="14"/>
      <c r="JV442" s="14"/>
      <c r="JW442" s="14"/>
      <c r="JX442" s="14"/>
      <c r="JY442" s="14"/>
      <c r="JZ442" s="14"/>
      <c r="KA442" s="14"/>
      <c r="KB442" s="14"/>
      <c r="KC442" s="14"/>
      <c r="KD442" s="14"/>
      <c r="KE442" s="14"/>
      <c r="KF442" s="14"/>
      <c r="KG442" s="14"/>
      <c r="KH442" s="14"/>
      <c r="KI442" s="14"/>
      <c r="KJ442" s="14"/>
      <c r="KK442" s="14"/>
      <c r="KL442" s="14"/>
      <c r="KM442" s="14"/>
      <c r="KN442" s="14"/>
      <c r="KO442" s="14"/>
      <c r="KP442" s="14"/>
    </row>
    <row r="443" spans="1:302" s="23" customFormat="1" ht="11.1" hidden="1" customHeight="1" outlineLevel="1">
      <c r="A443" s="1"/>
      <c r="B443" s="192"/>
      <c r="C443" s="52"/>
      <c r="D443" s="29"/>
      <c r="E443" s="14"/>
      <c r="F443" s="940"/>
      <c r="G443" s="176"/>
      <c r="H443" s="176"/>
      <c r="I443" s="176"/>
      <c r="J443" s="176"/>
      <c r="K443" s="941"/>
      <c r="L443" s="57"/>
      <c r="M443" s="136"/>
      <c r="N443" s="136"/>
      <c r="O443" s="136"/>
      <c r="P443" s="199">
        <v>16.64</v>
      </c>
      <c r="Q443" s="8"/>
      <c r="R443" s="14"/>
      <c r="S443" s="14"/>
      <c r="T443" s="57"/>
      <c r="U443" s="57"/>
      <c r="V443" s="57"/>
      <c r="W443" s="57"/>
      <c r="X443" s="57"/>
      <c r="Y443" s="175"/>
      <c r="Z443" s="175"/>
      <c r="AA443" s="57"/>
      <c r="AB443" s="174"/>
      <c r="AC443" s="174"/>
      <c r="AD443" s="173"/>
      <c r="AE443" s="173"/>
      <c r="AF443" s="69"/>
      <c r="AG443" s="22"/>
      <c r="AH443" s="22"/>
      <c r="AI443" s="22"/>
      <c r="AJ443" s="22"/>
      <c r="AK443" s="178"/>
      <c r="AL443" s="22"/>
      <c r="AM443" s="22"/>
      <c r="AN443" s="22"/>
      <c r="AO443" s="22"/>
      <c r="AP443" s="22"/>
      <c r="AQ443" s="15"/>
      <c r="AR443" s="38"/>
      <c r="AS443" s="67"/>
      <c r="AT443" s="171"/>
      <c r="AU443" s="21"/>
      <c r="AV443" s="21"/>
      <c r="AW443" s="21"/>
      <c r="AX443" s="21"/>
      <c r="AY443" s="21"/>
      <c r="AZ443" s="21"/>
      <c r="BA443" s="171"/>
      <c r="BB443" s="21"/>
      <c r="BC443" s="21"/>
      <c r="BD443" s="21"/>
      <c r="BE443" s="18"/>
      <c r="BF443" s="18"/>
      <c r="BG443" s="32"/>
      <c r="BH443" s="18"/>
      <c r="BI443" s="18"/>
      <c r="BJ443" s="18"/>
      <c r="BK443" s="32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32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32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32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  <c r="FR443" s="18"/>
      <c r="FS443" s="18"/>
      <c r="FT443" s="18"/>
      <c r="FU443" s="18"/>
      <c r="FV443" s="18"/>
      <c r="FW443" s="18"/>
      <c r="FX443" s="18"/>
      <c r="FY443" s="18"/>
      <c r="FZ443" s="18"/>
      <c r="GA443" s="18"/>
      <c r="GB443" s="18"/>
      <c r="GC443" s="18"/>
      <c r="GD443" s="18"/>
      <c r="GE443" s="18"/>
      <c r="GF443" s="18"/>
      <c r="GG443" s="18"/>
      <c r="GH443" s="18"/>
      <c r="GI443" s="18"/>
      <c r="GJ443" s="18"/>
      <c r="GK443" s="18"/>
      <c r="GL443" s="18"/>
      <c r="GM443" s="18"/>
      <c r="GN443" s="18"/>
      <c r="GO443" s="18"/>
      <c r="GP443" s="18"/>
      <c r="GQ443" s="18"/>
      <c r="GR443" s="18"/>
      <c r="GS443" s="18"/>
      <c r="GT443" s="18"/>
      <c r="GU443" s="18"/>
      <c r="GV443" s="18"/>
      <c r="GW443" s="18"/>
      <c r="GX443" s="18"/>
      <c r="GY443" s="18"/>
      <c r="GZ443" s="18"/>
      <c r="HA443" s="18"/>
      <c r="HB443" s="18"/>
      <c r="HC443" s="18"/>
      <c r="HD443" s="18"/>
      <c r="HE443" s="18"/>
      <c r="HF443" s="18"/>
      <c r="HG443" s="13"/>
      <c r="HH443" s="13"/>
      <c r="HI443" s="13"/>
      <c r="HJ443" s="13"/>
      <c r="HK443" s="13"/>
      <c r="HL443" s="13"/>
      <c r="HM443" s="13"/>
      <c r="HN443" s="13"/>
      <c r="HO443" s="13"/>
      <c r="HP443" s="13"/>
      <c r="HQ443" s="13"/>
      <c r="HR443" s="13"/>
      <c r="HS443" s="13"/>
      <c r="HT443" s="13"/>
      <c r="HU443" s="32"/>
      <c r="HV443" s="18"/>
      <c r="HW443" s="18"/>
      <c r="HX443" s="18"/>
      <c r="HY443" s="18"/>
      <c r="HZ443" s="18"/>
      <c r="IA443" s="18"/>
      <c r="IB443" s="18"/>
      <c r="IC443" s="18"/>
      <c r="ID443" s="18"/>
      <c r="IE443" s="18"/>
      <c r="IF443" s="18"/>
      <c r="IG443" s="18"/>
      <c r="IH443" s="18"/>
      <c r="II443" s="18"/>
      <c r="IJ443" s="18"/>
      <c r="IK443" s="18"/>
      <c r="IL443" s="18"/>
      <c r="IM443" s="18"/>
      <c r="IN443" s="18"/>
      <c r="IO443" s="18"/>
      <c r="IP443" s="14"/>
      <c r="IQ443" s="14"/>
      <c r="IR443" s="14"/>
      <c r="IS443" s="14"/>
      <c r="IT443" s="14"/>
      <c r="IU443" s="14"/>
      <c r="IV443" s="14"/>
      <c r="IW443" s="14"/>
      <c r="IX443" s="14"/>
      <c r="IY443" s="14"/>
      <c r="IZ443" s="14"/>
      <c r="JA443" s="14"/>
      <c r="JB443" s="14"/>
      <c r="JC443" s="14"/>
      <c r="JD443" s="14"/>
      <c r="JE443" s="14"/>
      <c r="JF443" s="14"/>
      <c r="JG443" s="14"/>
      <c r="JH443" s="14"/>
      <c r="JI443" s="14"/>
      <c r="JJ443" s="14"/>
      <c r="JK443" s="14"/>
      <c r="JL443" s="14"/>
      <c r="JM443" s="14"/>
      <c r="JN443" s="14"/>
      <c r="JO443" s="14"/>
      <c r="JP443" s="14"/>
      <c r="JQ443" s="14"/>
      <c r="JR443" s="14"/>
      <c r="JS443" s="14"/>
      <c r="JT443" s="14"/>
      <c r="JU443" s="14"/>
      <c r="JV443" s="14"/>
      <c r="JW443" s="14"/>
      <c r="JX443" s="14"/>
      <c r="JY443" s="14"/>
      <c r="JZ443" s="14"/>
      <c r="KA443" s="14"/>
      <c r="KB443" s="14"/>
      <c r="KC443" s="14"/>
      <c r="KD443" s="14"/>
      <c r="KE443" s="14"/>
      <c r="KF443" s="14"/>
      <c r="KG443" s="14"/>
      <c r="KH443" s="14"/>
      <c r="KI443" s="14"/>
      <c r="KJ443" s="14"/>
      <c r="KK443" s="14"/>
      <c r="KL443" s="14"/>
      <c r="KM443" s="14"/>
      <c r="KN443" s="14"/>
      <c r="KO443" s="14"/>
      <c r="KP443" s="14"/>
    </row>
    <row r="444" spans="1:302" s="23" customFormat="1" ht="5.0999999999999996" hidden="1" customHeight="1" outlineLevel="1">
      <c r="A444" s="232"/>
      <c r="B444" s="231"/>
      <c r="C444" s="229"/>
      <c r="D444" s="229"/>
      <c r="E444" s="230"/>
      <c r="F444" s="229"/>
      <c r="G444" s="229"/>
      <c r="H444" s="229"/>
      <c r="I444" s="16"/>
      <c r="J444" s="16"/>
      <c r="K444" s="228"/>
      <c r="L444" s="879"/>
      <c r="M444" s="223"/>
      <c r="N444" s="223"/>
      <c r="O444" s="223"/>
      <c r="P444" s="218"/>
      <c r="Q444" s="15"/>
      <c r="S444" s="15"/>
      <c r="T444" s="226"/>
      <c r="U444" s="226"/>
      <c r="V444" s="226"/>
      <c r="W444" s="226"/>
      <c r="X444" s="15"/>
      <c r="Y444" s="157"/>
      <c r="Z444" s="157"/>
      <c r="AA444" s="15"/>
      <c r="AB444" s="947"/>
      <c r="AC444" s="947"/>
      <c r="AD444" s="219"/>
      <c r="AE444" s="219"/>
      <c r="AF444" s="69"/>
      <c r="AG444" s="981"/>
      <c r="AH444" s="981"/>
      <c r="AI444" s="981"/>
      <c r="AJ444" s="981"/>
      <c r="AK444" s="225"/>
      <c r="AL444" s="22"/>
      <c r="AM444" s="22"/>
      <c r="AN444" s="22"/>
      <c r="AO444" s="22"/>
      <c r="AP444" s="940"/>
      <c r="AR444" s="940"/>
      <c r="AS444" s="67"/>
      <c r="AT444" s="54"/>
      <c r="AU444" s="22"/>
      <c r="AV444" s="22"/>
      <c r="AW444" s="22"/>
      <c r="AX444" s="22"/>
      <c r="AY444" s="22"/>
      <c r="AZ444" s="22"/>
      <c r="BA444" s="54"/>
      <c r="BB444" s="22"/>
      <c r="BC444" s="22"/>
      <c r="BD444" s="22"/>
      <c r="BE444" s="15"/>
      <c r="BF444" s="15"/>
      <c r="BG444" s="51"/>
      <c r="BH444" s="15"/>
      <c r="BI444" s="15"/>
      <c r="BJ444" s="15"/>
      <c r="BK444" s="51"/>
      <c r="BL444" s="15"/>
      <c r="BM444" s="15"/>
      <c r="BN444" s="15"/>
      <c r="BO444" s="15"/>
      <c r="BP444" s="15"/>
      <c r="BQ444" s="15"/>
      <c r="BR444" s="15"/>
      <c r="BS444" s="15"/>
      <c r="BT444" s="15"/>
      <c r="BU444" s="15"/>
      <c r="BV444" s="15"/>
      <c r="BW444" s="15"/>
      <c r="BX444" s="51"/>
      <c r="BY444" s="15"/>
      <c r="BZ444" s="15"/>
      <c r="CA444" s="15"/>
      <c r="CB444" s="15"/>
      <c r="CC444" s="15"/>
      <c r="CD444" s="15"/>
      <c r="CE444" s="15"/>
      <c r="CF444" s="15"/>
      <c r="CG444" s="15"/>
      <c r="CH444" s="15"/>
      <c r="CI444" s="15"/>
      <c r="CJ444" s="15"/>
      <c r="CK444" s="15"/>
      <c r="CL444" s="15"/>
      <c r="CM444" s="15"/>
      <c r="CN444" s="15"/>
      <c r="CO444" s="15"/>
      <c r="CP444" s="15"/>
      <c r="CQ444" s="15"/>
      <c r="CR444" s="15"/>
      <c r="CS444" s="51"/>
      <c r="CT444" s="15"/>
      <c r="CU444" s="15"/>
      <c r="CV444" s="15"/>
      <c r="CW444" s="15"/>
      <c r="CX444" s="15"/>
      <c r="CY444" s="15"/>
      <c r="CZ444" s="15"/>
      <c r="DA444" s="15"/>
      <c r="DB444" s="15"/>
      <c r="DC444" s="15"/>
      <c r="DD444" s="15"/>
      <c r="DE444" s="15"/>
      <c r="DF444" s="15"/>
      <c r="DG444" s="15"/>
      <c r="DH444" s="15"/>
      <c r="DI444" s="15"/>
      <c r="DJ444" s="15"/>
      <c r="DK444" s="15"/>
      <c r="DL444" s="15"/>
      <c r="DM444" s="15"/>
      <c r="DN444" s="15"/>
      <c r="DO444" s="51"/>
      <c r="DP444" s="15"/>
      <c r="DQ444" s="15"/>
      <c r="DR444" s="15"/>
      <c r="DS444" s="15"/>
      <c r="DT444" s="15"/>
      <c r="DU444" s="15"/>
      <c r="DV444" s="15"/>
      <c r="DW444" s="15"/>
      <c r="DX444" s="15"/>
      <c r="DY444" s="15"/>
      <c r="DZ444" s="15"/>
      <c r="EA444" s="15"/>
      <c r="EB444" s="15"/>
      <c r="EC444" s="15"/>
      <c r="ED444" s="15"/>
      <c r="EE444" s="15"/>
      <c r="EF444" s="15"/>
      <c r="EG444" s="15"/>
      <c r="EH444" s="15"/>
      <c r="EI444" s="15"/>
      <c r="EJ444" s="15"/>
      <c r="EK444" s="15"/>
      <c r="EL444" s="15"/>
      <c r="EM444" s="15"/>
      <c r="EN444" s="15"/>
      <c r="EO444" s="15"/>
      <c r="EP444" s="15"/>
      <c r="EQ444" s="15"/>
      <c r="ER444" s="15"/>
      <c r="ES444" s="15"/>
      <c r="ET444" s="15"/>
      <c r="EU444" s="15"/>
      <c r="EV444" s="15"/>
      <c r="EW444" s="15"/>
      <c r="EX444" s="15"/>
      <c r="EY444" s="15"/>
      <c r="EZ444" s="15"/>
      <c r="FA444" s="15"/>
      <c r="FB444" s="15"/>
      <c r="FC444" s="15"/>
      <c r="FD444" s="15"/>
      <c r="FE444" s="15"/>
      <c r="FF444" s="15"/>
      <c r="FG444" s="15"/>
      <c r="FH444" s="15"/>
      <c r="FI444" s="15"/>
      <c r="FJ444" s="15"/>
      <c r="FK444" s="15"/>
      <c r="FL444" s="15"/>
      <c r="FM444" s="15"/>
      <c r="FN444" s="15"/>
      <c r="FO444" s="15"/>
      <c r="FP444" s="15"/>
      <c r="FQ444" s="15"/>
      <c r="FR444" s="15"/>
      <c r="FS444" s="15"/>
      <c r="FT444" s="15"/>
      <c r="FU444" s="15"/>
      <c r="FV444" s="15"/>
      <c r="FW444" s="15"/>
      <c r="FX444" s="15"/>
      <c r="FY444" s="15"/>
      <c r="FZ444" s="15"/>
      <c r="GA444" s="15"/>
      <c r="GB444" s="15"/>
      <c r="GC444" s="15"/>
      <c r="GD444" s="15"/>
      <c r="GE444" s="15"/>
      <c r="GF444" s="15"/>
      <c r="GG444" s="15"/>
      <c r="GH444" s="15"/>
      <c r="GI444" s="15"/>
      <c r="GJ444" s="15"/>
      <c r="GK444" s="15"/>
      <c r="GL444" s="15"/>
      <c r="GM444" s="15"/>
      <c r="GN444" s="15"/>
      <c r="GO444" s="15"/>
      <c r="GP444" s="15"/>
      <c r="GQ444" s="15"/>
      <c r="GR444" s="15"/>
      <c r="GS444" s="15"/>
      <c r="GT444" s="15"/>
      <c r="GU444" s="15"/>
      <c r="GV444" s="15"/>
      <c r="GW444" s="15"/>
      <c r="GX444" s="15"/>
      <c r="GY444" s="15"/>
      <c r="GZ444" s="15"/>
      <c r="HA444" s="15"/>
      <c r="HB444" s="15"/>
      <c r="HC444" s="15"/>
      <c r="HD444" s="15"/>
      <c r="HE444" s="15"/>
      <c r="HF444" s="15"/>
      <c r="HG444" s="981"/>
      <c r="HH444" s="981"/>
      <c r="HI444" s="981"/>
      <c r="HJ444" s="981"/>
      <c r="HK444" s="981"/>
      <c r="HL444" s="981"/>
      <c r="HM444" s="981"/>
      <c r="HN444" s="981"/>
      <c r="HO444" s="981"/>
      <c r="HP444" s="981"/>
      <c r="HQ444" s="981"/>
      <c r="HR444" s="981"/>
      <c r="HS444" s="981"/>
      <c r="HT444" s="981"/>
      <c r="HU444" s="51"/>
      <c r="HV444" s="15"/>
      <c r="HW444" s="15"/>
      <c r="HX444" s="15"/>
      <c r="HY444" s="15"/>
      <c r="HZ444" s="15"/>
      <c r="IA444" s="15"/>
      <c r="IB444" s="15"/>
      <c r="IC444" s="15"/>
      <c r="ID444" s="15"/>
      <c r="IE444" s="15"/>
      <c r="IF444" s="15"/>
      <c r="IG444" s="15"/>
      <c r="IH444" s="15"/>
      <c r="II444" s="15"/>
      <c r="IJ444" s="15"/>
      <c r="IK444" s="15"/>
      <c r="IL444" s="15"/>
      <c r="IM444" s="15"/>
      <c r="IN444" s="15"/>
      <c r="IO444" s="15"/>
    </row>
    <row r="445" spans="1:302" ht="11.1" hidden="1" customHeight="1" outlineLevel="1">
      <c r="A445" s="191" t="s">
        <v>41</v>
      </c>
      <c r="B445" s="29"/>
      <c r="C445" s="52"/>
      <c r="D445" s="940" t="s">
        <v>40</v>
      </c>
      <c r="F445" s="224">
        <v>0</v>
      </c>
      <c r="G445" s="187">
        <v>40963</v>
      </c>
      <c r="H445" s="187"/>
      <c r="I445" s="1069">
        <v>12.26</v>
      </c>
      <c r="J445" s="1069"/>
      <c r="K445" s="1069"/>
      <c r="L445" s="57"/>
      <c r="M445" s="223"/>
      <c r="N445" s="223"/>
      <c r="O445" s="223"/>
      <c r="P445" s="197"/>
      <c r="Q445" s="1"/>
      <c r="T445" s="57"/>
      <c r="U445" s="57"/>
      <c r="V445" s="57"/>
      <c r="W445" s="57"/>
      <c r="X445" s="57"/>
      <c r="Y445" s="175"/>
      <c r="Z445" s="175"/>
      <c r="AA445" s="57"/>
      <c r="AB445" s="947">
        <f>F445*P446</f>
        <v>0</v>
      </c>
      <c r="AC445" s="947"/>
      <c r="AD445" s="190">
        <f>-((I445*F445)-(P446*F445))</f>
        <v>0</v>
      </c>
      <c r="AE445" s="190"/>
      <c r="AF445" s="69"/>
      <c r="AG445" s="222"/>
      <c r="AH445" s="21"/>
      <c r="AI445" s="21"/>
      <c r="AJ445" s="21"/>
      <c r="AK445" s="217"/>
      <c r="AL445" s="221"/>
      <c r="AM445" s="28"/>
      <c r="AN445" s="179"/>
      <c r="AO445" s="38"/>
      <c r="AP445" s="188">
        <f>F445*I445+AN445+AN446</f>
        <v>0</v>
      </c>
      <c r="AR445" s="38"/>
      <c r="AS445" s="67"/>
      <c r="AT445" s="171"/>
      <c r="AU445" s="21"/>
      <c r="AV445" s="21"/>
      <c r="AW445" s="21"/>
      <c r="AX445" s="21"/>
      <c r="AY445" s="21"/>
      <c r="AZ445" s="21"/>
      <c r="BA445" s="171"/>
      <c r="BB445" s="21"/>
      <c r="BC445" s="21"/>
      <c r="BD445" s="21"/>
      <c r="BE445" s="18"/>
      <c r="BF445" s="18"/>
      <c r="BH445" s="18"/>
      <c r="BI445" s="18"/>
      <c r="BJ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39" t="str">
        <f>IF($AB445=0,"",$AB445)</f>
        <v/>
      </c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  <c r="FC445" s="18"/>
      <c r="FD445" s="18"/>
      <c r="FE445" s="18"/>
      <c r="FF445" s="18"/>
      <c r="FG445" s="18"/>
      <c r="FH445" s="18"/>
      <c r="FI445" s="18"/>
      <c r="FJ445" s="18"/>
      <c r="FK445" s="18"/>
      <c r="FL445" s="18"/>
      <c r="FM445" s="18"/>
      <c r="FN445" s="18"/>
      <c r="FO445" s="18"/>
      <c r="FP445" s="18"/>
      <c r="FQ445" s="18"/>
      <c r="FR445" s="18"/>
      <c r="FS445" s="18"/>
      <c r="FT445" s="18"/>
      <c r="FU445" s="18"/>
      <c r="FV445" s="18"/>
      <c r="FW445" s="18"/>
      <c r="FX445" s="18"/>
      <c r="FY445" s="18"/>
      <c r="FZ445" s="18"/>
      <c r="GA445" s="18"/>
      <c r="GB445" s="18"/>
      <c r="GC445" s="18"/>
      <c r="GD445" s="18"/>
      <c r="GE445" s="18"/>
      <c r="GF445" s="18"/>
      <c r="GG445" s="18"/>
      <c r="GH445" s="18"/>
      <c r="GI445" s="18"/>
      <c r="GJ445" s="18"/>
      <c r="GK445" s="18"/>
      <c r="GL445" s="18"/>
      <c r="GM445" s="18"/>
      <c r="GN445" s="18"/>
      <c r="GO445" s="18"/>
      <c r="GP445" s="18"/>
      <c r="GQ445" s="18"/>
      <c r="GR445" s="18"/>
      <c r="GS445" s="18"/>
      <c r="GT445" s="18"/>
      <c r="GU445" s="18"/>
      <c r="GV445" s="18"/>
      <c r="GW445" s="18"/>
      <c r="GX445" s="18"/>
      <c r="GY445" s="18"/>
      <c r="GZ445" s="18"/>
      <c r="HA445" s="18"/>
      <c r="HB445" s="18"/>
      <c r="HC445" s="18"/>
      <c r="HD445" s="18"/>
      <c r="HE445" s="18"/>
      <c r="HF445" s="18"/>
      <c r="HG445" s="13"/>
      <c r="HH445" s="13"/>
      <c r="HI445" s="13"/>
      <c r="HJ445" s="13"/>
      <c r="HK445" s="13"/>
      <c r="HL445" s="13"/>
      <c r="HM445" s="13"/>
      <c r="HN445" s="13"/>
      <c r="HO445" s="13"/>
      <c r="HP445" s="13"/>
      <c r="HQ445" s="13"/>
      <c r="HR445" s="13"/>
      <c r="HS445" s="13"/>
      <c r="HT445" s="13"/>
      <c r="HU445" s="139" t="str">
        <f>IF($AB445=0,"",$AB445)</f>
        <v/>
      </c>
      <c r="HV445" s="18"/>
      <c r="HW445" s="18"/>
      <c r="HX445" s="18"/>
      <c r="HY445" s="18"/>
      <c r="HZ445" s="18"/>
      <c r="IA445" s="18"/>
      <c r="IB445" s="18"/>
      <c r="IC445" s="18"/>
      <c r="ID445" s="18"/>
      <c r="IE445" s="18"/>
      <c r="IF445" s="18"/>
      <c r="IG445" s="18"/>
      <c r="IH445" s="18"/>
      <c r="II445" s="18"/>
      <c r="IJ445" s="18"/>
      <c r="IK445" s="18"/>
      <c r="IL445" s="18"/>
      <c r="IM445" s="18"/>
      <c r="IN445" s="18"/>
      <c r="IO445" s="18"/>
      <c r="JR445" s="23"/>
      <c r="JS445" s="23"/>
      <c r="JT445" s="23"/>
      <c r="JU445" s="23"/>
      <c r="JV445" s="23"/>
      <c r="JW445" s="23"/>
      <c r="JX445" s="23"/>
      <c r="JY445" s="23"/>
      <c r="JZ445" s="23"/>
      <c r="KA445" s="23"/>
      <c r="KB445" s="23"/>
      <c r="KC445" s="23"/>
      <c r="KD445" s="23"/>
      <c r="KE445" s="23"/>
      <c r="KF445" s="23"/>
      <c r="KG445" s="23"/>
      <c r="KH445" s="23"/>
      <c r="KI445" s="23"/>
      <c r="KJ445" s="23"/>
      <c r="KK445" s="23"/>
      <c r="KL445" s="23"/>
      <c r="KM445" s="23"/>
      <c r="KN445" s="23"/>
      <c r="KO445" s="23"/>
      <c r="KP445" s="23"/>
    </row>
    <row r="446" spans="1:302" ht="11.1" hidden="1" customHeight="1" outlineLevel="1">
      <c r="A446" s="1"/>
      <c r="B446" s="192"/>
      <c r="C446" s="52"/>
      <c r="D446" s="29"/>
      <c r="F446" s="940"/>
      <c r="G446" s="176"/>
      <c r="H446" s="176"/>
      <c r="I446" s="186"/>
      <c r="J446" s="186"/>
      <c r="K446" s="185">
        <f>AP445</f>
        <v>0</v>
      </c>
      <c r="L446" s="57"/>
      <c r="M446" s="136"/>
      <c r="N446" s="136"/>
      <c r="O446" s="136"/>
      <c r="P446" s="220"/>
      <c r="Q446" s="8"/>
      <c r="T446" s="57"/>
      <c r="U446" s="57"/>
      <c r="V446" s="57"/>
      <c r="W446" s="57"/>
      <c r="X446" s="57"/>
      <c r="Y446" s="175"/>
      <c r="Z446" s="175"/>
      <c r="AA446" s="57"/>
      <c r="AB446" s="947"/>
      <c r="AC446" s="947"/>
      <c r="AD446" s="825">
        <f>((P446-I445)/I445)</f>
        <v>-1</v>
      </c>
      <c r="AE446" s="219"/>
      <c r="AF446" s="69"/>
      <c r="AG446" s="21"/>
      <c r="AH446" s="21"/>
      <c r="AI446" s="21"/>
      <c r="AJ446" s="21"/>
      <c r="AK446" s="217"/>
      <c r="AL446" s="21"/>
      <c r="AM446" s="21"/>
      <c r="AN446" s="179"/>
      <c r="AO446" s="38"/>
      <c r="AP446" s="38"/>
      <c r="AR446" s="38"/>
      <c r="AS446" s="67"/>
      <c r="AT446" s="171"/>
      <c r="AU446" s="21"/>
      <c r="AV446" s="21"/>
      <c r="AW446" s="21"/>
      <c r="AX446" s="21"/>
      <c r="AY446" s="21"/>
      <c r="AZ446" s="21"/>
      <c r="BA446" s="171"/>
      <c r="BB446" s="21"/>
      <c r="BC446" s="21"/>
      <c r="BD446" s="21"/>
      <c r="BE446" s="18"/>
      <c r="BF446" s="18"/>
      <c r="BH446" s="18"/>
      <c r="BI446" s="18"/>
      <c r="BJ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  <c r="FC446" s="18"/>
      <c r="FD446" s="18"/>
      <c r="FE446" s="18"/>
      <c r="FF446" s="18"/>
      <c r="FG446" s="18"/>
      <c r="FH446" s="18"/>
      <c r="FI446" s="18"/>
      <c r="FJ446" s="18"/>
      <c r="FK446" s="18"/>
      <c r="FL446" s="18"/>
      <c r="FM446" s="18"/>
      <c r="FN446" s="18"/>
      <c r="FO446" s="18"/>
      <c r="FP446" s="18"/>
      <c r="FQ446" s="18"/>
      <c r="FR446" s="18"/>
      <c r="FS446" s="18"/>
      <c r="FT446" s="18"/>
      <c r="FU446" s="18"/>
      <c r="FV446" s="18"/>
      <c r="FW446" s="18"/>
      <c r="FX446" s="18"/>
      <c r="FY446" s="18"/>
      <c r="FZ446" s="18"/>
      <c r="GA446" s="18"/>
      <c r="GB446" s="18"/>
      <c r="GC446" s="18"/>
      <c r="GD446" s="18"/>
      <c r="GE446" s="18"/>
      <c r="GF446" s="18"/>
      <c r="GG446" s="18"/>
      <c r="GH446" s="18"/>
      <c r="GI446" s="18"/>
      <c r="GJ446" s="18"/>
      <c r="GK446" s="18"/>
      <c r="GL446" s="18"/>
      <c r="GM446" s="18"/>
      <c r="GN446" s="18"/>
      <c r="GO446" s="18"/>
      <c r="GP446" s="18"/>
      <c r="GQ446" s="18"/>
      <c r="GR446" s="18"/>
      <c r="GS446" s="18"/>
      <c r="GT446" s="18"/>
      <c r="GU446" s="18"/>
      <c r="GV446" s="18"/>
      <c r="GW446" s="18"/>
      <c r="GX446" s="18"/>
      <c r="GY446" s="18"/>
      <c r="GZ446" s="18"/>
      <c r="HA446" s="18"/>
      <c r="HB446" s="18"/>
      <c r="HC446" s="18"/>
      <c r="HD446" s="18"/>
      <c r="HE446" s="18"/>
      <c r="HF446" s="18"/>
      <c r="HG446" s="13"/>
      <c r="HH446" s="13"/>
      <c r="HI446" s="13"/>
      <c r="HJ446" s="13"/>
      <c r="HK446" s="13"/>
      <c r="HL446" s="13"/>
      <c r="HM446" s="13"/>
      <c r="HN446" s="13"/>
      <c r="HO446" s="13"/>
      <c r="HP446" s="13"/>
      <c r="HQ446" s="13"/>
      <c r="HR446" s="13"/>
      <c r="HS446" s="13"/>
      <c r="HT446" s="13"/>
      <c r="HV446" s="18"/>
      <c r="HW446" s="18"/>
      <c r="HX446" s="18"/>
      <c r="HY446" s="18"/>
      <c r="HZ446" s="18"/>
      <c r="IA446" s="18"/>
      <c r="IB446" s="18"/>
      <c r="IC446" s="18"/>
      <c r="ID446" s="18"/>
      <c r="IE446" s="18"/>
      <c r="IF446" s="18"/>
      <c r="IG446" s="18"/>
      <c r="IH446" s="18"/>
      <c r="II446" s="18"/>
      <c r="IJ446" s="18"/>
      <c r="IK446" s="18"/>
      <c r="IL446" s="18"/>
      <c r="IM446" s="18"/>
      <c r="IN446" s="18"/>
      <c r="IO446" s="18"/>
      <c r="JR446" s="23"/>
      <c r="JS446" s="23"/>
      <c r="JT446" s="23"/>
      <c r="JU446" s="23"/>
      <c r="JV446" s="23"/>
      <c r="JW446" s="23"/>
      <c r="JX446" s="23"/>
      <c r="JY446" s="23"/>
      <c r="JZ446" s="23"/>
      <c r="KA446" s="23"/>
      <c r="KB446" s="23"/>
      <c r="KC446" s="23"/>
      <c r="KD446" s="23"/>
      <c r="KE446" s="23"/>
      <c r="KF446" s="23"/>
      <c r="KG446" s="23"/>
      <c r="KH446" s="23"/>
      <c r="KI446" s="23"/>
      <c r="KJ446" s="23"/>
      <c r="KK446" s="23"/>
      <c r="KL446" s="23"/>
      <c r="KM446" s="23"/>
      <c r="KN446" s="23"/>
      <c r="KO446" s="23"/>
      <c r="KP446" s="23"/>
    </row>
    <row r="447" spans="1:302" ht="11.1" hidden="1" customHeight="1" outlineLevel="1">
      <c r="A447" s="1"/>
      <c r="B447" s="192"/>
      <c r="C447" s="52"/>
      <c r="D447" s="29"/>
      <c r="F447" s="940"/>
      <c r="G447" s="176"/>
      <c r="H447" s="176"/>
      <c r="I447" s="176"/>
      <c r="J447" s="176"/>
      <c r="K447" s="941"/>
      <c r="L447" s="57"/>
      <c r="M447" s="136"/>
      <c r="N447" s="136"/>
      <c r="O447" s="136"/>
      <c r="P447" s="197"/>
      <c r="Q447" s="8"/>
      <c r="T447" s="57"/>
      <c r="U447" s="57"/>
      <c r="V447" s="57"/>
      <c r="W447" s="57"/>
      <c r="X447" s="57"/>
      <c r="Y447" s="175"/>
      <c r="Z447" s="175"/>
      <c r="AA447" s="57"/>
      <c r="AB447" s="174"/>
      <c r="AC447" s="174"/>
      <c r="AD447" s="173"/>
      <c r="AE447" s="173"/>
      <c r="AF447" s="69"/>
      <c r="AG447" s="21"/>
      <c r="AH447" s="21"/>
      <c r="AI447" s="21"/>
      <c r="AJ447" s="21"/>
      <c r="AK447" s="217"/>
      <c r="AL447" s="21"/>
      <c r="AM447" s="21"/>
      <c r="AN447" s="21"/>
      <c r="AO447" s="21"/>
      <c r="AP447" s="38"/>
      <c r="AR447" s="38"/>
      <c r="AS447" s="67"/>
      <c r="AT447" s="171"/>
      <c r="AU447" s="21"/>
      <c r="AV447" s="21"/>
      <c r="AW447" s="21"/>
      <c r="AX447" s="21"/>
      <c r="AY447" s="21"/>
      <c r="AZ447" s="21"/>
      <c r="BA447" s="171"/>
      <c r="BB447" s="21"/>
      <c r="BC447" s="21"/>
      <c r="BD447" s="21"/>
      <c r="BE447" s="18"/>
      <c r="BF447" s="18"/>
      <c r="BH447" s="18"/>
      <c r="BI447" s="18"/>
      <c r="BJ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  <c r="FR447" s="18"/>
      <c r="FS447" s="18"/>
      <c r="FT447" s="18"/>
      <c r="FU447" s="18"/>
      <c r="FV447" s="18"/>
      <c r="FW447" s="18"/>
      <c r="FX447" s="18"/>
      <c r="FY447" s="18"/>
      <c r="FZ447" s="18"/>
      <c r="GA447" s="18"/>
      <c r="GB447" s="18"/>
      <c r="GC447" s="18"/>
      <c r="GD447" s="18"/>
      <c r="GE447" s="18"/>
      <c r="GF447" s="18"/>
      <c r="GG447" s="18"/>
      <c r="GH447" s="18"/>
      <c r="GI447" s="18"/>
      <c r="GJ447" s="18"/>
      <c r="GK447" s="18"/>
      <c r="GL447" s="18"/>
      <c r="GM447" s="18"/>
      <c r="GN447" s="18"/>
      <c r="GO447" s="18"/>
      <c r="GP447" s="18"/>
      <c r="GQ447" s="18"/>
      <c r="GR447" s="18"/>
      <c r="GS447" s="18"/>
      <c r="GT447" s="18"/>
      <c r="GU447" s="18"/>
      <c r="GV447" s="18"/>
      <c r="GW447" s="18"/>
      <c r="GX447" s="18"/>
      <c r="GY447" s="18"/>
      <c r="GZ447" s="18"/>
      <c r="HA447" s="18"/>
      <c r="HB447" s="18"/>
      <c r="HC447" s="18"/>
      <c r="HD447" s="18"/>
      <c r="HE447" s="18"/>
      <c r="HF447" s="18"/>
      <c r="HG447" s="13"/>
      <c r="HH447" s="13"/>
      <c r="HI447" s="13"/>
      <c r="HJ447" s="13"/>
      <c r="HK447" s="13"/>
      <c r="HL447" s="13"/>
      <c r="HM447" s="13"/>
      <c r="HN447" s="13"/>
      <c r="HO447" s="13"/>
      <c r="HP447" s="13"/>
      <c r="HQ447" s="13"/>
      <c r="HR447" s="13"/>
      <c r="HS447" s="13"/>
      <c r="HT447" s="13"/>
      <c r="HV447" s="18"/>
      <c r="HW447" s="18"/>
      <c r="HX447" s="18"/>
      <c r="HY447" s="18"/>
      <c r="HZ447" s="18"/>
      <c r="IA447" s="18"/>
      <c r="IB447" s="18"/>
      <c r="IC447" s="18"/>
      <c r="ID447" s="18"/>
      <c r="IE447" s="18"/>
      <c r="IF447" s="18"/>
      <c r="IG447" s="18"/>
      <c r="IH447" s="18"/>
      <c r="II447" s="18"/>
      <c r="IJ447" s="18"/>
      <c r="IK447" s="18"/>
      <c r="IL447" s="18"/>
      <c r="IM447" s="18"/>
      <c r="IN447" s="18"/>
      <c r="IO447" s="18"/>
    </row>
    <row r="448" spans="1:302" ht="11.1" hidden="1" customHeight="1" outlineLevel="1">
      <c r="A448" s="1"/>
      <c r="B448" s="192"/>
      <c r="C448" s="52"/>
      <c r="D448" s="29"/>
      <c r="F448" s="940"/>
      <c r="G448" s="176"/>
      <c r="H448" s="176"/>
      <c r="I448" s="176"/>
      <c r="J448" s="176"/>
      <c r="K448" s="941"/>
      <c r="L448" s="57"/>
      <c r="M448" s="136"/>
      <c r="N448" s="136"/>
      <c r="O448" s="136"/>
      <c r="P448" s="218"/>
      <c r="Q448" s="8"/>
      <c r="T448" s="57"/>
      <c r="U448" s="57"/>
      <c r="V448" s="57"/>
      <c r="W448" s="57"/>
      <c r="X448" s="57"/>
      <c r="Y448" s="175"/>
      <c r="Z448" s="175"/>
      <c r="AA448" s="57"/>
      <c r="AB448" s="174"/>
      <c r="AC448" s="174"/>
      <c r="AD448" s="173"/>
      <c r="AE448" s="173"/>
      <c r="AF448" s="69"/>
      <c r="AG448" s="21"/>
      <c r="AH448" s="21"/>
      <c r="AI448" s="21"/>
      <c r="AJ448" s="21"/>
      <c r="AK448" s="217"/>
      <c r="AL448" s="21"/>
      <c r="AM448" s="21"/>
      <c r="AN448" s="21"/>
      <c r="AO448" s="21"/>
      <c r="AP448" s="38"/>
      <c r="AR448" s="38"/>
      <c r="AS448" s="67"/>
      <c r="AT448" s="171"/>
      <c r="AU448" s="21"/>
      <c r="AV448" s="21"/>
      <c r="AW448" s="21"/>
      <c r="AX448" s="21"/>
      <c r="AY448" s="21"/>
      <c r="AZ448" s="21"/>
      <c r="BA448" s="171"/>
      <c r="BB448" s="21"/>
      <c r="BC448" s="21"/>
      <c r="BD448" s="21"/>
      <c r="BE448" s="18"/>
      <c r="BF448" s="18"/>
      <c r="BH448" s="18"/>
      <c r="BI448" s="18"/>
      <c r="BJ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  <c r="FC448" s="18"/>
      <c r="FD448" s="18"/>
      <c r="FE448" s="18"/>
      <c r="FF448" s="18"/>
      <c r="FG448" s="18"/>
      <c r="FH448" s="18"/>
      <c r="FI448" s="18"/>
      <c r="FJ448" s="18"/>
      <c r="FK448" s="18"/>
      <c r="FL448" s="18"/>
      <c r="FM448" s="18"/>
      <c r="FN448" s="18"/>
      <c r="FO448" s="18"/>
      <c r="FP448" s="18"/>
      <c r="FQ448" s="18"/>
      <c r="FR448" s="18"/>
      <c r="FS448" s="18"/>
      <c r="FT448" s="18"/>
      <c r="FU448" s="18"/>
      <c r="FV448" s="18"/>
      <c r="FW448" s="18"/>
      <c r="FX448" s="18"/>
      <c r="FY448" s="18"/>
      <c r="FZ448" s="18"/>
      <c r="GA448" s="18"/>
      <c r="GB448" s="18"/>
      <c r="GC448" s="18"/>
      <c r="GD448" s="18"/>
      <c r="GE448" s="18"/>
      <c r="GF448" s="18"/>
      <c r="GG448" s="18"/>
      <c r="GH448" s="18"/>
      <c r="GI448" s="18"/>
      <c r="GJ448" s="18"/>
      <c r="GK448" s="18"/>
      <c r="GL448" s="18"/>
      <c r="GM448" s="18"/>
      <c r="GN448" s="18"/>
      <c r="GO448" s="18"/>
      <c r="GP448" s="18"/>
      <c r="GQ448" s="18"/>
      <c r="GR448" s="18"/>
      <c r="GS448" s="18"/>
      <c r="GT448" s="18"/>
      <c r="GU448" s="18"/>
      <c r="GV448" s="18"/>
      <c r="GW448" s="18"/>
      <c r="GX448" s="18"/>
      <c r="GY448" s="18"/>
      <c r="GZ448" s="18"/>
      <c r="HA448" s="18"/>
      <c r="HB448" s="18"/>
      <c r="HC448" s="18"/>
      <c r="HD448" s="18"/>
      <c r="HE448" s="18"/>
      <c r="HF448" s="18"/>
      <c r="HG448" s="13"/>
      <c r="HH448" s="13"/>
      <c r="HI448" s="13"/>
      <c r="HJ448" s="13"/>
      <c r="HK448" s="13"/>
      <c r="HL448" s="13"/>
      <c r="HM448" s="13"/>
      <c r="HN448" s="13"/>
      <c r="HO448" s="13"/>
      <c r="HP448" s="13"/>
      <c r="HQ448" s="13"/>
      <c r="HR448" s="13"/>
      <c r="HS448" s="13"/>
      <c r="HT448" s="13"/>
      <c r="HV448" s="18"/>
      <c r="HW448" s="18"/>
      <c r="HX448" s="18"/>
      <c r="HY448" s="18"/>
      <c r="HZ448" s="18"/>
      <c r="IA448" s="18"/>
      <c r="IB448" s="18"/>
      <c r="IC448" s="18"/>
      <c r="ID448" s="18"/>
      <c r="IE448" s="18"/>
      <c r="IF448" s="18"/>
      <c r="IG448" s="18"/>
      <c r="IH448" s="18"/>
      <c r="II448" s="18"/>
      <c r="IJ448" s="18"/>
      <c r="IK448" s="18"/>
      <c r="IL448" s="18"/>
      <c r="IM448" s="18"/>
      <c r="IN448" s="18"/>
      <c r="IO448" s="18"/>
    </row>
    <row r="449" spans="1:302" ht="11.1" hidden="1" customHeight="1" outlineLevel="1">
      <c r="A449" s="1"/>
      <c r="B449" s="192"/>
      <c r="C449" s="52"/>
      <c r="D449" s="29"/>
      <c r="F449" s="940"/>
      <c r="G449" s="176"/>
      <c r="H449" s="176"/>
      <c r="I449" s="176"/>
      <c r="J449" s="176"/>
      <c r="K449" s="941"/>
      <c r="L449" s="57"/>
      <c r="M449" s="136"/>
      <c r="N449" s="136"/>
      <c r="O449" s="136"/>
      <c r="P449" s="218"/>
      <c r="Q449" s="143"/>
      <c r="T449" s="57"/>
      <c r="U449" s="57"/>
      <c r="V449" s="57"/>
      <c r="W449" s="57"/>
      <c r="X449" s="57"/>
      <c r="Y449" s="175"/>
      <c r="Z449" s="175"/>
      <c r="AA449" s="57"/>
      <c r="AB449" s="174"/>
      <c r="AC449" s="174"/>
      <c r="AD449" s="173"/>
      <c r="AE449" s="173"/>
      <c r="AF449" s="69"/>
      <c r="AG449" s="21"/>
      <c r="AH449" s="21"/>
      <c r="AI449" s="21"/>
      <c r="AJ449" s="21"/>
      <c r="AK449" s="217"/>
      <c r="AL449" s="21"/>
      <c r="AM449" s="21"/>
      <c r="AN449" s="21"/>
      <c r="AO449" s="21"/>
      <c r="AP449" s="38"/>
      <c r="AR449" s="38"/>
      <c r="AS449" s="67"/>
      <c r="AT449" s="171"/>
      <c r="AU449" s="21"/>
      <c r="AV449" s="21"/>
      <c r="AW449" s="21"/>
      <c r="AX449" s="21"/>
      <c r="AY449" s="21"/>
      <c r="AZ449" s="21"/>
      <c r="BA449" s="171"/>
      <c r="BB449" s="21"/>
      <c r="BC449" s="21"/>
      <c r="BD449" s="21"/>
      <c r="BE449" s="18"/>
      <c r="BF449" s="18"/>
      <c r="BH449" s="18"/>
      <c r="BI449" s="18"/>
      <c r="BJ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  <c r="FC449" s="18"/>
      <c r="FD449" s="18"/>
      <c r="FE449" s="18"/>
      <c r="FF449" s="18"/>
      <c r="FG449" s="18"/>
      <c r="FH449" s="18"/>
      <c r="FI449" s="18"/>
      <c r="FJ449" s="18"/>
      <c r="FK449" s="18"/>
      <c r="FL449" s="18"/>
      <c r="FM449" s="18"/>
      <c r="FN449" s="18"/>
      <c r="FO449" s="18"/>
      <c r="FP449" s="18"/>
      <c r="FQ449" s="18"/>
      <c r="FR449" s="18"/>
      <c r="FS449" s="18"/>
      <c r="FT449" s="18"/>
      <c r="FU449" s="18"/>
      <c r="FV449" s="18"/>
      <c r="FW449" s="18"/>
      <c r="FX449" s="18"/>
      <c r="FY449" s="18"/>
      <c r="FZ449" s="18"/>
      <c r="GA449" s="18"/>
      <c r="GB449" s="18"/>
      <c r="GC449" s="18"/>
      <c r="GD449" s="18"/>
      <c r="GE449" s="18"/>
      <c r="GF449" s="18"/>
      <c r="GG449" s="18"/>
      <c r="GH449" s="18"/>
      <c r="GI449" s="18"/>
      <c r="GJ449" s="18"/>
      <c r="GK449" s="18"/>
      <c r="GL449" s="18"/>
      <c r="GM449" s="18"/>
      <c r="GN449" s="18"/>
      <c r="GO449" s="18"/>
      <c r="GP449" s="18"/>
      <c r="GQ449" s="18"/>
      <c r="GR449" s="18"/>
      <c r="GS449" s="18"/>
      <c r="GT449" s="18"/>
      <c r="GU449" s="18"/>
      <c r="GV449" s="18"/>
      <c r="GW449" s="18"/>
      <c r="GX449" s="18"/>
      <c r="GY449" s="18"/>
      <c r="GZ449" s="18"/>
      <c r="HA449" s="18"/>
      <c r="HB449" s="18"/>
      <c r="HC449" s="18"/>
      <c r="HD449" s="18"/>
      <c r="HE449" s="18"/>
      <c r="HF449" s="18"/>
      <c r="HG449" s="13"/>
      <c r="HH449" s="13"/>
      <c r="HI449" s="13"/>
      <c r="HJ449" s="13"/>
      <c r="HK449" s="13"/>
      <c r="HL449" s="13"/>
      <c r="HM449" s="13"/>
      <c r="HN449" s="13"/>
      <c r="HO449" s="13"/>
      <c r="HP449" s="13"/>
      <c r="HQ449" s="13"/>
      <c r="HR449" s="13"/>
      <c r="HS449" s="13"/>
      <c r="HT449" s="13"/>
      <c r="HV449" s="18"/>
      <c r="HW449" s="18"/>
      <c r="HX449" s="18"/>
      <c r="HY449" s="18"/>
      <c r="HZ449" s="18"/>
      <c r="IA449" s="18"/>
      <c r="IB449" s="18"/>
      <c r="IC449" s="18"/>
      <c r="ID449" s="18"/>
      <c r="IE449" s="18"/>
      <c r="IF449" s="18"/>
      <c r="IG449" s="18"/>
      <c r="IH449" s="18"/>
      <c r="II449" s="18"/>
      <c r="IJ449" s="18"/>
      <c r="IK449" s="18"/>
      <c r="IL449" s="18"/>
      <c r="IM449" s="18"/>
      <c r="IN449" s="18"/>
      <c r="IO449" s="18"/>
    </row>
    <row r="450" spans="1:302" s="23" customFormat="1" ht="11.1" hidden="1" customHeight="1" outlineLevel="1">
      <c r="A450" s="1"/>
      <c r="B450" s="192"/>
      <c r="C450" s="52"/>
      <c r="D450" s="29"/>
      <c r="E450" s="14"/>
      <c r="F450" s="940"/>
      <c r="G450" s="176"/>
      <c r="H450" s="176"/>
      <c r="I450" s="176"/>
      <c r="J450" s="176"/>
      <c r="K450" s="941"/>
      <c r="L450" s="57"/>
      <c r="M450" s="136"/>
      <c r="N450" s="136"/>
      <c r="O450" s="136"/>
      <c r="P450" s="218"/>
      <c r="Q450" s="8"/>
      <c r="R450" s="14"/>
      <c r="S450" s="14"/>
      <c r="T450" s="57"/>
      <c r="U450" s="57"/>
      <c r="V450" s="57"/>
      <c r="W450" s="57"/>
      <c r="X450" s="57"/>
      <c r="Y450" s="175"/>
      <c r="Z450" s="175"/>
      <c r="AA450" s="57"/>
      <c r="AB450" s="174"/>
      <c r="AC450" s="174"/>
      <c r="AD450" s="173"/>
      <c r="AE450" s="173"/>
      <c r="AF450" s="69"/>
      <c r="AG450" s="21"/>
      <c r="AH450" s="21"/>
      <c r="AI450" s="21"/>
      <c r="AJ450" s="21"/>
      <c r="AK450" s="217"/>
      <c r="AL450" s="21"/>
      <c r="AM450" s="21"/>
      <c r="AN450" s="21"/>
      <c r="AO450" s="21"/>
      <c r="AP450" s="38"/>
      <c r="AR450" s="38"/>
      <c r="AS450" s="67"/>
      <c r="AT450" s="171"/>
      <c r="AU450" s="21"/>
      <c r="AV450" s="21"/>
      <c r="AW450" s="21"/>
      <c r="AX450" s="21"/>
      <c r="AY450" s="21"/>
      <c r="AZ450" s="21"/>
      <c r="BA450" s="171"/>
      <c r="BB450" s="21"/>
      <c r="BC450" s="21"/>
      <c r="BD450" s="21"/>
      <c r="BE450" s="18"/>
      <c r="BF450" s="18"/>
      <c r="BG450" s="32"/>
      <c r="BH450" s="18"/>
      <c r="BI450" s="18"/>
      <c r="BJ450" s="18"/>
      <c r="BK450" s="32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32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32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32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  <c r="FC450" s="18"/>
      <c r="FD450" s="18"/>
      <c r="FE450" s="18"/>
      <c r="FF450" s="18"/>
      <c r="FG450" s="18"/>
      <c r="FH450" s="18"/>
      <c r="FI450" s="18"/>
      <c r="FJ450" s="18"/>
      <c r="FK450" s="18"/>
      <c r="FL450" s="18"/>
      <c r="FM450" s="18"/>
      <c r="FN450" s="18"/>
      <c r="FO450" s="18"/>
      <c r="FP450" s="18"/>
      <c r="FQ450" s="18"/>
      <c r="FR450" s="18"/>
      <c r="FS450" s="18"/>
      <c r="FT450" s="18"/>
      <c r="FU450" s="18"/>
      <c r="FV450" s="18"/>
      <c r="FW450" s="18"/>
      <c r="FX450" s="18"/>
      <c r="FY450" s="18"/>
      <c r="FZ450" s="18"/>
      <c r="GA450" s="18"/>
      <c r="GB450" s="18"/>
      <c r="GC450" s="18"/>
      <c r="GD450" s="18"/>
      <c r="GE450" s="18"/>
      <c r="GF450" s="18"/>
      <c r="GG450" s="18"/>
      <c r="GH450" s="18"/>
      <c r="GI450" s="18"/>
      <c r="GJ450" s="18"/>
      <c r="GK450" s="18"/>
      <c r="GL450" s="18"/>
      <c r="GM450" s="18"/>
      <c r="GN450" s="18"/>
      <c r="GO450" s="18"/>
      <c r="GP450" s="18"/>
      <c r="GQ450" s="18"/>
      <c r="GR450" s="18"/>
      <c r="GS450" s="18"/>
      <c r="GT450" s="18"/>
      <c r="GU450" s="18"/>
      <c r="GV450" s="18"/>
      <c r="GW450" s="18"/>
      <c r="GX450" s="18"/>
      <c r="GY450" s="18"/>
      <c r="GZ450" s="18"/>
      <c r="HA450" s="18"/>
      <c r="HB450" s="18"/>
      <c r="HC450" s="18"/>
      <c r="HD450" s="18"/>
      <c r="HE450" s="18"/>
      <c r="HF450" s="18"/>
      <c r="HG450" s="13"/>
      <c r="HH450" s="13"/>
      <c r="HI450" s="13"/>
      <c r="HJ450" s="13"/>
      <c r="HK450" s="13"/>
      <c r="HL450" s="13"/>
      <c r="HM450" s="13"/>
      <c r="HN450" s="13"/>
      <c r="HO450" s="13"/>
      <c r="HP450" s="13"/>
      <c r="HQ450" s="13"/>
      <c r="HR450" s="13"/>
      <c r="HS450" s="13"/>
      <c r="HT450" s="13"/>
      <c r="HU450" s="32"/>
      <c r="HV450" s="18"/>
      <c r="HW450" s="18"/>
      <c r="HX450" s="18"/>
      <c r="HY450" s="18"/>
      <c r="HZ450" s="18"/>
      <c r="IA450" s="18"/>
      <c r="IB450" s="18"/>
      <c r="IC450" s="18"/>
      <c r="ID450" s="18"/>
      <c r="IE450" s="18"/>
      <c r="IF450" s="18"/>
      <c r="IG450" s="18"/>
      <c r="IH450" s="18"/>
      <c r="II450" s="18"/>
      <c r="IJ450" s="18"/>
      <c r="IK450" s="18"/>
      <c r="IL450" s="18"/>
      <c r="IM450" s="18"/>
      <c r="IN450" s="18"/>
      <c r="IO450" s="18"/>
      <c r="IP450" s="14"/>
      <c r="IQ450" s="14"/>
      <c r="IR450" s="14"/>
      <c r="IS450" s="14"/>
      <c r="IT450" s="14"/>
      <c r="IU450" s="14"/>
      <c r="IV450" s="14"/>
      <c r="IW450" s="14"/>
      <c r="IX450" s="14"/>
      <c r="IY450" s="14"/>
      <c r="IZ450" s="14"/>
      <c r="JA450" s="14"/>
      <c r="JB450" s="14"/>
      <c r="JC450" s="14"/>
      <c r="JD450" s="14"/>
      <c r="JE450" s="14"/>
      <c r="JF450" s="14"/>
      <c r="JG450" s="14"/>
      <c r="JH450" s="14"/>
      <c r="JI450" s="14"/>
      <c r="JJ450" s="14"/>
      <c r="JK450" s="14"/>
      <c r="JL450" s="14"/>
      <c r="JM450" s="14"/>
      <c r="JN450" s="14"/>
      <c r="JO450" s="14"/>
      <c r="JP450" s="14"/>
      <c r="JQ450" s="14"/>
      <c r="JR450" s="14"/>
      <c r="JS450" s="14"/>
      <c r="JT450" s="14"/>
      <c r="JU450" s="14"/>
      <c r="JV450" s="14"/>
      <c r="JW450" s="14"/>
      <c r="JX450" s="14"/>
      <c r="JY450" s="14"/>
      <c r="JZ450" s="14"/>
      <c r="KA450" s="14"/>
      <c r="KB450" s="14"/>
      <c r="KC450" s="14"/>
      <c r="KD450" s="14"/>
      <c r="KE450" s="14"/>
      <c r="KF450" s="14"/>
      <c r="KG450" s="14"/>
      <c r="KH450" s="14"/>
      <c r="KI450" s="14"/>
      <c r="KJ450" s="14"/>
      <c r="KK450" s="14"/>
      <c r="KL450" s="14"/>
      <c r="KM450" s="14"/>
      <c r="KN450" s="14"/>
      <c r="KO450" s="14"/>
      <c r="KP450" s="14"/>
    </row>
    <row r="451" spans="1:302" s="23" customFormat="1" ht="11.1" hidden="1" customHeight="1" outlineLevel="1">
      <c r="A451" s="1"/>
      <c r="B451" s="192"/>
      <c r="C451" s="52"/>
      <c r="D451" s="29"/>
      <c r="E451" s="14"/>
      <c r="F451" s="940"/>
      <c r="G451" s="176"/>
      <c r="H451" s="176"/>
      <c r="I451" s="176"/>
      <c r="J451" s="176"/>
      <c r="K451" s="941"/>
      <c r="L451" s="57"/>
      <c r="M451" s="136"/>
      <c r="N451" s="136"/>
      <c r="O451" s="136"/>
      <c r="P451" s="38"/>
      <c r="Q451" s="8"/>
      <c r="R451" s="14"/>
      <c r="S451" s="14"/>
      <c r="T451" s="57"/>
      <c r="U451" s="57"/>
      <c r="V451" s="57"/>
      <c r="W451" s="57"/>
      <c r="X451" s="57"/>
      <c r="Y451" s="175"/>
      <c r="Z451" s="175"/>
      <c r="AA451" s="57"/>
      <c r="AB451" s="174"/>
      <c r="AC451" s="174"/>
      <c r="AD451" s="173"/>
      <c r="AE451" s="173"/>
      <c r="AF451" s="69"/>
      <c r="AG451" s="21"/>
      <c r="AH451" s="21"/>
      <c r="AI451" s="21"/>
      <c r="AJ451" s="21"/>
      <c r="AK451" s="217"/>
      <c r="AL451" s="21"/>
      <c r="AM451" s="21"/>
      <c r="AN451" s="21"/>
      <c r="AO451" s="21"/>
      <c r="AP451" s="38"/>
      <c r="AR451" s="38"/>
      <c r="AS451" s="67"/>
      <c r="AT451" s="171"/>
      <c r="AU451" s="21"/>
      <c r="AV451" s="21"/>
      <c r="AW451" s="21"/>
      <c r="AX451" s="21"/>
      <c r="AY451" s="21"/>
      <c r="AZ451" s="21"/>
      <c r="BA451" s="171"/>
      <c r="BB451" s="21"/>
      <c r="BC451" s="21"/>
      <c r="BD451" s="21"/>
      <c r="BE451" s="18"/>
      <c r="BF451" s="18"/>
      <c r="BG451" s="32"/>
      <c r="BH451" s="18"/>
      <c r="BI451" s="18"/>
      <c r="BJ451" s="18"/>
      <c r="BK451" s="32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32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32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32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  <c r="FC451" s="18"/>
      <c r="FD451" s="18"/>
      <c r="FE451" s="18"/>
      <c r="FF451" s="18"/>
      <c r="FG451" s="18"/>
      <c r="FH451" s="18"/>
      <c r="FI451" s="18"/>
      <c r="FJ451" s="18"/>
      <c r="FK451" s="18"/>
      <c r="FL451" s="18"/>
      <c r="FM451" s="18"/>
      <c r="FN451" s="18"/>
      <c r="FO451" s="18"/>
      <c r="FP451" s="18"/>
      <c r="FQ451" s="18"/>
      <c r="FR451" s="18"/>
      <c r="FS451" s="18"/>
      <c r="FT451" s="18"/>
      <c r="FU451" s="18"/>
      <c r="FV451" s="18"/>
      <c r="FW451" s="18"/>
      <c r="FX451" s="18"/>
      <c r="FY451" s="18"/>
      <c r="FZ451" s="18"/>
      <c r="GA451" s="18"/>
      <c r="GB451" s="18"/>
      <c r="GC451" s="18"/>
      <c r="GD451" s="18"/>
      <c r="GE451" s="18"/>
      <c r="GF451" s="18"/>
      <c r="GG451" s="18"/>
      <c r="GH451" s="18"/>
      <c r="GI451" s="18"/>
      <c r="GJ451" s="18"/>
      <c r="GK451" s="18"/>
      <c r="GL451" s="18"/>
      <c r="GM451" s="18"/>
      <c r="GN451" s="18"/>
      <c r="GO451" s="18"/>
      <c r="GP451" s="18"/>
      <c r="GQ451" s="18"/>
      <c r="GR451" s="18"/>
      <c r="GS451" s="18"/>
      <c r="GT451" s="18"/>
      <c r="GU451" s="18"/>
      <c r="GV451" s="18"/>
      <c r="GW451" s="18"/>
      <c r="GX451" s="18"/>
      <c r="GY451" s="18"/>
      <c r="GZ451" s="18"/>
      <c r="HA451" s="18"/>
      <c r="HB451" s="18"/>
      <c r="HC451" s="18"/>
      <c r="HD451" s="18"/>
      <c r="HE451" s="18"/>
      <c r="HF451" s="18"/>
      <c r="HG451" s="13"/>
      <c r="HH451" s="13"/>
      <c r="HI451" s="13"/>
      <c r="HJ451" s="13"/>
      <c r="HK451" s="13"/>
      <c r="HL451" s="13"/>
      <c r="HM451" s="13"/>
      <c r="HN451" s="13"/>
      <c r="HO451" s="13"/>
      <c r="HP451" s="13"/>
      <c r="HQ451" s="13"/>
      <c r="HR451" s="13"/>
      <c r="HS451" s="13"/>
      <c r="HT451" s="13"/>
      <c r="HU451" s="32"/>
      <c r="HV451" s="18"/>
      <c r="HW451" s="18"/>
      <c r="HX451" s="18"/>
      <c r="HY451" s="18"/>
      <c r="HZ451" s="18"/>
      <c r="IA451" s="18"/>
      <c r="IB451" s="18"/>
      <c r="IC451" s="18"/>
      <c r="ID451" s="18"/>
      <c r="IE451" s="18"/>
      <c r="IF451" s="18"/>
      <c r="IG451" s="18"/>
      <c r="IH451" s="18"/>
      <c r="II451" s="18"/>
      <c r="IJ451" s="18"/>
      <c r="IK451" s="18"/>
      <c r="IL451" s="18"/>
      <c r="IM451" s="18"/>
      <c r="IN451" s="18"/>
      <c r="IO451" s="18"/>
      <c r="IP451" s="14"/>
      <c r="IQ451" s="14"/>
      <c r="IR451" s="14"/>
      <c r="IS451" s="14"/>
      <c r="IT451" s="14"/>
      <c r="IU451" s="14"/>
      <c r="IV451" s="14"/>
      <c r="IW451" s="14"/>
      <c r="IX451" s="14"/>
      <c r="IY451" s="14"/>
      <c r="IZ451" s="14"/>
      <c r="JA451" s="14"/>
      <c r="JB451" s="14"/>
      <c r="JC451" s="14"/>
      <c r="JD451" s="14"/>
      <c r="JE451" s="14"/>
      <c r="JF451" s="14"/>
      <c r="JG451" s="14"/>
      <c r="JH451" s="14"/>
      <c r="JI451" s="14"/>
      <c r="JJ451" s="14"/>
      <c r="JK451" s="14"/>
      <c r="JL451" s="14"/>
      <c r="JM451" s="14"/>
      <c r="JN451" s="14"/>
      <c r="JO451" s="14"/>
      <c r="JP451" s="14"/>
      <c r="JQ451" s="14"/>
      <c r="JR451" s="14"/>
      <c r="JS451" s="14"/>
      <c r="JT451" s="14"/>
      <c r="JU451" s="14"/>
      <c r="JV451" s="14"/>
      <c r="JW451" s="14"/>
      <c r="JX451" s="14"/>
      <c r="JY451" s="14"/>
      <c r="JZ451" s="14"/>
      <c r="KA451" s="14"/>
      <c r="KB451" s="14"/>
      <c r="KC451" s="14"/>
      <c r="KD451" s="14"/>
      <c r="KE451" s="14"/>
      <c r="KF451" s="14"/>
      <c r="KG451" s="14"/>
      <c r="KH451" s="14"/>
      <c r="KI451" s="14"/>
      <c r="KJ451" s="14"/>
      <c r="KK451" s="14"/>
      <c r="KL451" s="14"/>
      <c r="KM451" s="14"/>
      <c r="KN451" s="14"/>
      <c r="KO451" s="14"/>
      <c r="KP451" s="14"/>
    </row>
    <row r="452" spans="1:302" s="23" customFormat="1" ht="11.1" hidden="1" customHeight="1" outlineLevel="1">
      <c r="A452" s="1"/>
      <c r="B452" s="192"/>
      <c r="C452" s="52"/>
      <c r="D452" s="29"/>
      <c r="E452" s="14"/>
      <c r="F452" s="940"/>
      <c r="G452" s="176"/>
      <c r="H452" s="176"/>
      <c r="I452" s="176"/>
      <c r="J452" s="176"/>
      <c r="K452" s="941"/>
      <c r="L452" s="57"/>
      <c r="M452" s="136"/>
      <c r="N452" s="136"/>
      <c r="O452" s="136"/>
      <c r="Q452" s="8"/>
      <c r="R452" s="14"/>
      <c r="S452" s="14"/>
      <c r="T452" s="57"/>
      <c r="U452" s="57"/>
      <c r="V452" s="57"/>
      <c r="W452" s="57"/>
      <c r="X452" s="57"/>
      <c r="Y452" s="175"/>
      <c r="Z452" s="175"/>
      <c r="AA452" s="57"/>
      <c r="AB452" s="174"/>
      <c r="AC452" s="174"/>
      <c r="AD452" s="173"/>
      <c r="AE452" s="173"/>
      <c r="AF452" s="69"/>
      <c r="AG452" s="21"/>
      <c r="AH452" s="21"/>
      <c r="AI452" s="21"/>
      <c r="AJ452" s="21"/>
      <c r="AK452" s="217"/>
      <c r="AL452" s="21"/>
      <c r="AM452" s="21"/>
      <c r="AN452" s="21"/>
      <c r="AO452" s="21"/>
      <c r="AP452" s="38"/>
      <c r="AR452" s="38"/>
      <c r="AS452" s="67"/>
      <c r="AT452" s="171"/>
      <c r="AU452" s="21"/>
      <c r="AV452" s="21"/>
      <c r="AW452" s="21"/>
      <c r="AX452" s="21"/>
      <c r="AY452" s="21"/>
      <c r="AZ452" s="21"/>
      <c r="BA452" s="171"/>
      <c r="BB452" s="21"/>
      <c r="BC452" s="21"/>
      <c r="BD452" s="21"/>
      <c r="BE452" s="18"/>
      <c r="BF452" s="18"/>
      <c r="BG452" s="32"/>
      <c r="BH452" s="18"/>
      <c r="BI452" s="18"/>
      <c r="BJ452" s="18"/>
      <c r="BK452" s="32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32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32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32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  <c r="EZ452" s="18"/>
      <c r="FA452" s="18"/>
      <c r="FB452" s="18"/>
      <c r="FC452" s="18"/>
      <c r="FD452" s="18"/>
      <c r="FE452" s="18"/>
      <c r="FF452" s="18"/>
      <c r="FG452" s="18"/>
      <c r="FH452" s="18"/>
      <c r="FI452" s="18"/>
      <c r="FJ452" s="18"/>
      <c r="FK452" s="18"/>
      <c r="FL452" s="18"/>
      <c r="FM452" s="18"/>
      <c r="FN452" s="18"/>
      <c r="FO452" s="18"/>
      <c r="FP452" s="18"/>
      <c r="FQ452" s="18"/>
      <c r="FR452" s="18"/>
      <c r="FS452" s="18"/>
      <c r="FT452" s="18"/>
      <c r="FU452" s="18"/>
      <c r="FV452" s="18"/>
      <c r="FW452" s="18"/>
      <c r="FX452" s="18"/>
      <c r="FY452" s="18"/>
      <c r="FZ452" s="18"/>
      <c r="GA452" s="18"/>
      <c r="GB452" s="18"/>
      <c r="GC452" s="18"/>
      <c r="GD452" s="18"/>
      <c r="GE452" s="18"/>
      <c r="GF452" s="18"/>
      <c r="GG452" s="18"/>
      <c r="GH452" s="18"/>
      <c r="GI452" s="18"/>
      <c r="GJ452" s="18"/>
      <c r="GK452" s="18"/>
      <c r="GL452" s="18"/>
      <c r="GM452" s="18"/>
      <c r="GN452" s="18"/>
      <c r="GO452" s="18"/>
      <c r="GP452" s="18"/>
      <c r="GQ452" s="18"/>
      <c r="GR452" s="18"/>
      <c r="GS452" s="18"/>
      <c r="GT452" s="18"/>
      <c r="GU452" s="18"/>
      <c r="GV452" s="18"/>
      <c r="GW452" s="18"/>
      <c r="GX452" s="18"/>
      <c r="GY452" s="18"/>
      <c r="GZ452" s="18"/>
      <c r="HA452" s="18"/>
      <c r="HB452" s="18"/>
      <c r="HC452" s="18"/>
      <c r="HD452" s="18"/>
      <c r="HE452" s="18"/>
      <c r="HF452" s="18"/>
      <c r="HG452" s="13"/>
      <c r="HH452" s="13"/>
      <c r="HI452" s="13"/>
      <c r="HJ452" s="13"/>
      <c r="HK452" s="13"/>
      <c r="HL452" s="13"/>
      <c r="HM452" s="13"/>
      <c r="HN452" s="13"/>
      <c r="HO452" s="13"/>
      <c r="HP452" s="13"/>
      <c r="HQ452" s="13"/>
      <c r="HR452" s="13"/>
      <c r="HS452" s="13"/>
      <c r="HT452" s="13"/>
      <c r="HU452" s="32"/>
      <c r="HV452" s="18"/>
      <c r="HW452" s="18"/>
      <c r="HX452" s="18"/>
      <c r="HY452" s="18"/>
      <c r="HZ452" s="18"/>
      <c r="IA452" s="18"/>
      <c r="IB452" s="18"/>
      <c r="IC452" s="18"/>
      <c r="ID452" s="18"/>
      <c r="IE452" s="18"/>
      <c r="IF452" s="18"/>
      <c r="IG452" s="18"/>
      <c r="IH452" s="18"/>
      <c r="II452" s="18"/>
      <c r="IJ452" s="18"/>
      <c r="IK452" s="18"/>
      <c r="IL452" s="18"/>
      <c r="IM452" s="18"/>
      <c r="IN452" s="18"/>
      <c r="IO452" s="18"/>
      <c r="IP452" s="14"/>
      <c r="IQ452" s="14"/>
      <c r="IR452" s="14"/>
      <c r="IS452" s="14"/>
      <c r="IT452" s="14"/>
      <c r="IU452" s="14"/>
      <c r="IV452" s="14"/>
      <c r="IW452" s="14"/>
      <c r="IX452" s="14"/>
      <c r="IY452" s="14"/>
      <c r="IZ452" s="14"/>
      <c r="JA452" s="14"/>
      <c r="JB452" s="14"/>
      <c r="JC452" s="14"/>
      <c r="JD452" s="14"/>
      <c r="JE452" s="14"/>
      <c r="JF452" s="14"/>
      <c r="JG452" s="14"/>
      <c r="JH452" s="14"/>
      <c r="JI452" s="14"/>
      <c r="JJ452" s="14"/>
      <c r="JK452" s="14"/>
      <c r="JL452" s="14"/>
      <c r="JM452" s="14"/>
      <c r="JN452" s="14"/>
      <c r="JO452" s="14"/>
      <c r="JP452" s="14"/>
      <c r="JQ452" s="14"/>
      <c r="JR452" s="14"/>
      <c r="JS452" s="14"/>
      <c r="JT452" s="14"/>
      <c r="JU452" s="14"/>
      <c r="JV452" s="14"/>
      <c r="JW452" s="14"/>
      <c r="JX452" s="14"/>
      <c r="JY452" s="14"/>
      <c r="JZ452" s="14"/>
      <c r="KA452" s="14"/>
      <c r="KB452" s="14"/>
      <c r="KC452" s="14"/>
      <c r="KD452" s="14"/>
      <c r="KE452" s="14"/>
      <c r="KF452" s="14"/>
      <c r="KG452" s="14"/>
      <c r="KH452" s="14"/>
      <c r="KI452" s="14"/>
      <c r="KJ452" s="14"/>
      <c r="KK452" s="14"/>
      <c r="KL452" s="14"/>
      <c r="KM452" s="14"/>
      <c r="KN452" s="14"/>
      <c r="KO452" s="14"/>
      <c r="KP452" s="14"/>
    </row>
    <row r="453" spans="1:302" s="23" customFormat="1" ht="15" hidden="1" customHeight="1" outlineLevel="1">
      <c r="A453" s="1"/>
      <c r="B453" s="192"/>
      <c r="C453" s="52"/>
      <c r="D453" s="29"/>
      <c r="E453" s="14"/>
      <c r="F453" s="940"/>
      <c r="G453" s="176"/>
      <c r="H453" s="176"/>
      <c r="I453" s="176"/>
      <c r="J453" s="176"/>
      <c r="K453" s="941"/>
      <c r="L453" s="57"/>
      <c r="M453" s="136"/>
      <c r="N453" s="136"/>
      <c r="O453" s="136"/>
      <c r="P453" s="216"/>
      <c r="Q453" s="8"/>
      <c r="R453" s="14"/>
      <c r="S453" s="14"/>
      <c r="T453" s="57"/>
      <c r="U453" s="57"/>
      <c r="V453" s="57"/>
      <c r="W453" s="57"/>
      <c r="X453" s="57"/>
      <c r="Y453" s="175"/>
      <c r="Z453" s="175"/>
      <c r="AA453" s="57"/>
      <c r="AB453" s="174"/>
      <c r="AC453" s="174"/>
      <c r="AD453" s="173"/>
      <c r="AE453" s="173"/>
      <c r="AF453" s="69"/>
      <c r="AG453" s="22"/>
      <c r="AH453" s="22"/>
      <c r="AI453" s="22"/>
      <c r="AJ453" s="22"/>
      <c r="AK453" s="178"/>
      <c r="AL453" s="22"/>
      <c r="AM453" s="22"/>
      <c r="AN453" s="22"/>
      <c r="AO453" s="22"/>
      <c r="AP453" s="22"/>
      <c r="AQ453" s="15"/>
      <c r="AR453" s="38"/>
      <c r="AS453" s="67"/>
      <c r="AT453" s="171"/>
      <c r="AU453" s="21"/>
      <c r="AV453" s="21"/>
      <c r="AW453" s="21"/>
      <c r="AX453" s="21"/>
      <c r="AY453" s="21"/>
      <c r="AZ453" s="21"/>
      <c r="BA453" s="171"/>
      <c r="BB453" s="21"/>
      <c r="BC453" s="21"/>
      <c r="BD453" s="21"/>
      <c r="BE453" s="18"/>
      <c r="BF453" s="18"/>
      <c r="BG453" s="32"/>
      <c r="BH453" s="18"/>
      <c r="BI453" s="18"/>
      <c r="BJ453" s="18"/>
      <c r="BK453" s="32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32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32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32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  <c r="EZ453" s="18"/>
      <c r="FA453" s="18"/>
      <c r="FB453" s="18"/>
      <c r="FC453" s="18"/>
      <c r="FD453" s="18"/>
      <c r="FE453" s="18"/>
      <c r="FF453" s="18"/>
      <c r="FG453" s="18"/>
      <c r="FH453" s="18"/>
      <c r="FI453" s="18"/>
      <c r="FJ453" s="18"/>
      <c r="FK453" s="18"/>
      <c r="FL453" s="18"/>
      <c r="FM453" s="18"/>
      <c r="FN453" s="18"/>
      <c r="FO453" s="18"/>
      <c r="FP453" s="18"/>
      <c r="FQ453" s="18"/>
      <c r="FR453" s="18"/>
      <c r="FS453" s="18"/>
      <c r="FT453" s="18"/>
      <c r="FU453" s="18"/>
      <c r="FV453" s="18"/>
      <c r="FW453" s="18"/>
      <c r="FX453" s="18"/>
      <c r="FY453" s="18"/>
      <c r="FZ453" s="18"/>
      <c r="GA453" s="18"/>
      <c r="GB453" s="18"/>
      <c r="GC453" s="18"/>
      <c r="GD453" s="18"/>
      <c r="GE453" s="18"/>
      <c r="GF453" s="18"/>
      <c r="GG453" s="18"/>
      <c r="GH453" s="18"/>
      <c r="GI453" s="18"/>
      <c r="GJ453" s="18"/>
      <c r="GK453" s="18"/>
      <c r="GL453" s="18"/>
      <c r="GM453" s="18"/>
      <c r="GN453" s="18"/>
      <c r="GO453" s="18"/>
      <c r="GP453" s="18"/>
      <c r="GQ453" s="18"/>
      <c r="GR453" s="18"/>
      <c r="GS453" s="18"/>
      <c r="GT453" s="18"/>
      <c r="GU453" s="18"/>
      <c r="GV453" s="18"/>
      <c r="GW453" s="18"/>
      <c r="GX453" s="18"/>
      <c r="GY453" s="18"/>
      <c r="GZ453" s="18"/>
      <c r="HA453" s="18"/>
      <c r="HB453" s="18"/>
      <c r="HC453" s="18"/>
      <c r="HD453" s="18"/>
      <c r="HE453" s="18"/>
      <c r="HF453" s="18"/>
      <c r="HG453" s="13"/>
      <c r="HH453" s="13"/>
      <c r="HI453" s="13"/>
      <c r="HJ453" s="13"/>
      <c r="HK453" s="13"/>
      <c r="HL453" s="13"/>
      <c r="HM453" s="13"/>
      <c r="HN453" s="13"/>
      <c r="HO453" s="13"/>
      <c r="HP453" s="13"/>
      <c r="HQ453" s="13"/>
      <c r="HR453" s="13"/>
      <c r="HS453" s="13"/>
      <c r="HT453" s="13"/>
      <c r="HU453" s="32"/>
      <c r="HV453" s="18"/>
      <c r="HW453" s="18"/>
      <c r="HX453" s="18"/>
      <c r="HY453" s="18"/>
      <c r="HZ453" s="18"/>
      <c r="IA453" s="18"/>
      <c r="IB453" s="18"/>
      <c r="IC453" s="18"/>
      <c r="ID453" s="18"/>
      <c r="IE453" s="18"/>
      <c r="IF453" s="18"/>
      <c r="IG453" s="18"/>
      <c r="IH453" s="18"/>
      <c r="II453" s="18"/>
      <c r="IJ453" s="18"/>
      <c r="IK453" s="18"/>
      <c r="IL453" s="18"/>
      <c r="IM453" s="18"/>
      <c r="IN453" s="18"/>
      <c r="IO453" s="18"/>
      <c r="IP453" s="14"/>
      <c r="IQ453" s="14"/>
      <c r="IR453" s="14"/>
      <c r="IS453" s="14"/>
      <c r="IT453" s="14"/>
      <c r="IU453" s="14"/>
      <c r="IV453" s="14"/>
      <c r="IW453" s="14"/>
      <c r="IX453" s="14"/>
      <c r="IY453" s="14"/>
      <c r="IZ453" s="14"/>
      <c r="JA453" s="14"/>
      <c r="JB453" s="14"/>
      <c r="JC453" s="14"/>
      <c r="JD453" s="14"/>
      <c r="JE453" s="14"/>
      <c r="JF453" s="14"/>
      <c r="JG453" s="14"/>
      <c r="JH453" s="14"/>
      <c r="JI453" s="14"/>
      <c r="JJ453" s="14"/>
      <c r="JK453" s="14"/>
      <c r="JL453" s="14"/>
      <c r="JM453" s="14"/>
      <c r="JN453" s="14"/>
      <c r="JO453" s="14"/>
      <c r="JP453" s="14"/>
      <c r="JQ453" s="14"/>
      <c r="JR453" s="14"/>
      <c r="JS453" s="14"/>
      <c r="JT453" s="14"/>
      <c r="JU453" s="14"/>
      <c r="JV453" s="14"/>
      <c r="JW453" s="14"/>
      <c r="JX453" s="14"/>
      <c r="JY453" s="14"/>
      <c r="JZ453" s="14"/>
      <c r="KA453" s="14"/>
      <c r="KB453" s="14"/>
      <c r="KC453" s="14"/>
      <c r="KD453" s="14"/>
      <c r="KE453" s="14"/>
      <c r="KF453" s="14"/>
      <c r="KG453" s="14"/>
      <c r="KH453" s="14"/>
      <c r="KI453" s="14"/>
      <c r="KJ453" s="14"/>
      <c r="KK453" s="14"/>
      <c r="KL453" s="14"/>
      <c r="KM453" s="14"/>
      <c r="KN453" s="14"/>
      <c r="KO453" s="14"/>
      <c r="KP453" s="14"/>
    </row>
    <row r="454" spans="1:302" s="23" customFormat="1" ht="11.1" hidden="1" customHeight="1" outlineLevel="1">
      <c r="A454" s="1"/>
      <c r="B454" s="192"/>
      <c r="C454" s="52"/>
      <c r="D454" s="29"/>
      <c r="E454" s="14"/>
      <c r="F454" s="940"/>
      <c r="G454" s="176"/>
      <c r="H454" s="176"/>
      <c r="I454" s="176"/>
      <c r="J454" s="176"/>
      <c r="K454" s="941"/>
      <c r="L454" s="57"/>
      <c r="M454" s="136"/>
      <c r="N454" s="136"/>
      <c r="O454" s="136"/>
      <c r="P454" s="199">
        <v>17.149999999999999</v>
      </c>
      <c r="Q454" s="8"/>
      <c r="R454" s="14"/>
      <c r="S454" s="14"/>
      <c r="T454" s="57"/>
      <c r="U454" s="57"/>
      <c r="V454" s="57"/>
      <c r="W454" s="57"/>
      <c r="X454" s="57"/>
      <c r="Y454" s="175"/>
      <c r="Z454" s="175"/>
      <c r="AA454" s="57"/>
      <c r="AB454" s="174"/>
      <c r="AC454" s="174"/>
      <c r="AD454" s="173"/>
      <c r="AE454" s="173"/>
      <c r="AF454" s="69"/>
      <c r="AG454" s="22"/>
      <c r="AH454" s="22"/>
      <c r="AI454" s="22"/>
      <c r="AJ454" s="22"/>
      <c r="AK454" s="178"/>
      <c r="AL454" s="22"/>
      <c r="AM454" s="22"/>
      <c r="AN454" s="22"/>
      <c r="AO454" s="22"/>
      <c r="AP454" s="22"/>
      <c r="AQ454" s="15"/>
      <c r="AR454" s="38"/>
      <c r="AS454" s="67"/>
      <c r="AT454" s="171"/>
      <c r="AU454" s="21"/>
      <c r="AV454" s="21"/>
      <c r="AW454" s="21"/>
      <c r="AX454" s="21"/>
      <c r="AY454" s="21"/>
      <c r="AZ454" s="21"/>
      <c r="BA454" s="171"/>
      <c r="BB454" s="21"/>
      <c r="BC454" s="21"/>
      <c r="BD454" s="21"/>
      <c r="BE454" s="18"/>
      <c r="BF454" s="18"/>
      <c r="BG454" s="32"/>
      <c r="BH454" s="18"/>
      <c r="BI454" s="18"/>
      <c r="BJ454" s="18"/>
      <c r="BK454" s="32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32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32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32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  <c r="EZ454" s="18"/>
      <c r="FA454" s="18"/>
      <c r="FB454" s="18"/>
      <c r="FC454" s="18"/>
      <c r="FD454" s="18"/>
      <c r="FE454" s="18"/>
      <c r="FF454" s="18"/>
      <c r="FG454" s="18"/>
      <c r="FH454" s="18"/>
      <c r="FI454" s="18"/>
      <c r="FJ454" s="18"/>
      <c r="FK454" s="18"/>
      <c r="FL454" s="18"/>
      <c r="FM454" s="18"/>
      <c r="FN454" s="18"/>
      <c r="FO454" s="18"/>
      <c r="FP454" s="18"/>
      <c r="FQ454" s="18"/>
      <c r="FR454" s="18"/>
      <c r="FS454" s="18"/>
      <c r="FT454" s="18"/>
      <c r="FU454" s="18"/>
      <c r="FV454" s="18"/>
      <c r="FW454" s="18"/>
      <c r="FX454" s="18"/>
      <c r="FY454" s="18"/>
      <c r="FZ454" s="18"/>
      <c r="GA454" s="18"/>
      <c r="GB454" s="18"/>
      <c r="GC454" s="18"/>
      <c r="GD454" s="18"/>
      <c r="GE454" s="18"/>
      <c r="GF454" s="18"/>
      <c r="GG454" s="18"/>
      <c r="GH454" s="18"/>
      <c r="GI454" s="18"/>
      <c r="GJ454" s="18"/>
      <c r="GK454" s="18"/>
      <c r="GL454" s="18"/>
      <c r="GM454" s="18"/>
      <c r="GN454" s="18"/>
      <c r="GO454" s="18"/>
      <c r="GP454" s="18"/>
      <c r="GQ454" s="18"/>
      <c r="GR454" s="18"/>
      <c r="GS454" s="18"/>
      <c r="GT454" s="18"/>
      <c r="GU454" s="18"/>
      <c r="GV454" s="18"/>
      <c r="GW454" s="18"/>
      <c r="GX454" s="18"/>
      <c r="GY454" s="18"/>
      <c r="GZ454" s="18"/>
      <c r="HA454" s="18"/>
      <c r="HB454" s="18"/>
      <c r="HC454" s="18"/>
      <c r="HD454" s="18"/>
      <c r="HE454" s="18"/>
      <c r="HF454" s="18"/>
      <c r="HG454" s="13"/>
      <c r="HH454" s="13"/>
      <c r="HI454" s="13"/>
      <c r="HJ454" s="13"/>
      <c r="HK454" s="13"/>
      <c r="HL454" s="13"/>
      <c r="HM454" s="13"/>
      <c r="HN454" s="13"/>
      <c r="HO454" s="13"/>
      <c r="HP454" s="13"/>
      <c r="HQ454" s="13"/>
      <c r="HR454" s="13"/>
      <c r="HS454" s="13"/>
      <c r="HT454" s="13"/>
      <c r="HU454" s="32"/>
      <c r="HV454" s="18"/>
      <c r="HW454" s="18"/>
      <c r="HX454" s="18"/>
      <c r="HY454" s="18"/>
      <c r="HZ454" s="18"/>
      <c r="IA454" s="18"/>
      <c r="IB454" s="18"/>
      <c r="IC454" s="18"/>
      <c r="ID454" s="18"/>
      <c r="IE454" s="18"/>
      <c r="IF454" s="18"/>
      <c r="IG454" s="18"/>
      <c r="IH454" s="18"/>
      <c r="II454" s="18"/>
      <c r="IJ454" s="18"/>
      <c r="IK454" s="18"/>
      <c r="IL454" s="18"/>
      <c r="IM454" s="18"/>
      <c r="IN454" s="18"/>
      <c r="IO454" s="18"/>
      <c r="IP454" s="14"/>
      <c r="IQ454" s="14"/>
      <c r="IR454" s="14"/>
      <c r="IS454" s="14"/>
      <c r="IT454" s="14"/>
      <c r="IU454" s="14"/>
      <c r="IV454" s="14"/>
      <c r="IW454" s="14"/>
      <c r="IX454" s="14"/>
      <c r="IY454" s="14"/>
      <c r="IZ454" s="14"/>
      <c r="JA454" s="14"/>
      <c r="JB454" s="14"/>
      <c r="JC454" s="14"/>
      <c r="JD454" s="14"/>
      <c r="JE454" s="14"/>
      <c r="JF454" s="14"/>
      <c r="JG454" s="14"/>
      <c r="JH454" s="14"/>
      <c r="JI454" s="14"/>
      <c r="JJ454" s="14"/>
      <c r="JK454" s="14"/>
      <c r="JL454" s="14"/>
      <c r="JM454" s="14"/>
      <c r="JN454" s="14"/>
      <c r="JO454" s="14"/>
      <c r="JP454" s="14"/>
      <c r="JQ454" s="14"/>
      <c r="JR454" s="14"/>
      <c r="JS454" s="14"/>
      <c r="JT454" s="14"/>
      <c r="JU454" s="14"/>
      <c r="JV454" s="14"/>
      <c r="JW454" s="14"/>
      <c r="JX454" s="14"/>
      <c r="JY454" s="14"/>
      <c r="JZ454" s="14"/>
      <c r="KA454" s="14"/>
      <c r="KB454" s="14"/>
      <c r="KC454" s="14"/>
      <c r="KD454" s="14"/>
      <c r="KE454" s="14"/>
      <c r="KF454" s="14"/>
      <c r="KG454" s="14"/>
      <c r="KH454" s="14"/>
      <c r="KI454" s="14"/>
      <c r="KJ454" s="14"/>
      <c r="KK454" s="14"/>
      <c r="KL454" s="14"/>
      <c r="KM454" s="14"/>
      <c r="KN454" s="14"/>
      <c r="KO454" s="14"/>
      <c r="KP454" s="14"/>
    </row>
    <row r="455" spans="1:302" s="23" customFormat="1" ht="11.1" hidden="1" customHeight="1" outlineLevel="1">
      <c r="A455" s="1"/>
      <c r="B455" s="192"/>
      <c r="C455" s="52"/>
      <c r="D455" s="29"/>
      <c r="E455" s="14"/>
      <c r="F455" s="940"/>
      <c r="G455" s="176"/>
      <c r="H455" s="176"/>
      <c r="I455" s="176"/>
      <c r="J455" s="176"/>
      <c r="K455" s="941"/>
      <c r="L455" s="57"/>
      <c r="M455" s="136"/>
      <c r="N455" s="136"/>
      <c r="O455" s="136"/>
      <c r="P455" s="199">
        <v>16.64</v>
      </c>
      <c r="Q455" s="8"/>
      <c r="R455" s="14"/>
      <c r="S455" s="14"/>
      <c r="T455" s="57"/>
      <c r="U455" s="57"/>
      <c r="V455" s="57"/>
      <c r="W455" s="57"/>
      <c r="X455" s="57"/>
      <c r="Y455" s="175"/>
      <c r="Z455" s="175"/>
      <c r="AA455" s="57"/>
      <c r="AB455" s="174"/>
      <c r="AC455" s="174"/>
      <c r="AD455" s="173"/>
      <c r="AE455" s="173"/>
      <c r="AF455" s="69"/>
      <c r="AG455" s="22"/>
      <c r="AH455" s="22"/>
      <c r="AI455" s="22"/>
      <c r="AJ455" s="22"/>
      <c r="AK455" s="178"/>
      <c r="AL455" s="22"/>
      <c r="AM455" s="22"/>
      <c r="AN455" s="22"/>
      <c r="AO455" s="22"/>
      <c r="AP455" s="22"/>
      <c r="AQ455" s="15"/>
      <c r="AR455" s="38"/>
      <c r="AS455" s="67"/>
      <c r="AT455" s="171"/>
      <c r="AU455" s="21"/>
      <c r="AV455" s="21"/>
      <c r="AW455" s="21"/>
      <c r="AX455" s="21"/>
      <c r="AY455" s="21"/>
      <c r="AZ455" s="21"/>
      <c r="BA455" s="171"/>
      <c r="BB455" s="21"/>
      <c r="BC455" s="21"/>
      <c r="BD455" s="21"/>
      <c r="BE455" s="18"/>
      <c r="BF455" s="18"/>
      <c r="BG455" s="32"/>
      <c r="BH455" s="18"/>
      <c r="BI455" s="18"/>
      <c r="BJ455" s="18"/>
      <c r="BK455" s="32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32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32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32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  <c r="FR455" s="18"/>
      <c r="FS455" s="18"/>
      <c r="FT455" s="18"/>
      <c r="FU455" s="18"/>
      <c r="FV455" s="18"/>
      <c r="FW455" s="18"/>
      <c r="FX455" s="18"/>
      <c r="FY455" s="18"/>
      <c r="FZ455" s="18"/>
      <c r="GA455" s="18"/>
      <c r="GB455" s="18"/>
      <c r="GC455" s="18"/>
      <c r="GD455" s="18"/>
      <c r="GE455" s="18"/>
      <c r="GF455" s="18"/>
      <c r="GG455" s="18"/>
      <c r="GH455" s="18"/>
      <c r="GI455" s="18"/>
      <c r="GJ455" s="18"/>
      <c r="GK455" s="18"/>
      <c r="GL455" s="18"/>
      <c r="GM455" s="18"/>
      <c r="GN455" s="18"/>
      <c r="GO455" s="18"/>
      <c r="GP455" s="18"/>
      <c r="GQ455" s="18"/>
      <c r="GR455" s="18"/>
      <c r="GS455" s="18"/>
      <c r="GT455" s="18"/>
      <c r="GU455" s="18"/>
      <c r="GV455" s="18"/>
      <c r="GW455" s="18"/>
      <c r="GX455" s="18"/>
      <c r="GY455" s="18"/>
      <c r="GZ455" s="18"/>
      <c r="HA455" s="18"/>
      <c r="HB455" s="18"/>
      <c r="HC455" s="18"/>
      <c r="HD455" s="18"/>
      <c r="HE455" s="18"/>
      <c r="HF455" s="18"/>
      <c r="HG455" s="13"/>
      <c r="HH455" s="13"/>
      <c r="HI455" s="13"/>
      <c r="HJ455" s="13"/>
      <c r="HK455" s="13"/>
      <c r="HL455" s="13"/>
      <c r="HM455" s="13"/>
      <c r="HN455" s="13"/>
      <c r="HO455" s="13"/>
      <c r="HP455" s="13"/>
      <c r="HQ455" s="13"/>
      <c r="HR455" s="13"/>
      <c r="HS455" s="13"/>
      <c r="HT455" s="13"/>
      <c r="HU455" s="32"/>
      <c r="HV455" s="18"/>
      <c r="HW455" s="18"/>
      <c r="HX455" s="18"/>
      <c r="HY455" s="18"/>
      <c r="HZ455" s="18"/>
      <c r="IA455" s="18"/>
      <c r="IB455" s="18"/>
      <c r="IC455" s="18"/>
      <c r="ID455" s="18"/>
      <c r="IE455" s="18"/>
      <c r="IF455" s="18"/>
      <c r="IG455" s="18"/>
      <c r="IH455" s="18"/>
      <c r="II455" s="18"/>
      <c r="IJ455" s="18"/>
      <c r="IK455" s="18"/>
      <c r="IL455" s="18"/>
      <c r="IM455" s="18"/>
      <c r="IN455" s="18"/>
      <c r="IO455" s="18"/>
      <c r="IP455" s="14"/>
      <c r="IQ455" s="14"/>
      <c r="IR455" s="14"/>
      <c r="IS455" s="14"/>
      <c r="IT455" s="14"/>
      <c r="IU455" s="14"/>
      <c r="IV455" s="14"/>
      <c r="IW455" s="14"/>
      <c r="IX455" s="14"/>
      <c r="IY455" s="14"/>
      <c r="IZ455" s="14"/>
      <c r="JA455" s="14"/>
      <c r="JB455" s="14"/>
      <c r="JC455" s="14"/>
      <c r="JD455" s="14"/>
      <c r="JE455" s="14"/>
      <c r="JF455" s="14"/>
      <c r="JG455" s="14"/>
      <c r="JH455" s="14"/>
      <c r="JI455" s="14"/>
      <c r="JJ455" s="14"/>
      <c r="JK455" s="14"/>
      <c r="JL455" s="14"/>
      <c r="JM455" s="14"/>
      <c r="JN455" s="14"/>
      <c r="JO455" s="14"/>
      <c r="JP455" s="14"/>
      <c r="JQ455" s="14"/>
      <c r="JR455" s="14"/>
      <c r="JS455" s="14"/>
      <c r="JT455" s="14"/>
      <c r="JU455" s="14"/>
      <c r="JV455" s="14"/>
      <c r="JW455" s="14"/>
      <c r="JX455" s="14"/>
      <c r="JY455" s="14"/>
      <c r="JZ455" s="14"/>
      <c r="KA455" s="14"/>
      <c r="KB455" s="14"/>
      <c r="KC455" s="14"/>
      <c r="KD455" s="14"/>
      <c r="KE455" s="14"/>
      <c r="KF455" s="14"/>
      <c r="KG455" s="14"/>
      <c r="KH455" s="14"/>
      <c r="KI455" s="14"/>
      <c r="KJ455" s="14"/>
      <c r="KK455" s="14"/>
      <c r="KL455" s="14"/>
      <c r="KM455" s="14"/>
      <c r="KN455" s="14"/>
      <c r="KO455" s="14"/>
      <c r="KP455" s="14"/>
    </row>
    <row r="456" spans="1:302" s="23" customFormat="1" ht="4.5" hidden="1" customHeight="1" outlineLevel="1" collapsed="1">
      <c r="A456" s="1"/>
      <c r="B456" s="192"/>
      <c r="C456" s="52"/>
      <c r="D456" s="29"/>
      <c r="E456" s="14"/>
      <c r="F456" s="940"/>
      <c r="G456" s="176"/>
      <c r="H456" s="176"/>
      <c r="I456" s="176"/>
      <c r="J456" s="176"/>
      <c r="K456" s="941"/>
      <c r="L456" s="57"/>
      <c r="M456" s="223"/>
      <c r="N456" s="223"/>
      <c r="O456" s="223"/>
      <c r="P456" s="199">
        <v>16.7</v>
      </c>
      <c r="Q456" s="8"/>
      <c r="R456" s="14"/>
      <c r="S456" s="14"/>
      <c r="T456" s="57"/>
      <c r="U456" s="57"/>
      <c r="V456" s="57"/>
      <c r="W456" s="57"/>
      <c r="X456" s="57"/>
      <c r="Y456" s="175"/>
      <c r="Z456" s="175"/>
      <c r="AA456" s="57"/>
      <c r="AB456" s="174"/>
      <c r="AC456" s="174"/>
      <c r="AD456" s="173"/>
      <c r="AE456" s="173"/>
      <c r="AF456" s="69"/>
      <c r="AG456" s="178"/>
      <c r="AH456" s="22"/>
      <c r="AI456" s="22"/>
      <c r="AJ456" s="22"/>
      <c r="AK456" s="178"/>
      <c r="AL456" s="22"/>
      <c r="AM456" s="22"/>
      <c r="AN456" s="22"/>
      <c r="AO456" s="22"/>
      <c r="AP456" s="22"/>
      <c r="AQ456" s="15"/>
      <c r="AR456" s="38"/>
      <c r="AS456" s="67"/>
      <c r="AT456" s="171"/>
      <c r="AU456" s="21"/>
      <c r="AV456" s="21"/>
      <c r="AW456" s="21"/>
      <c r="AX456" s="21"/>
      <c r="AY456" s="21"/>
      <c r="AZ456" s="21"/>
      <c r="BA456" s="171"/>
      <c r="BB456" s="21"/>
      <c r="BC456" s="21"/>
      <c r="BD456" s="21"/>
      <c r="BE456" s="18"/>
      <c r="BF456" s="18"/>
      <c r="BG456" s="32"/>
      <c r="BH456" s="18"/>
      <c r="BI456" s="18"/>
      <c r="BJ456" s="18"/>
      <c r="BK456" s="32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32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32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32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  <c r="FR456" s="18"/>
      <c r="FS456" s="18"/>
      <c r="FT456" s="18"/>
      <c r="FU456" s="18"/>
      <c r="FV456" s="18"/>
      <c r="FW456" s="18"/>
      <c r="FX456" s="18"/>
      <c r="FY456" s="18"/>
      <c r="FZ456" s="18"/>
      <c r="GA456" s="18"/>
      <c r="GB456" s="18"/>
      <c r="GC456" s="18"/>
      <c r="GD456" s="18"/>
      <c r="GE456" s="18"/>
      <c r="GF456" s="18"/>
      <c r="GG456" s="18"/>
      <c r="GH456" s="18"/>
      <c r="GI456" s="18"/>
      <c r="GJ456" s="18"/>
      <c r="GK456" s="18"/>
      <c r="GL456" s="18"/>
      <c r="GM456" s="18"/>
      <c r="GN456" s="18"/>
      <c r="GO456" s="18"/>
      <c r="GP456" s="18"/>
      <c r="GQ456" s="18"/>
      <c r="GR456" s="18"/>
      <c r="GS456" s="18"/>
      <c r="GT456" s="18"/>
      <c r="GU456" s="18"/>
      <c r="GV456" s="18"/>
      <c r="GW456" s="18"/>
      <c r="GX456" s="18"/>
      <c r="GY456" s="18"/>
      <c r="GZ456" s="18"/>
      <c r="HA456" s="18"/>
      <c r="HB456" s="18"/>
      <c r="HC456" s="18"/>
      <c r="HD456" s="18"/>
      <c r="HE456" s="18"/>
      <c r="HF456" s="18"/>
      <c r="HG456" s="13"/>
      <c r="HH456" s="13"/>
      <c r="HI456" s="13"/>
      <c r="HJ456" s="13"/>
      <c r="HK456" s="13"/>
      <c r="HL456" s="13"/>
      <c r="HM456" s="13"/>
      <c r="HN456" s="13"/>
      <c r="HO456" s="13"/>
      <c r="HP456" s="13"/>
      <c r="HQ456" s="13"/>
      <c r="HR456" s="13"/>
      <c r="HS456" s="13"/>
      <c r="HT456" s="13"/>
      <c r="HU456" s="32"/>
      <c r="HV456" s="18"/>
      <c r="HW456" s="18"/>
      <c r="HX456" s="18"/>
      <c r="HY456" s="18"/>
      <c r="HZ456" s="18"/>
      <c r="IA456" s="18"/>
      <c r="IB456" s="18"/>
      <c r="IC456" s="18"/>
      <c r="ID456" s="18"/>
      <c r="IE456" s="18"/>
      <c r="IF456" s="18"/>
      <c r="IG456" s="18"/>
      <c r="IH456" s="18"/>
      <c r="II456" s="18"/>
      <c r="IJ456" s="18"/>
      <c r="IK456" s="18"/>
      <c r="IL456" s="18"/>
      <c r="IM456" s="18"/>
      <c r="IN456" s="18"/>
      <c r="IO456" s="18"/>
      <c r="IP456" s="14"/>
      <c r="IQ456" s="14"/>
      <c r="IR456" s="14"/>
      <c r="IS456" s="14"/>
      <c r="IT456" s="14"/>
      <c r="IU456" s="14"/>
      <c r="IV456" s="14"/>
      <c r="IW456" s="14"/>
      <c r="IX456" s="14"/>
      <c r="IY456" s="14"/>
      <c r="IZ456" s="14"/>
      <c r="JA456" s="14"/>
      <c r="JB456" s="14"/>
      <c r="JC456" s="14"/>
      <c r="JD456" s="14"/>
      <c r="JE456" s="14"/>
      <c r="JF456" s="14"/>
      <c r="JG456" s="14"/>
      <c r="JH456" s="14"/>
      <c r="JI456" s="14"/>
      <c r="JJ456" s="14"/>
      <c r="JK456" s="14"/>
      <c r="JL456" s="14"/>
      <c r="JM456" s="14"/>
      <c r="JN456" s="14"/>
      <c r="JO456" s="14"/>
      <c r="JP456" s="14"/>
      <c r="JQ456" s="14"/>
      <c r="JR456" s="14"/>
      <c r="JS456" s="14"/>
      <c r="JT456" s="14"/>
      <c r="JU456" s="14"/>
      <c r="JV456" s="14"/>
      <c r="JW456" s="14"/>
      <c r="JX456" s="14"/>
      <c r="JY456" s="14"/>
      <c r="JZ456" s="14"/>
      <c r="KA456" s="14"/>
      <c r="KB456" s="14"/>
      <c r="KC456" s="14"/>
      <c r="KD456" s="14"/>
      <c r="KE456" s="14"/>
      <c r="KF456" s="14"/>
      <c r="KG456" s="14"/>
      <c r="KH456" s="14"/>
      <c r="KI456" s="14"/>
      <c r="KJ456" s="14"/>
      <c r="KK456" s="14"/>
      <c r="KL456" s="14"/>
      <c r="KM456" s="14"/>
      <c r="KN456" s="14"/>
      <c r="KO456" s="14"/>
      <c r="KP456" s="14"/>
    </row>
    <row r="457" spans="1:302" ht="10.5" hidden="1" customHeight="1" outlineLevel="1">
      <c r="A457" s="191" t="s">
        <v>39</v>
      </c>
      <c r="B457" s="29"/>
      <c r="C457" s="52"/>
      <c r="D457" s="940" t="s">
        <v>1</v>
      </c>
      <c r="F457" s="940">
        <v>0</v>
      </c>
      <c r="G457" s="187">
        <v>44981</v>
      </c>
      <c r="H457" s="187"/>
      <c r="I457" s="1069">
        <v>12.776861</v>
      </c>
      <c r="J457" s="1069"/>
      <c r="K457" s="1069"/>
      <c r="L457" s="57"/>
      <c r="M457" s="223"/>
      <c r="N457" s="223"/>
      <c r="O457" s="223"/>
      <c r="P457" s="215"/>
      <c r="Q457" s="29"/>
      <c r="T457" s="57"/>
      <c r="U457" s="57"/>
      <c r="V457" s="57"/>
      <c r="W457" s="57"/>
      <c r="X457" s="57"/>
      <c r="Y457" s="175"/>
      <c r="Z457" s="175"/>
      <c r="AA457" s="57"/>
      <c r="AB457" s="947">
        <f>F457*P457</f>
        <v>0</v>
      </c>
      <c r="AC457" s="947"/>
      <c r="AD457" s="190">
        <f>-((I457*F457)-(P457*F457))</f>
        <v>0</v>
      </c>
      <c r="AE457" s="190"/>
      <c r="AF457" s="811" t="s">
        <v>466</v>
      </c>
      <c r="AG457" s="214"/>
      <c r="AH457" s="189"/>
      <c r="AI457" s="14" t="s">
        <v>468</v>
      </c>
      <c r="AJ457" s="181"/>
      <c r="AK457" s="178"/>
      <c r="AL457" s="179"/>
      <c r="AM457" s="180"/>
      <c r="AN457" s="179"/>
      <c r="AO457" s="38"/>
      <c r="AP457" s="188">
        <f>F457*I457+AN457+AN458</f>
        <v>0</v>
      </c>
      <c r="AR457" s="38"/>
      <c r="AS457" s="67"/>
      <c r="AT457" s="171"/>
      <c r="AU457" s="21"/>
      <c r="AV457" s="21"/>
      <c r="AW457" s="21"/>
      <c r="AX457" s="21"/>
      <c r="AY457" s="21"/>
      <c r="AZ457" s="21"/>
      <c r="BA457" s="171"/>
      <c r="BB457" s="21"/>
      <c r="BC457" s="21"/>
      <c r="BD457" s="21"/>
      <c r="BE457" s="18"/>
      <c r="BF457" s="18"/>
      <c r="BH457" s="18"/>
      <c r="BI457" s="18"/>
      <c r="BJ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39" t="str">
        <f>IF($AB457=0,"",$AB457)</f>
        <v/>
      </c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  <c r="EZ457" s="18"/>
      <c r="FA457" s="18"/>
      <c r="FB457" s="18"/>
      <c r="FC457" s="18"/>
      <c r="FD457" s="18"/>
      <c r="FE457" s="18"/>
      <c r="FF457" s="18"/>
      <c r="FG457" s="18"/>
      <c r="FH457" s="18"/>
      <c r="FI457" s="18"/>
      <c r="FJ457" s="18"/>
      <c r="FK457" s="18"/>
      <c r="FL457" s="18"/>
      <c r="FM457" s="18"/>
      <c r="FN457" s="18"/>
      <c r="FO457" s="18"/>
      <c r="FP457" s="18"/>
      <c r="FQ457" s="18"/>
      <c r="FR457" s="18"/>
      <c r="FS457" s="18"/>
      <c r="FT457" s="18"/>
      <c r="FU457" s="18"/>
      <c r="FV457" s="18"/>
      <c r="FW457" s="18"/>
      <c r="FX457" s="18"/>
      <c r="FY457" s="18"/>
      <c r="FZ457" s="18"/>
      <c r="GA457" s="18"/>
      <c r="GB457" s="18"/>
      <c r="GC457" s="18"/>
      <c r="GD457" s="18"/>
      <c r="GE457" s="18"/>
      <c r="GF457" s="18"/>
      <c r="GG457" s="18"/>
      <c r="GH457" s="18"/>
      <c r="GI457" s="18"/>
      <c r="GJ457" s="18"/>
      <c r="GK457" s="18"/>
      <c r="GL457" s="18"/>
      <c r="GM457" s="18"/>
      <c r="GN457" s="18"/>
      <c r="GO457" s="18"/>
      <c r="GP457" s="18"/>
      <c r="GQ457" s="18"/>
      <c r="GR457" s="18"/>
      <c r="GS457" s="18"/>
      <c r="GT457" s="18"/>
      <c r="GU457" s="18"/>
      <c r="GV457" s="18"/>
      <c r="GW457" s="18"/>
      <c r="GX457" s="18"/>
      <c r="GY457" s="18"/>
      <c r="GZ457" s="18"/>
      <c r="HA457" s="18"/>
      <c r="HB457" s="18"/>
      <c r="HC457" s="18"/>
      <c r="HD457" s="18"/>
      <c r="HE457" s="18"/>
      <c r="HF457" s="18"/>
      <c r="HG457" s="13"/>
      <c r="HH457" s="13"/>
      <c r="HI457" s="13"/>
      <c r="HJ457" s="13"/>
      <c r="HK457" s="13"/>
      <c r="HL457" s="13"/>
      <c r="HM457" s="13"/>
      <c r="HN457" s="13"/>
      <c r="HO457" s="13"/>
      <c r="HP457" s="13"/>
      <c r="HQ457" s="13"/>
      <c r="HR457" s="13"/>
      <c r="HS457" s="13"/>
      <c r="HT457" s="13"/>
      <c r="HU457" s="139" t="str">
        <f>IF($AB457=0,"",$AB457)</f>
        <v/>
      </c>
      <c r="HV457" s="18"/>
      <c r="HW457" s="18"/>
      <c r="HX457" s="18"/>
      <c r="HY457" s="18"/>
      <c r="HZ457" s="18"/>
      <c r="IA457" s="18"/>
      <c r="IB457" s="18"/>
      <c r="IC457" s="18"/>
      <c r="ID457" s="18"/>
      <c r="IE457" s="18"/>
      <c r="IF457" s="18"/>
      <c r="IG457" s="18"/>
      <c r="IH457" s="18"/>
      <c r="II457" s="18"/>
      <c r="IJ457" s="18"/>
      <c r="IK457" s="18"/>
      <c r="IL457" s="18"/>
      <c r="IM457" s="18"/>
      <c r="IN457" s="18"/>
      <c r="IO457" s="18"/>
    </row>
    <row r="458" spans="1:302" ht="11.1" hidden="1" customHeight="1" outlineLevel="1">
      <c r="A458" s="1"/>
      <c r="B458" s="57"/>
      <c r="C458" s="52"/>
      <c r="E458" s="57"/>
      <c r="F458" s="940"/>
      <c r="G458" s="187"/>
      <c r="H458" s="187"/>
      <c r="I458" s="186"/>
      <c r="J458" s="186"/>
      <c r="K458" s="185">
        <f>AP457</f>
        <v>0</v>
      </c>
      <c r="L458" s="57"/>
      <c r="M458" s="136" t="s">
        <v>36</v>
      </c>
      <c r="N458" s="136"/>
      <c r="O458" s="136"/>
      <c r="P458" s="199">
        <v>16.72</v>
      </c>
      <c r="Q458" s="57"/>
      <c r="T458" s="57"/>
      <c r="U458" s="57"/>
      <c r="V458" s="57"/>
      <c r="W458" s="57"/>
      <c r="X458" s="57"/>
      <c r="Y458" s="175"/>
      <c r="Z458" s="175"/>
      <c r="AA458" s="57"/>
      <c r="AB458" s="947"/>
      <c r="AC458" s="947"/>
      <c r="AD458" s="825">
        <f>((P457-I457)/I457)</f>
        <v>-1</v>
      </c>
      <c r="AE458" s="183"/>
      <c r="AF458" s="69"/>
      <c r="AG458" s="214"/>
      <c r="AH458" s="182"/>
      <c r="AI458" s="182"/>
      <c r="AJ458" s="181"/>
      <c r="AK458" s="178"/>
      <c r="AL458" s="179"/>
      <c r="AM458" s="180"/>
      <c r="AN458" s="213"/>
      <c r="AO458" s="38"/>
      <c r="AP458" s="212"/>
      <c r="AR458" s="38"/>
      <c r="AS458" s="67"/>
      <c r="AT458" s="171"/>
      <c r="AU458" s="21"/>
      <c r="AV458" s="21"/>
      <c r="AW458" s="21"/>
      <c r="AX458" s="21"/>
      <c r="AY458" s="21"/>
      <c r="AZ458" s="21"/>
      <c r="BA458" s="171"/>
      <c r="BB458" s="21"/>
      <c r="BC458" s="21"/>
      <c r="BD458" s="21"/>
      <c r="BE458" s="18"/>
      <c r="BF458" s="18"/>
      <c r="BH458" s="18"/>
      <c r="BI458" s="18"/>
      <c r="BJ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  <c r="FC458" s="18"/>
      <c r="FD458" s="18"/>
      <c r="FE458" s="18"/>
      <c r="FF458" s="18"/>
      <c r="FG458" s="18"/>
      <c r="FH458" s="18"/>
      <c r="FI458" s="18"/>
      <c r="FJ458" s="18"/>
      <c r="FK458" s="18"/>
      <c r="FL458" s="18"/>
      <c r="FM458" s="18"/>
      <c r="FN458" s="18"/>
      <c r="FO458" s="18"/>
      <c r="FP458" s="18"/>
      <c r="FQ458" s="18"/>
      <c r="FR458" s="18"/>
      <c r="FS458" s="18"/>
      <c r="FT458" s="18"/>
      <c r="FU458" s="18"/>
      <c r="FV458" s="18"/>
      <c r="FW458" s="18"/>
      <c r="FX458" s="18"/>
      <c r="FY458" s="18"/>
      <c r="FZ458" s="18"/>
      <c r="GA458" s="18"/>
      <c r="GB458" s="18"/>
      <c r="GC458" s="18"/>
      <c r="GD458" s="18"/>
      <c r="GE458" s="18"/>
      <c r="GF458" s="18"/>
      <c r="GG458" s="18"/>
      <c r="GH458" s="18"/>
      <c r="GI458" s="18"/>
      <c r="GJ458" s="18"/>
      <c r="GK458" s="18"/>
      <c r="GL458" s="18"/>
      <c r="GM458" s="18"/>
      <c r="GN458" s="18"/>
      <c r="GO458" s="18"/>
      <c r="GP458" s="18"/>
      <c r="GQ458" s="18"/>
      <c r="GR458" s="18"/>
      <c r="GS458" s="18"/>
      <c r="GT458" s="18"/>
      <c r="GU458" s="18"/>
      <c r="GV458" s="18"/>
      <c r="GW458" s="18"/>
      <c r="GX458" s="18"/>
      <c r="GY458" s="18"/>
      <c r="GZ458" s="18"/>
      <c r="HA458" s="18"/>
      <c r="HB458" s="18"/>
      <c r="HC458" s="18"/>
      <c r="HD458" s="18"/>
      <c r="HE458" s="18"/>
      <c r="HF458" s="18"/>
      <c r="HG458" s="13"/>
      <c r="HH458" s="13"/>
      <c r="HI458" s="13"/>
      <c r="HJ458" s="13"/>
      <c r="HK458" s="13"/>
      <c r="HL458" s="13"/>
      <c r="HM458" s="13"/>
      <c r="HN458" s="13"/>
      <c r="HO458" s="13"/>
      <c r="HP458" s="13"/>
      <c r="HQ458" s="13"/>
      <c r="HR458" s="13"/>
      <c r="HS458" s="13"/>
      <c r="HT458" s="13"/>
      <c r="HV458" s="18"/>
      <c r="HW458" s="18"/>
      <c r="HX458" s="18"/>
      <c r="HY458" s="18"/>
      <c r="HZ458" s="18"/>
      <c r="IA458" s="18"/>
      <c r="IB458" s="18"/>
      <c r="IC458" s="18"/>
      <c r="ID458" s="18"/>
      <c r="IE458" s="18"/>
      <c r="IF458" s="18"/>
      <c r="IG458" s="18"/>
      <c r="IH458" s="18"/>
      <c r="II458" s="18"/>
      <c r="IJ458" s="18"/>
      <c r="IK458" s="18"/>
      <c r="IL458" s="18"/>
      <c r="IM458" s="18"/>
      <c r="IN458" s="18"/>
      <c r="IO458" s="18"/>
    </row>
    <row r="459" spans="1:302" ht="11.1" hidden="1" customHeight="1" outlineLevel="1">
      <c r="A459" s="1"/>
      <c r="B459" s="57"/>
      <c r="C459" s="52"/>
      <c r="E459" s="57"/>
      <c r="F459" s="940"/>
      <c r="G459" s="176"/>
      <c r="H459" s="176"/>
      <c r="I459" s="176"/>
      <c r="J459" s="176"/>
      <c r="K459" s="941"/>
      <c r="L459" s="57"/>
      <c r="M459" s="136" t="s">
        <v>37</v>
      </c>
      <c r="N459" s="136"/>
      <c r="O459" s="136"/>
      <c r="P459" s="199">
        <v>19.149999999999999</v>
      </c>
      <c r="Q459" s="29"/>
      <c r="T459" s="57"/>
      <c r="U459" s="57"/>
      <c r="V459" s="57"/>
      <c r="W459" s="57"/>
      <c r="X459" s="57"/>
      <c r="Y459" s="175"/>
      <c r="Z459" s="175"/>
      <c r="AA459" s="57"/>
      <c r="AB459" s="174"/>
      <c r="AC459" s="174"/>
      <c r="AD459" s="173"/>
      <c r="AE459" s="173"/>
      <c r="AF459" s="69"/>
      <c r="AG459" s="22"/>
      <c r="AH459" s="22"/>
      <c r="AI459" s="22"/>
      <c r="AJ459" s="22"/>
      <c r="AK459" s="178"/>
      <c r="AL459" s="22"/>
      <c r="AM459" s="22"/>
      <c r="AN459" s="22"/>
      <c r="AO459" s="22"/>
      <c r="AP459" s="22"/>
      <c r="AQ459" s="15"/>
      <c r="AR459" s="38"/>
      <c r="AS459" s="67"/>
      <c r="AT459" s="171"/>
      <c r="AU459" s="21"/>
      <c r="AV459" s="21"/>
      <c r="AW459" s="21"/>
      <c r="AX459" s="21"/>
      <c r="AY459" s="21"/>
      <c r="AZ459" s="21"/>
      <c r="BA459" s="171"/>
      <c r="BB459" s="21"/>
      <c r="BC459" s="21"/>
      <c r="BD459" s="21"/>
      <c r="BE459" s="18"/>
      <c r="BF459" s="18"/>
      <c r="BH459" s="18"/>
      <c r="BI459" s="18"/>
      <c r="BJ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  <c r="FR459" s="18"/>
      <c r="FS459" s="18"/>
      <c r="FT459" s="18"/>
      <c r="FU459" s="18"/>
      <c r="FV459" s="18"/>
      <c r="FW459" s="18"/>
      <c r="FX459" s="18"/>
      <c r="FY459" s="18"/>
      <c r="FZ459" s="18"/>
      <c r="GA459" s="18"/>
      <c r="GB459" s="18"/>
      <c r="GC459" s="18"/>
      <c r="GD459" s="18"/>
      <c r="GE459" s="18"/>
      <c r="GF459" s="18"/>
      <c r="GG459" s="18"/>
      <c r="GH459" s="18"/>
      <c r="GI459" s="18"/>
      <c r="GJ459" s="18"/>
      <c r="GK459" s="18"/>
      <c r="GL459" s="18"/>
      <c r="GM459" s="18"/>
      <c r="GN459" s="18"/>
      <c r="GO459" s="18"/>
      <c r="GP459" s="18"/>
      <c r="GQ459" s="18"/>
      <c r="GR459" s="18"/>
      <c r="GS459" s="18"/>
      <c r="GT459" s="18"/>
      <c r="GU459" s="18"/>
      <c r="GV459" s="18"/>
      <c r="GW459" s="18"/>
      <c r="GX459" s="18"/>
      <c r="GY459" s="18"/>
      <c r="GZ459" s="18"/>
      <c r="HA459" s="18"/>
      <c r="HB459" s="18"/>
      <c r="HC459" s="18"/>
      <c r="HD459" s="18"/>
      <c r="HE459" s="18"/>
      <c r="HF459" s="18"/>
      <c r="HG459" s="13"/>
      <c r="HH459" s="13"/>
      <c r="HI459" s="13"/>
      <c r="HJ459" s="13"/>
      <c r="HK459" s="13"/>
      <c r="HL459" s="13"/>
      <c r="HM459" s="13"/>
      <c r="HN459" s="13"/>
      <c r="HO459" s="13"/>
      <c r="HP459" s="13"/>
      <c r="HQ459" s="13"/>
      <c r="HR459" s="13"/>
      <c r="HS459" s="13"/>
      <c r="HT459" s="13"/>
      <c r="HV459" s="18"/>
      <c r="HW459" s="18"/>
      <c r="HX459" s="18"/>
      <c r="HY459" s="18"/>
      <c r="HZ459" s="18"/>
      <c r="IA459" s="18"/>
      <c r="IB459" s="18"/>
      <c r="IC459" s="18"/>
      <c r="ID459" s="18"/>
      <c r="IE459" s="18"/>
      <c r="IF459" s="18"/>
      <c r="IG459" s="18"/>
      <c r="IH459" s="18"/>
      <c r="II459" s="18"/>
      <c r="IJ459" s="18"/>
      <c r="IK459" s="18"/>
      <c r="IL459" s="18"/>
      <c r="IM459" s="18"/>
      <c r="IN459" s="18"/>
      <c r="IO459" s="18"/>
    </row>
    <row r="460" spans="1:302" ht="11.1" hidden="1" customHeight="1" outlineLevel="1">
      <c r="A460" s="1"/>
      <c r="B460" s="57"/>
      <c r="C460" s="52"/>
      <c r="E460" s="57"/>
      <c r="F460" s="940"/>
      <c r="G460" s="176"/>
      <c r="H460" s="176"/>
      <c r="I460" s="176"/>
      <c r="J460" s="176"/>
      <c r="K460" s="941"/>
      <c r="L460" s="57"/>
      <c r="M460" s="136" t="s">
        <v>36</v>
      </c>
      <c r="N460" s="136"/>
      <c r="O460" s="136"/>
      <c r="P460" s="199">
        <v>19.14</v>
      </c>
      <c r="Q460" s="177"/>
      <c r="T460" s="57"/>
      <c r="U460" s="57"/>
      <c r="V460" s="57"/>
      <c r="W460" s="57"/>
      <c r="X460" s="57"/>
      <c r="Y460" s="175"/>
      <c r="Z460" s="175"/>
      <c r="AA460" s="57"/>
      <c r="AB460" s="174"/>
      <c r="AC460" s="174"/>
      <c r="AD460" s="211"/>
      <c r="AE460" s="211"/>
      <c r="AF460" s="69"/>
      <c r="AG460" s="22"/>
      <c r="AH460" s="22"/>
      <c r="AI460" s="22"/>
      <c r="AJ460" s="22"/>
      <c r="AK460" s="178"/>
      <c r="AL460" s="22"/>
      <c r="AM460" s="22"/>
      <c r="AN460" s="22"/>
      <c r="AO460" s="22"/>
      <c r="AP460" s="22"/>
      <c r="AQ460" s="15"/>
      <c r="AR460" s="38"/>
      <c r="AS460" s="67"/>
      <c r="AT460" s="171"/>
      <c r="AU460" s="21"/>
      <c r="AV460" s="21"/>
      <c r="AW460" s="21"/>
      <c r="AX460" s="21"/>
      <c r="AY460" s="21"/>
      <c r="AZ460" s="21"/>
      <c r="BA460" s="171"/>
      <c r="BB460" s="21"/>
      <c r="BC460" s="21"/>
      <c r="BD460" s="21"/>
      <c r="BE460" s="18"/>
      <c r="BF460" s="18"/>
      <c r="BH460" s="18"/>
      <c r="BI460" s="18"/>
      <c r="BJ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  <c r="FC460" s="18"/>
      <c r="FD460" s="18"/>
      <c r="FE460" s="18"/>
      <c r="FF460" s="18"/>
      <c r="FG460" s="18"/>
      <c r="FH460" s="18"/>
      <c r="FI460" s="18"/>
      <c r="FJ460" s="18"/>
      <c r="FK460" s="18"/>
      <c r="FL460" s="18"/>
      <c r="FM460" s="18"/>
      <c r="FN460" s="18"/>
      <c r="FO460" s="18"/>
      <c r="FP460" s="18"/>
      <c r="FQ460" s="18"/>
      <c r="FR460" s="18"/>
      <c r="FS460" s="18"/>
      <c r="FT460" s="18"/>
      <c r="FU460" s="18"/>
      <c r="FV460" s="18"/>
      <c r="FW460" s="18"/>
      <c r="FX460" s="18"/>
      <c r="FY460" s="18"/>
      <c r="FZ460" s="18"/>
      <c r="GA460" s="18"/>
      <c r="GB460" s="18"/>
      <c r="GC460" s="18"/>
      <c r="GD460" s="18"/>
      <c r="GE460" s="18"/>
      <c r="GF460" s="18"/>
      <c r="GG460" s="18"/>
      <c r="GH460" s="18"/>
      <c r="GI460" s="18"/>
      <c r="GJ460" s="18"/>
      <c r="GK460" s="18"/>
      <c r="GL460" s="18"/>
      <c r="GM460" s="18"/>
      <c r="GN460" s="18"/>
      <c r="GO460" s="18"/>
      <c r="GP460" s="18"/>
      <c r="GQ460" s="18"/>
      <c r="GR460" s="18"/>
      <c r="GS460" s="18"/>
      <c r="GT460" s="18"/>
      <c r="GU460" s="18"/>
      <c r="GV460" s="18"/>
      <c r="GW460" s="18"/>
      <c r="GX460" s="18"/>
      <c r="GY460" s="18"/>
      <c r="GZ460" s="18"/>
      <c r="HA460" s="18"/>
      <c r="HB460" s="18"/>
      <c r="HC460" s="18"/>
      <c r="HD460" s="18"/>
      <c r="HE460" s="18"/>
      <c r="HF460" s="18"/>
      <c r="HG460" s="13"/>
      <c r="HH460" s="13"/>
      <c r="HI460" s="13"/>
      <c r="HJ460" s="13"/>
      <c r="HK460" s="13"/>
      <c r="HL460" s="13"/>
      <c r="HM460" s="13"/>
      <c r="HN460" s="13"/>
      <c r="HO460" s="13"/>
      <c r="HP460" s="13"/>
      <c r="HQ460" s="13"/>
      <c r="HR460" s="13"/>
      <c r="HS460" s="13"/>
      <c r="HT460" s="13"/>
      <c r="HV460" s="18"/>
      <c r="HW460" s="18"/>
      <c r="HX460" s="18"/>
      <c r="HY460" s="18"/>
      <c r="HZ460" s="18"/>
      <c r="IA460" s="18"/>
      <c r="IB460" s="18"/>
      <c r="IC460" s="18"/>
      <c r="ID460" s="18"/>
      <c r="IE460" s="18"/>
      <c r="IF460" s="18"/>
      <c r="IG460" s="18"/>
      <c r="IH460" s="18"/>
      <c r="II460" s="18"/>
      <c r="IJ460" s="18"/>
      <c r="IK460" s="18"/>
      <c r="IL460" s="18"/>
      <c r="IM460" s="18"/>
      <c r="IN460" s="18"/>
      <c r="IO460" s="18"/>
    </row>
    <row r="461" spans="1:302" ht="11.1" hidden="1" customHeight="1" outlineLevel="1">
      <c r="A461" s="1"/>
      <c r="B461" s="57"/>
      <c r="C461" s="52"/>
      <c r="E461" s="57"/>
      <c r="F461" s="940"/>
      <c r="G461" s="176"/>
      <c r="H461" s="176"/>
      <c r="I461" s="176"/>
      <c r="J461" s="176"/>
      <c r="K461" s="941"/>
      <c r="L461" s="57"/>
      <c r="M461" s="136" t="s">
        <v>35</v>
      </c>
      <c r="N461" s="136"/>
      <c r="O461" s="136"/>
      <c r="P461" s="198">
        <v>19.079999999999998</v>
      </c>
      <c r="Q461" s="29"/>
      <c r="T461" s="57"/>
      <c r="U461" s="57"/>
      <c r="V461" s="57"/>
      <c r="W461" s="57"/>
      <c r="X461" s="57"/>
      <c r="Y461" s="175"/>
      <c r="Z461" s="175"/>
      <c r="AA461" s="57"/>
      <c r="AB461" s="174"/>
      <c r="AC461" s="174"/>
      <c r="AD461" s="173"/>
      <c r="AE461" s="173"/>
      <c r="AF461" s="69"/>
      <c r="AG461" s="22"/>
      <c r="AH461" s="22"/>
      <c r="AI461" s="22"/>
      <c r="AJ461" s="22"/>
      <c r="AK461" s="178"/>
      <c r="AL461" s="22"/>
      <c r="AM461" s="22"/>
      <c r="AN461" s="22"/>
      <c r="AO461" s="22"/>
      <c r="AP461" s="22"/>
      <c r="AQ461" s="15"/>
      <c r="AR461" s="38"/>
      <c r="AS461" s="67"/>
      <c r="AT461" s="171"/>
      <c r="AU461" s="21"/>
      <c r="AV461" s="21"/>
      <c r="AW461" s="21"/>
      <c r="AX461" s="21"/>
      <c r="AY461" s="21"/>
      <c r="AZ461" s="21"/>
      <c r="BA461" s="171"/>
      <c r="BB461" s="21"/>
      <c r="BC461" s="21"/>
      <c r="BD461" s="21"/>
      <c r="BE461" s="18"/>
      <c r="BF461" s="18"/>
      <c r="BH461" s="18"/>
      <c r="BI461" s="18"/>
      <c r="BJ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  <c r="FR461" s="18"/>
      <c r="FS461" s="18"/>
      <c r="FT461" s="18"/>
      <c r="FU461" s="18"/>
      <c r="FV461" s="18"/>
      <c r="FW461" s="18"/>
      <c r="FX461" s="18"/>
      <c r="FY461" s="18"/>
      <c r="FZ461" s="18"/>
      <c r="GA461" s="18"/>
      <c r="GB461" s="18"/>
      <c r="GC461" s="18"/>
      <c r="GD461" s="18"/>
      <c r="GE461" s="18"/>
      <c r="GF461" s="18"/>
      <c r="GG461" s="18"/>
      <c r="GH461" s="18"/>
      <c r="GI461" s="18"/>
      <c r="GJ461" s="18"/>
      <c r="GK461" s="18"/>
      <c r="GL461" s="18"/>
      <c r="GM461" s="18"/>
      <c r="GN461" s="18"/>
      <c r="GO461" s="18"/>
      <c r="GP461" s="18"/>
      <c r="GQ461" s="18"/>
      <c r="GR461" s="18"/>
      <c r="GS461" s="18"/>
      <c r="GT461" s="18"/>
      <c r="GU461" s="18"/>
      <c r="GV461" s="18"/>
      <c r="GW461" s="18"/>
      <c r="GX461" s="18"/>
      <c r="GY461" s="18"/>
      <c r="GZ461" s="18"/>
      <c r="HA461" s="18"/>
      <c r="HB461" s="18"/>
      <c r="HC461" s="18"/>
      <c r="HD461" s="18"/>
      <c r="HE461" s="18"/>
      <c r="HF461" s="18"/>
      <c r="HG461" s="13"/>
      <c r="HH461" s="13"/>
      <c r="HI461" s="13"/>
      <c r="HJ461" s="13"/>
      <c r="HK461" s="13"/>
      <c r="HL461" s="13"/>
      <c r="HM461" s="13"/>
      <c r="HN461" s="13"/>
      <c r="HO461" s="13"/>
      <c r="HP461" s="13"/>
      <c r="HQ461" s="13"/>
      <c r="HR461" s="13"/>
      <c r="HS461" s="13"/>
      <c r="HT461" s="13"/>
      <c r="HV461" s="18"/>
      <c r="HW461" s="18"/>
      <c r="HX461" s="18"/>
      <c r="HY461" s="18"/>
      <c r="HZ461" s="18"/>
      <c r="IA461" s="18"/>
      <c r="IB461" s="18"/>
      <c r="IC461" s="18"/>
      <c r="ID461" s="18"/>
      <c r="IE461" s="18"/>
      <c r="IF461" s="18"/>
      <c r="IG461" s="18"/>
      <c r="IH461" s="18"/>
      <c r="II461" s="18"/>
      <c r="IJ461" s="18"/>
      <c r="IK461" s="18"/>
      <c r="IL461" s="18"/>
      <c r="IM461" s="18"/>
      <c r="IN461" s="18"/>
      <c r="IO461" s="18"/>
    </row>
    <row r="462" spans="1:302" ht="11.1" hidden="1" customHeight="1" outlineLevel="1">
      <c r="A462" s="1"/>
      <c r="B462" s="57"/>
      <c r="C462" s="52"/>
      <c r="E462" s="57"/>
      <c r="F462" s="940"/>
      <c r="G462" s="176"/>
      <c r="H462" s="176"/>
      <c r="I462" s="176"/>
      <c r="J462" s="176"/>
      <c r="K462" s="941"/>
      <c r="L462" s="57"/>
      <c r="M462" s="136" t="s">
        <v>34</v>
      </c>
      <c r="N462" s="136"/>
      <c r="O462" s="136"/>
      <c r="P462" s="18">
        <v>19.09</v>
      </c>
      <c r="Q462" s="1"/>
      <c r="T462" s="57"/>
      <c r="U462" s="57"/>
      <c r="V462" s="57"/>
      <c r="W462" s="57"/>
      <c r="X462" s="57"/>
      <c r="Y462" s="175"/>
      <c r="Z462" s="175"/>
      <c r="AA462" s="57"/>
      <c r="AB462" s="174"/>
      <c r="AC462" s="174"/>
      <c r="AD462" s="173"/>
      <c r="AE462" s="173"/>
      <c r="AF462" s="69"/>
      <c r="AG462" s="22"/>
      <c r="AH462" s="22"/>
      <c r="AI462" s="22"/>
      <c r="AJ462" s="22"/>
      <c r="AK462" s="178"/>
      <c r="AL462" s="22"/>
      <c r="AM462" s="22"/>
      <c r="AN462" s="22"/>
      <c r="AO462" s="22"/>
      <c r="AP462" s="22"/>
      <c r="AQ462" s="15"/>
      <c r="AR462" s="38"/>
      <c r="AS462" s="67"/>
      <c r="AT462" s="171"/>
      <c r="AU462" s="21"/>
      <c r="AV462" s="21"/>
      <c r="AW462" s="21"/>
      <c r="AX462" s="21"/>
      <c r="AY462" s="21"/>
      <c r="AZ462" s="21"/>
      <c r="BA462" s="171"/>
      <c r="BB462" s="21"/>
      <c r="BC462" s="21"/>
      <c r="BD462" s="21"/>
      <c r="BE462" s="18"/>
      <c r="BF462" s="18"/>
      <c r="BH462" s="18"/>
      <c r="BI462" s="18"/>
      <c r="BJ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  <c r="FC462" s="18"/>
      <c r="FD462" s="18"/>
      <c r="FE462" s="18"/>
      <c r="FF462" s="18"/>
      <c r="FG462" s="18"/>
      <c r="FH462" s="18"/>
      <c r="FI462" s="18"/>
      <c r="FJ462" s="18"/>
      <c r="FK462" s="18"/>
      <c r="FL462" s="18"/>
      <c r="FM462" s="18"/>
      <c r="FN462" s="18"/>
      <c r="FO462" s="18"/>
      <c r="FP462" s="18"/>
      <c r="FQ462" s="18"/>
      <c r="FR462" s="18"/>
      <c r="FS462" s="18"/>
      <c r="FT462" s="18"/>
      <c r="FU462" s="18"/>
      <c r="FV462" s="18"/>
      <c r="FW462" s="18"/>
      <c r="FX462" s="18"/>
      <c r="FY462" s="18"/>
      <c r="FZ462" s="18"/>
      <c r="GA462" s="18"/>
      <c r="GB462" s="18"/>
      <c r="GC462" s="18"/>
      <c r="GD462" s="18"/>
      <c r="GE462" s="18"/>
      <c r="GF462" s="18"/>
      <c r="GG462" s="18"/>
      <c r="GH462" s="18"/>
      <c r="GI462" s="18"/>
      <c r="GJ462" s="18"/>
      <c r="GK462" s="18"/>
      <c r="GL462" s="18"/>
      <c r="GM462" s="18"/>
      <c r="GN462" s="18"/>
      <c r="GO462" s="18"/>
      <c r="GP462" s="18"/>
      <c r="GQ462" s="18"/>
      <c r="GR462" s="18"/>
      <c r="GS462" s="18"/>
      <c r="GT462" s="18"/>
      <c r="GU462" s="18"/>
      <c r="GV462" s="18"/>
      <c r="GW462" s="18"/>
      <c r="GX462" s="18"/>
      <c r="GY462" s="18"/>
      <c r="GZ462" s="18"/>
      <c r="HA462" s="18"/>
      <c r="HB462" s="18"/>
      <c r="HC462" s="18"/>
      <c r="HD462" s="18"/>
      <c r="HE462" s="18"/>
      <c r="HF462" s="18"/>
      <c r="HG462" s="13"/>
      <c r="HH462" s="13"/>
      <c r="HI462" s="13"/>
      <c r="HJ462" s="13"/>
      <c r="HK462" s="13"/>
      <c r="HL462" s="13"/>
      <c r="HM462" s="13"/>
      <c r="HN462" s="13"/>
      <c r="HO462" s="13"/>
      <c r="HP462" s="13"/>
      <c r="HQ462" s="13"/>
      <c r="HR462" s="13"/>
      <c r="HS462" s="13"/>
      <c r="HT462" s="13"/>
      <c r="HV462" s="18"/>
      <c r="HW462" s="18"/>
      <c r="HX462" s="18"/>
      <c r="HY462" s="18"/>
      <c r="HZ462" s="18"/>
      <c r="IA462" s="18"/>
      <c r="IB462" s="18"/>
      <c r="IC462" s="18"/>
      <c r="ID462" s="18"/>
      <c r="IE462" s="18"/>
      <c r="IF462" s="18"/>
      <c r="IG462" s="18"/>
      <c r="IH462" s="18"/>
      <c r="II462" s="18"/>
      <c r="IJ462" s="18"/>
      <c r="IK462" s="18"/>
      <c r="IL462" s="18"/>
      <c r="IM462" s="18"/>
      <c r="IN462" s="18"/>
      <c r="IO462" s="18"/>
    </row>
    <row r="463" spans="1:302" ht="11.1" hidden="1" customHeight="1" outlineLevel="1">
      <c r="A463" s="1"/>
      <c r="B463" s="57"/>
      <c r="C463" s="52"/>
      <c r="E463" s="57"/>
      <c r="F463" s="940"/>
      <c r="G463" s="176"/>
      <c r="H463" s="176"/>
      <c r="I463" s="176"/>
      <c r="J463" s="176"/>
      <c r="K463" s="941"/>
      <c r="L463" s="57"/>
      <c r="M463" s="136" t="s">
        <v>33</v>
      </c>
      <c r="N463" s="136"/>
      <c r="O463" s="136"/>
      <c r="P463" s="18" t="s">
        <v>30</v>
      </c>
      <c r="Q463" s="1"/>
      <c r="T463" s="57"/>
      <c r="U463" s="57"/>
      <c r="V463" s="57"/>
      <c r="W463" s="57"/>
      <c r="X463" s="57"/>
      <c r="Y463" s="175"/>
      <c r="Z463" s="175"/>
      <c r="AA463" s="57"/>
      <c r="AB463" s="174"/>
      <c r="AC463" s="174"/>
      <c r="AD463" s="173"/>
      <c r="AE463" s="173"/>
      <c r="AF463" s="69"/>
      <c r="AG463" s="22"/>
      <c r="AH463" s="22"/>
      <c r="AI463" s="22"/>
      <c r="AJ463" s="22"/>
      <c r="AK463" s="178"/>
      <c r="AL463" s="22"/>
      <c r="AM463" s="22"/>
      <c r="AN463" s="22"/>
      <c r="AO463" s="22"/>
      <c r="AP463" s="22"/>
      <c r="AQ463" s="15"/>
      <c r="AR463" s="38"/>
      <c r="AS463" s="67"/>
      <c r="AT463" s="171"/>
      <c r="AU463" s="21"/>
      <c r="AV463" s="21"/>
      <c r="AW463" s="21"/>
      <c r="AX463" s="21"/>
      <c r="AY463" s="21"/>
      <c r="AZ463" s="21"/>
      <c r="BA463" s="171"/>
      <c r="BB463" s="21"/>
      <c r="BC463" s="21"/>
      <c r="BD463" s="21"/>
      <c r="BE463" s="18"/>
      <c r="BF463" s="18"/>
      <c r="BH463" s="18"/>
      <c r="BI463" s="18"/>
      <c r="BJ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  <c r="FR463" s="18"/>
      <c r="FS463" s="18"/>
      <c r="FT463" s="18"/>
      <c r="FU463" s="18"/>
      <c r="FV463" s="18"/>
      <c r="FW463" s="18"/>
      <c r="FX463" s="18"/>
      <c r="FY463" s="18"/>
      <c r="FZ463" s="18"/>
      <c r="GA463" s="18"/>
      <c r="GB463" s="18"/>
      <c r="GC463" s="18"/>
      <c r="GD463" s="18"/>
      <c r="GE463" s="18"/>
      <c r="GF463" s="18"/>
      <c r="GG463" s="18"/>
      <c r="GH463" s="18"/>
      <c r="GI463" s="18"/>
      <c r="GJ463" s="18"/>
      <c r="GK463" s="18"/>
      <c r="GL463" s="18"/>
      <c r="GM463" s="18"/>
      <c r="GN463" s="18"/>
      <c r="GO463" s="18"/>
      <c r="GP463" s="18"/>
      <c r="GQ463" s="18"/>
      <c r="GR463" s="18"/>
      <c r="GS463" s="18"/>
      <c r="GT463" s="18"/>
      <c r="GU463" s="18"/>
      <c r="GV463" s="18"/>
      <c r="GW463" s="18"/>
      <c r="GX463" s="18"/>
      <c r="GY463" s="18"/>
      <c r="GZ463" s="18"/>
      <c r="HA463" s="18"/>
      <c r="HB463" s="18"/>
      <c r="HC463" s="18"/>
      <c r="HD463" s="18"/>
      <c r="HE463" s="18"/>
      <c r="HF463" s="18"/>
      <c r="HG463" s="13"/>
      <c r="HH463" s="13"/>
      <c r="HI463" s="13"/>
      <c r="HJ463" s="13"/>
      <c r="HK463" s="13"/>
      <c r="HL463" s="13"/>
      <c r="HM463" s="13"/>
      <c r="HN463" s="13"/>
      <c r="HO463" s="13"/>
      <c r="HP463" s="13"/>
      <c r="HQ463" s="13"/>
      <c r="HR463" s="13"/>
      <c r="HS463" s="13"/>
      <c r="HT463" s="13"/>
      <c r="HV463" s="18"/>
      <c r="HW463" s="18"/>
      <c r="HX463" s="18"/>
      <c r="HY463" s="18"/>
      <c r="HZ463" s="18"/>
      <c r="IA463" s="18"/>
      <c r="IB463" s="18"/>
      <c r="IC463" s="18"/>
      <c r="ID463" s="18"/>
      <c r="IE463" s="18"/>
      <c r="IF463" s="18"/>
      <c r="IG463" s="18"/>
      <c r="IH463" s="18"/>
      <c r="II463" s="18"/>
      <c r="IJ463" s="18"/>
      <c r="IK463" s="18"/>
      <c r="IL463" s="18"/>
      <c r="IM463" s="18"/>
      <c r="IN463" s="18"/>
      <c r="IO463" s="18"/>
    </row>
    <row r="464" spans="1:302" ht="11.1" hidden="1" customHeight="1" outlineLevel="1">
      <c r="A464" s="1"/>
      <c r="B464" s="57"/>
      <c r="C464" s="52"/>
      <c r="E464" s="57"/>
      <c r="F464" s="940"/>
      <c r="G464" s="176"/>
      <c r="H464" s="176"/>
      <c r="I464" s="176"/>
      <c r="J464" s="176"/>
      <c r="K464" s="941"/>
      <c r="L464" s="57"/>
      <c r="M464" s="136" t="s">
        <v>32</v>
      </c>
      <c r="N464" s="136"/>
      <c r="O464" s="136"/>
      <c r="P464" s="18" t="s">
        <v>30</v>
      </c>
      <c r="Q464" s="1"/>
      <c r="T464" s="57"/>
      <c r="U464" s="57"/>
      <c r="V464" s="57"/>
      <c r="W464" s="57"/>
      <c r="X464" s="57"/>
      <c r="Y464" s="175"/>
      <c r="Z464" s="175"/>
      <c r="AA464" s="57"/>
      <c r="AB464" s="174"/>
      <c r="AC464" s="174"/>
      <c r="AD464" s="173"/>
      <c r="AE464" s="173"/>
      <c r="AF464" s="69"/>
      <c r="AG464" s="22"/>
      <c r="AH464" s="22"/>
      <c r="AI464" s="22"/>
      <c r="AJ464" s="22"/>
      <c r="AK464" s="178"/>
      <c r="AL464" s="22"/>
      <c r="AM464" s="22"/>
      <c r="AN464" s="22"/>
      <c r="AO464" s="22"/>
      <c r="AP464" s="22"/>
      <c r="AQ464" s="15"/>
      <c r="AR464" s="38"/>
      <c r="AS464" s="67"/>
      <c r="AT464" s="171"/>
      <c r="AU464" s="21"/>
      <c r="AV464" s="21"/>
      <c r="AW464" s="21"/>
      <c r="AX464" s="21"/>
      <c r="AY464" s="21"/>
      <c r="AZ464" s="21"/>
      <c r="BA464" s="171"/>
      <c r="BB464" s="21"/>
      <c r="BC464" s="21"/>
      <c r="BD464" s="21"/>
      <c r="BE464" s="18"/>
      <c r="BF464" s="18"/>
      <c r="BH464" s="18"/>
      <c r="BI464" s="18"/>
      <c r="BJ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  <c r="FC464" s="18"/>
      <c r="FD464" s="18"/>
      <c r="FE464" s="18"/>
      <c r="FF464" s="18"/>
      <c r="FG464" s="18"/>
      <c r="FH464" s="18"/>
      <c r="FI464" s="18"/>
      <c r="FJ464" s="18"/>
      <c r="FK464" s="18"/>
      <c r="FL464" s="18"/>
      <c r="FM464" s="18"/>
      <c r="FN464" s="18"/>
      <c r="FO464" s="18"/>
      <c r="FP464" s="18"/>
      <c r="FQ464" s="18"/>
      <c r="FR464" s="18"/>
      <c r="FS464" s="18"/>
      <c r="FT464" s="18"/>
      <c r="FU464" s="18"/>
      <c r="FV464" s="18"/>
      <c r="FW464" s="18"/>
      <c r="FX464" s="18"/>
      <c r="FY464" s="18"/>
      <c r="FZ464" s="18"/>
      <c r="GA464" s="18"/>
      <c r="GB464" s="18"/>
      <c r="GC464" s="18"/>
      <c r="GD464" s="18"/>
      <c r="GE464" s="18"/>
      <c r="GF464" s="18"/>
      <c r="GG464" s="18"/>
      <c r="GH464" s="18"/>
      <c r="GI464" s="18"/>
      <c r="GJ464" s="18"/>
      <c r="GK464" s="18"/>
      <c r="GL464" s="18"/>
      <c r="GM464" s="18"/>
      <c r="GN464" s="18"/>
      <c r="GO464" s="18"/>
      <c r="GP464" s="18"/>
      <c r="GQ464" s="18"/>
      <c r="GR464" s="18"/>
      <c r="GS464" s="18"/>
      <c r="GT464" s="18"/>
      <c r="GU464" s="18"/>
      <c r="GV464" s="18"/>
      <c r="GW464" s="18"/>
      <c r="GX464" s="18"/>
      <c r="GY464" s="18"/>
      <c r="GZ464" s="18"/>
      <c r="HA464" s="18"/>
      <c r="HB464" s="18"/>
      <c r="HC464" s="18"/>
      <c r="HD464" s="18"/>
      <c r="HE464" s="18"/>
      <c r="HF464" s="18"/>
      <c r="HG464" s="13"/>
      <c r="HH464" s="13"/>
      <c r="HI464" s="13"/>
      <c r="HJ464" s="13"/>
      <c r="HK464" s="13"/>
      <c r="HL464" s="13"/>
      <c r="HM464" s="13"/>
      <c r="HN464" s="13"/>
      <c r="HO464" s="13"/>
      <c r="HP464" s="13"/>
      <c r="HQ464" s="13"/>
      <c r="HR464" s="13"/>
      <c r="HS464" s="13"/>
      <c r="HT464" s="13"/>
      <c r="HV464" s="18"/>
      <c r="HW464" s="18"/>
      <c r="HX464" s="18"/>
      <c r="HY464" s="18"/>
      <c r="HZ464" s="18"/>
      <c r="IA464" s="18"/>
      <c r="IB464" s="18"/>
      <c r="IC464" s="18"/>
      <c r="ID464" s="18"/>
      <c r="IE464" s="18"/>
      <c r="IF464" s="18"/>
      <c r="IG464" s="18"/>
      <c r="IH464" s="18"/>
      <c r="II464" s="18"/>
      <c r="IJ464" s="18"/>
      <c r="IK464" s="18"/>
      <c r="IL464" s="18"/>
      <c r="IM464" s="18"/>
      <c r="IN464" s="18"/>
      <c r="IO464" s="18"/>
    </row>
    <row r="465" spans="1:302" ht="11.1" hidden="1" customHeight="1" outlineLevel="1">
      <c r="A465" s="1"/>
      <c r="B465" s="57"/>
      <c r="C465" s="52"/>
      <c r="E465" s="57"/>
      <c r="F465" s="940"/>
      <c r="G465" s="176"/>
      <c r="H465" s="176"/>
      <c r="I465" s="176"/>
      <c r="J465" s="176"/>
      <c r="K465" s="941"/>
      <c r="L465" s="57"/>
      <c r="M465" s="822" t="s">
        <v>31</v>
      </c>
      <c r="N465" s="822"/>
      <c r="O465" s="822"/>
      <c r="P465" s="18" t="s">
        <v>30</v>
      </c>
      <c r="Q465" s="1"/>
      <c r="T465" s="57"/>
      <c r="U465" s="57"/>
      <c r="V465" s="57"/>
      <c r="W465" s="57"/>
      <c r="X465" s="57"/>
      <c r="Y465" s="175"/>
      <c r="Z465" s="175"/>
      <c r="AA465" s="57"/>
      <c r="AB465" s="174"/>
      <c r="AC465" s="174"/>
      <c r="AD465" s="173"/>
      <c r="AE465" s="173"/>
      <c r="AF465" s="69"/>
      <c r="AG465" s="22"/>
      <c r="AH465" s="22"/>
      <c r="AI465" s="22"/>
      <c r="AJ465" s="22"/>
      <c r="AK465" s="178"/>
      <c r="AL465" s="22"/>
      <c r="AM465" s="22"/>
      <c r="AN465" s="22"/>
      <c r="AO465" s="22"/>
      <c r="AP465" s="22"/>
      <c r="AQ465" s="15"/>
      <c r="AR465" s="38"/>
      <c r="AS465" s="67"/>
      <c r="AT465" s="171"/>
      <c r="AU465" s="21"/>
      <c r="AV465" s="21"/>
      <c r="AW465" s="21"/>
      <c r="AX465" s="21"/>
      <c r="AY465" s="21"/>
      <c r="AZ465" s="21"/>
      <c r="BA465" s="171"/>
      <c r="BB465" s="21"/>
      <c r="BC465" s="21"/>
      <c r="BD465" s="21"/>
      <c r="BE465" s="18"/>
      <c r="BF465" s="18"/>
      <c r="BH465" s="18"/>
      <c r="BI465" s="18"/>
      <c r="BJ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  <c r="FR465" s="18"/>
      <c r="FS465" s="18"/>
      <c r="FT465" s="18"/>
      <c r="FU465" s="18"/>
      <c r="FV465" s="18"/>
      <c r="FW465" s="18"/>
      <c r="FX465" s="18"/>
      <c r="FY465" s="18"/>
      <c r="FZ465" s="18"/>
      <c r="GA465" s="18"/>
      <c r="GB465" s="18"/>
      <c r="GC465" s="18"/>
      <c r="GD465" s="18"/>
      <c r="GE465" s="18"/>
      <c r="GF465" s="18"/>
      <c r="GG465" s="18"/>
      <c r="GH465" s="18"/>
      <c r="GI465" s="18"/>
      <c r="GJ465" s="18"/>
      <c r="GK465" s="18"/>
      <c r="GL465" s="18"/>
      <c r="GM465" s="18"/>
      <c r="GN465" s="18"/>
      <c r="GO465" s="18"/>
      <c r="GP465" s="18"/>
      <c r="GQ465" s="18"/>
      <c r="GR465" s="18"/>
      <c r="GS465" s="18"/>
      <c r="GT465" s="18"/>
      <c r="GU465" s="18"/>
      <c r="GV465" s="18"/>
      <c r="GW465" s="18"/>
      <c r="GX465" s="18"/>
      <c r="GY465" s="18"/>
      <c r="GZ465" s="18"/>
      <c r="HA465" s="18"/>
      <c r="HB465" s="18"/>
      <c r="HC465" s="18"/>
      <c r="HD465" s="18"/>
      <c r="HE465" s="18"/>
      <c r="HF465" s="18"/>
      <c r="HG465" s="13"/>
      <c r="HH465" s="13"/>
      <c r="HI465" s="13"/>
      <c r="HJ465" s="13"/>
      <c r="HK465" s="13"/>
      <c r="HL465" s="13"/>
      <c r="HM465" s="13"/>
      <c r="HN465" s="13"/>
      <c r="HO465" s="13"/>
      <c r="HP465" s="13"/>
      <c r="HQ465" s="13"/>
      <c r="HR465" s="13"/>
      <c r="HS465" s="13"/>
      <c r="HT465" s="13"/>
      <c r="HV465" s="18"/>
      <c r="HW465" s="18"/>
      <c r="HX465" s="18"/>
      <c r="HY465" s="18"/>
      <c r="HZ465" s="18"/>
      <c r="IA465" s="18"/>
      <c r="IB465" s="18"/>
      <c r="IC465" s="18"/>
      <c r="ID465" s="18"/>
      <c r="IE465" s="18"/>
      <c r="IF465" s="18"/>
      <c r="IG465" s="18"/>
      <c r="IH465" s="18"/>
      <c r="II465" s="18"/>
      <c r="IJ465" s="18"/>
      <c r="IK465" s="18"/>
      <c r="IL465" s="18"/>
      <c r="IM465" s="18"/>
      <c r="IN465" s="18"/>
      <c r="IO465" s="18"/>
    </row>
    <row r="466" spans="1:302" ht="11.1" hidden="1" customHeight="1" outlineLevel="1">
      <c r="A466" s="1"/>
      <c r="B466" s="57"/>
      <c r="C466" s="52"/>
      <c r="E466" s="57"/>
      <c r="F466" s="940"/>
      <c r="G466" s="176"/>
      <c r="H466" s="176"/>
      <c r="I466" s="176"/>
      <c r="J466" s="176"/>
      <c r="K466" s="941"/>
      <c r="L466" s="57"/>
      <c r="M466" s="18"/>
      <c r="N466" s="18"/>
      <c r="O466" s="18"/>
      <c r="P466" s="199">
        <v>17.149999999999999</v>
      </c>
      <c r="Q466" s="1"/>
      <c r="T466" s="57"/>
      <c r="U466" s="57"/>
      <c r="V466" s="57"/>
      <c r="W466" s="57"/>
      <c r="X466" s="57"/>
      <c r="Y466" s="175"/>
      <c r="Z466" s="175"/>
      <c r="AA466" s="57"/>
      <c r="AB466" s="174"/>
      <c r="AC466" s="174"/>
      <c r="AD466" s="173"/>
      <c r="AE466" s="173"/>
      <c r="AF466" s="69"/>
      <c r="AG466" s="22"/>
      <c r="AH466" s="22"/>
      <c r="AI466" s="22"/>
      <c r="AJ466" s="22"/>
      <c r="AK466" s="178"/>
      <c r="AL466" s="22"/>
      <c r="AM466" s="22"/>
      <c r="AN466" s="22"/>
      <c r="AO466" s="22"/>
      <c r="AP466" s="22"/>
      <c r="AQ466" s="15"/>
      <c r="AR466" s="38"/>
      <c r="AS466" s="67"/>
      <c r="AT466" s="171"/>
      <c r="AU466" s="21"/>
      <c r="AV466" s="21"/>
      <c r="AW466" s="21"/>
      <c r="AX466" s="21"/>
      <c r="AY466" s="21"/>
      <c r="AZ466" s="21"/>
      <c r="BA466" s="171"/>
      <c r="BB466" s="21"/>
      <c r="BC466" s="21"/>
      <c r="BD466" s="21"/>
      <c r="BE466" s="18"/>
      <c r="BF466" s="18"/>
      <c r="BH466" s="18"/>
      <c r="BI466" s="18"/>
      <c r="BJ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  <c r="FR466" s="18"/>
      <c r="FS466" s="18"/>
      <c r="FT466" s="18"/>
      <c r="FU466" s="18"/>
      <c r="FV466" s="18"/>
      <c r="FW466" s="18"/>
      <c r="FX466" s="18"/>
      <c r="FY466" s="18"/>
      <c r="FZ466" s="18"/>
      <c r="GA466" s="18"/>
      <c r="GB466" s="18"/>
      <c r="GC466" s="18"/>
      <c r="GD466" s="18"/>
      <c r="GE466" s="18"/>
      <c r="GF466" s="18"/>
      <c r="GG466" s="18"/>
      <c r="GH466" s="18"/>
      <c r="GI466" s="18"/>
      <c r="GJ466" s="18"/>
      <c r="GK466" s="18"/>
      <c r="GL466" s="18"/>
      <c r="GM466" s="18"/>
      <c r="GN466" s="18"/>
      <c r="GO466" s="18"/>
      <c r="GP466" s="18"/>
      <c r="GQ466" s="18"/>
      <c r="GR466" s="18"/>
      <c r="GS466" s="18"/>
      <c r="GT466" s="18"/>
      <c r="GU466" s="18"/>
      <c r="GV466" s="18"/>
      <c r="GW466" s="18"/>
      <c r="GX466" s="18"/>
      <c r="GY466" s="18"/>
      <c r="GZ466" s="18"/>
      <c r="HA466" s="18"/>
      <c r="HB466" s="18"/>
      <c r="HC466" s="18"/>
      <c r="HD466" s="18"/>
      <c r="HE466" s="18"/>
      <c r="HF466" s="18"/>
      <c r="HG466" s="13"/>
      <c r="HH466" s="13"/>
      <c r="HI466" s="13"/>
      <c r="HJ466" s="13"/>
      <c r="HK466" s="13"/>
      <c r="HL466" s="13"/>
      <c r="HM466" s="13"/>
      <c r="HN466" s="13"/>
      <c r="HO466" s="13"/>
      <c r="HP466" s="13"/>
      <c r="HQ466" s="13"/>
      <c r="HR466" s="13"/>
      <c r="HS466" s="13"/>
      <c r="HT466" s="13"/>
      <c r="HV466" s="18"/>
      <c r="HW466" s="18"/>
      <c r="HX466" s="18"/>
      <c r="HY466" s="18"/>
      <c r="HZ466" s="18"/>
      <c r="IA466" s="18"/>
      <c r="IB466" s="18"/>
      <c r="IC466" s="18"/>
      <c r="ID466" s="18"/>
      <c r="IE466" s="18"/>
      <c r="IF466" s="18"/>
      <c r="IG466" s="18"/>
      <c r="IH466" s="18"/>
      <c r="II466" s="18"/>
      <c r="IJ466" s="18"/>
      <c r="IK466" s="18"/>
      <c r="IL466" s="18"/>
      <c r="IM466" s="18"/>
      <c r="IN466" s="18"/>
      <c r="IO466" s="18"/>
    </row>
    <row r="467" spans="1:302" ht="11.1" hidden="1" customHeight="1" outlineLevel="1">
      <c r="A467" s="1"/>
      <c r="B467" s="57"/>
      <c r="C467" s="52"/>
      <c r="E467" s="57"/>
      <c r="F467" s="940"/>
      <c r="G467" s="176"/>
      <c r="H467" s="176"/>
      <c r="I467" s="176"/>
      <c r="J467" s="176"/>
      <c r="K467" s="941"/>
      <c r="L467" s="57"/>
      <c r="M467" s="18"/>
      <c r="N467" s="18"/>
      <c r="O467" s="18"/>
      <c r="P467" s="199">
        <v>2.39</v>
      </c>
      <c r="Q467" s="1"/>
      <c r="T467" s="57"/>
      <c r="U467" s="57"/>
      <c r="V467" s="57"/>
      <c r="W467" s="57"/>
      <c r="X467" s="57"/>
      <c r="Y467" s="175"/>
      <c r="Z467" s="175"/>
      <c r="AA467" s="57"/>
      <c r="AB467" s="174"/>
      <c r="AC467" s="174"/>
      <c r="AD467" s="173"/>
      <c r="AE467" s="173"/>
      <c r="AF467" s="69"/>
      <c r="AG467" s="22"/>
      <c r="AH467" s="22"/>
      <c r="AI467" s="22"/>
      <c r="AJ467" s="22"/>
      <c r="AK467" s="178"/>
      <c r="AL467" s="22"/>
      <c r="AM467" s="22"/>
      <c r="AN467" s="22"/>
      <c r="AO467" s="22"/>
      <c r="AP467" s="22"/>
      <c r="AQ467" s="15"/>
      <c r="AR467" s="38"/>
      <c r="AS467" s="67"/>
      <c r="AT467" s="171"/>
      <c r="AU467" s="21"/>
      <c r="AV467" s="21"/>
      <c r="AW467" s="21"/>
      <c r="AX467" s="21"/>
      <c r="AY467" s="21"/>
      <c r="AZ467" s="21"/>
      <c r="BA467" s="171"/>
      <c r="BB467" s="21"/>
      <c r="BC467" s="21"/>
      <c r="BD467" s="21"/>
      <c r="BE467" s="18"/>
      <c r="BF467" s="18"/>
      <c r="BH467" s="18"/>
      <c r="BI467" s="18"/>
      <c r="BJ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  <c r="FC467" s="18"/>
      <c r="FD467" s="18"/>
      <c r="FE467" s="18"/>
      <c r="FF467" s="18"/>
      <c r="FG467" s="18"/>
      <c r="FH467" s="18"/>
      <c r="FI467" s="18"/>
      <c r="FJ467" s="18"/>
      <c r="FK467" s="18"/>
      <c r="FL467" s="18"/>
      <c r="FM467" s="18"/>
      <c r="FN467" s="18"/>
      <c r="FO467" s="18"/>
      <c r="FP467" s="18"/>
      <c r="FQ467" s="18"/>
      <c r="FR467" s="18"/>
      <c r="FS467" s="18"/>
      <c r="FT467" s="18"/>
      <c r="FU467" s="18"/>
      <c r="FV467" s="18"/>
      <c r="FW467" s="18"/>
      <c r="FX467" s="18"/>
      <c r="FY467" s="18"/>
      <c r="FZ467" s="18"/>
      <c r="GA467" s="18"/>
      <c r="GB467" s="18"/>
      <c r="GC467" s="18"/>
      <c r="GD467" s="18"/>
      <c r="GE467" s="18"/>
      <c r="GF467" s="18"/>
      <c r="GG467" s="18"/>
      <c r="GH467" s="18"/>
      <c r="GI467" s="18"/>
      <c r="GJ467" s="18"/>
      <c r="GK467" s="18"/>
      <c r="GL467" s="18"/>
      <c r="GM467" s="18"/>
      <c r="GN467" s="18"/>
      <c r="GO467" s="18"/>
      <c r="GP467" s="18"/>
      <c r="GQ467" s="18"/>
      <c r="GR467" s="18"/>
      <c r="GS467" s="18"/>
      <c r="GT467" s="18"/>
      <c r="GU467" s="18"/>
      <c r="GV467" s="18"/>
      <c r="GW467" s="18"/>
      <c r="GX467" s="18"/>
      <c r="GY467" s="18"/>
      <c r="GZ467" s="18"/>
      <c r="HA467" s="18"/>
      <c r="HB467" s="18"/>
      <c r="HC467" s="18"/>
      <c r="HD467" s="18"/>
      <c r="HE467" s="18"/>
      <c r="HF467" s="18"/>
      <c r="HG467" s="13"/>
      <c r="HH467" s="13"/>
      <c r="HI467" s="13"/>
      <c r="HJ467" s="13"/>
      <c r="HK467" s="13"/>
      <c r="HL467" s="13"/>
      <c r="HM467" s="13"/>
      <c r="HN467" s="13"/>
      <c r="HO467" s="13"/>
      <c r="HP467" s="13"/>
      <c r="HQ467" s="13"/>
      <c r="HR467" s="13"/>
      <c r="HS467" s="13"/>
      <c r="HT467" s="13"/>
      <c r="HV467" s="18"/>
      <c r="HW467" s="18"/>
      <c r="HX467" s="18"/>
      <c r="HY467" s="18"/>
      <c r="HZ467" s="18"/>
      <c r="IA467" s="18"/>
      <c r="IB467" s="18"/>
      <c r="IC467" s="18"/>
      <c r="ID467" s="18"/>
      <c r="IE467" s="18"/>
      <c r="IF467" s="18"/>
      <c r="IG467" s="18"/>
      <c r="IH467" s="18"/>
      <c r="II467" s="18"/>
      <c r="IJ467" s="18"/>
      <c r="IK467" s="18"/>
      <c r="IL467" s="18"/>
      <c r="IM467" s="18"/>
      <c r="IN467" s="18"/>
      <c r="IO467" s="18"/>
    </row>
    <row r="468" spans="1:302" ht="5.0999999999999996" hidden="1" customHeight="1" outlineLevel="1" collapsed="1">
      <c r="A468" s="196"/>
      <c r="B468" s="195"/>
      <c r="C468" s="942"/>
      <c r="D468" s="942"/>
      <c r="E468" s="942"/>
      <c r="F468" s="194"/>
      <c r="G468" s="194"/>
      <c r="H468" s="194"/>
      <c r="I468" s="194"/>
      <c r="J468" s="194"/>
      <c r="K468" s="194"/>
      <c r="L468" s="194"/>
      <c r="M468" s="18"/>
      <c r="N468" s="18"/>
      <c r="O468" s="18"/>
      <c r="P468" s="199">
        <v>2.39</v>
      </c>
      <c r="Q468" s="194"/>
      <c r="T468" s="210"/>
      <c r="U468" s="210"/>
      <c r="V468" s="210"/>
      <c r="X468" s="194"/>
      <c r="Y468" s="194"/>
      <c r="Z468" s="194"/>
      <c r="AA468" s="194"/>
      <c r="AB468" s="943"/>
      <c r="AC468" s="943"/>
      <c r="AD468" s="194"/>
      <c r="AE468" s="194"/>
      <c r="AF468" s="209"/>
      <c r="AG468" s="209"/>
      <c r="AH468" s="209"/>
      <c r="AI468" s="209"/>
      <c r="AJ468" s="209"/>
      <c r="AK468" s="209"/>
      <c r="AL468" s="22"/>
      <c r="AM468" s="22"/>
      <c r="AN468" s="22"/>
      <c r="AO468" s="22"/>
      <c r="AP468" s="22"/>
      <c r="AQ468" s="22"/>
      <c r="AR468" s="15"/>
      <c r="AS468" s="15"/>
      <c r="AT468" s="51"/>
      <c r="AU468" s="15"/>
      <c r="AV468" s="15"/>
      <c r="AW468" s="15"/>
      <c r="AX468" s="15"/>
      <c r="AY468" s="15"/>
      <c r="AZ468" s="15"/>
      <c r="BA468" s="51"/>
      <c r="BB468" s="15"/>
      <c r="BC468" s="15"/>
      <c r="BD468" s="15"/>
      <c r="BE468" s="15"/>
      <c r="BF468" s="15"/>
      <c r="BG468" s="51"/>
      <c r="BH468" s="15"/>
      <c r="BI468" s="15"/>
      <c r="BJ468" s="15"/>
      <c r="BK468" s="51"/>
      <c r="BL468" s="15"/>
      <c r="BM468" s="15"/>
      <c r="BN468" s="15"/>
      <c r="BO468" s="15"/>
      <c r="BP468" s="15"/>
      <c r="BQ468" s="15"/>
      <c r="BR468" s="15"/>
      <c r="BS468" s="15"/>
      <c r="BT468" s="15"/>
      <c r="BU468" s="15"/>
      <c r="BV468" s="15"/>
      <c r="BW468" s="15"/>
      <c r="BX468" s="51"/>
      <c r="BY468" s="15"/>
      <c r="BZ468" s="15"/>
      <c r="CA468" s="15"/>
      <c r="CB468" s="15"/>
      <c r="CC468" s="15"/>
      <c r="CD468" s="15"/>
      <c r="CE468" s="15"/>
      <c r="CF468" s="15"/>
      <c r="CG468" s="18"/>
      <c r="CH468" s="18"/>
      <c r="CI468" s="18"/>
      <c r="CJ468" s="18"/>
      <c r="CK468" s="18"/>
      <c r="CL468" s="18"/>
      <c r="CM468" s="18"/>
      <c r="CN468" s="18"/>
      <c r="CO468" s="18"/>
      <c r="CP468" s="18"/>
      <c r="CQ468" s="18"/>
      <c r="CR468" s="18"/>
      <c r="CT468" s="18"/>
      <c r="CU468" s="18"/>
      <c r="CV468" s="18"/>
      <c r="CW468" s="18"/>
      <c r="CX468" s="18"/>
      <c r="CY468" s="18"/>
      <c r="CZ468" s="18"/>
      <c r="DA468" s="18"/>
      <c r="DB468" s="18"/>
      <c r="DC468" s="18"/>
      <c r="DD468" s="18"/>
      <c r="DE468" s="18"/>
      <c r="DF468" s="18"/>
      <c r="DG468" s="18"/>
      <c r="DH468" s="18"/>
      <c r="DI468" s="18"/>
      <c r="DJ468" s="18"/>
      <c r="DK468" s="18"/>
      <c r="DL468" s="18"/>
      <c r="DM468" s="18"/>
      <c r="DN468" s="18"/>
      <c r="DP468" s="18"/>
      <c r="DQ468" s="18"/>
      <c r="DR468" s="18"/>
      <c r="DS468" s="18"/>
      <c r="DT468" s="18"/>
      <c r="DU468" s="18"/>
      <c r="DV468" s="18"/>
      <c r="DW468" s="18"/>
      <c r="DX468" s="18"/>
      <c r="DY468" s="18"/>
      <c r="DZ468" s="18"/>
      <c r="EA468" s="18"/>
      <c r="EB468" s="18"/>
      <c r="EC468" s="18"/>
      <c r="ED468" s="18"/>
      <c r="EE468" s="18"/>
      <c r="EF468" s="18"/>
      <c r="EG468" s="18"/>
      <c r="EH468" s="18"/>
      <c r="EI468" s="18"/>
      <c r="EJ468" s="18"/>
      <c r="EK468" s="18"/>
      <c r="EL468" s="18"/>
      <c r="EM468" s="18"/>
      <c r="EN468" s="18"/>
      <c r="EO468" s="18"/>
      <c r="EP468" s="18"/>
      <c r="EQ468" s="18"/>
      <c r="ER468" s="18"/>
      <c r="ES468" s="18"/>
      <c r="ET468" s="18"/>
      <c r="EU468" s="18"/>
      <c r="EV468" s="18"/>
      <c r="EW468" s="18"/>
      <c r="EX468" s="18"/>
      <c r="EY468" s="18"/>
      <c r="EZ468" s="18"/>
      <c r="FA468" s="18"/>
      <c r="FB468" s="18"/>
      <c r="FC468" s="18"/>
      <c r="FD468" s="18"/>
      <c r="FE468" s="18"/>
      <c r="FF468" s="18"/>
      <c r="FG468" s="18"/>
      <c r="FH468" s="18"/>
      <c r="FI468" s="18"/>
      <c r="FJ468" s="18"/>
      <c r="FK468" s="18"/>
      <c r="FL468" s="18"/>
      <c r="FM468" s="18"/>
      <c r="FN468" s="18"/>
      <c r="FO468" s="18"/>
      <c r="FP468" s="18"/>
      <c r="FQ468" s="18"/>
      <c r="FR468" s="18"/>
      <c r="FS468" s="18"/>
      <c r="FT468" s="18"/>
      <c r="FU468" s="18"/>
      <c r="FV468" s="18"/>
      <c r="FW468" s="18"/>
      <c r="FX468" s="18"/>
      <c r="FY468" s="18"/>
      <c r="FZ468" s="18"/>
      <c r="GA468" s="18"/>
      <c r="GB468" s="18"/>
      <c r="GC468" s="18"/>
      <c r="GD468" s="18"/>
      <c r="GE468" s="18"/>
      <c r="GF468" s="18"/>
      <c r="GG468" s="18"/>
      <c r="GH468" s="18"/>
      <c r="GI468" s="18"/>
      <c r="GJ468" s="18"/>
      <c r="GK468" s="18"/>
      <c r="GL468" s="18"/>
      <c r="GM468" s="18"/>
      <c r="GN468" s="18"/>
      <c r="GO468" s="18"/>
      <c r="GP468" s="18"/>
      <c r="GQ468" s="18"/>
      <c r="GR468" s="18"/>
      <c r="GS468" s="18"/>
      <c r="GT468" s="18"/>
      <c r="GU468" s="18"/>
      <c r="GV468" s="18"/>
      <c r="GW468" s="18"/>
      <c r="GX468" s="18"/>
      <c r="GY468" s="18"/>
      <c r="GZ468" s="18"/>
      <c r="HA468" s="18"/>
      <c r="HB468" s="18"/>
      <c r="HC468" s="18"/>
      <c r="HD468" s="18"/>
      <c r="HE468" s="18"/>
      <c r="HF468" s="18"/>
      <c r="HG468" s="13"/>
      <c r="HH468" s="13"/>
      <c r="HI468" s="13"/>
      <c r="HJ468" s="13"/>
      <c r="HK468" s="13"/>
      <c r="HL468" s="13"/>
      <c r="HM468" s="13"/>
      <c r="HN468" s="13"/>
      <c r="HO468" s="13"/>
      <c r="HP468" s="13"/>
      <c r="HQ468" s="13"/>
      <c r="HR468" s="13"/>
      <c r="HS468" s="13"/>
      <c r="HT468" s="13"/>
      <c r="HU468" s="51"/>
      <c r="HV468" s="15"/>
      <c r="HW468" s="15"/>
      <c r="HX468" s="15"/>
      <c r="HY468" s="15"/>
      <c r="HZ468" s="15"/>
      <c r="IA468" s="15"/>
      <c r="IB468" s="15"/>
      <c r="IC468" s="15"/>
      <c r="ID468" s="18"/>
      <c r="IE468" s="18"/>
      <c r="IF468" s="18"/>
      <c r="IG468" s="18"/>
      <c r="IH468" s="18"/>
      <c r="II468" s="18"/>
      <c r="IJ468" s="18"/>
      <c r="IK468" s="18"/>
      <c r="IL468" s="18"/>
      <c r="IM468" s="18"/>
      <c r="IN468" s="18"/>
      <c r="IO468" s="18"/>
    </row>
    <row r="469" spans="1:302" ht="11.1" hidden="1" customHeight="1" outlineLevel="1">
      <c r="A469" s="208" t="s">
        <v>38</v>
      </c>
      <c r="B469" s="14"/>
      <c r="C469" s="942"/>
      <c r="D469" s="38" t="s">
        <v>3</v>
      </c>
      <c r="E469" s="942"/>
      <c r="F469" s="204">
        <v>0</v>
      </c>
      <c r="G469" s="187">
        <v>41346</v>
      </c>
      <c r="H469" s="948"/>
      <c r="I469" s="1070">
        <v>2.61</v>
      </c>
      <c r="J469" s="1070"/>
      <c r="K469" s="1070"/>
      <c r="L469" s="207"/>
      <c r="M469" s="18"/>
      <c r="N469" s="18"/>
      <c r="O469" s="18"/>
      <c r="P469" s="206">
        <v>2.4</v>
      </c>
      <c r="Q469" s="194"/>
      <c r="T469" s="193"/>
      <c r="U469" s="193"/>
      <c r="W469" s="193"/>
      <c r="X469" s="948"/>
      <c r="Y469" s="948"/>
      <c r="Z469" s="948"/>
      <c r="AA469" s="948"/>
      <c r="AB469" s="947">
        <f>F469*P469</f>
        <v>0</v>
      </c>
      <c r="AC469" s="947"/>
      <c r="AD469" s="190">
        <f>-((I469*F469)-(P469*F469))</f>
        <v>0</v>
      </c>
      <c r="AE469" s="190"/>
      <c r="AF469" s="205" t="e">
        <f>IF(#REF!-AP469&lt;0,#REF!-AP469,(#REF!-AP469)*0.8)</f>
        <v>#REF!</v>
      </c>
      <c r="AG469" s="14"/>
      <c r="AH469" s="201"/>
      <c r="AI469" s="201"/>
      <c r="AJ469" s="201"/>
      <c r="AK469" s="201"/>
      <c r="AL469" s="200"/>
      <c r="AM469" s="179"/>
      <c r="AN469" s="179"/>
      <c r="AO469" s="38"/>
      <c r="AP469" s="188">
        <f>F469*I469+AN469+AN470</f>
        <v>0</v>
      </c>
      <c r="AQ469" s="15"/>
      <c r="AR469" s="15"/>
      <c r="AS469" s="15"/>
      <c r="AT469" s="51"/>
      <c r="AU469" s="15"/>
      <c r="AV469" s="15"/>
      <c r="AW469" s="15"/>
      <c r="AX469" s="15"/>
      <c r="AY469" s="15"/>
      <c r="AZ469" s="15"/>
      <c r="BA469" s="51"/>
      <c r="BB469" s="15"/>
      <c r="BC469" s="15"/>
      <c r="BD469" s="15"/>
      <c r="BE469" s="15"/>
      <c r="BF469" s="15"/>
      <c r="BG469" s="51"/>
      <c r="BH469" s="15"/>
      <c r="BI469" s="15"/>
      <c r="BJ469" s="15"/>
      <c r="BK469" s="51"/>
      <c r="BL469" s="15"/>
      <c r="BM469" s="15"/>
      <c r="BN469" s="15"/>
      <c r="BO469" s="15"/>
      <c r="BP469" s="15"/>
      <c r="BQ469" s="15"/>
      <c r="BR469" s="15"/>
      <c r="BS469" s="15"/>
      <c r="BT469" s="15"/>
      <c r="BU469" s="15"/>
      <c r="BV469" s="15"/>
      <c r="BW469" s="15"/>
      <c r="BX469" s="139" t="str">
        <f>IF($AB469=0,"",$AB469)</f>
        <v/>
      </c>
      <c r="BY469" s="15"/>
      <c r="BZ469" s="15"/>
      <c r="CA469" s="15"/>
      <c r="CB469" s="15"/>
      <c r="CC469" s="15"/>
      <c r="CD469" s="15"/>
      <c r="CE469" s="15"/>
      <c r="CF469" s="15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  <c r="EZ469" s="18"/>
      <c r="FA469" s="18"/>
      <c r="FB469" s="18"/>
      <c r="FC469" s="18"/>
      <c r="FD469" s="18"/>
      <c r="FE469" s="18"/>
      <c r="FF469" s="18"/>
      <c r="FG469" s="18"/>
      <c r="FH469" s="18"/>
      <c r="FI469" s="18"/>
      <c r="FJ469" s="18"/>
      <c r="FK469" s="18"/>
      <c r="FL469" s="18"/>
      <c r="FM469" s="18"/>
      <c r="FN469" s="18"/>
      <c r="FO469" s="18"/>
      <c r="FP469" s="18"/>
      <c r="FQ469" s="18"/>
      <c r="FR469" s="18"/>
      <c r="FS469" s="18"/>
      <c r="FT469" s="18"/>
      <c r="FU469" s="18"/>
      <c r="FV469" s="18"/>
      <c r="FW469" s="18"/>
      <c r="FX469" s="18"/>
      <c r="FY469" s="18"/>
      <c r="FZ469" s="18"/>
      <c r="GA469" s="18"/>
      <c r="GB469" s="18"/>
      <c r="GC469" s="18"/>
      <c r="GD469" s="18"/>
      <c r="GE469" s="18"/>
      <c r="GF469" s="18"/>
      <c r="GG469" s="18"/>
      <c r="GH469" s="18"/>
      <c r="GI469" s="18"/>
      <c r="GJ469" s="18"/>
      <c r="GK469" s="18"/>
      <c r="GL469" s="18"/>
      <c r="GM469" s="18"/>
      <c r="GN469" s="18"/>
      <c r="GO469" s="18"/>
      <c r="GP469" s="18"/>
      <c r="GQ469" s="18"/>
      <c r="GR469" s="18"/>
      <c r="GS469" s="18"/>
      <c r="GT469" s="18"/>
      <c r="GU469" s="18"/>
      <c r="GV469" s="18"/>
      <c r="GW469" s="18"/>
      <c r="GX469" s="18"/>
      <c r="GY469" s="18"/>
      <c r="GZ469" s="18"/>
      <c r="HA469" s="18"/>
      <c r="HB469" s="18"/>
      <c r="HC469" s="18"/>
      <c r="HD469" s="18"/>
      <c r="HE469" s="18"/>
      <c r="HF469" s="18"/>
      <c r="HG469" s="13"/>
      <c r="HH469" s="13"/>
      <c r="HI469" s="13"/>
      <c r="HJ469" s="13"/>
      <c r="HK469" s="13"/>
      <c r="HL469" s="13"/>
      <c r="HM469" s="13"/>
      <c r="HN469" s="13"/>
      <c r="HO469" s="13"/>
      <c r="HP469" s="13"/>
      <c r="HQ469" s="13"/>
      <c r="HR469" s="13"/>
      <c r="HS469" s="13"/>
      <c r="HT469" s="13"/>
      <c r="HU469" s="139" t="str">
        <f>IF($AB469=0,"",$AB469)</f>
        <v/>
      </c>
      <c r="HV469" s="15"/>
      <c r="HW469" s="15"/>
      <c r="HX469" s="15"/>
      <c r="HY469" s="15"/>
      <c r="HZ469" s="15"/>
      <c r="IA469" s="15"/>
      <c r="IB469" s="15"/>
      <c r="IC469" s="15"/>
      <c r="ID469" s="18"/>
      <c r="IE469" s="18"/>
      <c r="IF469" s="18"/>
      <c r="IG469" s="18"/>
      <c r="IH469" s="18"/>
      <c r="II469" s="18"/>
      <c r="IJ469" s="18"/>
      <c r="IK469" s="18"/>
      <c r="IL469" s="18"/>
      <c r="IM469" s="18"/>
      <c r="IN469" s="18"/>
      <c r="IO469" s="18"/>
    </row>
    <row r="470" spans="1:302" ht="11.1" hidden="1" customHeight="1" outlineLevel="1">
      <c r="A470" s="196"/>
      <c r="B470" s="195"/>
      <c r="C470" s="942"/>
      <c r="D470" s="942"/>
      <c r="E470" s="942"/>
      <c r="F470" s="204"/>
      <c r="G470" s="203"/>
      <c r="H470" s="203"/>
      <c r="I470" s="1071"/>
      <c r="J470" s="1071"/>
      <c r="K470" s="1071"/>
      <c r="L470" s="58"/>
      <c r="M470" s="136" t="s">
        <v>36</v>
      </c>
      <c r="N470" s="136"/>
      <c r="O470" s="136"/>
      <c r="P470" s="199">
        <v>2.4</v>
      </c>
      <c r="Q470" s="194"/>
      <c r="T470" s="202"/>
      <c r="U470" s="202"/>
      <c r="W470" s="202"/>
      <c r="X470" s="948"/>
      <c r="Y470" s="948"/>
      <c r="Z470" s="948"/>
      <c r="AA470" s="948"/>
      <c r="AB470" s="947"/>
      <c r="AC470" s="947"/>
      <c r="AD470" s="825">
        <f>((P469-I469)/I469)</f>
        <v>-8.0459770114942514E-2</v>
      </c>
      <c r="AE470" s="183"/>
      <c r="AF470" s="824"/>
      <c r="AG470" s="14"/>
      <c r="AH470" s="201"/>
      <c r="AI470" s="201"/>
      <c r="AJ470" s="201"/>
      <c r="AK470" s="201"/>
      <c r="AL470" s="200"/>
      <c r="AM470" s="200"/>
      <c r="AN470" s="179"/>
      <c r="AO470" s="38"/>
      <c r="AP470" s="38"/>
      <c r="AQ470" s="15"/>
      <c r="AR470" s="15"/>
      <c r="AS470" s="15"/>
      <c r="AT470" s="51"/>
      <c r="AU470" s="15"/>
      <c r="AV470" s="15"/>
      <c r="AW470" s="15"/>
      <c r="AX470" s="15"/>
      <c r="AY470" s="15"/>
      <c r="AZ470" s="15"/>
      <c r="BA470" s="51"/>
      <c r="BB470" s="15"/>
      <c r="BC470" s="15"/>
      <c r="BD470" s="15"/>
      <c r="BE470" s="15"/>
      <c r="BF470" s="15"/>
      <c r="BG470" s="51"/>
      <c r="BH470" s="15"/>
      <c r="BI470" s="15"/>
      <c r="BJ470" s="15"/>
      <c r="BK470" s="51"/>
      <c r="BL470" s="15"/>
      <c r="BM470" s="15"/>
      <c r="BN470" s="15"/>
      <c r="BO470" s="15"/>
      <c r="BP470" s="15"/>
      <c r="BQ470" s="15"/>
      <c r="BR470" s="15"/>
      <c r="BS470" s="15"/>
      <c r="BT470" s="15"/>
      <c r="BU470" s="15"/>
      <c r="BV470" s="15"/>
      <c r="BW470" s="15"/>
      <c r="BX470" s="51"/>
      <c r="BY470" s="15"/>
      <c r="BZ470" s="15"/>
      <c r="CA470" s="15"/>
      <c r="CB470" s="15"/>
      <c r="CC470" s="15"/>
      <c r="CD470" s="15"/>
      <c r="CE470" s="15"/>
      <c r="CF470" s="15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  <c r="EZ470" s="18"/>
      <c r="FA470" s="18"/>
      <c r="FB470" s="18"/>
      <c r="FC470" s="18"/>
      <c r="FD470" s="18"/>
      <c r="FE470" s="18"/>
      <c r="FF470" s="18"/>
      <c r="FG470" s="18"/>
      <c r="FH470" s="18"/>
      <c r="FI470" s="18"/>
      <c r="FJ470" s="18"/>
      <c r="FK470" s="18"/>
      <c r="FL470" s="18"/>
      <c r="FM470" s="18"/>
      <c r="FN470" s="18"/>
      <c r="FO470" s="18"/>
      <c r="FP470" s="18"/>
      <c r="FQ470" s="18"/>
      <c r="FR470" s="18"/>
      <c r="FS470" s="18"/>
      <c r="FT470" s="18"/>
      <c r="FU470" s="18"/>
      <c r="FV470" s="18"/>
      <c r="FW470" s="18"/>
      <c r="FX470" s="18"/>
      <c r="FY470" s="18"/>
      <c r="FZ470" s="18"/>
      <c r="GA470" s="18"/>
      <c r="GB470" s="18"/>
      <c r="GC470" s="18"/>
      <c r="GD470" s="18"/>
      <c r="GE470" s="18"/>
      <c r="GF470" s="18"/>
      <c r="GG470" s="18"/>
      <c r="GH470" s="18"/>
      <c r="GI470" s="18"/>
      <c r="GJ470" s="18"/>
      <c r="GK470" s="18"/>
      <c r="GL470" s="18"/>
      <c r="GM470" s="18"/>
      <c r="GN470" s="18"/>
      <c r="GO470" s="18"/>
      <c r="GP470" s="18"/>
      <c r="GQ470" s="18"/>
      <c r="GR470" s="18"/>
      <c r="GS470" s="18"/>
      <c r="GT470" s="18"/>
      <c r="GU470" s="18"/>
      <c r="GV470" s="18"/>
      <c r="GW470" s="18"/>
      <c r="GX470" s="18"/>
      <c r="GY470" s="18"/>
      <c r="GZ470" s="18"/>
      <c r="HA470" s="18"/>
      <c r="HB470" s="18"/>
      <c r="HC470" s="18"/>
      <c r="HD470" s="18"/>
      <c r="HE470" s="18"/>
      <c r="HF470" s="18"/>
      <c r="HG470" s="13"/>
      <c r="HH470" s="13"/>
      <c r="HI470" s="13"/>
      <c r="HJ470" s="13"/>
      <c r="HK470" s="13"/>
      <c r="HL470" s="13"/>
      <c r="HM470" s="13"/>
      <c r="HN470" s="13"/>
      <c r="HO470" s="13"/>
      <c r="HP470" s="13"/>
      <c r="HQ470" s="13"/>
      <c r="HR470" s="13"/>
      <c r="HS470" s="13"/>
      <c r="HT470" s="13"/>
      <c r="HU470" s="51"/>
      <c r="HV470" s="15"/>
      <c r="HW470" s="15"/>
      <c r="HX470" s="15"/>
      <c r="HY470" s="15"/>
      <c r="HZ470" s="15"/>
      <c r="IA470" s="15"/>
      <c r="IB470" s="15"/>
      <c r="IC470" s="15"/>
      <c r="ID470" s="18"/>
      <c r="IE470" s="18"/>
      <c r="IF470" s="18"/>
      <c r="IG470" s="18"/>
      <c r="IH470" s="18"/>
      <c r="II470" s="18"/>
      <c r="IJ470" s="18"/>
      <c r="IK470" s="18"/>
      <c r="IL470" s="18"/>
      <c r="IM470" s="18"/>
      <c r="IN470" s="18"/>
      <c r="IO470" s="18"/>
    </row>
    <row r="471" spans="1:302" ht="11.1" hidden="1" customHeight="1" outlineLevel="1" collapsed="1">
      <c r="A471" s="196"/>
      <c r="B471" s="195"/>
      <c r="C471" s="942"/>
      <c r="D471" s="942"/>
      <c r="E471" s="942"/>
      <c r="F471" s="948"/>
      <c r="G471" s="948"/>
      <c r="H471" s="948"/>
      <c r="I471" s="948"/>
      <c r="J471" s="948"/>
      <c r="K471" s="185"/>
      <c r="L471" s="58"/>
      <c r="M471" s="136" t="s">
        <v>37</v>
      </c>
      <c r="N471" s="136"/>
      <c r="O471" s="136"/>
      <c r="P471" s="199">
        <v>4.2</v>
      </c>
      <c r="Q471" s="194"/>
      <c r="T471" s="193"/>
      <c r="U471" s="193"/>
      <c r="W471" s="193"/>
      <c r="X471" s="948"/>
      <c r="Y471" s="948"/>
      <c r="Z471" s="948"/>
      <c r="AA471" s="948"/>
      <c r="AB471" s="947"/>
      <c r="AC471" s="947"/>
      <c r="AD471" s="173"/>
      <c r="AE471" s="173"/>
      <c r="AF471" s="824"/>
      <c r="AG471" s="824"/>
      <c r="AH471" s="824"/>
      <c r="AI471" s="824"/>
      <c r="AJ471" s="824"/>
      <c r="AK471" s="824"/>
      <c r="AL471" s="22"/>
      <c r="AM471" s="22"/>
      <c r="AN471" s="22"/>
      <c r="AO471" s="22"/>
      <c r="AP471" s="22"/>
      <c r="AQ471" s="22"/>
      <c r="AR471" s="15"/>
      <c r="AS471" s="15"/>
      <c r="AT471" s="51"/>
      <c r="AU471" s="15"/>
      <c r="AV471" s="15"/>
      <c r="AW471" s="15"/>
      <c r="AX471" s="15"/>
      <c r="AY471" s="15"/>
      <c r="AZ471" s="15"/>
      <c r="BA471" s="51"/>
      <c r="BB471" s="15"/>
      <c r="BC471" s="15"/>
      <c r="BD471" s="15"/>
      <c r="BE471" s="15"/>
      <c r="BF471" s="15"/>
      <c r="BG471" s="51"/>
      <c r="BH471" s="15"/>
      <c r="BI471" s="15"/>
      <c r="BJ471" s="15"/>
      <c r="BK471" s="51"/>
      <c r="BL471" s="15"/>
      <c r="BM471" s="15"/>
      <c r="BN471" s="15"/>
      <c r="BO471" s="15"/>
      <c r="BP471" s="15"/>
      <c r="BQ471" s="15"/>
      <c r="BR471" s="15"/>
      <c r="BS471" s="15"/>
      <c r="BT471" s="15"/>
      <c r="BU471" s="15"/>
      <c r="BV471" s="15"/>
      <c r="BW471" s="15"/>
      <c r="BX471" s="51"/>
      <c r="BY471" s="15"/>
      <c r="BZ471" s="15"/>
      <c r="CA471" s="15"/>
      <c r="CB471" s="15"/>
      <c r="CC471" s="15"/>
      <c r="CD471" s="15"/>
      <c r="CE471" s="15"/>
      <c r="CF471" s="15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  <c r="EZ471" s="18"/>
      <c r="FA471" s="18"/>
      <c r="FB471" s="18"/>
      <c r="FC471" s="18"/>
      <c r="FD471" s="18"/>
      <c r="FE471" s="18"/>
      <c r="FF471" s="18"/>
      <c r="FG471" s="18"/>
      <c r="FH471" s="18"/>
      <c r="FI471" s="18"/>
      <c r="FJ471" s="18"/>
      <c r="FK471" s="18"/>
      <c r="FL471" s="18"/>
      <c r="FM471" s="18"/>
      <c r="FN471" s="18"/>
      <c r="FO471" s="18"/>
      <c r="FP471" s="18"/>
      <c r="FQ471" s="18"/>
      <c r="FR471" s="18"/>
      <c r="FS471" s="18"/>
      <c r="FT471" s="18"/>
      <c r="FU471" s="18"/>
      <c r="FV471" s="18"/>
      <c r="FW471" s="18"/>
      <c r="FX471" s="18"/>
      <c r="FY471" s="18"/>
      <c r="FZ471" s="18"/>
      <c r="GA471" s="18"/>
      <c r="GB471" s="18"/>
      <c r="GC471" s="18"/>
      <c r="GD471" s="18"/>
      <c r="GE471" s="18"/>
      <c r="GF471" s="18"/>
      <c r="GG471" s="18"/>
      <c r="GH471" s="18"/>
      <c r="GI471" s="18"/>
      <c r="GJ471" s="18"/>
      <c r="GK471" s="18"/>
      <c r="GL471" s="18"/>
      <c r="GM471" s="18"/>
      <c r="GN471" s="18"/>
      <c r="GO471" s="18"/>
      <c r="GP471" s="18"/>
      <c r="GQ471" s="18"/>
      <c r="GR471" s="18"/>
      <c r="GS471" s="18"/>
      <c r="GT471" s="18"/>
      <c r="GU471" s="18"/>
      <c r="GV471" s="18"/>
      <c r="GW471" s="18"/>
      <c r="GX471" s="18"/>
      <c r="GY471" s="18"/>
      <c r="GZ471" s="18"/>
      <c r="HA471" s="18"/>
      <c r="HB471" s="18"/>
      <c r="HC471" s="18"/>
      <c r="HD471" s="18"/>
      <c r="HE471" s="18"/>
      <c r="HF471" s="18"/>
      <c r="HG471" s="13"/>
      <c r="HH471" s="13"/>
      <c r="HI471" s="13"/>
      <c r="HJ471" s="13"/>
      <c r="HK471" s="13"/>
      <c r="HL471" s="13"/>
      <c r="HM471" s="13"/>
      <c r="HN471" s="13"/>
      <c r="HO471" s="13"/>
      <c r="HP471" s="13"/>
      <c r="HQ471" s="13"/>
      <c r="HR471" s="13"/>
      <c r="HS471" s="13"/>
      <c r="HT471" s="13"/>
      <c r="HU471" s="51"/>
      <c r="HV471" s="15"/>
      <c r="HW471" s="15"/>
      <c r="HX471" s="15"/>
      <c r="HY471" s="15"/>
      <c r="HZ471" s="15"/>
      <c r="IA471" s="15"/>
      <c r="IB471" s="15"/>
      <c r="IC471" s="15"/>
      <c r="ID471" s="18"/>
      <c r="IE471" s="18"/>
      <c r="IF471" s="18"/>
      <c r="IG471" s="18"/>
      <c r="IH471" s="18"/>
      <c r="II471" s="18"/>
      <c r="IJ471" s="18"/>
      <c r="IK471" s="18"/>
      <c r="IL471" s="18"/>
      <c r="IM471" s="18"/>
      <c r="IN471" s="18"/>
      <c r="IO471" s="18"/>
    </row>
    <row r="472" spans="1:302" ht="11.1" hidden="1" customHeight="1" outlineLevel="1">
      <c r="A472" s="196"/>
      <c r="B472" s="195"/>
      <c r="C472" s="942"/>
      <c r="D472" s="942"/>
      <c r="E472" s="942"/>
      <c r="F472" s="948"/>
      <c r="G472" s="948"/>
      <c r="H472" s="948"/>
      <c r="I472" s="948"/>
      <c r="J472" s="948"/>
      <c r="K472" s="185"/>
      <c r="L472" s="58"/>
      <c r="M472" s="136" t="s">
        <v>36</v>
      </c>
      <c r="N472" s="136"/>
      <c r="O472" s="136"/>
      <c r="P472" s="199">
        <v>4.1900000000000004</v>
      </c>
      <c r="Q472" s="194"/>
      <c r="T472" s="193"/>
      <c r="U472" s="193"/>
      <c r="W472" s="193"/>
      <c r="X472" s="948"/>
      <c r="Y472" s="948"/>
      <c r="Z472" s="948"/>
      <c r="AA472" s="948"/>
      <c r="AB472" s="947"/>
      <c r="AC472" s="947"/>
      <c r="AD472" s="173"/>
      <c r="AE472" s="173"/>
      <c r="AF472" s="824"/>
      <c r="AG472" s="824"/>
      <c r="AH472" s="824"/>
      <c r="AI472" s="824"/>
      <c r="AJ472" s="824"/>
      <c r="AK472" s="824"/>
      <c r="AL472" s="22"/>
      <c r="AM472" s="22"/>
      <c r="AN472" s="22"/>
      <c r="AO472" s="22"/>
      <c r="AP472" s="22"/>
      <c r="AQ472" s="22"/>
      <c r="AR472" s="15"/>
      <c r="AS472" s="15"/>
      <c r="AT472" s="51"/>
      <c r="AU472" s="15"/>
      <c r="AV472" s="15"/>
      <c r="AW472" s="15"/>
      <c r="AX472" s="15"/>
      <c r="AY472" s="15"/>
      <c r="AZ472" s="15"/>
      <c r="BA472" s="51"/>
      <c r="BB472" s="15"/>
      <c r="BC472" s="15"/>
      <c r="BD472" s="15"/>
      <c r="BE472" s="15"/>
      <c r="BF472" s="15"/>
      <c r="BG472" s="51"/>
      <c r="BH472" s="15"/>
      <c r="BI472" s="15"/>
      <c r="BJ472" s="15"/>
      <c r="BK472" s="51"/>
      <c r="BL472" s="15"/>
      <c r="BM472" s="15"/>
      <c r="BN472" s="15"/>
      <c r="BO472" s="15"/>
      <c r="BP472" s="15"/>
      <c r="BQ472" s="15"/>
      <c r="BR472" s="15"/>
      <c r="BS472" s="15"/>
      <c r="BT472" s="15"/>
      <c r="BU472" s="15"/>
      <c r="BV472" s="15"/>
      <c r="BW472" s="15"/>
      <c r="BX472" s="51"/>
      <c r="BY472" s="15"/>
      <c r="BZ472" s="15"/>
      <c r="CA472" s="15"/>
      <c r="CB472" s="15"/>
      <c r="CC472" s="15"/>
      <c r="CD472" s="15"/>
      <c r="CE472" s="15"/>
      <c r="CF472" s="15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  <c r="EZ472" s="18"/>
      <c r="FA472" s="18"/>
      <c r="FB472" s="18"/>
      <c r="FC472" s="18"/>
      <c r="FD472" s="18"/>
      <c r="FE472" s="18"/>
      <c r="FF472" s="18"/>
      <c r="FG472" s="18"/>
      <c r="FH472" s="18"/>
      <c r="FI472" s="18"/>
      <c r="FJ472" s="18"/>
      <c r="FK472" s="18"/>
      <c r="FL472" s="18"/>
      <c r="FM472" s="18"/>
      <c r="FN472" s="18"/>
      <c r="FO472" s="18"/>
      <c r="FP472" s="18"/>
      <c r="FQ472" s="18"/>
      <c r="FR472" s="18"/>
      <c r="FS472" s="18"/>
      <c r="FT472" s="18"/>
      <c r="FU472" s="18"/>
      <c r="FV472" s="18"/>
      <c r="FW472" s="18"/>
      <c r="FX472" s="18"/>
      <c r="FY472" s="18"/>
      <c r="FZ472" s="18"/>
      <c r="GA472" s="18"/>
      <c r="GB472" s="18"/>
      <c r="GC472" s="18"/>
      <c r="GD472" s="18"/>
      <c r="GE472" s="18"/>
      <c r="GF472" s="18"/>
      <c r="GG472" s="18"/>
      <c r="GH472" s="18"/>
      <c r="GI472" s="18"/>
      <c r="GJ472" s="18"/>
      <c r="GK472" s="18"/>
      <c r="GL472" s="18"/>
      <c r="GM472" s="18"/>
      <c r="GN472" s="18"/>
      <c r="GO472" s="18"/>
      <c r="GP472" s="18"/>
      <c r="GQ472" s="18"/>
      <c r="GR472" s="18"/>
      <c r="GS472" s="18"/>
      <c r="GT472" s="18"/>
      <c r="GU472" s="18"/>
      <c r="GV472" s="18"/>
      <c r="GW472" s="18"/>
      <c r="GX472" s="18"/>
      <c r="GY472" s="18"/>
      <c r="GZ472" s="18"/>
      <c r="HA472" s="18"/>
      <c r="HB472" s="18"/>
      <c r="HC472" s="18"/>
      <c r="HD472" s="18"/>
      <c r="HE472" s="18"/>
      <c r="HF472" s="18"/>
      <c r="HG472" s="13"/>
      <c r="HH472" s="13"/>
      <c r="HI472" s="13"/>
      <c r="HJ472" s="13"/>
      <c r="HK472" s="13"/>
      <c r="HL472" s="13"/>
      <c r="HM472" s="13"/>
      <c r="HN472" s="13"/>
      <c r="HO472" s="13"/>
      <c r="HP472" s="13"/>
      <c r="HQ472" s="13"/>
      <c r="HR472" s="13"/>
      <c r="HS472" s="13"/>
      <c r="HT472" s="13"/>
      <c r="HU472" s="51"/>
      <c r="HV472" s="15"/>
      <c r="HW472" s="15"/>
      <c r="HX472" s="15"/>
      <c r="HY472" s="15"/>
      <c r="HZ472" s="15"/>
      <c r="IA472" s="15"/>
      <c r="IB472" s="15"/>
      <c r="IC472" s="15"/>
      <c r="ID472" s="18"/>
      <c r="IE472" s="18"/>
      <c r="IF472" s="18"/>
      <c r="IG472" s="18"/>
      <c r="IH472" s="18"/>
      <c r="II472" s="18"/>
      <c r="IJ472" s="18"/>
      <c r="IK472" s="18"/>
      <c r="IL472" s="18"/>
      <c r="IM472" s="18"/>
      <c r="IN472" s="18"/>
      <c r="IO472" s="18"/>
    </row>
    <row r="473" spans="1:302" ht="11.1" hidden="1" customHeight="1" outlineLevel="1">
      <c r="A473" s="196"/>
      <c r="B473" s="195"/>
      <c r="C473" s="942"/>
      <c r="D473" s="942"/>
      <c r="E473" s="942"/>
      <c r="F473" s="948"/>
      <c r="G473" s="948"/>
      <c r="H473" s="948"/>
      <c r="I473" s="948"/>
      <c r="J473" s="948"/>
      <c r="K473" s="185"/>
      <c r="L473" s="58"/>
      <c r="M473" s="136" t="s">
        <v>35</v>
      </c>
      <c r="N473" s="136"/>
      <c r="O473" s="136"/>
      <c r="P473" s="198">
        <v>4.17</v>
      </c>
      <c r="Q473" s="194"/>
      <c r="T473" s="193"/>
      <c r="U473" s="193"/>
      <c r="W473" s="193"/>
      <c r="X473" s="948"/>
      <c r="Y473" s="948"/>
      <c r="Z473" s="948"/>
      <c r="AA473" s="948"/>
      <c r="AB473" s="947"/>
      <c r="AC473" s="947"/>
      <c r="AD473" s="173"/>
      <c r="AE473" s="173"/>
      <c r="AF473" s="824"/>
      <c r="AG473" s="824"/>
      <c r="AH473" s="824"/>
      <c r="AI473" s="824"/>
      <c r="AJ473" s="824"/>
      <c r="AK473" s="824"/>
      <c r="AL473" s="22"/>
      <c r="AM473" s="22"/>
      <c r="AN473" s="22"/>
      <c r="AO473" s="22"/>
      <c r="AP473" s="22"/>
      <c r="AQ473" s="22"/>
      <c r="AR473" s="15"/>
      <c r="AS473" s="15"/>
      <c r="AT473" s="51"/>
      <c r="AU473" s="15"/>
      <c r="AV473" s="15"/>
      <c r="AW473" s="15"/>
      <c r="AX473" s="15"/>
      <c r="AY473" s="15"/>
      <c r="AZ473" s="15"/>
      <c r="BA473" s="51"/>
      <c r="BB473" s="15"/>
      <c r="BC473" s="15"/>
      <c r="BD473" s="15"/>
      <c r="BE473" s="15"/>
      <c r="BF473" s="15"/>
      <c r="BG473" s="51"/>
      <c r="BH473" s="15"/>
      <c r="BI473" s="15"/>
      <c r="BJ473" s="15"/>
      <c r="BK473" s="51"/>
      <c r="BL473" s="15"/>
      <c r="BM473" s="15"/>
      <c r="BN473" s="15"/>
      <c r="BO473" s="15"/>
      <c r="BP473" s="15"/>
      <c r="BQ473" s="15"/>
      <c r="BR473" s="15"/>
      <c r="BS473" s="15"/>
      <c r="BT473" s="15"/>
      <c r="BU473" s="15"/>
      <c r="BV473" s="15"/>
      <c r="BW473" s="15"/>
      <c r="BX473" s="51"/>
      <c r="BY473" s="15"/>
      <c r="BZ473" s="15"/>
      <c r="CA473" s="15"/>
      <c r="CB473" s="15"/>
      <c r="CC473" s="15"/>
      <c r="CD473" s="15"/>
      <c r="CE473" s="15"/>
      <c r="CF473" s="15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  <c r="FC473" s="18"/>
      <c r="FD473" s="18"/>
      <c r="FE473" s="18"/>
      <c r="FF473" s="18"/>
      <c r="FG473" s="18"/>
      <c r="FH473" s="18"/>
      <c r="FI473" s="18"/>
      <c r="FJ473" s="18"/>
      <c r="FK473" s="18"/>
      <c r="FL473" s="18"/>
      <c r="FM473" s="18"/>
      <c r="FN473" s="18"/>
      <c r="FO473" s="18"/>
      <c r="FP473" s="18"/>
      <c r="FQ473" s="18"/>
      <c r="FR473" s="18"/>
      <c r="FS473" s="18"/>
      <c r="FT473" s="18"/>
      <c r="FU473" s="18"/>
      <c r="FV473" s="18"/>
      <c r="FW473" s="18"/>
      <c r="FX473" s="18"/>
      <c r="FY473" s="18"/>
      <c r="FZ473" s="18"/>
      <c r="GA473" s="18"/>
      <c r="GB473" s="18"/>
      <c r="GC473" s="18"/>
      <c r="GD473" s="18"/>
      <c r="GE473" s="18"/>
      <c r="GF473" s="18"/>
      <c r="GG473" s="18"/>
      <c r="GH473" s="18"/>
      <c r="GI473" s="18"/>
      <c r="GJ473" s="18"/>
      <c r="GK473" s="18"/>
      <c r="GL473" s="18"/>
      <c r="GM473" s="18"/>
      <c r="GN473" s="18"/>
      <c r="GO473" s="18"/>
      <c r="GP473" s="18"/>
      <c r="GQ473" s="18"/>
      <c r="GR473" s="18"/>
      <c r="GS473" s="18"/>
      <c r="GT473" s="18"/>
      <c r="GU473" s="18"/>
      <c r="GV473" s="18"/>
      <c r="GW473" s="18"/>
      <c r="GX473" s="18"/>
      <c r="GY473" s="18"/>
      <c r="GZ473" s="18"/>
      <c r="HA473" s="18"/>
      <c r="HB473" s="18"/>
      <c r="HC473" s="18"/>
      <c r="HD473" s="18"/>
      <c r="HE473" s="18"/>
      <c r="HF473" s="18"/>
      <c r="HG473" s="13"/>
      <c r="HH473" s="13"/>
      <c r="HI473" s="13"/>
      <c r="HJ473" s="13"/>
      <c r="HK473" s="13"/>
      <c r="HL473" s="13"/>
      <c r="HM473" s="13"/>
      <c r="HN473" s="13"/>
      <c r="HO473" s="13"/>
      <c r="HP473" s="13"/>
      <c r="HQ473" s="13"/>
      <c r="HR473" s="13"/>
      <c r="HS473" s="13"/>
      <c r="HT473" s="13"/>
      <c r="HU473" s="51"/>
      <c r="HV473" s="15"/>
      <c r="HW473" s="15"/>
      <c r="HX473" s="15"/>
      <c r="HY473" s="15"/>
      <c r="HZ473" s="15"/>
      <c r="IA473" s="15"/>
      <c r="IB473" s="15"/>
      <c r="IC473" s="15"/>
      <c r="ID473" s="18"/>
      <c r="IE473" s="18"/>
      <c r="IF473" s="18"/>
      <c r="IG473" s="18"/>
      <c r="IH473" s="18"/>
      <c r="II473" s="18"/>
      <c r="IJ473" s="18"/>
      <c r="IK473" s="18"/>
      <c r="IL473" s="18"/>
      <c r="IM473" s="18"/>
      <c r="IN473" s="18"/>
      <c r="IO473" s="18"/>
    </row>
    <row r="474" spans="1:302" ht="11.1" hidden="1" customHeight="1" outlineLevel="1">
      <c r="A474" s="196"/>
      <c r="B474" s="195"/>
      <c r="C474" s="942"/>
      <c r="D474" s="942"/>
      <c r="E474" s="942"/>
      <c r="F474" s="948"/>
      <c r="G474" s="948"/>
      <c r="H474" s="948"/>
      <c r="I474" s="948"/>
      <c r="J474" s="948"/>
      <c r="K474" s="185"/>
      <c r="L474" s="58"/>
      <c r="M474" s="136" t="s">
        <v>34</v>
      </c>
      <c r="N474" s="136"/>
      <c r="O474" s="136"/>
      <c r="P474" s="197">
        <v>4.17</v>
      </c>
      <c r="Q474" s="194"/>
      <c r="T474" s="193"/>
      <c r="U474" s="193"/>
      <c r="W474" s="193"/>
      <c r="X474" s="948"/>
      <c r="Y474" s="948"/>
      <c r="Z474" s="948"/>
      <c r="AA474" s="948"/>
      <c r="AB474" s="947"/>
      <c r="AC474" s="947"/>
      <c r="AD474" s="173"/>
      <c r="AE474" s="173"/>
      <c r="AF474" s="824"/>
      <c r="AG474" s="824"/>
      <c r="AH474" s="824"/>
      <c r="AI474" s="824"/>
      <c r="AJ474" s="824"/>
      <c r="AK474" s="824"/>
      <c r="AL474" s="22"/>
      <c r="AM474" s="22"/>
      <c r="AN474" s="22"/>
      <c r="AO474" s="22"/>
      <c r="AP474" s="22"/>
      <c r="AQ474" s="22"/>
      <c r="AR474" s="15"/>
      <c r="AS474" s="15"/>
      <c r="AT474" s="51"/>
      <c r="AU474" s="15"/>
      <c r="AV474" s="15"/>
      <c r="AW474" s="15"/>
      <c r="AX474" s="15"/>
      <c r="AY474" s="15"/>
      <c r="AZ474" s="15"/>
      <c r="BA474" s="51"/>
      <c r="BB474" s="15"/>
      <c r="BC474" s="15"/>
      <c r="BD474" s="15"/>
      <c r="BE474" s="15"/>
      <c r="BF474" s="15"/>
      <c r="BG474" s="51"/>
      <c r="BH474" s="15"/>
      <c r="BI474" s="15"/>
      <c r="BJ474" s="15"/>
      <c r="BK474" s="51"/>
      <c r="BL474" s="15"/>
      <c r="BM474" s="15"/>
      <c r="BN474" s="15"/>
      <c r="BO474" s="15"/>
      <c r="BP474" s="15"/>
      <c r="BQ474" s="15"/>
      <c r="BR474" s="15"/>
      <c r="BS474" s="15"/>
      <c r="BT474" s="15"/>
      <c r="BU474" s="15"/>
      <c r="BV474" s="15"/>
      <c r="BW474" s="15"/>
      <c r="BX474" s="51"/>
      <c r="BY474" s="15"/>
      <c r="BZ474" s="15"/>
      <c r="CA474" s="15"/>
      <c r="CB474" s="15"/>
      <c r="CC474" s="15"/>
      <c r="CD474" s="15"/>
      <c r="CE474" s="15"/>
      <c r="CF474" s="15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  <c r="FR474" s="18"/>
      <c r="FS474" s="18"/>
      <c r="FT474" s="18"/>
      <c r="FU474" s="18"/>
      <c r="FV474" s="18"/>
      <c r="FW474" s="18"/>
      <c r="FX474" s="18"/>
      <c r="FY474" s="18"/>
      <c r="FZ474" s="18"/>
      <c r="GA474" s="18"/>
      <c r="GB474" s="18"/>
      <c r="GC474" s="18"/>
      <c r="GD474" s="18"/>
      <c r="GE474" s="18"/>
      <c r="GF474" s="18"/>
      <c r="GG474" s="18"/>
      <c r="GH474" s="18"/>
      <c r="GI474" s="18"/>
      <c r="GJ474" s="18"/>
      <c r="GK474" s="18"/>
      <c r="GL474" s="18"/>
      <c r="GM474" s="18"/>
      <c r="GN474" s="18"/>
      <c r="GO474" s="18"/>
      <c r="GP474" s="18"/>
      <c r="GQ474" s="18"/>
      <c r="GR474" s="18"/>
      <c r="GS474" s="18"/>
      <c r="GT474" s="18"/>
      <c r="GU474" s="18"/>
      <c r="GV474" s="18"/>
      <c r="GW474" s="18"/>
      <c r="GX474" s="18"/>
      <c r="GY474" s="18"/>
      <c r="GZ474" s="18"/>
      <c r="HA474" s="18"/>
      <c r="HB474" s="18"/>
      <c r="HC474" s="18"/>
      <c r="HD474" s="18"/>
      <c r="HE474" s="18"/>
      <c r="HF474" s="18"/>
      <c r="HG474" s="13"/>
      <c r="HH474" s="13"/>
      <c r="HI474" s="13"/>
      <c r="HJ474" s="13"/>
      <c r="HK474" s="13"/>
      <c r="HL474" s="13"/>
      <c r="HM474" s="13"/>
      <c r="HN474" s="13"/>
      <c r="HO474" s="13"/>
      <c r="HP474" s="13"/>
      <c r="HQ474" s="13"/>
      <c r="HR474" s="13"/>
      <c r="HS474" s="13"/>
      <c r="HT474" s="13"/>
      <c r="HU474" s="51"/>
      <c r="HV474" s="15"/>
      <c r="HW474" s="15"/>
      <c r="HX474" s="15"/>
      <c r="HY474" s="15"/>
      <c r="HZ474" s="15"/>
      <c r="IA474" s="15"/>
      <c r="IB474" s="15"/>
      <c r="IC474" s="15"/>
      <c r="ID474" s="18"/>
      <c r="IE474" s="18"/>
      <c r="IF474" s="18"/>
      <c r="IG474" s="18"/>
      <c r="IH474" s="18"/>
      <c r="II474" s="18"/>
      <c r="IJ474" s="18"/>
      <c r="IK474" s="18"/>
      <c r="IL474" s="18"/>
      <c r="IM474" s="18"/>
      <c r="IN474" s="18"/>
      <c r="IO474" s="18"/>
    </row>
    <row r="475" spans="1:302" ht="11.1" hidden="1" customHeight="1" outlineLevel="1">
      <c r="A475" s="196"/>
      <c r="B475" s="195"/>
      <c r="C475" s="942"/>
      <c r="D475" s="942"/>
      <c r="E475" s="942"/>
      <c r="F475" s="948"/>
      <c r="G475" s="948"/>
      <c r="H475" s="948"/>
      <c r="I475" s="948"/>
      <c r="J475" s="948"/>
      <c r="K475" s="185"/>
      <c r="L475" s="58"/>
      <c r="M475" s="136" t="s">
        <v>33</v>
      </c>
      <c r="N475" s="136"/>
      <c r="O475" s="136"/>
      <c r="P475" s="18" t="s">
        <v>30</v>
      </c>
      <c r="Q475" s="194"/>
      <c r="T475" s="193"/>
      <c r="U475" s="193"/>
      <c r="W475" s="193"/>
      <c r="X475" s="948"/>
      <c r="Y475" s="948"/>
      <c r="Z475" s="948"/>
      <c r="AA475" s="948"/>
      <c r="AB475" s="947"/>
      <c r="AC475" s="947"/>
      <c r="AD475" s="173"/>
      <c r="AE475" s="173"/>
      <c r="AF475" s="824"/>
      <c r="AG475" s="824"/>
      <c r="AH475" s="824"/>
      <c r="AI475" s="824"/>
      <c r="AJ475" s="824"/>
      <c r="AK475" s="824"/>
      <c r="AL475" s="22"/>
      <c r="AM475" s="22"/>
      <c r="AN475" s="22"/>
      <c r="AO475" s="22"/>
      <c r="AP475" s="22"/>
      <c r="AQ475" s="22"/>
      <c r="AR475" s="15"/>
      <c r="AS475" s="15"/>
      <c r="AT475" s="51"/>
      <c r="AU475" s="15"/>
      <c r="AV475" s="15"/>
      <c r="AW475" s="15"/>
      <c r="AX475" s="15"/>
      <c r="AY475" s="15"/>
      <c r="AZ475" s="15"/>
      <c r="BA475" s="51"/>
      <c r="BB475" s="15"/>
      <c r="BC475" s="15"/>
      <c r="BD475" s="15"/>
      <c r="BE475" s="15"/>
      <c r="BF475" s="15"/>
      <c r="BG475" s="51"/>
      <c r="BH475" s="15"/>
      <c r="BI475" s="15"/>
      <c r="BJ475" s="15"/>
      <c r="BK475" s="51"/>
      <c r="BL475" s="15"/>
      <c r="BM475" s="15"/>
      <c r="BN475" s="15"/>
      <c r="BO475" s="15"/>
      <c r="BP475" s="15"/>
      <c r="BQ475" s="15"/>
      <c r="BR475" s="15"/>
      <c r="BS475" s="15"/>
      <c r="BT475" s="15"/>
      <c r="BU475" s="15"/>
      <c r="BV475" s="15"/>
      <c r="BW475" s="15"/>
      <c r="BX475" s="51"/>
      <c r="BY475" s="15"/>
      <c r="BZ475" s="15"/>
      <c r="CA475" s="15"/>
      <c r="CB475" s="15"/>
      <c r="CC475" s="15"/>
      <c r="CD475" s="15"/>
      <c r="CE475" s="15"/>
      <c r="CF475" s="15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  <c r="FC475" s="18"/>
      <c r="FD475" s="18"/>
      <c r="FE475" s="18"/>
      <c r="FF475" s="18"/>
      <c r="FG475" s="18"/>
      <c r="FH475" s="18"/>
      <c r="FI475" s="18"/>
      <c r="FJ475" s="18"/>
      <c r="FK475" s="18"/>
      <c r="FL475" s="18"/>
      <c r="FM475" s="18"/>
      <c r="FN475" s="18"/>
      <c r="FO475" s="18"/>
      <c r="FP475" s="18"/>
      <c r="FQ475" s="18"/>
      <c r="FR475" s="18"/>
      <c r="FS475" s="18"/>
      <c r="FT475" s="18"/>
      <c r="FU475" s="18"/>
      <c r="FV475" s="18"/>
      <c r="FW475" s="18"/>
      <c r="FX475" s="18"/>
      <c r="FY475" s="18"/>
      <c r="FZ475" s="18"/>
      <c r="GA475" s="18"/>
      <c r="GB475" s="18"/>
      <c r="GC475" s="18"/>
      <c r="GD475" s="18"/>
      <c r="GE475" s="18"/>
      <c r="GF475" s="18"/>
      <c r="GG475" s="18"/>
      <c r="GH475" s="18"/>
      <c r="GI475" s="18"/>
      <c r="GJ475" s="18"/>
      <c r="GK475" s="18"/>
      <c r="GL475" s="18"/>
      <c r="GM475" s="18"/>
      <c r="GN475" s="18"/>
      <c r="GO475" s="18"/>
      <c r="GP475" s="18"/>
      <c r="GQ475" s="18"/>
      <c r="GR475" s="18"/>
      <c r="GS475" s="18"/>
      <c r="GT475" s="18"/>
      <c r="GU475" s="18"/>
      <c r="GV475" s="18"/>
      <c r="GW475" s="18"/>
      <c r="GX475" s="18"/>
      <c r="GY475" s="18"/>
      <c r="GZ475" s="18"/>
      <c r="HA475" s="18"/>
      <c r="HB475" s="18"/>
      <c r="HC475" s="18"/>
      <c r="HD475" s="18"/>
      <c r="HE475" s="18"/>
      <c r="HF475" s="18"/>
      <c r="HG475" s="13"/>
      <c r="HH475" s="13"/>
      <c r="HI475" s="13"/>
      <c r="HJ475" s="13"/>
      <c r="HK475" s="13"/>
      <c r="HL475" s="13"/>
      <c r="HM475" s="13"/>
      <c r="HN475" s="13"/>
      <c r="HO475" s="13"/>
      <c r="HP475" s="13"/>
      <c r="HQ475" s="13"/>
      <c r="HR475" s="13"/>
      <c r="HS475" s="13"/>
      <c r="HT475" s="13"/>
      <c r="HU475" s="51"/>
      <c r="HV475" s="15"/>
      <c r="HW475" s="15"/>
      <c r="HX475" s="15"/>
      <c r="HY475" s="15"/>
      <c r="HZ475" s="15"/>
      <c r="IA475" s="15"/>
      <c r="IB475" s="15"/>
      <c r="IC475" s="15"/>
      <c r="ID475" s="18"/>
      <c r="IE475" s="18"/>
      <c r="IF475" s="18"/>
      <c r="IG475" s="18"/>
      <c r="IH475" s="18"/>
      <c r="II475" s="18"/>
      <c r="IJ475" s="18"/>
      <c r="IK475" s="18"/>
      <c r="IL475" s="18"/>
      <c r="IM475" s="18"/>
      <c r="IN475" s="18"/>
      <c r="IO475" s="18"/>
    </row>
    <row r="476" spans="1:302" ht="11.1" hidden="1" customHeight="1" outlineLevel="1">
      <c r="A476" s="196"/>
      <c r="B476" s="195"/>
      <c r="C476" s="942"/>
      <c r="D476" s="942"/>
      <c r="E476" s="942"/>
      <c r="F476" s="948"/>
      <c r="G476" s="948"/>
      <c r="H476" s="948"/>
      <c r="I476" s="948"/>
      <c r="J476" s="948"/>
      <c r="K476" s="185"/>
      <c r="L476" s="58"/>
      <c r="M476" s="136" t="s">
        <v>32</v>
      </c>
      <c r="N476" s="136"/>
      <c r="O476" s="136"/>
      <c r="P476" s="18" t="s">
        <v>30</v>
      </c>
      <c r="Q476" s="194"/>
      <c r="T476" s="193"/>
      <c r="U476" s="193"/>
      <c r="W476" s="193"/>
      <c r="X476" s="948"/>
      <c r="Y476" s="948"/>
      <c r="Z476" s="948"/>
      <c r="AA476" s="948"/>
      <c r="AB476" s="947"/>
      <c r="AC476" s="947"/>
      <c r="AD476" s="173"/>
      <c r="AE476" s="173"/>
      <c r="AF476" s="824"/>
      <c r="AG476" s="824"/>
      <c r="AH476" s="824"/>
      <c r="AI476" s="824"/>
      <c r="AJ476" s="824"/>
      <c r="AK476" s="824"/>
      <c r="AL476" s="21"/>
      <c r="AM476" s="21"/>
      <c r="AN476" s="21"/>
      <c r="AO476" s="21"/>
      <c r="AP476" s="21"/>
      <c r="AQ476" s="22"/>
      <c r="AR476" s="15"/>
      <c r="AS476" s="15"/>
      <c r="AT476" s="51"/>
      <c r="AU476" s="15"/>
      <c r="AV476" s="15"/>
      <c r="AW476" s="15"/>
      <c r="AX476" s="15"/>
      <c r="AY476" s="15"/>
      <c r="AZ476" s="15"/>
      <c r="BA476" s="51"/>
      <c r="BB476" s="15"/>
      <c r="BC476" s="15"/>
      <c r="BD476" s="15"/>
      <c r="BE476" s="15"/>
      <c r="BF476" s="15"/>
      <c r="BG476" s="51"/>
      <c r="BH476" s="15"/>
      <c r="BI476" s="15"/>
      <c r="BJ476" s="15"/>
      <c r="BK476" s="51"/>
      <c r="BL476" s="15"/>
      <c r="BM476" s="15"/>
      <c r="BN476" s="15"/>
      <c r="BO476" s="15"/>
      <c r="BP476" s="15"/>
      <c r="BQ476" s="15"/>
      <c r="BR476" s="15"/>
      <c r="BS476" s="15"/>
      <c r="BT476" s="15"/>
      <c r="BU476" s="15"/>
      <c r="BV476" s="15"/>
      <c r="BW476" s="15"/>
      <c r="BX476" s="51"/>
      <c r="BY476" s="15"/>
      <c r="BZ476" s="15"/>
      <c r="CA476" s="15"/>
      <c r="CB476" s="15"/>
      <c r="CC476" s="15"/>
      <c r="CD476" s="15"/>
      <c r="CE476" s="15"/>
      <c r="CF476" s="15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  <c r="FC476" s="18"/>
      <c r="FD476" s="18"/>
      <c r="FE476" s="18"/>
      <c r="FF476" s="18"/>
      <c r="FG476" s="18"/>
      <c r="FH476" s="18"/>
      <c r="FI476" s="18"/>
      <c r="FJ476" s="18"/>
      <c r="FK476" s="18"/>
      <c r="FL476" s="18"/>
      <c r="FM476" s="18"/>
      <c r="FN476" s="18"/>
      <c r="FO476" s="18"/>
      <c r="FP476" s="18"/>
      <c r="FQ476" s="18"/>
      <c r="FR476" s="18"/>
      <c r="FS476" s="18"/>
      <c r="FT476" s="18"/>
      <c r="FU476" s="18"/>
      <c r="FV476" s="18"/>
      <c r="FW476" s="18"/>
      <c r="FX476" s="18"/>
      <c r="FY476" s="18"/>
      <c r="FZ476" s="18"/>
      <c r="GA476" s="18"/>
      <c r="GB476" s="18"/>
      <c r="GC476" s="18"/>
      <c r="GD476" s="18"/>
      <c r="GE476" s="18"/>
      <c r="GF476" s="18"/>
      <c r="GG476" s="18"/>
      <c r="GH476" s="18"/>
      <c r="GI476" s="18"/>
      <c r="GJ476" s="18"/>
      <c r="GK476" s="18"/>
      <c r="GL476" s="18"/>
      <c r="GM476" s="18"/>
      <c r="GN476" s="18"/>
      <c r="GO476" s="18"/>
      <c r="GP476" s="18"/>
      <c r="GQ476" s="18"/>
      <c r="GR476" s="18"/>
      <c r="GS476" s="18"/>
      <c r="GT476" s="18"/>
      <c r="GU476" s="18"/>
      <c r="GV476" s="18"/>
      <c r="GW476" s="18"/>
      <c r="GX476" s="18"/>
      <c r="GY476" s="18"/>
      <c r="GZ476" s="18"/>
      <c r="HA476" s="18"/>
      <c r="HB476" s="18"/>
      <c r="HC476" s="18"/>
      <c r="HD476" s="18"/>
      <c r="HE476" s="18"/>
      <c r="HF476" s="18"/>
      <c r="HG476" s="13"/>
      <c r="HH476" s="13"/>
      <c r="HI476" s="13"/>
      <c r="HJ476" s="13"/>
      <c r="HK476" s="13"/>
      <c r="HL476" s="13"/>
      <c r="HM476" s="13"/>
      <c r="HN476" s="13"/>
      <c r="HO476" s="13"/>
      <c r="HP476" s="13"/>
      <c r="HQ476" s="13"/>
      <c r="HR476" s="13"/>
      <c r="HS476" s="13"/>
      <c r="HT476" s="13"/>
      <c r="HU476" s="51"/>
      <c r="HV476" s="15"/>
      <c r="HW476" s="15"/>
      <c r="HX476" s="15"/>
      <c r="HY476" s="15"/>
      <c r="HZ476" s="15"/>
      <c r="IA476" s="15"/>
      <c r="IB476" s="15"/>
      <c r="IC476" s="15"/>
      <c r="ID476" s="18"/>
      <c r="IE476" s="18"/>
      <c r="IF476" s="18"/>
      <c r="IG476" s="18"/>
      <c r="IH476" s="18"/>
      <c r="II476" s="18"/>
      <c r="IJ476" s="18"/>
      <c r="IK476" s="18"/>
      <c r="IL476" s="18"/>
      <c r="IM476" s="18"/>
      <c r="IN476" s="18"/>
      <c r="IO476" s="18"/>
    </row>
    <row r="477" spans="1:302" s="23" customFormat="1" ht="5.0999999999999996" hidden="1" customHeight="1" outlineLevel="1">
      <c r="A477" s="1"/>
      <c r="B477" s="192"/>
      <c r="C477" s="52"/>
      <c r="D477" s="29"/>
      <c r="E477" s="14"/>
      <c r="F477" s="940"/>
      <c r="G477" s="176"/>
      <c r="H477" s="176"/>
      <c r="I477" s="176"/>
      <c r="J477" s="176"/>
      <c r="K477" s="941"/>
      <c r="L477" s="57"/>
      <c r="M477" s="822" t="s">
        <v>31</v>
      </c>
      <c r="N477" s="822"/>
      <c r="O477" s="822"/>
      <c r="P477" s="18" t="s">
        <v>30</v>
      </c>
      <c r="Q477" s="8"/>
      <c r="R477" s="14"/>
      <c r="S477" s="14"/>
      <c r="T477" s="57"/>
      <c r="U477" s="57"/>
      <c r="V477" s="57"/>
      <c r="W477" s="57"/>
      <c r="X477" s="57"/>
      <c r="Y477" s="175"/>
      <c r="Z477" s="175"/>
      <c r="AA477" s="57"/>
      <c r="AB477" s="174"/>
      <c r="AC477" s="174"/>
      <c r="AD477" s="173"/>
      <c r="AE477" s="173"/>
      <c r="AF477" s="69"/>
      <c r="AG477" s="178"/>
      <c r="AH477" s="22"/>
      <c r="AI477" s="22"/>
      <c r="AJ477" s="22"/>
      <c r="AK477" s="178"/>
      <c r="AL477" s="22"/>
      <c r="AM477" s="22"/>
      <c r="AN477" s="22"/>
      <c r="AO477" s="22"/>
      <c r="AP477" s="22"/>
      <c r="AQ477" s="15"/>
      <c r="AR477" s="38"/>
      <c r="AS477" s="67"/>
      <c r="AT477" s="171"/>
      <c r="AU477" s="21"/>
      <c r="AV477" s="21"/>
      <c r="AW477" s="21"/>
      <c r="AX477" s="21"/>
      <c r="AY477" s="21"/>
      <c r="AZ477" s="21"/>
      <c r="BA477" s="171"/>
      <c r="BB477" s="21"/>
      <c r="BC477" s="21"/>
      <c r="BD477" s="21"/>
      <c r="BE477" s="18"/>
      <c r="BF477" s="18"/>
      <c r="BG477" s="32"/>
      <c r="BH477" s="18"/>
      <c r="BI477" s="18"/>
      <c r="BJ477" s="18"/>
      <c r="BK477" s="32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32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32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32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  <c r="FC477" s="18"/>
      <c r="FD477" s="18"/>
      <c r="FE477" s="18"/>
      <c r="FF477" s="18"/>
      <c r="FG477" s="18"/>
      <c r="FH477" s="18"/>
      <c r="FI477" s="18"/>
      <c r="FJ477" s="18"/>
      <c r="FK477" s="18"/>
      <c r="FL477" s="18"/>
      <c r="FM477" s="18"/>
      <c r="FN477" s="18"/>
      <c r="FO477" s="18"/>
      <c r="FP477" s="18"/>
      <c r="FQ477" s="18"/>
      <c r="FR477" s="18"/>
      <c r="FS477" s="18"/>
      <c r="FT477" s="18"/>
      <c r="FU477" s="18"/>
      <c r="FV477" s="18"/>
      <c r="FW477" s="18"/>
      <c r="FX477" s="18"/>
      <c r="FY477" s="18"/>
      <c r="FZ477" s="18"/>
      <c r="GA477" s="18"/>
      <c r="GB477" s="18"/>
      <c r="GC477" s="18"/>
      <c r="GD477" s="18"/>
      <c r="GE477" s="18"/>
      <c r="GF477" s="18"/>
      <c r="GG477" s="18"/>
      <c r="GH477" s="18"/>
      <c r="GI477" s="18"/>
      <c r="GJ477" s="18"/>
      <c r="GK477" s="18"/>
      <c r="GL477" s="18"/>
      <c r="GM477" s="18"/>
      <c r="GN477" s="18"/>
      <c r="GO477" s="18"/>
      <c r="GP477" s="18"/>
      <c r="GQ477" s="18"/>
      <c r="GR477" s="18"/>
      <c r="GS477" s="18"/>
      <c r="GT477" s="18"/>
      <c r="GU477" s="18"/>
      <c r="GV477" s="18"/>
      <c r="GW477" s="18"/>
      <c r="GX477" s="18"/>
      <c r="GY477" s="18"/>
      <c r="GZ477" s="18"/>
      <c r="HA477" s="18"/>
      <c r="HB477" s="18"/>
      <c r="HC477" s="18"/>
      <c r="HD477" s="18"/>
      <c r="HE477" s="18"/>
      <c r="HF477" s="18"/>
      <c r="HG477" s="13"/>
      <c r="HH477" s="13"/>
      <c r="HI477" s="13"/>
      <c r="HJ477" s="13"/>
      <c r="HK477" s="13"/>
      <c r="HL477" s="13"/>
      <c r="HM477" s="13"/>
      <c r="HN477" s="13"/>
      <c r="HO477" s="13"/>
      <c r="HP477" s="13"/>
      <c r="HQ477" s="13"/>
      <c r="HR477" s="13"/>
      <c r="HS477" s="13"/>
      <c r="HT477" s="13"/>
      <c r="HU477" s="32"/>
      <c r="HV477" s="18"/>
      <c r="HW477" s="18"/>
      <c r="HX477" s="18"/>
      <c r="HY477" s="18"/>
      <c r="HZ477" s="18"/>
      <c r="IA477" s="18"/>
      <c r="IB477" s="18"/>
      <c r="IC477" s="18"/>
      <c r="ID477" s="18"/>
      <c r="IE477" s="18"/>
      <c r="IF477" s="18"/>
      <c r="IG477" s="18"/>
      <c r="IH477" s="18"/>
      <c r="II477" s="18"/>
      <c r="IJ477" s="18"/>
      <c r="IK477" s="18"/>
      <c r="IL477" s="18"/>
      <c r="IM477" s="18"/>
      <c r="IN477" s="18"/>
      <c r="IO477" s="18"/>
      <c r="IP477" s="14"/>
      <c r="IQ477" s="14"/>
      <c r="IR477" s="14"/>
      <c r="IS477" s="14"/>
      <c r="IT477" s="14"/>
      <c r="IU477" s="14"/>
      <c r="IV477" s="14"/>
      <c r="IW477" s="14"/>
      <c r="IX477" s="14"/>
      <c r="IY477" s="14"/>
      <c r="IZ477" s="14"/>
      <c r="JA477" s="14"/>
      <c r="JB477" s="14"/>
      <c r="JC477" s="14"/>
      <c r="JD477" s="14"/>
      <c r="JE477" s="14"/>
      <c r="JF477" s="14"/>
      <c r="JG477" s="14"/>
      <c r="JH477" s="14"/>
      <c r="JI477" s="14"/>
      <c r="JJ477" s="14"/>
      <c r="JK477" s="14"/>
      <c r="JL477" s="14"/>
      <c r="JM477" s="14"/>
      <c r="JN477" s="14"/>
      <c r="JO477" s="14"/>
      <c r="JP477" s="14"/>
      <c r="JQ477" s="14"/>
      <c r="JR477" s="14"/>
      <c r="JS477" s="14"/>
      <c r="JT477" s="14"/>
      <c r="JU477" s="14"/>
      <c r="JV477" s="14"/>
      <c r="JW477" s="14"/>
      <c r="JX477" s="14"/>
      <c r="JY477" s="14"/>
      <c r="JZ477" s="14"/>
      <c r="KA477" s="14"/>
      <c r="KB477" s="14"/>
      <c r="KC477" s="14"/>
      <c r="KD477" s="14"/>
      <c r="KE477" s="14"/>
      <c r="KF477" s="14"/>
      <c r="KG477" s="14"/>
      <c r="KH477" s="14"/>
      <c r="KI477" s="14"/>
      <c r="KJ477" s="14"/>
      <c r="KK477" s="14"/>
      <c r="KL477" s="14"/>
      <c r="KM477" s="14"/>
      <c r="KN477" s="14"/>
      <c r="KO477" s="14"/>
      <c r="KP477" s="14"/>
    </row>
    <row r="478" spans="1:302" ht="11.1" hidden="1" customHeight="1" outlineLevel="1">
      <c r="A478" s="191" t="s">
        <v>29</v>
      </c>
      <c r="B478" s="29"/>
      <c r="C478" s="52"/>
      <c r="D478" s="940" t="s">
        <v>2</v>
      </c>
      <c r="F478" s="940">
        <v>0</v>
      </c>
      <c r="G478" s="187">
        <v>40772</v>
      </c>
      <c r="H478" s="187"/>
      <c r="I478" s="1069">
        <v>3.3260000000000001</v>
      </c>
      <c r="J478" s="1069"/>
      <c r="K478" s="1069"/>
      <c r="L478" s="57"/>
      <c r="M478" s="136"/>
      <c r="N478" s="136"/>
      <c r="O478" s="136"/>
      <c r="Q478" s="29"/>
      <c r="T478" s="57"/>
      <c r="U478" s="57"/>
      <c r="V478" s="57"/>
      <c r="W478" s="57"/>
      <c r="X478" s="57"/>
      <c r="Y478" s="175"/>
      <c r="Z478" s="175"/>
      <c r="AA478" s="57"/>
      <c r="AB478" s="947">
        <f>F478*P478</f>
        <v>0</v>
      </c>
      <c r="AC478" s="947"/>
      <c r="AD478" s="190">
        <f>-((I478*F478)-(P478*F478))</f>
        <v>0</v>
      </c>
      <c r="AE478" s="190"/>
      <c r="AF478" s="69"/>
      <c r="AG478" s="189"/>
      <c r="AH478" s="189"/>
      <c r="AI478" s="189"/>
      <c r="AJ478" s="181"/>
      <c r="AK478" s="178"/>
      <c r="AL478" s="179"/>
      <c r="AM478" s="180"/>
      <c r="AN478" s="179"/>
      <c r="AO478" s="38"/>
      <c r="AP478" s="188">
        <f>F478*I478+AN478+AN479</f>
        <v>0</v>
      </c>
      <c r="AR478" s="38"/>
      <c r="AS478" s="67"/>
      <c r="AT478" s="171"/>
      <c r="AU478" s="21"/>
      <c r="AV478" s="21"/>
      <c r="AW478" s="21"/>
      <c r="AX478" s="21"/>
      <c r="AY478" s="21"/>
      <c r="AZ478" s="21"/>
      <c r="BA478" s="171"/>
      <c r="BB478" s="21"/>
      <c r="BC478" s="21"/>
      <c r="BD478" s="21"/>
      <c r="BE478" s="18"/>
      <c r="BF478" s="18"/>
      <c r="BH478" s="18"/>
      <c r="BI478" s="18"/>
      <c r="BJ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39" t="str">
        <f>IF($AB478=0,"",$AB478)</f>
        <v/>
      </c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  <c r="FC478" s="18"/>
      <c r="FD478" s="18"/>
      <c r="FE478" s="18"/>
      <c r="FF478" s="18"/>
      <c r="FG478" s="18"/>
      <c r="FH478" s="18"/>
      <c r="FI478" s="18"/>
      <c r="FJ478" s="18"/>
      <c r="FK478" s="18"/>
      <c r="FL478" s="18"/>
      <c r="FM478" s="18"/>
      <c r="FN478" s="18"/>
      <c r="FO478" s="18"/>
      <c r="FP478" s="18"/>
      <c r="FQ478" s="18"/>
      <c r="FR478" s="18"/>
      <c r="FS478" s="18"/>
      <c r="FT478" s="18"/>
      <c r="FU478" s="18"/>
      <c r="FV478" s="18"/>
      <c r="FW478" s="18"/>
      <c r="FX478" s="18"/>
      <c r="FY478" s="18"/>
      <c r="FZ478" s="18"/>
      <c r="GA478" s="18"/>
      <c r="GB478" s="18"/>
      <c r="GC478" s="18"/>
      <c r="GD478" s="18"/>
      <c r="GE478" s="18"/>
      <c r="GF478" s="18"/>
      <c r="GG478" s="18"/>
      <c r="GH478" s="18"/>
      <c r="GI478" s="18"/>
      <c r="GJ478" s="18"/>
      <c r="GK478" s="18"/>
      <c r="GL478" s="18"/>
      <c r="GM478" s="18"/>
      <c r="GN478" s="18"/>
      <c r="GO478" s="18"/>
      <c r="GP478" s="18"/>
      <c r="GQ478" s="18"/>
      <c r="GR478" s="18"/>
      <c r="GS478" s="18"/>
      <c r="GT478" s="18"/>
      <c r="GU478" s="18"/>
      <c r="GV478" s="18"/>
      <c r="GW478" s="18"/>
      <c r="GX478" s="18"/>
      <c r="GY478" s="18"/>
      <c r="GZ478" s="18"/>
      <c r="HA478" s="18"/>
      <c r="HB478" s="18"/>
      <c r="HC478" s="18"/>
      <c r="HD478" s="18"/>
      <c r="HE478" s="18"/>
      <c r="HF478" s="18"/>
      <c r="HG478" s="13"/>
      <c r="HH478" s="13"/>
      <c r="HI478" s="13"/>
      <c r="HJ478" s="13"/>
      <c r="HK478" s="13"/>
      <c r="HL478" s="13"/>
      <c r="HM478" s="13"/>
      <c r="HN478" s="13"/>
      <c r="HO478" s="13"/>
      <c r="HP478" s="13"/>
      <c r="HQ478" s="13"/>
      <c r="HR478" s="13"/>
      <c r="HS478" s="13"/>
      <c r="HT478" s="13"/>
      <c r="HU478" s="139" t="str">
        <f>IF($AB478=0,"",$AB478)</f>
        <v/>
      </c>
      <c r="HV478" s="18"/>
      <c r="HW478" s="18"/>
      <c r="HX478" s="18"/>
      <c r="HY478" s="18"/>
      <c r="HZ478" s="18"/>
      <c r="IA478" s="18"/>
      <c r="IB478" s="18"/>
      <c r="IC478" s="18"/>
      <c r="ID478" s="18"/>
      <c r="IE478" s="18"/>
      <c r="IF478" s="18"/>
      <c r="IG478" s="18"/>
      <c r="IH478" s="18"/>
      <c r="II478" s="18"/>
      <c r="IJ478" s="18"/>
      <c r="IK478" s="18"/>
      <c r="IL478" s="18"/>
      <c r="IM478" s="18"/>
      <c r="IN478" s="18"/>
      <c r="IO478" s="18"/>
    </row>
    <row r="479" spans="1:302" ht="11.1" hidden="1" customHeight="1" outlineLevel="1">
      <c r="A479" s="1"/>
      <c r="B479" s="57"/>
      <c r="C479" s="52"/>
      <c r="E479" s="57"/>
      <c r="F479" s="940"/>
      <c r="G479" s="187"/>
      <c r="H479" s="187"/>
      <c r="I479" s="186"/>
      <c r="J479" s="186"/>
      <c r="K479" s="185">
        <f>AP478</f>
        <v>0</v>
      </c>
      <c r="L479" s="57"/>
      <c r="M479" s="136"/>
      <c r="N479" s="136"/>
      <c r="O479" s="136"/>
      <c r="P479" s="184"/>
      <c r="Q479" s="57"/>
      <c r="T479" s="57"/>
      <c r="U479" s="57"/>
      <c r="V479" s="57"/>
      <c r="W479" s="57"/>
      <c r="X479" s="57"/>
      <c r="Y479" s="175"/>
      <c r="Z479" s="175"/>
      <c r="AA479" s="57"/>
      <c r="AB479" s="947"/>
      <c r="AC479" s="947"/>
      <c r="AD479" s="183">
        <f>((P478-I478)/I478)</f>
        <v>-1</v>
      </c>
      <c r="AE479" s="183"/>
      <c r="AF479" s="69"/>
      <c r="AG479" s="182"/>
      <c r="AH479" s="182"/>
      <c r="AI479" s="182"/>
      <c r="AJ479" s="181"/>
      <c r="AK479" s="178"/>
      <c r="AL479" s="179"/>
      <c r="AM479" s="180"/>
      <c r="AN479" s="179"/>
      <c r="AO479" s="38"/>
      <c r="AP479" s="38"/>
      <c r="AR479" s="38"/>
      <c r="AS479" s="67"/>
      <c r="AT479" s="171"/>
      <c r="AU479" s="21"/>
      <c r="AV479" s="21"/>
      <c r="AW479" s="21"/>
      <c r="AX479" s="21"/>
      <c r="AY479" s="21"/>
      <c r="AZ479" s="21"/>
      <c r="BA479" s="171"/>
      <c r="BB479" s="21"/>
      <c r="BC479" s="21"/>
      <c r="BD479" s="21"/>
      <c r="BE479" s="18"/>
      <c r="BF479" s="18"/>
      <c r="BH479" s="18"/>
      <c r="BI479" s="18"/>
      <c r="BJ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  <c r="FC479" s="18"/>
      <c r="FD479" s="18"/>
      <c r="FE479" s="18"/>
      <c r="FF479" s="18"/>
      <c r="FG479" s="18"/>
      <c r="FH479" s="18"/>
      <c r="FI479" s="18"/>
      <c r="FJ479" s="18"/>
      <c r="FK479" s="18"/>
      <c r="FL479" s="18"/>
      <c r="FM479" s="18"/>
      <c r="FN479" s="18"/>
      <c r="FO479" s="18"/>
      <c r="FP479" s="18"/>
      <c r="FQ479" s="18"/>
      <c r="FR479" s="18"/>
      <c r="FS479" s="18"/>
      <c r="FT479" s="18"/>
      <c r="FU479" s="18"/>
      <c r="FV479" s="18"/>
      <c r="FW479" s="18"/>
      <c r="FX479" s="18"/>
      <c r="FY479" s="18"/>
      <c r="FZ479" s="18"/>
      <c r="GA479" s="18"/>
      <c r="GB479" s="18"/>
      <c r="GC479" s="18"/>
      <c r="GD479" s="18"/>
      <c r="GE479" s="18"/>
      <c r="GF479" s="18"/>
      <c r="GG479" s="18"/>
      <c r="GH479" s="18"/>
      <c r="GI479" s="18"/>
      <c r="GJ479" s="18"/>
      <c r="GK479" s="18"/>
      <c r="GL479" s="18"/>
      <c r="GM479" s="18"/>
      <c r="GN479" s="18"/>
      <c r="GO479" s="18"/>
      <c r="GP479" s="18"/>
      <c r="GQ479" s="18"/>
      <c r="GR479" s="18"/>
      <c r="GS479" s="18"/>
      <c r="GT479" s="18"/>
      <c r="GU479" s="18"/>
      <c r="GV479" s="18"/>
      <c r="GW479" s="18"/>
      <c r="GX479" s="18"/>
      <c r="GY479" s="18"/>
      <c r="GZ479" s="18"/>
      <c r="HA479" s="18"/>
      <c r="HB479" s="18"/>
      <c r="HC479" s="18"/>
      <c r="HD479" s="18"/>
      <c r="HE479" s="18"/>
      <c r="HF479" s="18"/>
      <c r="HG479" s="13"/>
      <c r="HH479" s="13"/>
      <c r="HI479" s="13"/>
      <c r="HJ479" s="13"/>
      <c r="HK479" s="13"/>
      <c r="HL479" s="13"/>
      <c r="HM479" s="13"/>
      <c r="HN479" s="13"/>
      <c r="HO479" s="13"/>
      <c r="HP479" s="13"/>
      <c r="HQ479" s="13"/>
      <c r="HR479" s="13"/>
      <c r="HS479" s="13"/>
      <c r="HT479" s="13"/>
      <c r="HV479" s="18"/>
      <c r="HW479" s="18"/>
      <c r="HX479" s="18"/>
      <c r="HY479" s="18"/>
      <c r="HZ479" s="18"/>
      <c r="IA479" s="18"/>
      <c r="IB479" s="18"/>
      <c r="IC479" s="18"/>
      <c r="ID479" s="18"/>
      <c r="IE479" s="18"/>
      <c r="IF479" s="18"/>
      <c r="IG479" s="18"/>
      <c r="IH479" s="18"/>
      <c r="II479" s="18"/>
      <c r="IJ479" s="18"/>
      <c r="IK479" s="18"/>
      <c r="IL479" s="18"/>
      <c r="IM479" s="18"/>
      <c r="IN479" s="18"/>
      <c r="IO479" s="18"/>
    </row>
    <row r="480" spans="1:302" ht="11.1" hidden="1" customHeight="1" outlineLevel="1">
      <c r="A480" s="1"/>
      <c r="B480" s="57"/>
      <c r="C480" s="52"/>
      <c r="E480" s="57"/>
      <c r="F480" s="940"/>
      <c r="G480" s="176"/>
      <c r="H480" s="176"/>
      <c r="I480" s="176"/>
      <c r="J480" s="176"/>
      <c r="K480" s="941"/>
      <c r="L480" s="57"/>
      <c r="M480" s="136"/>
      <c r="N480" s="136"/>
      <c r="O480" s="136"/>
      <c r="P480" s="57"/>
      <c r="Q480" s="29"/>
      <c r="T480" s="57"/>
      <c r="U480" s="57"/>
      <c r="V480" s="57"/>
      <c r="W480" s="57"/>
      <c r="X480" s="57"/>
      <c r="Y480" s="175"/>
      <c r="Z480" s="175"/>
      <c r="AA480" s="57"/>
      <c r="AB480" s="174"/>
      <c r="AC480" s="174"/>
      <c r="AD480" s="173"/>
      <c r="AE480" s="173"/>
      <c r="AF480" s="69"/>
      <c r="AG480" s="22"/>
      <c r="AH480" s="22"/>
      <c r="AI480" s="22"/>
      <c r="AJ480" s="22"/>
      <c r="AK480" s="178"/>
      <c r="AL480" s="22"/>
      <c r="AM480" s="22"/>
      <c r="AN480" s="22"/>
      <c r="AO480" s="22"/>
      <c r="AP480" s="22"/>
      <c r="AQ480" s="15"/>
      <c r="AR480" s="38"/>
      <c r="AS480" s="67"/>
      <c r="AT480" s="171"/>
      <c r="AU480" s="21"/>
      <c r="AV480" s="21"/>
      <c r="AW480" s="21"/>
      <c r="AX480" s="21"/>
      <c r="AY480" s="21"/>
      <c r="AZ480" s="21"/>
      <c r="BA480" s="171"/>
      <c r="BB480" s="21"/>
      <c r="BC480" s="21"/>
      <c r="BD480" s="21"/>
      <c r="BE480" s="18"/>
      <c r="BF480" s="18"/>
      <c r="BH480" s="18"/>
      <c r="BI480" s="18"/>
      <c r="BJ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  <c r="FC480" s="18"/>
      <c r="FD480" s="18"/>
      <c r="FE480" s="18"/>
      <c r="FF480" s="18"/>
      <c r="FG480" s="18"/>
      <c r="FH480" s="18"/>
      <c r="FI480" s="18"/>
      <c r="FJ480" s="18"/>
      <c r="FK480" s="18"/>
      <c r="FL480" s="18"/>
      <c r="FM480" s="18"/>
      <c r="FN480" s="18"/>
      <c r="FO480" s="18"/>
      <c r="FP480" s="18"/>
      <c r="FQ480" s="18"/>
      <c r="FR480" s="18"/>
      <c r="FS480" s="18"/>
      <c r="FT480" s="18"/>
      <c r="FU480" s="18"/>
      <c r="FV480" s="18"/>
      <c r="FW480" s="18"/>
      <c r="FX480" s="18"/>
      <c r="FY480" s="18"/>
      <c r="FZ480" s="18"/>
      <c r="GA480" s="18"/>
      <c r="GB480" s="18"/>
      <c r="GC480" s="18"/>
      <c r="GD480" s="18"/>
      <c r="GE480" s="18"/>
      <c r="GF480" s="18"/>
      <c r="GG480" s="18"/>
      <c r="GH480" s="18"/>
      <c r="GI480" s="18"/>
      <c r="GJ480" s="18"/>
      <c r="GK480" s="18"/>
      <c r="GL480" s="18"/>
      <c r="GM480" s="18"/>
      <c r="GN480" s="18"/>
      <c r="GO480" s="18"/>
      <c r="GP480" s="18"/>
      <c r="GQ480" s="18"/>
      <c r="GR480" s="18"/>
      <c r="GS480" s="18"/>
      <c r="GT480" s="18"/>
      <c r="GU480" s="18"/>
      <c r="GV480" s="18"/>
      <c r="GW480" s="18"/>
      <c r="GX480" s="18"/>
      <c r="GY480" s="18"/>
      <c r="GZ480" s="18"/>
      <c r="HA480" s="18"/>
      <c r="HB480" s="18"/>
      <c r="HC480" s="18"/>
      <c r="HD480" s="18"/>
      <c r="HE480" s="18"/>
      <c r="HF480" s="18"/>
      <c r="HG480" s="13"/>
      <c r="HH480" s="13"/>
      <c r="HI480" s="13"/>
      <c r="HJ480" s="13"/>
      <c r="HK480" s="13"/>
      <c r="HL480" s="13"/>
      <c r="HM480" s="13"/>
      <c r="HN480" s="13"/>
      <c r="HO480" s="13"/>
      <c r="HP480" s="13"/>
      <c r="HQ480" s="13"/>
      <c r="HR480" s="13"/>
      <c r="HS480" s="13"/>
      <c r="HT480" s="13"/>
      <c r="HV480" s="18"/>
      <c r="HW480" s="18"/>
      <c r="HX480" s="18"/>
      <c r="HY480" s="18"/>
      <c r="HZ480" s="18"/>
      <c r="IA480" s="18"/>
      <c r="IB480" s="18"/>
      <c r="IC480" s="18"/>
      <c r="ID480" s="18"/>
      <c r="IE480" s="18"/>
      <c r="IF480" s="18"/>
      <c r="IG480" s="18"/>
      <c r="IH480" s="18"/>
      <c r="II480" s="18"/>
      <c r="IJ480" s="18"/>
      <c r="IK480" s="18"/>
      <c r="IL480" s="18"/>
      <c r="IM480" s="18"/>
      <c r="IN480" s="18"/>
      <c r="IO480" s="18"/>
    </row>
    <row r="481" spans="1:302" ht="11.1" hidden="1" customHeight="1" outlineLevel="1">
      <c r="A481" s="1"/>
      <c r="B481" s="57"/>
      <c r="C481" s="52"/>
      <c r="E481" s="57"/>
      <c r="F481" s="940"/>
      <c r="G481" s="176"/>
      <c r="H481" s="176"/>
      <c r="I481" s="176"/>
      <c r="J481" s="176"/>
      <c r="K481" s="941"/>
      <c r="L481" s="57"/>
      <c r="M481" s="136"/>
      <c r="N481" s="136"/>
      <c r="O481" s="136"/>
      <c r="P481" s="57"/>
      <c r="Q481" s="177"/>
      <c r="T481" s="57"/>
      <c r="U481" s="57"/>
      <c r="V481" s="57"/>
      <c r="W481" s="57"/>
      <c r="X481" s="57"/>
      <c r="Y481" s="175"/>
      <c r="Z481" s="175"/>
      <c r="AA481" s="57"/>
      <c r="AB481" s="174"/>
      <c r="AC481" s="174"/>
      <c r="AD481" s="173"/>
      <c r="AE481" s="173"/>
      <c r="AF481" s="69"/>
      <c r="AG481" s="38"/>
      <c r="AH481" s="38"/>
      <c r="AI481" s="38"/>
      <c r="AJ481" s="38"/>
      <c r="AK481" s="172"/>
      <c r="AL481" s="38"/>
      <c r="AM481" s="38"/>
      <c r="AN481" s="38"/>
      <c r="AO481" s="38"/>
      <c r="AP481" s="38"/>
      <c r="AR481" s="38"/>
      <c r="AS481" s="67"/>
      <c r="AT481" s="171"/>
      <c r="AU481" s="21"/>
      <c r="AV481" s="21"/>
      <c r="AW481" s="21"/>
      <c r="AX481" s="21"/>
      <c r="AY481" s="21"/>
      <c r="AZ481" s="21"/>
      <c r="BA481" s="171"/>
      <c r="BB481" s="21"/>
      <c r="BC481" s="21"/>
      <c r="BD481" s="21"/>
      <c r="BE481" s="18"/>
      <c r="BF481" s="18"/>
      <c r="BH481" s="18"/>
      <c r="BI481" s="18"/>
      <c r="BJ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  <c r="FC481" s="18"/>
      <c r="FD481" s="18"/>
      <c r="FE481" s="18"/>
      <c r="FF481" s="18"/>
      <c r="FG481" s="18"/>
      <c r="FH481" s="18"/>
      <c r="FI481" s="18"/>
      <c r="FJ481" s="18"/>
      <c r="FK481" s="18"/>
      <c r="FL481" s="18"/>
      <c r="FM481" s="18"/>
      <c r="FN481" s="18"/>
      <c r="FO481" s="18"/>
      <c r="FP481" s="18"/>
      <c r="FQ481" s="18"/>
      <c r="FR481" s="18"/>
      <c r="FS481" s="18"/>
      <c r="FT481" s="18"/>
      <c r="FU481" s="18"/>
      <c r="FV481" s="18"/>
      <c r="FW481" s="18"/>
      <c r="FX481" s="18"/>
      <c r="FY481" s="18"/>
      <c r="FZ481" s="18"/>
      <c r="GA481" s="18"/>
      <c r="GB481" s="18"/>
      <c r="GC481" s="18"/>
      <c r="GD481" s="18"/>
      <c r="GE481" s="18"/>
      <c r="GF481" s="18"/>
      <c r="GG481" s="18"/>
      <c r="GH481" s="18"/>
      <c r="GI481" s="18"/>
      <c r="GJ481" s="18"/>
      <c r="GK481" s="18"/>
      <c r="GL481" s="18"/>
      <c r="GM481" s="18"/>
      <c r="GN481" s="18"/>
      <c r="GO481" s="18"/>
      <c r="GP481" s="18"/>
      <c r="GQ481" s="18"/>
      <c r="GR481" s="18"/>
      <c r="GS481" s="18"/>
      <c r="GT481" s="18"/>
      <c r="GU481" s="18"/>
      <c r="GV481" s="18"/>
      <c r="GW481" s="18"/>
      <c r="GX481" s="18"/>
      <c r="GY481" s="18"/>
      <c r="GZ481" s="18"/>
      <c r="HA481" s="18"/>
      <c r="HB481" s="18"/>
      <c r="HC481" s="18"/>
      <c r="HD481" s="18"/>
      <c r="HE481" s="18"/>
      <c r="HF481" s="18"/>
      <c r="HG481" s="13"/>
      <c r="HH481" s="13"/>
      <c r="HI481" s="13"/>
      <c r="HJ481" s="13"/>
      <c r="HK481" s="13"/>
      <c r="HL481" s="13"/>
      <c r="HM481" s="13"/>
      <c r="HN481" s="13"/>
      <c r="HO481" s="13"/>
      <c r="HP481" s="13"/>
      <c r="HQ481" s="13"/>
      <c r="HR481" s="13"/>
      <c r="HS481" s="13"/>
      <c r="HT481" s="13"/>
      <c r="HV481" s="18"/>
      <c r="HW481" s="18"/>
      <c r="HX481" s="18"/>
      <c r="HY481" s="18"/>
      <c r="HZ481" s="18"/>
      <c r="IA481" s="18"/>
      <c r="IB481" s="18"/>
      <c r="IC481" s="18"/>
      <c r="ID481" s="18"/>
      <c r="IE481" s="18"/>
      <c r="IF481" s="18"/>
      <c r="IG481" s="18"/>
      <c r="IH481" s="18"/>
      <c r="II481" s="18"/>
      <c r="IJ481" s="18"/>
      <c r="IK481" s="18"/>
      <c r="IL481" s="18"/>
      <c r="IM481" s="18"/>
      <c r="IN481" s="18"/>
      <c r="IO481" s="18"/>
    </row>
    <row r="482" spans="1:302" ht="11.1" hidden="1" customHeight="1" outlineLevel="1">
      <c r="A482" s="1"/>
      <c r="B482" s="57"/>
      <c r="C482" s="52"/>
      <c r="E482" s="57"/>
      <c r="F482" s="940"/>
      <c r="G482" s="176"/>
      <c r="H482" s="176"/>
      <c r="I482" s="176"/>
      <c r="J482" s="176"/>
      <c r="K482" s="941"/>
      <c r="L482" s="57"/>
      <c r="M482" s="136"/>
      <c r="N482" s="136"/>
      <c r="O482" s="136"/>
      <c r="P482" s="57"/>
      <c r="Q482" s="29"/>
      <c r="T482" s="57"/>
      <c r="U482" s="57"/>
      <c r="V482" s="57"/>
      <c r="W482" s="57"/>
      <c r="X482" s="57"/>
      <c r="Y482" s="175"/>
      <c r="Z482" s="175"/>
      <c r="AA482" s="57"/>
      <c r="AB482" s="174"/>
      <c r="AC482" s="174"/>
      <c r="AD482" s="173"/>
      <c r="AE482" s="173"/>
      <c r="AF482" s="69"/>
      <c r="AG482" s="38"/>
      <c r="AH482" s="38"/>
      <c r="AI482" s="38"/>
      <c r="AJ482" s="38"/>
      <c r="AK482" s="172"/>
      <c r="AL482" s="38"/>
      <c r="AM482" s="38"/>
      <c r="AN482" s="38"/>
      <c r="AO482" s="38"/>
      <c r="AP482" s="38"/>
      <c r="AR482" s="38"/>
      <c r="AS482" s="67"/>
      <c r="AT482" s="171"/>
      <c r="AU482" s="21"/>
      <c r="AV482" s="21"/>
      <c r="AW482" s="21"/>
      <c r="AX482" s="21"/>
      <c r="AY482" s="21"/>
      <c r="AZ482" s="21"/>
      <c r="BA482" s="171"/>
      <c r="BB482" s="21"/>
      <c r="BC482" s="21"/>
      <c r="BD482" s="21"/>
      <c r="BE482" s="18"/>
      <c r="BF482" s="18"/>
      <c r="BH482" s="18"/>
      <c r="BI482" s="18"/>
      <c r="BJ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  <c r="FC482" s="18"/>
      <c r="FD482" s="18"/>
      <c r="FE482" s="18"/>
      <c r="FF482" s="18"/>
      <c r="FG482" s="18"/>
      <c r="FH482" s="18"/>
      <c r="FI482" s="18"/>
      <c r="FJ482" s="18"/>
      <c r="FK482" s="18"/>
      <c r="FL482" s="18"/>
      <c r="FM482" s="18"/>
      <c r="FN482" s="18"/>
      <c r="FO482" s="18"/>
      <c r="FP482" s="18"/>
      <c r="FQ482" s="18"/>
      <c r="FR482" s="18"/>
      <c r="FS482" s="18"/>
      <c r="FT482" s="18"/>
      <c r="FU482" s="18"/>
      <c r="FV482" s="18"/>
      <c r="FW482" s="18"/>
      <c r="FX482" s="18"/>
      <c r="FY482" s="18"/>
      <c r="FZ482" s="18"/>
      <c r="GA482" s="18"/>
      <c r="GB482" s="18"/>
      <c r="GC482" s="18"/>
      <c r="GD482" s="18"/>
      <c r="GE482" s="18"/>
      <c r="GF482" s="18"/>
      <c r="GG482" s="18"/>
      <c r="GH482" s="18"/>
      <c r="GI482" s="18"/>
      <c r="GJ482" s="18"/>
      <c r="GK482" s="18"/>
      <c r="GL482" s="18"/>
      <c r="GM482" s="18"/>
      <c r="GN482" s="18"/>
      <c r="GO482" s="18"/>
      <c r="GP482" s="18"/>
      <c r="GQ482" s="18"/>
      <c r="GR482" s="18"/>
      <c r="GS482" s="18"/>
      <c r="GT482" s="18"/>
      <c r="GU482" s="18"/>
      <c r="GV482" s="18"/>
      <c r="GW482" s="18"/>
      <c r="GX482" s="18"/>
      <c r="GY482" s="18"/>
      <c r="GZ482" s="18"/>
      <c r="HA482" s="18"/>
      <c r="HB482" s="18"/>
      <c r="HC482" s="18"/>
      <c r="HD482" s="18"/>
      <c r="HE482" s="18"/>
      <c r="HF482" s="18"/>
      <c r="HG482" s="13"/>
      <c r="HH482" s="13"/>
      <c r="HI482" s="13"/>
      <c r="HJ482" s="13"/>
      <c r="HK482" s="13"/>
      <c r="HL482" s="13"/>
      <c r="HM482" s="13"/>
      <c r="HN482" s="13"/>
      <c r="HO482" s="13"/>
      <c r="HP482" s="13"/>
      <c r="HQ482" s="13"/>
      <c r="HR482" s="13"/>
      <c r="HS482" s="13"/>
      <c r="HT482" s="13"/>
      <c r="HV482" s="18"/>
      <c r="HW482" s="18"/>
      <c r="HX482" s="18"/>
      <c r="HY482" s="18"/>
      <c r="HZ482" s="18"/>
      <c r="IA482" s="18"/>
      <c r="IB482" s="18"/>
      <c r="IC482" s="18"/>
      <c r="ID482" s="18"/>
      <c r="IE482" s="18"/>
      <c r="IF482" s="18"/>
      <c r="IG482" s="18"/>
      <c r="IH482" s="18"/>
      <c r="II482" s="18"/>
      <c r="IJ482" s="18"/>
      <c r="IK482" s="18"/>
      <c r="IL482" s="18"/>
      <c r="IM482" s="18"/>
      <c r="IN482" s="18"/>
      <c r="IO482" s="18"/>
    </row>
    <row r="483" spans="1:302" ht="11.1" hidden="1" customHeight="1" outlineLevel="1">
      <c r="A483" s="1"/>
      <c r="B483" s="57"/>
      <c r="C483" s="52"/>
      <c r="E483" s="57"/>
      <c r="F483" s="940"/>
      <c r="G483" s="176"/>
      <c r="H483" s="176"/>
      <c r="I483" s="176"/>
      <c r="J483" s="176"/>
      <c r="K483" s="941"/>
      <c r="L483" s="57"/>
      <c r="M483" s="136"/>
      <c r="N483" s="136"/>
      <c r="O483" s="136"/>
      <c r="P483" s="57"/>
      <c r="Q483" s="1"/>
      <c r="T483" s="57"/>
      <c r="U483" s="57"/>
      <c r="V483" s="57"/>
      <c r="W483" s="57"/>
      <c r="X483" s="57"/>
      <c r="Y483" s="175"/>
      <c r="Z483" s="175"/>
      <c r="AA483" s="57"/>
      <c r="AB483" s="174"/>
      <c r="AC483" s="174"/>
      <c r="AD483" s="173"/>
      <c r="AE483" s="173"/>
      <c r="AF483" s="69"/>
      <c r="AG483" s="38"/>
      <c r="AH483" s="38"/>
      <c r="AI483" s="38"/>
      <c r="AJ483" s="38"/>
      <c r="AK483" s="172"/>
      <c r="AL483" s="38"/>
      <c r="AM483" s="38"/>
      <c r="AN483" s="38"/>
      <c r="AO483" s="38"/>
      <c r="AP483" s="38"/>
      <c r="AR483" s="38"/>
      <c r="AS483" s="67"/>
      <c r="AT483" s="171"/>
      <c r="AU483" s="21"/>
      <c r="AV483" s="21"/>
      <c r="AW483" s="21"/>
      <c r="AX483" s="21"/>
      <c r="AY483" s="21"/>
      <c r="AZ483" s="21"/>
      <c r="BA483" s="171"/>
      <c r="BB483" s="21"/>
      <c r="BC483" s="21"/>
      <c r="BD483" s="21"/>
      <c r="BE483" s="18"/>
      <c r="BF483" s="18"/>
      <c r="BH483" s="18"/>
      <c r="BI483" s="18"/>
      <c r="BJ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  <c r="FC483" s="18"/>
      <c r="FD483" s="18"/>
      <c r="FE483" s="18"/>
      <c r="FF483" s="18"/>
      <c r="FG483" s="18"/>
      <c r="FH483" s="18"/>
      <c r="FI483" s="18"/>
      <c r="FJ483" s="18"/>
      <c r="FK483" s="18"/>
      <c r="FL483" s="18"/>
      <c r="FM483" s="18"/>
      <c r="FN483" s="18"/>
      <c r="FO483" s="18"/>
      <c r="FP483" s="18"/>
      <c r="FQ483" s="18"/>
      <c r="FR483" s="18"/>
      <c r="FS483" s="18"/>
      <c r="FT483" s="18"/>
      <c r="FU483" s="18"/>
      <c r="FV483" s="18"/>
      <c r="FW483" s="18"/>
      <c r="FX483" s="18"/>
      <c r="FY483" s="18"/>
      <c r="FZ483" s="18"/>
      <c r="GA483" s="18"/>
      <c r="GB483" s="18"/>
      <c r="GC483" s="18"/>
      <c r="GD483" s="18"/>
      <c r="GE483" s="18"/>
      <c r="GF483" s="18"/>
      <c r="GG483" s="18"/>
      <c r="GH483" s="18"/>
      <c r="GI483" s="18"/>
      <c r="GJ483" s="18"/>
      <c r="GK483" s="18"/>
      <c r="GL483" s="18"/>
      <c r="GM483" s="18"/>
      <c r="GN483" s="18"/>
      <c r="GO483" s="18"/>
      <c r="GP483" s="18"/>
      <c r="GQ483" s="18"/>
      <c r="GR483" s="18"/>
      <c r="GS483" s="18"/>
      <c r="GT483" s="18"/>
      <c r="GU483" s="18"/>
      <c r="GV483" s="18"/>
      <c r="GW483" s="18"/>
      <c r="GX483" s="18"/>
      <c r="GY483" s="18"/>
      <c r="GZ483" s="18"/>
      <c r="HA483" s="18"/>
      <c r="HB483" s="18"/>
      <c r="HC483" s="18"/>
      <c r="HD483" s="18"/>
      <c r="HE483" s="18"/>
      <c r="HF483" s="18"/>
      <c r="HG483" s="13"/>
      <c r="HH483" s="13"/>
      <c r="HI483" s="13"/>
      <c r="HJ483" s="13"/>
      <c r="HK483" s="13"/>
      <c r="HL483" s="13"/>
      <c r="HM483" s="13"/>
      <c r="HN483" s="13"/>
      <c r="HO483" s="13"/>
      <c r="HP483" s="13"/>
      <c r="HQ483" s="13"/>
      <c r="HR483" s="13"/>
      <c r="HS483" s="13"/>
      <c r="HT483" s="13"/>
      <c r="HV483" s="18"/>
      <c r="HW483" s="18"/>
      <c r="HX483" s="18"/>
      <c r="HY483" s="18"/>
      <c r="HZ483" s="18"/>
      <c r="IA483" s="18"/>
      <c r="IB483" s="18"/>
      <c r="IC483" s="18"/>
      <c r="ID483" s="18"/>
      <c r="IE483" s="18"/>
      <c r="IF483" s="18"/>
      <c r="IG483" s="18"/>
      <c r="IH483" s="18"/>
      <c r="II483" s="18"/>
      <c r="IJ483" s="18"/>
      <c r="IK483" s="18"/>
      <c r="IL483" s="18"/>
      <c r="IM483" s="18"/>
      <c r="IN483" s="18"/>
      <c r="IO483" s="18"/>
    </row>
    <row r="484" spans="1:302" ht="11.25" hidden="1" customHeight="1" outlineLevel="1">
      <c r="A484" s="1"/>
      <c r="B484" s="57"/>
      <c r="C484" s="52"/>
      <c r="E484" s="57"/>
      <c r="F484" s="940"/>
      <c r="G484" s="176"/>
      <c r="H484" s="176"/>
      <c r="I484" s="176"/>
      <c r="J484" s="176"/>
      <c r="K484" s="941"/>
      <c r="L484" s="57"/>
      <c r="M484" s="136"/>
      <c r="N484" s="136"/>
      <c r="O484" s="136"/>
      <c r="P484" s="57"/>
      <c r="Q484" s="1"/>
      <c r="T484" s="57"/>
      <c r="U484" s="57"/>
      <c r="V484" s="57"/>
      <c r="W484" s="57"/>
      <c r="X484" s="57"/>
      <c r="Y484" s="175"/>
      <c r="Z484" s="175"/>
      <c r="AA484" s="57"/>
      <c r="AB484" s="174"/>
      <c r="AC484" s="174"/>
      <c r="AD484" s="173"/>
      <c r="AE484" s="173"/>
      <c r="AF484" s="69"/>
      <c r="AG484" s="38"/>
      <c r="AH484" s="38"/>
      <c r="AI484" s="38"/>
      <c r="AJ484" s="38"/>
      <c r="AK484" s="172"/>
      <c r="AL484" s="38"/>
      <c r="AM484" s="38"/>
      <c r="AN484" s="38"/>
      <c r="AO484" s="38"/>
      <c r="AP484" s="38"/>
      <c r="AR484" s="38"/>
      <c r="AS484" s="67"/>
      <c r="AT484" s="171"/>
      <c r="AU484" s="21"/>
      <c r="AV484" s="21"/>
      <c r="AW484" s="21"/>
      <c r="AX484" s="21"/>
      <c r="AY484" s="21"/>
      <c r="AZ484" s="21"/>
      <c r="BA484" s="171"/>
      <c r="BB484" s="21"/>
      <c r="BC484" s="21"/>
      <c r="BD484" s="21"/>
      <c r="BE484" s="18"/>
      <c r="BF484" s="18"/>
      <c r="BH484" s="18"/>
      <c r="BI484" s="18"/>
      <c r="BJ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  <c r="EZ484" s="18"/>
      <c r="FA484" s="18"/>
      <c r="FB484" s="18"/>
      <c r="FC484" s="18"/>
      <c r="FD484" s="18"/>
      <c r="FE484" s="18"/>
      <c r="FF484" s="18"/>
      <c r="FG484" s="18"/>
      <c r="FH484" s="18"/>
      <c r="FI484" s="18"/>
      <c r="FJ484" s="18"/>
      <c r="FK484" s="18"/>
      <c r="FL484" s="18"/>
      <c r="FM484" s="18"/>
      <c r="FN484" s="18"/>
      <c r="FO484" s="18"/>
      <c r="FP484" s="18"/>
      <c r="FQ484" s="18"/>
      <c r="FR484" s="18"/>
      <c r="FS484" s="18"/>
      <c r="FT484" s="18"/>
      <c r="FU484" s="18"/>
      <c r="FV484" s="18"/>
      <c r="FW484" s="18"/>
      <c r="FX484" s="18"/>
      <c r="FY484" s="18"/>
      <c r="FZ484" s="18"/>
      <c r="GA484" s="18"/>
      <c r="GB484" s="18"/>
      <c r="GC484" s="18"/>
      <c r="GD484" s="18"/>
      <c r="GE484" s="18"/>
      <c r="GF484" s="18"/>
      <c r="GG484" s="18"/>
      <c r="GH484" s="18"/>
      <c r="GI484" s="18"/>
      <c r="GJ484" s="18"/>
      <c r="GK484" s="18"/>
      <c r="GL484" s="18"/>
      <c r="GM484" s="18"/>
      <c r="GN484" s="18"/>
      <c r="GO484" s="18"/>
      <c r="GP484" s="18"/>
      <c r="GQ484" s="18"/>
      <c r="GR484" s="18"/>
      <c r="GS484" s="18"/>
      <c r="GT484" s="18"/>
      <c r="GU484" s="18"/>
      <c r="GV484" s="18"/>
      <c r="GW484" s="18"/>
      <c r="GX484" s="18"/>
      <c r="GY484" s="18"/>
      <c r="GZ484" s="18"/>
      <c r="HA484" s="18"/>
      <c r="HB484" s="18"/>
      <c r="HC484" s="18"/>
      <c r="HD484" s="18"/>
      <c r="HE484" s="18"/>
      <c r="HF484" s="18"/>
      <c r="HG484" s="13"/>
      <c r="HH484" s="13"/>
      <c r="HI484" s="13"/>
      <c r="HJ484" s="13"/>
      <c r="HK484" s="13"/>
      <c r="HL484" s="13"/>
      <c r="HM484" s="13"/>
      <c r="HN484" s="13"/>
      <c r="HO484" s="13"/>
      <c r="HP484" s="13"/>
      <c r="HQ484" s="13"/>
      <c r="HR484" s="13"/>
      <c r="HS484" s="13"/>
      <c r="HT484" s="13"/>
      <c r="HV484" s="18"/>
      <c r="HW484" s="18"/>
      <c r="HX484" s="18"/>
      <c r="HY484" s="18"/>
      <c r="HZ484" s="18"/>
      <c r="IA484" s="18"/>
      <c r="IB484" s="18"/>
      <c r="IC484" s="18"/>
      <c r="ID484" s="18"/>
      <c r="IE484" s="18"/>
      <c r="IF484" s="18"/>
      <c r="IG484" s="18"/>
      <c r="IH484" s="18"/>
      <c r="II484" s="18"/>
      <c r="IJ484" s="18"/>
      <c r="IK484" s="18"/>
      <c r="IL484" s="18"/>
      <c r="IM484" s="18"/>
      <c r="IN484" s="18"/>
      <c r="IO484" s="18"/>
    </row>
    <row r="485" spans="1:302" ht="11.1" hidden="1" customHeight="1" outlineLevel="1">
      <c r="A485" s="1"/>
      <c r="B485" s="57"/>
      <c r="C485" s="52"/>
      <c r="E485" s="57"/>
      <c r="F485" s="940"/>
      <c r="G485" s="176"/>
      <c r="H485" s="176"/>
      <c r="I485" s="176"/>
      <c r="J485" s="176"/>
      <c r="K485" s="941"/>
      <c r="L485" s="57"/>
      <c r="M485" s="136"/>
      <c r="N485" s="136"/>
      <c r="O485" s="136"/>
      <c r="P485" s="57"/>
      <c r="Q485" s="1"/>
      <c r="T485" s="57"/>
      <c r="U485" s="57"/>
      <c r="V485" s="57"/>
      <c r="W485" s="57"/>
      <c r="X485" s="57"/>
      <c r="Y485" s="175"/>
      <c r="Z485" s="175"/>
      <c r="AA485" s="57"/>
      <c r="AB485" s="174"/>
      <c r="AC485" s="174"/>
      <c r="AD485" s="173"/>
      <c r="AE485" s="173"/>
      <c r="AF485" s="69"/>
      <c r="AG485" s="38"/>
      <c r="AH485" s="38"/>
      <c r="AI485" s="38"/>
      <c r="AJ485" s="38"/>
      <c r="AK485" s="172"/>
      <c r="AL485" s="38"/>
      <c r="AM485" s="38"/>
      <c r="AN485" s="38"/>
      <c r="AO485" s="38"/>
      <c r="AP485" s="38"/>
      <c r="AR485" s="38"/>
      <c r="AS485" s="67"/>
      <c r="AT485" s="171"/>
      <c r="AU485" s="21"/>
      <c r="AV485" s="21"/>
      <c r="AW485" s="21"/>
      <c r="AX485" s="21"/>
      <c r="AY485" s="21"/>
      <c r="AZ485" s="21"/>
      <c r="BA485" s="171"/>
      <c r="BB485" s="21"/>
      <c r="BC485" s="21"/>
      <c r="BD485" s="21"/>
      <c r="BE485" s="18"/>
      <c r="BF485" s="18"/>
      <c r="BH485" s="18"/>
      <c r="BI485" s="18"/>
      <c r="BJ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  <c r="EZ485" s="18"/>
      <c r="FA485" s="18"/>
      <c r="FB485" s="18"/>
      <c r="FC485" s="18"/>
      <c r="FD485" s="18"/>
      <c r="FE485" s="18"/>
      <c r="FF485" s="18"/>
      <c r="FG485" s="18"/>
      <c r="FH485" s="18"/>
      <c r="FI485" s="18"/>
      <c r="FJ485" s="18"/>
      <c r="FK485" s="18"/>
      <c r="FL485" s="18"/>
      <c r="FM485" s="18"/>
      <c r="FN485" s="18"/>
      <c r="FO485" s="18"/>
      <c r="FP485" s="18"/>
      <c r="FQ485" s="18"/>
      <c r="FR485" s="18"/>
      <c r="FS485" s="18"/>
      <c r="FT485" s="18"/>
      <c r="FU485" s="18"/>
      <c r="FV485" s="18"/>
      <c r="FW485" s="18"/>
      <c r="FX485" s="18"/>
      <c r="FY485" s="18"/>
      <c r="FZ485" s="18"/>
      <c r="GA485" s="18"/>
      <c r="GB485" s="18"/>
      <c r="GC485" s="18"/>
      <c r="GD485" s="18"/>
      <c r="GE485" s="18"/>
      <c r="GF485" s="18"/>
      <c r="GG485" s="18"/>
      <c r="GH485" s="18"/>
      <c r="GI485" s="18"/>
      <c r="GJ485" s="18"/>
      <c r="GK485" s="18"/>
      <c r="GL485" s="18"/>
      <c r="GM485" s="18"/>
      <c r="GN485" s="18"/>
      <c r="GO485" s="18"/>
      <c r="GP485" s="18"/>
      <c r="GQ485" s="18"/>
      <c r="GR485" s="18"/>
      <c r="GS485" s="18"/>
      <c r="GT485" s="18"/>
      <c r="GU485" s="18"/>
      <c r="GV485" s="18"/>
      <c r="GW485" s="18"/>
      <c r="GX485" s="18"/>
      <c r="GY485" s="18"/>
      <c r="GZ485" s="18"/>
      <c r="HA485" s="18"/>
      <c r="HB485" s="18"/>
      <c r="HC485" s="18"/>
      <c r="HD485" s="18"/>
      <c r="HE485" s="18"/>
      <c r="HF485" s="18"/>
      <c r="HG485" s="13"/>
      <c r="HH485" s="13"/>
      <c r="HI485" s="13"/>
      <c r="HJ485" s="13"/>
      <c r="HK485" s="13"/>
      <c r="HL485" s="13"/>
      <c r="HM485" s="13"/>
      <c r="HN485" s="13"/>
      <c r="HO485" s="13"/>
      <c r="HP485" s="13"/>
      <c r="HQ485" s="13"/>
      <c r="HR485" s="13"/>
      <c r="HS485" s="13"/>
      <c r="HT485" s="13"/>
      <c r="HV485" s="18"/>
      <c r="HW485" s="18"/>
      <c r="HX485" s="18"/>
      <c r="HY485" s="18"/>
      <c r="HZ485" s="18"/>
      <c r="IA485" s="18"/>
      <c r="IB485" s="18"/>
      <c r="IC485" s="18"/>
      <c r="ID485" s="18"/>
      <c r="IE485" s="18"/>
      <c r="IF485" s="18"/>
      <c r="IG485" s="18"/>
      <c r="IH485" s="18"/>
      <c r="II485" s="18"/>
      <c r="IJ485" s="18"/>
      <c r="IK485" s="18"/>
      <c r="IL485" s="18"/>
      <c r="IM485" s="18"/>
      <c r="IN485" s="18"/>
      <c r="IO485" s="18"/>
    </row>
    <row r="486" spans="1:302" ht="5.0999999999999996" hidden="1" customHeight="1" outlineLevel="1" collapsed="1" thickBot="1">
      <c r="A486" s="170"/>
      <c r="B486" s="148"/>
      <c r="C486" s="148"/>
      <c r="D486" s="148"/>
      <c r="E486" s="148"/>
      <c r="F486" s="148"/>
      <c r="G486" s="148"/>
      <c r="H486" s="148"/>
      <c r="I486" s="148"/>
      <c r="J486" s="148"/>
      <c r="K486" s="148"/>
      <c r="L486" s="148"/>
      <c r="M486" s="136"/>
      <c r="N486" s="136"/>
      <c r="O486" s="136"/>
      <c r="P486" s="169"/>
      <c r="Q486" s="166"/>
      <c r="R486" s="166"/>
      <c r="S486" s="166"/>
      <c r="T486" s="168"/>
      <c r="U486" s="168"/>
      <c r="V486" s="168"/>
      <c r="W486" s="168"/>
      <c r="X486" s="166"/>
      <c r="Y486" s="167"/>
      <c r="Z486" s="167"/>
      <c r="AA486" s="166"/>
      <c r="AB486" s="165"/>
      <c r="AC486" s="165"/>
      <c r="AD486" s="164"/>
      <c r="AE486" s="164"/>
      <c r="AF486" s="163"/>
      <c r="AG486" s="163"/>
      <c r="AH486" s="163"/>
      <c r="AI486" s="163"/>
      <c r="AJ486" s="163"/>
      <c r="AK486" s="162"/>
      <c r="AL486" s="160"/>
      <c r="AM486" s="160"/>
      <c r="AN486" s="160"/>
      <c r="AO486" s="160"/>
      <c r="AP486" s="160"/>
      <c r="AQ486" s="161"/>
      <c r="AR486" s="160"/>
      <c r="AS486" s="160"/>
      <c r="AT486" s="51"/>
      <c r="AU486" s="15"/>
      <c r="AV486" s="15"/>
      <c r="AW486" s="15"/>
      <c r="AX486" s="15"/>
      <c r="AY486" s="22"/>
      <c r="AZ486" s="22"/>
      <c r="BA486" s="54"/>
      <c r="BB486" s="22"/>
      <c r="BC486" s="15"/>
      <c r="BD486" s="15"/>
      <c r="BE486" s="15"/>
      <c r="BF486" s="15"/>
      <c r="BG486" s="51"/>
      <c r="BH486" s="15"/>
      <c r="BI486" s="15"/>
      <c r="BJ486" s="15"/>
      <c r="BK486" s="51"/>
      <c r="BL486" s="15"/>
      <c r="BM486" s="15"/>
      <c r="BN486" s="15"/>
      <c r="BO486" s="15"/>
      <c r="BP486" s="15"/>
      <c r="BQ486" s="18"/>
      <c r="BR486" s="18"/>
      <c r="BS486" s="18"/>
      <c r="BT486" s="18"/>
      <c r="BU486" s="18"/>
      <c r="BV486" s="18"/>
      <c r="BW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  <c r="FR486" s="18"/>
      <c r="FS486" s="18"/>
      <c r="FT486" s="18"/>
      <c r="FU486" s="18"/>
      <c r="FV486" s="18"/>
      <c r="FW486" s="18"/>
      <c r="FX486" s="18"/>
      <c r="FY486" s="18"/>
      <c r="FZ486" s="18"/>
      <c r="GA486" s="18"/>
      <c r="GB486" s="18"/>
      <c r="GC486" s="18"/>
      <c r="GD486" s="18"/>
      <c r="GE486" s="18"/>
      <c r="GF486" s="18"/>
      <c r="GG486" s="18"/>
      <c r="GH486" s="18"/>
      <c r="GI486" s="18"/>
      <c r="GJ486" s="18"/>
      <c r="GK486" s="18"/>
      <c r="GL486" s="18"/>
      <c r="GM486" s="18"/>
      <c r="GN486" s="18"/>
      <c r="GO486" s="18"/>
      <c r="GP486" s="18"/>
      <c r="GQ486" s="18"/>
      <c r="GR486" s="18"/>
      <c r="GS486" s="18"/>
      <c r="GT486" s="18"/>
      <c r="GU486" s="18"/>
      <c r="GV486" s="18"/>
      <c r="GW486" s="18"/>
      <c r="GX486" s="18"/>
      <c r="GY486" s="18"/>
      <c r="GZ486" s="18"/>
      <c r="HA486" s="18"/>
      <c r="HB486" s="18"/>
      <c r="HC486" s="18"/>
      <c r="HD486" s="18"/>
      <c r="HE486" s="18"/>
      <c r="HF486" s="18"/>
      <c r="HG486" s="13"/>
      <c r="HH486" s="13"/>
      <c r="HI486" s="13"/>
      <c r="HJ486" s="13"/>
      <c r="HK486" s="13"/>
      <c r="HL486" s="13"/>
      <c r="HM486" s="13"/>
      <c r="HN486" s="13"/>
      <c r="HO486" s="13"/>
      <c r="HP486" s="13"/>
      <c r="HQ486" s="13"/>
      <c r="HR486" s="13"/>
      <c r="HS486" s="13"/>
      <c r="HT486" s="13"/>
      <c r="HV486" s="18"/>
      <c r="HW486" s="18"/>
      <c r="HX486" s="18"/>
      <c r="HY486" s="18"/>
      <c r="HZ486" s="18"/>
      <c r="IA486" s="18"/>
      <c r="IB486" s="18"/>
      <c r="IC486" s="18"/>
      <c r="ID486" s="18"/>
      <c r="IE486" s="18"/>
      <c r="IF486" s="18"/>
      <c r="IG486" s="18"/>
      <c r="IH486" s="18"/>
      <c r="II486" s="18"/>
      <c r="IJ486" s="18"/>
      <c r="IK486" s="18"/>
      <c r="IL486" s="18"/>
      <c r="IM486" s="18"/>
      <c r="IN486" s="18"/>
      <c r="IO486" s="18"/>
    </row>
    <row r="487" spans="1:302" ht="11.1" hidden="1" customHeight="1" outlineLevel="1" collapsed="1" thickTop="1">
      <c r="A487" s="4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36"/>
      <c r="N487" s="136"/>
      <c r="O487" s="136"/>
      <c r="P487" s="159"/>
      <c r="Q487" s="15"/>
      <c r="R487" s="15"/>
      <c r="S487" s="15"/>
      <c r="T487" s="158"/>
      <c r="U487" s="158"/>
      <c r="V487" s="158"/>
      <c r="W487" s="158"/>
      <c r="X487" s="15"/>
      <c r="Y487" s="157"/>
      <c r="Z487" s="157"/>
      <c r="AA487" s="15"/>
      <c r="AB487" s="977"/>
      <c r="AC487" s="977"/>
      <c r="AD487" s="140"/>
      <c r="AE487" s="140"/>
      <c r="AF487" s="156"/>
      <c r="AG487" s="156"/>
      <c r="AH487" s="156"/>
      <c r="AI487" s="156"/>
      <c r="AJ487" s="156"/>
      <c r="AK487" s="155"/>
      <c r="AL487" s="22"/>
      <c r="AM487" s="22"/>
      <c r="AN487" s="22"/>
      <c r="AO487" s="22"/>
      <c r="AP487" s="22"/>
      <c r="AQ487" s="18"/>
      <c r="AR487" s="22"/>
      <c r="AS487" s="22"/>
      <c r="AT487" s="51"/>
      <c r="AU487" s="15"/>
      <c r="AV487" s="15"/>
      <c r="AW487" s="15"/>
      <c r="AX487" s="15"/>
      <c r="AY487" s="22"/>
      <c r="AZ487" s="22"/>
      <c r="BA487" s="54"/>
      <c r="BB487" s="22"/>
      <c r="BC487" s="15"/>
      <c r="BD487" s="15"/>
      <c r="BE487" s="15"/>
      <c r="BF487" s="15"/>
      <c r="BG487" s="51"/>
      <c r="BH487" s="15"/>
      <c r="BI487" s="15"/>
      <c r="BJ487" s="15"/>
      <c r="BK487" s="51"/>
      <c r="BL487" s="15"/>
      <c r="BM487" s="15"/>
      <c r="BN487" s="15"/>
      <c r="BO487" s="15"/>
      <c r="BP487" s="15"/>
      <c r="BQ487" s="18"/>
      <c r="BR487" s="18"/>
      <c r="BS487" s="18"/>
      <c r="BT487" s="18"/>
      <c r="BU487" s="18"/>
      <c r="BV487" s="18"/>
      <c r="BW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  <c r="FC487" s="18"/>
      <c r="FD487" s="18"/>
      <c r="FE487" s="18"/>
      <c r="FF487" s="18"/>
      <c r="FG487" s="18"/>
      <c r="FH487" s="18"/>
      <c r="FI487" s="18"/>
      <c r="FJ487" s="18"/>
      <c r="FK487" s="18"/>
      <c r="FL487" s="18"/>
      <c r="FM487" s="18"/>
      <c r="FN487" s="18"/>
      <c r="FO487" s="18"/>
      <c r="FP487" s="18"/>
      <c r="FQ487" s="18"/>
      <c r="FR487" s="18"/>
      <c r="FS487" s="18"/>
      <c r="FT487" s="18"/>
      <c r="FU487" s="18"/>
      <c r="FV487" s="18"/>
      <c r="FW487" s="18"/>
      <c r="FX487" s="18"/>
      <c r="FY487" s="18"/>
      <c r="FZ487" s="18"/>
      <c r="GA487" s="18"/>
      <c r="GB487" s="18"/>
      <c r="GC487" s="18"/>
      <c r="GD487" s="18"/>
      <c r="GE487" s="18"/>
      <c r="GF487" s="18"/>
      <c r="GG487" s="18"/>
      <c r="GH487" s="18"/>
      <c r="GI487" s="18"/>
      <c r="GJ487" s="18"/>
      <c r="GK487" s="18"/>
      <c r="GL487" s="18"/>
      <c r="GM487" s="18"/>
      <c r="GN487" s="18"/>
      <c r="GO487" s="18"/>
      <c r="GP487" s="18"/>
      <c r="GQ487" s="18"/>
      <c r="GR487" s="18"/>
      <c r="GS487" s="18"/>
      <c r="GT487" s="18"/>
      <c r="GU487" s="18"/>
      <c r="GV487" s="18"/>
      <c r="GW487" s="18"/>
      <c r="GX487" s="18"/>
      <c r="GY487" s="18"/>
      <c r="GZ487" s="18"/>
      <c r="HA487" s="18"/>
      <c r="HB487" s="18"/>
      <c r="HC487" s="18"/>
      <c r="HD487" s="18"/>
      <c r="HE487" s="18"/>
      <c r="HF487" s="18"/>
      <c r="HG487" s="13"/>
      <c r="HH487" s="13"/>
      <c r="HI487" s="13"/>
      <c r="HJ487" s="13"/>
      <c r="HK487" s="13"/>
      <c r="HL487" s="13"/>
      <c r="HM487" s="13"/>
      <c r="HN487" s="13"/>
      <c r="HO487" s="13"/>
      <c r="HP487" s="13"/>
      <c r="HQ487" s="13"/>
      <c r="HR487" s="13"/>
      <c r="HS487" s="13"/>
      <c r="HT487" s="13"/>
      <c r="HV487" s="18"/>
      <c r="HW487" s="18"/>
      <c r="HX487" s="18"/>
      <c r="HY487" s="18"/>
      <c r="HZ487" s="18"/>
      <c r="IA487" s="18"/>
      <c r="IB487" s="18"/>
      <c r="IC487" s="18"/>
      <c r="ID487" s="18"/>
      <c r="IE487" s="18"/>
      <c r="IF487" s="18"/>
      <c r="IG487" s="18"/>
      <c r="IH487" s="18"/>
      <c r="II487" s="18"/>
      <c r="IJ487" s="18"/>
      <c r="IK487" s="18"/>
      <c r="IL487" s="18"/>
      <c r="IM487" s="18"/>
      <c r="IN487" s="18"/>
      <c r="IO487" s="18"/>
    </row>
    <row r="488" spans="1:302" ht="4.5" hidden="1" customHeight="1" outlineLevel="1" collapsed="1" thickBot="1">
      <c r="A488" s="152"/>
      <c r="B488" s="148"/>
      <c r="C488" s="148"/>
      <c r="D488" s="148"/>
      <c r="E488" s="148"/>
      <c r="F488" s="148"/>
      <c r="G488" s="148"/>
      <c r="H488" s="148"/>
      <c r="I488" s="148"/>
      <c r="J488" s="148"/>
      <c r="K488" s="148"/>
      <c r="L488" s="148"/>
      <c r="M488" s="136"/>
      <c r="N488" s="136"/>
      <c r="O488" s="136"/>
      <c r="P488" s="151"/>
      <c r="Q488" s="148"/>
      <c r="R488" s="148"/>
      <c r="S488" s="148"/>
      <c r="T488" s="148"/>
      <c r="U488" s="148"/>
      <c r="V488" s="148"/>
      <c r="W488" s="148"/>
      <c r="X488" s="148"/>
      <c r="Y488" s="150"/>
      <c r="Z488" s="150"/>
      <c r="AA488" s="148"/>
      <c r="AB488" s="149"/>
      <c r="AC488" s="149"/>
      <c r="AD488" s="148"/>
      <c r="AE488" s="148"/>
      <c r="AF488" s="147"/>
      <c r="AG488" s="154"/>
      <c r="AH488" s="153"/>
      <c r="AI488" s="81"/>
      <c r="AJ488" s="80"/>
      <c r="AK488" s="79"/>
      <c r="AL488" s="22"/>
      <c r="AM488" s="22"/>
      <c r="AN488" s="15"/>
      <c r="AO488" s="15"/>
      <c r="AP488" s="15"/>
      <c r="AR488" s="15"/>
      <c r="AS488" s="15"/>
      <c r="AT488" s="51"/>
      <c r="AU488" s="15"/>
      <c r="AV488" s="15"/>
      <c r="AW488" s="15"/>
      <c r="AX488" s="15"/>
      <c r="AY488" s="15"/>
      <c r="AZ488" s="15"/>
      <c r="BA488" s="51"/>
      <c r="BB488" s="15"/>
      <c r="BC488" s="15"/>
      <c r="BD488" s="15"/>
      <c r="BE488" s="15"/>
      <c r="BF488" s="15"/>
      <c r="BG488" s="51"/>
      <c r="BH488" s="15"/>
      <c r="BI488" s="15"/>
      <c r="BJ488" s="15"/>
      <c r="BK488" s="51"/>
      <c r="BL488" s="15"/>
      <c r="BM488" s="15"/>
      <c r="BN488" s="15"/>
      <c r="BO488" s="15"/>
      <c r="BP488" s="15"/>
      <c r="BQ488" s="18"/>
      <c r="BR488" s="18"/>
      <c r="BS488" s="18"/>
      <c r="BT488" s="18"/>
      <c r="BU488" s="18"/>
      <c r="BV488" s="18"/>
      <c r="BW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  <c r="FC488" s="18"/>
      <c r="FD488" s="18"/>
      <c r="FE488" s="18"/>
      <c r="FF488" s="18"/>
      <c r="FG488" s="18"/>
      <c r="FH488" s="18"/>
      <c r="FI488" s="18"/>
      <c r="FJ488" s="18"/>
      <c r="FK488" s="18"/>
      <c r="FL488" s="18"/>
      <c r="FM488" s="18"/>
      <c r="FN488" s="18"/>
      <c r="FO488" s="18"/>
      <c r="FP488" s="18"/>
      <c r="FQ488" s="18"/>
      <c r="FR488" s="18"/>
      <c r="FS488" s="18"/>
      <c r="FT488" s="18"/>
      <c r="FU488" s="18"/>
      <c r="FV488" s="18"/>
      <c r="FW488" s="18"/>
      <c r="FX488" s="18"/>
      <c r="FY488" s="18"/>
      <c r="FZ488" s="18"/>
      <c r="GA488" s="18"/>
      <c r="GB488" s="18"/>
      <c r="GC488" s="18"/>
      <c r="GD488" s="18"/>
      <c r="GE488" s="18"/>
      <c r="GF488" s="18"/>
      <c r="GG488" s="18"/>
      <c r="GH488" s="18"/>
      <c r="GI488" s="18"/>
      <c r="GJ488" s="18"/>
      <c r="GK488" s="18"/>
      <c r="GL488" s="18"/>
      <c r="GM488" s="18"/>
      <c r="GN488" s="18"/>
      <c r="GO488" s="18"/>
      <c r="GP488" s="18"/>
      <c r="GQ488" s="18"/>
      <c r="GR488" s="18"/>
      <c r="GS488" s="18"/>
      <c r="GT488" s="18"/>
      <c r="GU488" s="18"/>
      <c r="GV488" s="18"/>
      <c r="GW488" s="18"/>
      <c r="GX488" s="18"/>
      <c r="GY488" s="18"/>
      <c r="GZ488" s="18"/>
      <c r="HA488" s="18"/>
      <c r="HB488" s="18"/>
      <c r="HC488" s="18"/>
      <c r="HD488" s="18"/>
      <c r="HE488" s="18"/>
      <c r="HF488" s="18"/>
      <c r="HG488" s="13"/>
      <c r="HH488" s="13"/>
      <c r="HI488" s="13"/>
      <c r="HJ488" s="13"/>
      <c r="HK488" s="13"/>
      <c r="HL488" s="13"/>
      <c r="HM488" s="13"/>
      <c r="HN488" s="13"/>
      <c r="HO488" s="13"/>
      <c r="HP488" s="13"/>
      <c r="HQ488" s="13"/>
      <c r="HR488" s="13"/>
      <c r="HS488" s="13"/>
      <c r="HT488" s="13"/>
      <c r="HV488" s="18"/>
      <c r="HW488" s="18"/>
      <c r="HX488" s="18"/>
      <c r="HY488" s="18"/>
      <c r="HZ488" s="18"/>
      <c r="IA488" s="18"/>
      <c r="IB488" s="18"/>
      <c r="IC488" s="18"/>
      <c r="ID488" s="18"/>
      <c r="IE488" s="18"/>
      <c r="IF488" s="18"/>
      <c r="IG488" s="18"/>
      <c r="IH488" s="18"/>
      <c r="II488" s="18"/>
      <c r="IJ488" s="18"/>
      <c r="IK488" s="18"/>
      <c r="IL488" s="18"/>
      <c r="IM488" s="18"/>
      <c r="IN488" s="18"/>
      <c r="IO488" s="18"/>
    </row>
    <row r="489" spans="1:302" ht="4.5" hidden="1" customHeight="1" outlineLevel="1" collapsed="1" thickTop="1" thickBot="1">
      <c r="A489" s="152"/>
      <c r="B489" s="148"/>
      <c r="C489" s="148"/>
      <c r="D489" s="148"/>
      <c r="E489" s="148"/>
      <c r="F489" s="148"/>
      <c r="G489" s="148"/>
      <c r="H489" s="148"/>
      <c r="I489" s="148"/>
      <c r="J489" s="148"/>
      <c r="K489" s="148"/>
      <c r="L489" s="148"/>
      <c r="M489" s="122"/>
      <c r="N489" s="122"/>
      <c r="O489" s="122"/>
      <c r="P489" s="151"/>
      <c r="Q489" s="148"/>
      <c r="R489" s="148"/>
      <c r="S489" s="148"/>
      <c r="T489" s="148"/>
      <c r="U489" s="148"/>
      <c r="V489" s="148"/>
      <c r="W489" s="148"/>
      <c r="X489" s="148"/>
      <c r="Y489" s="150"/>
      <c r="Z489" s="150"/>
      <c r="AA489" s="148"/>
      <c r="AB489" s="149"/>
      <c r="AC489" s="149"/>
      <c r="AD489" s="148"/>
      <c r="AE489" s="148"/>
      <c r="AF489" s="147"/>
      <c r="AG489" s="144"/>
      <c r="AH489" s="80"/>
      <c r="AI489" s="81"/>
      <c r="AJ489" s="80"/>
      <c r="AK489" s="79"/>
      <c r="AL489" s="22"/>
      <c r="AM489" s="22"/>
      <c r="AN489" s="15"/>
      <c r="AO489" s="15"/>
      <c r="AP489" s="15"/>
      <c r="AR489" s="15"/>
      <c r="AS489" s="15"/>
      <c r="AT489" s="51"/>
      <c r="AU489" s="15"/>
      <c r="AV489" s="15"/>
      <c r="AW489" s="15"/>
      <c r="AX489" s="15"/>
      <c r="AY489" s="15"/>
      <c r="AZ489" s="15"/>
      <c r="BA489" s="51"/>
      <c r="BB489" s="15"/>
      <c r="BC489" s="15"/>
      <c r="BD489" s="15"/>
      <c r="BE489" s="15"/>
      <c r="BF489" s="15"/>
      <c r="BG489" s="51"/>
      <c r="BH489" s="15"/>
      <c r="BI489" s="15"/>
      <c r="BJ489" s="15"/>
      <c r="BK489" s="51"/>
      <c r="BL489" s="15"/>
      <c r="BM489" s="15"/>
      <c r="BN489" s="15"/>
      <c r="BO489" s="15"/>
      <c r="BP489" s="15"/>
      <c r="BQ489" s="18"/>
      <c r="BR489" s="18"/>
      <c r="BS489" s="18"/>
      <c r="BT489" s="18"/>
      <c r="BU489" s="18"/>
      <c r="BV489" s="18"/>
      <c r="BW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  <c r="FC489" s="18"/>
      <c r="FD489" s="18"/>
      <c r="FE489" s="18"/>
      <c r="FF489" s="18"/>
      <c r="FG489" s="18"/>
      <c r="FH489" s="18"/>
      <c r="FI489" s="18"/>
      <c r="FJ489" s="18"/>
      <c r="FK489" s="18"/>
      <c r="FL489" s="18"/>
      <c r="FM489" s="18"/>
      <c r="FN489" s="18"/>
      <c r="FO489" s="18"/>
      <c r="FP489" s="18"/>
      <c r="FQ489" s="18"/>
      <c r="FR489" s="18"/>
      <c r="FS489" s="18"/>
      <c r="FT489" s="18"/>
      <c r="FU489" s="18"/>
      <c r="FV489" s="18"/>
      <c r="FW489" s="18"/>
      <c r="FX489" s="18"/>
      <c r="FY489" s="18"/>
      <c r="FZ489" s="18"/>
      <c r="GA489" s="18"/>
      <c r="GB489" s="18"/>
      <c r="GC489" s="18"/>
      <c r="GD489" s="18"/>
      <c r="GE489" s="18"/>
      <c r="GF489" s="18"/>
      <c r="GG489" s="18"/>
      <c r="GH489" s="18"/>
      <c r="GI489" s="18"/>
      <c r="GJ489" s="18"/>
      <c r="GK489" s="18"/>
      <c r="GL489" s="18"/>
      <c r="GM489" s="18"/>
      <c r="GN489" s="18"/>
      <c r="GO489" s="18"/>
      <c r="GP489" s="18"/>
      <c r="GQ489" s="18"/>
      <c r="GR489" s="18"/>
      <c r="GS489" s="18"/>
      <c r="GT489" s="18"/>
      <c r="GU489" s="18"/>
      <c r="GV489" s="18"/>
      <c r="GW489" s="18"/>
      <c r="GX489" s="18"/>
      <c r="GY489" s="18"/>
      <c r="GZ489" s="18"/>
      <c r="HA489" s="18"/>
      <c r="HB489" s="18"/>
      <c r="HC489" s="18"/>
      <c r="HD489" s="18"/>
      <c r="HE489" s="18"/>
      <c r="HF489" s="18"/>
      <c r="HG489" s="13"/>
      <c r="HH489" s="13"/>
      <c r="HI489" s="13"/>
      <c r="HJ489" s="13"/>
      <c r="HK489" s="13"/>
      <c r="HL489" s="13"/>
      <c r="HM489" s="13"/>
      <c r="HN489" s="13"/>
      <c r="HO489" s="13"/>
      <c r="HP489" s="13"/>
      <c r="HQ489" s="13"/>
      <c r="HR489" s="13"/>
      <c r="HS489" s="13"/>
      <c r="HT489" s="13"/>
      <c r="HV489" s="18"/>
      <c r="HW489" s="18"/>
      <c r="HX489" s="18"/>
      <c r="HY489" s="18"/>
      <c r="HZ489" s="18"/>
      <c r="IA489" s="18"/>
      <c r="IB489" s="18"/>
      <c r="IC489" s="18"/>
      <c r="ID489" s="18"/>
      <c r="IE489" s="18"/>
      <c r="IF489" s="18"/>
      <c r="IG489" s="18"/>
      <c r="IH489" s="18"/>
      <c r="II489" s="18"/>
      <c r="IJ489" s="18"/>
      <c r="IK489" s="18"/>
      <c r="IL489" s="18"/>
      <c r="IM489" s="18"/>
      <c r="IN489" s="18"/>
      <c r="IO489" s="18"/>
    </row>
    <row r="490" spans="1:302" ht="4.5" customHeight="1" collapsed="1" thickTop="1">
      <c r="A490" s="8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22"/>
      <c r="N490" s="122"/>
      <c r="O490" s="122"/>
      <c r="P490" s="21"/>
      <c r="Q490" s="143"/>
      <c r="R490" s="143"/>
      <c r="S490" s="143"/>
      <c r="T490" s="143"/>
      <c r="U490" s="143"/>
      <c r="V490" s="143"/>
      <c r="W490" s="143"/>
      <c r="X490" s="143"/>
      <c r="Y490" s="146"/>
      <c r="Z490" s="146"/>
      <c r="AA490" s="143"/>
      <c r="AB490" s="64"/>
      <c r="AC490" s="64"/>
      <c r="AD490" s="143"/>
      <c r="AE490" s="143"/>
      <c r="AF490" s="145"/>
      <c r="AG490" s="144"/>
      <c r="AH490" s="80"/>
      <c r="AI490" s="81"/>
      <c r="AJ490" s="80"/>
      <c r="AK490" s="79"/>
      <c r="AL490" s="22"/>
      <c r="AM490" s="22"/>
      <c r="AN490" s="15"/>
      <c r="AO490" s="15"/>
      <c r="AP490" s="15"/>
      <c r="AR490" s="15"/>
      <c r="AS490" s="15"/>
      <c r="AT490" s="51"/>
      <c r="AU490" s="15"/>
      <c r="AV490" s="15"/>
      <c r="AW490" s="15"/>
      <c r="AX490" s="15"/>
      <c r="AY490" s="15"/>
      <c r="AZ490" s="15"/>
      <c r="BA490" s="51"/>
      <c r="BB490" s="15"/>
      <c r="BC490" s="15"/>
      <c r="BD490" s="15"/>
      <c r="BE490" s="15"/>
      <c r="BF490" s="15"/>
      <c r="BG490" s="51"/>
      <c r="BH490" s="15"/>
      <c r="BI490" s="15"/>
      <c r="BJ490" s="15"/>
      <c r="BK490" s="51"/>
      <c r="BL490" s="15"/>
      <c r="BM490" s="15"/>
      <c r="BN490" s="15"/>
      <c r="BO490" s="15"/>
      <c r="BP490" s="15"/>
      <c r="BQ490" s="18"/>
      <c r="BR490" s="18"/>
      <c r="BS490" s="18"/>
      <c r="BT490" s="18"/>
      <c r="BU490" s="18"/>
      <c r="BV490" s="18"/>
      <c r="BW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  <c r="EZ490" s="18"/>
      <c r="FA490" s="18"/>
      <c r="FB490" s="18"/>
      <c r="FC490" s="18"/>
      <c r="FD490" s="18"/>
      <c r="FE490" s="18"/>
      <c r="FF490" s="18"/>
      <c r="FG490" s="18"/>
      <c r="FH490" s="18"/>
      <c r="FI490" s="18"/>
      <c r="FJ490" s="18"/>
      <c r="FK490" s="18"/>
      <c r="FL490" s="18"/>
      <c r="FM490" s="18"/>
      <c r="FN490" s="18"/>
      <c r="FO490" s="18"/>
      <c r="FP490" s="18"/>
      <c r="FQ490" s="18"/>
      <c r="FR490" s="18"/>
      <c r="FS490" s="18"/>
      <c r="FT490" s="18"/>
      <c r="FU490" s="18"/>
      <c r="FV490" s="18"/>
      <c r="FW490" s="18"/>
      <c r="FX490" s="18"/>
      <c r="FY490" s="18"/>
      <c r="FZ490" s="18"/>
      <c r="GA490" s="18"/>
      <c r="GB490" s="18"/>
      <c r="GC490" s="18"/>
      <c r="GD490" s="18"/>
      <c r="GE490" s="18"/>
      <c r="GF490" s="18"/>
      <c r="GG490" s="18"/>
      <c r="GH490" s="18"/>
      <c r="GI490" s="18"/>
      <c r="GJ490" s="18"/>
      <c r="GK490" s="18"/>
      <c r="GL490" s="18"/>
      <c r="GM490" s="18"/>
      <c r="GN490" s="18"/>
      <c r="GO490" s="18"/>
      <c r="GP490" s="18"/>
      <c r="GQ490" s="18"/>
      <c r="GR490" s="18"/>
      <c r="GS490" s="18"/>
      <c r="GT490" s="18"/>
      <c r="GU490" s="18"/>
      <c r="GV490" s="18"/>
      <c r="GW490" s="18"/>
      <c r="GX490" s="18"/>
      <c r="GY490" s="18"/>
      <c r="GZ490" s="18"/>
      <c r="HA490" s="18"/>
      <c r="HB490" s="18"/>
      <c r="HC490" s="18"/>
      <c r="HD490" s="18"/>
      <c r="HE490" s="18"/>
      <c r="HF490" s="18"/>
      <c r="HG490" s="13"/>
      <c r="HH490" s="13"/>
      <c r="HI490" s="13"/>
      <c r="HJ490" s="13"/>
      <c r="HK490" s="13"/>
      <c r="HL490" s="13"/>
      <c r="HM490" s="13"/>
      <c r="HN490" s="13"/>
      <c r="HO490" s="13"/>
      <c r="HP490" s="13"/>
      <c r="HQ490" s="13"/>
      <c r="HR490" s="13"/>
      <c r="HS490" s="13"/>
      <c r="HT490" s="13"/>
      <c r="HV490" s="18"/>
      <c r="HW490" s="18"/>
      <c r="HX490" s="18"/>
      <c r="HY490" s="18"/>
      <c r="HZ490" s="18"/>
      <c r="IA490" s="18"/>
      <c r="IB490" s="18"/>
      <c r="IC490" s="18"/>
      <c r="ID490" s="18"/>
      <c r="IE490" s="18"/>
      <c r="IF490" s="18"/>
      <c r="IG490" s="18"/>
      <c r="IH490" s="18"/>
      <c r="II490" s="18"/>
      <c r="IJ490" s="18"/>
      <c r="IK490" s="18"/>
      <c r="IL490" s="18"/>
      <c r="IM490" s="18"/>
      <c r="IN490" s="18"/>
      <c r="IO490" s="18"/>
    </row>
    <row r="491" spans="1:302" ht="10.5" customHeight="1">
      <c r="A491" s="6"/>
      <c r="B491" s="57"/>
      <c r="C491" s="57"/>
      <c r="D491" s="57"/>
      <c r="E491" s="57"/>
      <c r="F491" s="57"/>
      <c r="G491" s="57"/>
      <c r="H491" s="57"/>
      <c r="I491" s="57"/>
      <c r="J491" s="57"/>
      <c r="M491" s="136"/>
      <c r="N491" s="136"/>
      <c r="O491" s="136"/>
      <c r="P491" s="135"/>
      <c r="Q491" s="143"/>
      <c r="R491" s="143"/>
      <c r="S491" s="133" t="s">
        <v>28</v>
      </c>
      <c r="T491" s="133"/>
      <c r="U491" s="133"/>
      <c r="V491" s="133"/>
      <c r="W491" s="133"/>
      <c r="X491" s="133"/>
      <c r="Y491" s="134"/>
      <c r="Z491" s="134"/>
      <c r="AA491" s="133"/>
      <c r="AB491" s="142">
        <f ca="1">AB169+AB390+AB174</f>
        <v>18222.03733675387</v>
      </c>
      <c r="AC491" s="141"/>
      <c r="AD491" s="140">
        <f>AD169+AD174+AD390</f>
        <v>673.64644688818362</v>
      </c>
      <c r="AE491" s="140"/>
      <c r="AF491" s="69"/>
      <c r="AH491" s="80"/>
      <c r="AI491" s="81"/>
      <c r="AJ491" s="80"/>
      <c r="AK491" s="79"/>
      <c r="AL491" s="22"/>
      <c r="AM491" s="22"/>
      <c r="AN491" s="15"/>
      <c r="AO491" s="15"/>
      <c r="AP491" s="15"/>
      <c r="AR491" s="15"/>
      <c r="AS491" s="15"/>
      <c r="AT491" s="51"/>
      <c r="AU491" s="15"/>
      <c r="AV491" s="15"/>
      <c r="AW491" s="15"/>
      <c r="AX491" s="15"/>
      <c r="AY491" s="15"/>
      <c r="AZ491" s="15"/>
      <c r="BA491" s="51"/>
      <c r="BB491" s="15"/>
      <c r="BC491" s="15"/>
      <c r="BD491" s="15"/>
      <c r="BE491" s="15"/>
      <c r="BF491" s="15"/>
      <c r="BG491" s="51"/>
      <c r="BH491" s="15"/>
      <c r="BI491" s="15"/>
      <c r="BJ491" s="15"/>
      <c r="BK491" s="51"/>
      <c r="BL491" s="15"/>
      <c r="BM491" s="15"/>
      <c r="BN491" s="15"/>
      <c r="BO491" s="15"/>
      <c r="BP491" s="15"/>
      <c r="BQ491" s="18"/>
      <c r="BR491" s="18"/>
      <c r="BS491" s="18"/>
      <c r="BT491" s="18"/>
      <c r="BU491" s="18"/>
      <c r="BV491" s="18"/>
      <c r="BW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39">
        <f>SUM(DO169:HH169)</f>
        <v>17000</v>
      </c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  <c r="EZ491" s="18"/>
      <c r="FA491" s="18"/>
      <c r="FB491" s="18"/>
      <c r="FC491" s="18"/>
      <c r="FD491" s="18"/>
      <c r="FE491" s="18"/>
      <c r="FF491" s="18"/>
      <c r="FG491" s="18"/>
      <c r="FH491" s="18"/>
      <c r="FI491" s="18"/>
      <c r="FJ491" s="18"/>
      <c r="FK491" s="18"/>
      <c r="FL491" s="18"/>
      <c r="FM491" s="18"/>
      <c r="FN491" s="18"/>
      <c r="FO491" s="18"/>
      <c r="FP491" s="18"/>
      <c r="FQ491" s="18"/>
      <c r="FR491" s="18"/>
      <c r="FS491" s="18"/>
      <c r="FT491" s="18"/>
      <c r="FU491" s="18"/>
      <c r="FV491" s="18"/>
      <c r="FW491" s="18"/>
      <c r="FX491" s="18"/>
      <c r="FY491" s="18"/>
      <c r="FZ491" s="18"/>
      <c r="GA491" s="18"/>
      <c r="GB491" s="18"/>
      <c r="GC491" s="18"/>
      <c r="GD491" s="18"/>
      <c r="GE491" s="18"/>
      <c r="GF491" s="18"/>
      <c r="GG491" s="18"/>
      <c r="GH491" s="18"/>
      <c r="GI491" s="18"/>
      <c r="GJ491" s="18"/>
      <c r="GK491" s="18"/>
      <c r="GL491" s="18"/>
      <c r="GM491" s="18"/>
      <c r="GN491" s="18"/>
      <c r="GO491" s="18"/>
      <c r="GP491" s="18"/>
      <c r="GQ491" s="18"/>
      <c r="GR491" s="18"/>
      <c r="GS491" s="18"/>
      <c r="GT491" s="18"/>
      <c r="GU491" s="18"/>
      <c r="GV491" s="18"/>
      <c r="GW491" s="18"/>
      <c r="GX491" s="18"/>
      <c r="GY491" s="18"/>
      <c r="GZ491" s="18"/>
      <c r="HA491" s="18"/>
      <c r="HB491" s="18"/>
      <c r="HC491" s="18"/>
      <c r="HD491" s="18"/>
      <c r="HE491" s="18"/>
      <c r="HF491" s="18"/>
      <c r="HG491" s="13"/>
      <c r="HH491" s="13"/>
      <c r="HI491" s="13"/>
      <c r="HJ491" s="13"/>
      <c r="HK491" s="13"/>
      <c r="HL491" s="13"/>
      <c r="HM491" s="13"/>
      <c r="HN491" s="13"/>
      <c r="HO491" s="13"/>
      <c r="HP491" s="13"/>
      <c r="HQ491" s="13"/>
      <c r="HR491" s="13"/>
      <c r="HS491" s="13"/>
      <c r="HT491" s="13"/>
      <c r="HV491" s="18"/>
      <c r="HW491" s="18"/>
      <c r="HX491" s="18"/>
      <c r="HY491" s="18"/>
      <c r="HZ491" s="18"/>
      <c r="IA491" s="18"/>
      <c r="IB491" s="18"/>
      <c r="IC491" s="18"/>
      <c r="ID491" s="18"/>
      <c r="IE491" s="18"/>
      <c r="IF491" s="18"/>
      <c r="IG491" s="18"/>
      <c r="IH491" s="18"/>
      <c r="II491" s="18"/>
      <c r="IJ491" s="18"/>
      <c r="IK491" s="18"/>
      <c r="IL491" s="18"/>
      <c r="IM491" s="18"/>
      <c r="IN491" s="18"/>
      <c r="IO491" s="18"/>
      <c r="JR491" s="138" t="e">
        <f>JR169/JS169</f>
        <v>#DIV/0!</v>
      </c>
      <c r="JS491" s="137">
        <f>SUM(JT169:KM169)</f>
        <v>0</v>
      </c>
    </row>
    <row r="492" spans="1:302" ht="4.5" customHeight="1">
      <c r="A492" s="1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136"/>
      <c r="N492" s="136"/>
      <c r="O492" s="136"/>
      <c r="P492" s="135"/>
      <c r="Q492" s="8"/>
      <c r="R492" s="57"/>
      <c r="AB492" s="14"/>
      <c r="AC492" s="14"/>
      <c r="AF492" s="69"/>
      <c r="AG492" s="57"/>
      <c r="AH492" s="80"/>
      <c r="AI492" s="81"/>
      <c r="AJ492" s="80"/>
      <c r="AK492" s="79"/>
      <c r="AL492" s="22"/>
      <c r="AM492" s="22"/>
      <c r="AN492" s="15"/>
      <c r="AO492" s="15"/>
      <c r="AP492" s="15"/>
      <c r="AR492" s="15"/>
      <c r="AS492" s="15"/>
      <c r="AT492" s="51"/>
      <c r="AU492" s="15"/>
      <c r="AV492" s="15"/>
      <c r="AW492" s="15"/>
      <c r="AX492" s="15"/>
      <c r="AY492" s="15"/>
      <c r="AZ492" s="15"/>
      <c r="BA492" s="51"/>
      <c r="BB492" s="15"/>
      <c r="BC492" s="15"/>
      <c r="BD492" s="15"/>
      <c r="BE492" s="15"/>
      <c r="BF492" s="15"/>
      <c r="BG492" s="51"/>
      <c r="BH492" s="15"/>
      <c r="BI492" s="15"/>
      <c r="BJ492" s="15"/>
      <c r="BK492" s="51"/>
      <c r="BL492" s="15"/>
      <c r="BM492" s="15"/>
      <c r="BN492" s="15"/>
      <c r="BO492" s="15"/>
      <c r="BP492" s="15"/>
      <c r="BQ492" s="18"/>
      <c r="BR492" s="18"/>
      <c r="BS492" s="18"/>
      <c r="BT492" s="18"/>
      <c r="BU492" s="18"/>
      <c r="BV492" s="18"/>
      <c r="BW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  <c r="FC492" s="18"/>
      <c r="FD492" s="18"/>
      <c r="FE492" s="18"/>
      <c r="FF492" s="18"/>
      <c r="FG492" s="18"/>
      <c r="FH492" s="18"/>
      <c r="FI492" s="18"/>
      <c r="FJ492" s="18"/>
      <c r="FK492" s="18"/>
      <c r="FL492" s="18"/>
      <c r="FM492" s="18"/>
      <c r="FN492" s="18"/>
      <c r="FO492" s="18"/>
      <c r="FP492" s="18"/>
      <c r="FQ492" s="18"/>
      <c r="FR492" s="18"/>
      <c r="FS492" s="18"/>
      <c r="FT492" s="18"/>
      <c r="FU492" s="18"/>
      <c r="FV492" s="18"/>
      <c r="FW492" s="18"/>
      <c r="FX492" s="18"/>
      <c r="FY492" s="18"/>
      <c r="FZ492" s="18"/>
      <c r="GA492" s="18"/>
      <c r="GB492" s="18"/>
      <c r="GC492" s="18"/>
      <c r="GD492" s="18"/>
      <c r="GE492" s="18"/>
      <c r="GF492" s="18"/>
      <c r="GG492" s="18"/>
      <c r="GH492" s="18"/>
      <c r="GI492" s="18"/>
      <c r="GJ492" s="18"/>
      <c r="GK492" s="18"/>
      <c r="GL492" s="18"/>
      <c r="GM492" s="18"/>
      <c r="GN492" s="18"/>
      <c r="GO492" s="18"/>
      <c r="GP492" s="18"/>
      <c r="GQ492" s="18"/>
      <c r="GR492" s="18"/>
      <c r="GS492" s="18"/>
      <c r="GT492" s="18"/>
      <c r="GU492" s="18"/>
      <c r="GV492" s="18"/>
      <c r="GW492" s="18"/>
      <c r="GX492" s="18"/>
      <c r="GY492" s="18"/>
      <c r="GZ492" s="18"/>
      <c r="HA492" s="18"/>
      <c r="HB492" s="18"/>
      <c r="HC492" s="18"/>
      <c r="HD492" s="18"/>
      <c r="HE492" s="18"/>
      <c r="HF492" s="18"/>
      <c r="HG492" s="13"/>
      <c r="HH492" s="13"/>
      <c r="HI492" s="13"/>
      <c r="HJ492" s="13"/>
      <c r="HK492" s="13"/>
      <c r="HL492" s="13"/>
      <c r="HM492" s="13"/>
      <c r="HN492" s="13"/>
      <c r="HO492" s="13"/>
      <c r="HP492" s="13"/>
      <c r="HQ492" s="13"/>
      <c r="HR492" s="13"/>
      <c r="HS492" s="13"/>
      <c r="HT492" s="13"/>
      <c r="HV492" s="18"/>
      <c r="HW492" s="18"/>
      <c r="HX492" s="18"/>
      <c r="HY492" s="18"/>
      <c r="HZ492" s="18"/>
      <c r="IA492" s="18"/>
      <c r="IB492" s="18"/>
      <c r="IC492" s="18"/>
      <c r="ID492" s="18"/>
      <c r="IE492" s="18"/>
      <c r="IF492" s="18"/>
      <c r="IG492" s="18"/>
      <c r="IH492" s="18"/>
      <c r="II492" s="18"/>
      <c r="IJ492" s="18"/>
      <c r="IK492" s="18"/>
      <c r="IL492" s="18"/>
      <c r="IM492" s="18"/>
      <c r="IN492" s="18"/>
      <c r="IO492" s="18"/>
    </row>
    <row r="493" spans="1:302" ht="11.1" customHeight="1">
      <c r="A493" s="1"/>
      <c r="B493" s="14"/>
      <c r="F493" s="14"/>
      <c r="K493" s="14"/>
      <c r="L493" s="14"/>
      <c r="M493" s="122"/>
      <c r="N493" s="122"/>
      <c r="O493" s="122"/>
      <c r="Q493" s="8"/>
      <c r="S493" s="133" t="s">
        <v>27</v>
      </c>
      <c r="T493" s="133"/>
      <c r="U493" s="133"/>
      <c r="V493" s="133"/>
      <c r="W493" s="133"/>
      <c r="X493" s="133"/>
      <c r="Y493" s="134"/>
      <c r="Z493" s="134"/>
      <c r="AA493" s="133"/>
      <c r="AB493" s="132">
        <f>F2</f>
        <v>990</v>
      </c>
      <c r="AC493" s="132"/>
      <c r="AF493" s="69"/>
      <c r="AG493" s="14"/>
      <c r="AH493" s="56"/>
      <c r="AI493" s="11"/>
      <c r="AJ493" s="56"/>
      <c r="AK493" s="55"/>
      <c r="AL493" s="22"/>
      <c r="AM493" s="22"/>
      <c r="AN493" s="15"/>
      <c r="AO493" s="15"/>
      <c r="AP493" s="15"/>
      <c r="AR493" s="15"/>
      <c r="AS493" s="15"/>
      <c r="AT493" s="51"/>
      <c r="AU493" s="15"/>
      <c r="AV493" s="15"/>
      <c r="AW493" s="15"/>
      <c r="AX493" s="15"/>
      <c r="AY493" s="22"/>
      <c r="AZ493" s="22"/>
      <c r="BA493" s="54"/>
      <c r="BB493" s="22"/>
      <c r="BC493" s="15"/>
      <c r="BD493" s="15"/>
      <c r="BE493" s="15"/>
      <c r="BF493" s="15"/>
      <c r="BG493" s="51"/>
      <c r="BH493" s="15"/>
      <c r="BI493" s="15"/>
      <c r="BJ493" s="15"/>
      <c r="BK493" s="119">
        <f>BK169+BM169</f>
        <v>5000</v>
      </c>
      <c r="BL493" s="978"/>
      <c r="BM493" s="978"/>
      <c r="BN493" s="978"/>
      <c r="BO493" s="119">
        <f>BO169+BR169+BS169+BT169+BU169+BV169+BW169</f>
        <v>11000</v>
      </c>
      <c r="BP493" s="119">
        <f>BP169+BQ169</f>
        <v>2000</v>
      </c>
      <c r="BQ493" s="18"/>
      <c r="BR493" s="18"/>
      <c r="BS493" s="18"/>
      <c r="BT493" s="18"/>
      <c r="BU493" s="18"/>
      <c r="BV493" s="18"/>
      <c r="BW493" s="18"/>
      <c r="BX493" s="131">
        <f t="shared" ref="BX493:CR493" si="5">SUM(BX169:BX488)</f>
        <v>18000</v>
      </c>
      <c r="BY493" s="131">
        <f t="shared" si="5"/>
        <v>0</v>
      </c>
      <c r="BZ493" s="131">
        <f t="shared" si="5"/>
        <v>0</v>
      </c>
      <c r="CA493" s="131">
        <f t="shared" si="5"/>
        <v>0</v>
      </c>
      <c r="CB493" s="131">
        <f t="shared" si="5"/>
        <v>0</v>
      </c>
      <c r="CC493" s="131">
        <f t="shared" si="5"/>
        <v>0</v>
      </c>
      <c r="CD493" s="131">
        <f t="shared" si="5"/>
        <v>0</v>
      </c>
      <c r="CE493" s="131">
        <f t="shared" si="5"/>
        <v>0</v>
      </c>
      <c r="CF493" s="131">
        <f t="shared" si="5"/>
        <v>0</v>
      </c>
      <c r="CG493" s="131">
        <f t="shared" si="5"/>
        <v>0</v>
      </c>
      <c r="CH493" s="131">
        <f t="shared" si="5"/>
        <v>0</v>
      </c>
      <c r="CI493" s="131">
        <f t="shared" si="5"/>
        <v>0</v>
      </c>
      <c r="CJ493" s="131">
        <f t="shared" si="5"/>
        <v>0</v>
      </c>
      <c r="CK493" s="131">
        <f t="shared" si="5"/>
        <v>0</v>
      </c>
      <c r="CL493" s="131">
        <f t="shared" si="5"/>
        <v>0</v>
      </c>
      <c r="CM493" s="131">
        <f t="shared" si="5"/>
        <v>0</v>
      </c>
      <c r="CN493" s="131">
        <f t="shared" si="5"/>
        <v>0</v>
      </c>
      <c r="CO493" s="131">
        <f t="shared" si="5"/>
        <v>0</v>
      </c>
      <c r="CP493" s="131">
        <f t="shared" si="5"/>
        <v>0</v>
      </c>
      <c r="CQ493" s="131">
        <f t="shared" si="5"/>
        <v>0</v>
      </c>
      <c r="CR493" s="131">
        <f t="shared" si="5"/>
        <v>0</v>
      </c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  <c r="FC493" s="18"/>
      <c r="FD493" s="18"/>
      <c r="FE493" s="18"/>
      <c r="FF493" s="18"/>
      <c r="FG493" s="18"/>
      <c r="FH493" s="18"/>
      <c r="FI493" s="18"/>
      <c r="FJ493" s="18"/>
      <c r="FK493" s="18"/>
      <c r="FL493" s="18"/>
      <c r="FM493" s="18"/>
      <c r="FN493" s="18"/>
      <c r="FO493" s="18"/>
      <c r="FP493" s="18"/>
      <c r="FQ493" s="18"/>
      <c r="FR493" s="18"/>
      <c r="FS493" s="18"/>
      <c r="FT493" s="18"/>
      <c r="FU493" s="18"/>
      <c r="FV493" s="18"/>
      <c r="FW493" s="18"/>
      <c r="FX493" s="18"/>
      <c r="FY493" s="18"/>
      <c r="FZ493" s="18"/>
      <c r="GA493" s="18"/>
      <c r="GB493" s="18"/>
      <c r="GC493" s="18"/>
      <c r="GD493" s="18"/>
      <c r="GE493" s="18"/>
      <c r="GF493" s="18"/>
      <c r="GG493" s="18"/>
      <c r="GH493" s="18"/>
      <c r="GI493" s="18"/>
      <c r="GJ493" s="18"/>
      <c r="GK493" s="18"/>
      <c r="GL493" s="18"/>
      <c r="GM493" s="18"/>
      <c r="GN493" s="18"/>
      <c r="GO493" s="18"/>
      <c r="GP493" s="18"/>
      <c r="GQ493" s="18"/>
      <c r="GR493" s="18"/>
      <c r="GS493" s="18"/>
      <c r="GT493" s="18"/>
      <c r="GU493" s="18"/>
      <c r="GV493" s="18"/>
      <c r="GW493" s="18"/>
      <c r="GX493" s="18"/>
      <c r="GY493" s="18"/>
      <c r="GZ493" s="18"/>
      <c r="HA493" s="18"/>
      <c r="HB493" s="18"/>
      <c r="HC493" s="18"/>
      <c r="HD493" s="18"/>
      <c r="HE493" s="18"/>
      <c r="HF493" s="18"/>
      <c r="HG493" s="13"/>
      <c r="HH493" s="13"/>
      <c r="HI493" s="13"/>
      <c r="HJ493" s="13"/>
      <c r="HK493" s="13"/>
      <c r="HL493" s="13"/>
      <c r="HM493" s="13"/>
      <c r="HN493" s="13"/>
      <c r="HO493" s="13"/>
      <c r="HP493" s="13"/>
      <c r="HQ493" s="13"/>
      <c r="HR493" s="13"/>
      <c r="HS493" s="13"/>
      <c r="HT493" s="13"/>
      <c r="HU493" s="131">
        <f ca="1">SUM(HU169:HU488)</f>
        <v>18222.03733675387</v>
      </c>
      <c r="HV493" s="131">
        <f t="shared" ref="HV493:IP493" si="6">SUM(HV169:HV488)</f>
        <v>0</v>
      </c>
      <c r="HW493" s="131">
        <f t="shared" si="6"/>
        <v>0</v>
      </c>
      <c r="HX493" s="131">
        <f t="shared" si="6"/>
        <v>0</v>
      </c>
      <c r="HY493" s="131">
        <f t="shared" si="6"/>
        <v>0</v>
      </c>
      <c r="HZ493" s="131">
        <f t="shared" si="6"/>
        <v>0</v>
      </c>
      <c r="IA493" s="131">
        <f t="shared" si="6"/>
        <v>0</v>
      </c>
      <c r="IB493" s="131">
        <f t="shared" si="6"/>
        <v>0</v>
      </c>
      <c r="IC493" s="131">
        <f t="shared" si="6"/>
        <v>0</v>
      </c>
      <c r="ID493" s="131">
        <f t="shared" si="6"/>
        <v>0</v>
      </c>
      <c r="IE493" s="131">
        <f t="shared" si="6"/>
        <v>0</v>
      </c>
      <c r="IF493" s="131">
        <f t="shared" si="6"/>
        <v>0</v>
      </c>
      <c r="IG493" s="131">
        <f t="shared" si="6"/>
        <v>0</v>
      </c>
      <c r="IH493" s="131">
        <f t="shared" si="6"/>
        <v>0</v>
      </c>
      <c r="II493" s="131">
        <f t="shared" si="6"/>
        <v>0</v>
      </c>
      <c r="IJ493" s="131">
        <f t="shared" si="6"/>
        <v>0</v>
      </c>
      <c r="IK493" s="131">
        <f t="shared" si="6"/>
        <v>0</v>
      </c>
      <c r="IL493" s="131">
        <f t="shared" si="6"/>
        <v>0</v>
      </c>
      <c r="IM493" s="131">
        <f t="shared" si="6"/>
        <v>0</v>
      </c>
      <c r="IN493" s="131">
        <f t="shared" si="6"/>
        <v>0</v>
      </c>
      <c r="IO493" s="131">
        <f t="shared" si="6"/>
        <v>0</v>
      </c>
      <c r="IP493" s="131">
        <f t="shared" si="6"/>
        <v>0</v>
      </c>
    </row>
    <row r="494" spans="1:302" s="36" customFormat="1" ht="15" customHeight="1">
      <c r="A494" s="1"/>
      <c r="B494" s="14"/>
      <c r="C494" s="14"/>
      <c r="D494" s="14"/>
      <c r="E494" s="14"/>
      <c r="F494" s="14"/>
      <c r="G494" s="14"/>
      <c r="H494" s="14"/>
      <c r="I494" s="14"/>
      <c r="J494" s="14"/>
      <c r="K494" s="14"/>
      <c r="L494" s="14"/>
      <c r="M494" s="122"/>
      <c r="N494" s="122"/>
      <c r="O494" s="122"/>
      <c r="P494" s="38"/>
      <c r="Q494" s="8"/>
      <c r="R494" s="14"/>
      <c r="S494" s="129"/>
      <c r="T494" s="129"/>
      <c r="U494" s="129"/>
      <c r="V494" s="129"/>
      <c r="W494" s="129"/>
      <c r="X494" s="129"/>
      <c r="Y494" s="130"/>
      <c r="Z494" s="130"/>
      <c r="AA494" s="129"/>
      <c r="AD494" s="14"/>
      <c r="AE494" s="14"/>
      <c r="AF494" s="971"/>
      <c r="AG494" s="971"/>
      <c r="AH494" s="15"/>
      <c r="AI494" s="981"/>
      <c r="AJ494" s="15"/>
      <c r="AK494" s="65"/>
      <c r="AL494" s="22"/>
      <c r="AM494" s="22"/>
      <c r="AN494" s="22"/>
      <c r="AO494" s="22"/>
      <c r="AP494" s="123"/>
      <c r="AR494" s="22"/>
      <c r="AS494" s="22"/>
      <c r="AT494" s="54"/>
      <c r="AU494" s="22"/>
      <c r="AV494" s="22"/>
      <c r="AW494" s="22"/>
      <c r="AX494" s="22"/>
      <c r="AY494" s="22"/>
      <c r="AZ494" s="22"/>
      <c r="BA494" s="54"/>
      <c r="BB494" s="22"/>
      <c r="BC494" s="15"/>
      <c r="BD494" s="15"/>
      <c r="BE494" s="15"/>
      <c r="BF494" s="15"/>
      <c r="BG494" s="51"/>
      <c r="BH494" s="15"/>
      <c r="BI494" s="15"/>
      <c r="BJ494" s="15"/>
      <c r="BK494" s="106" t="s">
        <v>26</v>
      </c>
      <c r="BL494" s="15"/>
      <c r="BM494" s="15"/>
      <c r="BN494" s="15"/>
      <c r="BO494" s="106" t="s">
        <v>25</v>
      </c>
      <c r="BP494" s="106" t="s">
        <v>24</v>
      </c>
      <c r="BQ494" s="15"/>
      <c r="BR494" s="15"/>
      <c r="BS494" s="15"/>
      <c r="BT494" s="15"/>
      <c r="BU494" s="15"/>
      <c r="BV494" s="15"/>
      <c r="BW494" s="15"/>
      <c r="BX494" s="51"/>
      <c r="BY494" s="15"/>
      <c r="BZ494" s="15"/>
      <c r="CA494" s="15"/>
      <c r="CB494" s="15"/>
      <c r="CC494" s="15"/>
      <c r="CD494" s="15"/>
      <c r="CE494" s="15"/>
      <c r="CF494" s="15"/>
      <c r="CG494" s="15"/>
      <c r="CH494" s="15"/>
      <c r="CI494" s="15"/>
      <c r="CJ494" s="15"/>
      <c r="CK494" s="15"/>
      <c r="CL494" s="15"/>
      <c r="CM494" s="15"/>
      <c r="CN494" s="15"/>
      <c r="CO494" s="15"/>
      <c r="CP494" s="15"/>
      <c r="CQ494" s="15"/>
      <c r="CR494" s="15"/>
      <c r="CS494" s="51"/>
      <c r="CT494" s="15"/>
      <c r="CU494" s="15"/>
      <c r="CV494" s="15"/>
      <c r="CW494" s="15"/>
      <c r="CX494" s="15"/>
      <c r="CY494" s="15"/>
      <c r="CZ494" s="15"/>
      <c r="DA494" s="15"/>
      <c r="DB494" s="15"/>
      <c r="DC494" s="15"/>
      <c r="DD494" s="15"/>
      <c r="DE494" s="15"/>
      <c r="DF494" s="15"/>
      <c r="DG494" s="15"/>
      <c r="DH494" s="15"/>
      <c r="DI494" s="15"/>
      <c r="DJ494" s="15"/>
      <c r="DK494" s="15"/>
      <c r="DL494" s="15"/>
      <c r="DM494" s="15"/>
      <c r="DN494" s="15"/>
      <c r="DO494" s="51"/>
      <c r="DP494" s="15"/>
      <c r="DQ494" s="15"/>
      <c r="DR494" s="15"/>
      <c r="DS494" s="15"/>
      <c r="DT494" s="15"/>
      <c r="DU494" s="15"/>
      <c r="DV494" s="15"/>
      <c r="DW494" s="15"/>
      <c r="DX494" s="15"/>
      <c r="DY494" s="15"/>
      <c r="DZ494" s="15"/>
      <c r="EA494" s="15"/>
      <c r="EB494" s="15"/>
      <c r="EC494" s="15"/>
      <c r="ED494" s="15"/>
      <c r="EE494" s="15"/>
      <c r="EF494" s="15"/>
      <c r="EG494" s="15"/>
      <c r="EH494" s="15"/>
      <c r="EI494" s="15"/>
      <c r="EJ494" s="15"/>
      <c r="EK494" s="15"/>
      <c r="EL494" s="15"/>
      <c r="EM494" s="15"/>
      <c r="EN494" s="15"/>
      <c r="EO494" s="15"/>
      <c r="EP494" s="15"/>
      <c r="EQ494" s="15"/>
      <c r="ER494" s="15"/>
      <c r="ES494" s="15"/>
      <c r="ET494" s="15"/>
      <c r="EU494" s="15"/>
      <c r="EV494" s="15"/>
      <c r="EW494" s="15"/>
      <c r="EX494" s="15"/>
      <c r="EY494" s="15"/>
      <c r="EZ494" s="15"/>
      <c r="FA494" s="15"/>
      <c r="FB494" s="15"/>
      <c r="FC494" s="15"/>
      <c r="FD494" s="15"/>
      <c r="FE494" s="15"/>
      <c r="FF494" s="15"/>
      <c r="FG494" s="15"/>
      <c r="FH494" s="15"/>
      <c r="FI494" s="15"/>
      <c r="FJ494" s="15"/>
      <c r="FK494" s="15"/>
      <c r="FL494" s="15"/>
      <c r="FM494" s="15"/>
      <c r="FN494" s="15"/>
      <c r="FO494" s="15"/>
      <c r="FP494" s="15"/>
      <c r="FQ494" s="15"/>
      <c r="FR494" s="15"/>
      <c r="FS494" s="15"/>
      <c r="FT494" s="15"/>
      <c r="FU494" s="15"/>
      <c r="FV494" s="15"/>
      <c r="FW494" s="15"/>
      <c r="FX494" s="15"/>
      <c r="FY494" s="15"/>
      <c r="FZ494" s="15"/>
      <c r="GA494" s="15"/>
      <c r="GB494" s="15"/>
      <c r="GC494" s="15"/>
      <c r="GD494" s="15"/>
      <c r="GE494" s="15"/>
      <c r="GF494" s="15"/>
      <c r="GG494" s="15"/>
      <c r="GH494" s="15"/>
      <c r="GI494" s="15"/>
      <c r="GJ494" s="15"/>
      <c r="GK494" s="15"/>
      <c r="GL494" s="15"/>
      <c r="GM494" s="15"/>
      <c r="GN494" s="15"/>
      <c r="GO494" s="15"/>
      <c r="GP494" s="15"/>
      <c r="GQ494" s="15"/>
      <c r="GR494" s="15"/>
      <c r="GS494" s="15"/>
      <c r="GT494" s="15"/>
      <c r="GU494" s="15"/>
      <c r="GV494" s="15"/>
      <c r="GW494" s="15"/>
      <c r="GX494" s="15"/>
      <c r="GY494" s="15"/>
      <c r="GZ494" s="15"/>
      <c r="HA494" s="15"/>
      <c r="HB494" s="15"/>
      <c r="HC494" s="15"/>
      <c r="HD494" s="15"/>
      <c r="HE494" s="15"/>
      <c r="HF494" s="15"/>
      <c r="HG494" s="981"/>
      <c r="HH494" s="981"/>
      <c r="HI494" s="981"/>
      <c r="HJ494" s="981"/>
      <c r="HK494" s="981"/>
      <c r="HL494" s="981"/>
      <c r="HM494" s="981"/>
      <c r="HN494" s="981"/>
      <c r="HO494" s="981"/>
      <c r="HP494" s="981"/>
      <c r="HQ494" s="981"/>
      <c r="HR494" s="981"/>
      <c r="HS494" s="981"/>
      <c r="HT494" s="981"/>
      <c r="HU494" s="51"/>
      <c r="HV494" s="15"/>
      <c r="HW494" s="15"/>
      <c r="HX494" s="15"/>
      <c r="HY494" s="15"/>
      <c r="HZ494" s="15"/>
      <c r="IA494" s="15"/>
      <c r="IB494" s="15"/>
      <c r="IC494" s="15"/>
      <c r="ID494" s="15"/>
      <c r="IE494" s="15"/>
      <c r="IF494" s="15"/>
      <c r="IG494" s="15"/>
      <c r="IH494" s="15"/>
      <c r="II494" s="15"/>
      <c r="IJ494" s="15"/>
      <c r="IK494" s="15"/>
      <c r="IL494" s="15"/>
      <c r="IM494" s="15"/>
      <c r="IN494" s="15"/>
      <c r="IO494" s="15"/>
      <c r="IP494" s="23"/>
      <c r="IQ494" s="23"/>
      <c r="IR494" s="23"/>
      <c r="IS494" s="23"/>
      <c r="IT494" s="23"/>
      <c r="IU494" s="23"/>
      <c r="IV494" s="23"/>
      <c r="IW494" s="23"/>
      <c r="IX494" s="23"/>
      <c r="IY494" s="23"/>
      <c r="IZ494" s="23"/>
      <c r="JA494" s="23"/>
      <c r="JB494" s="23"/>
      <c r="JC494" s="23"/>
      <c r="JD494" s="23"/>
      <c r="JE494" s="23"/>
      <c r="JF494" s="23"/>
      <c r="JG494" s="23"/>
      <c r="JH494" s="23"/>
      <c r="JI494" s="23"/>
      <c r="JJ494" s="23"/>
      <c r="JK494" s="23"/>
      <c r="JL494" s="23"/>
      <c r="JM494" s="23"/>
      <c r="JN494" s="23"/>
      <c r="JO494" s="23"/>
      <c r="JP494" s="23"/>
      <c r="JQ494" s="23"/>
      <c r="JR494" s="14"/>
      <c r="JS494" s="14"/>
      <c r="JT494" s="14"/>
      <c r="JU494" s="14"/>
      <c r="JV494" s="14"/>
      <c r="JW494" s="14"/>
      <c r="JX494" s="14"/>
      <c r="JY494" s="14"/>
      <c r="JZ494" s="14"/>
      <c r="KA494" s="14"/>
      <c r="KB494" s="14"/>
      <c r="KC494" s="14"/>
      <c r="KD494" s="14"/>
      <c r="KE494" s="14"/>
      <c r="KF494" s="14"/>
      <c r="KG494" s="14"/>
      <c r="KH494" s="14"/>
      <c r="KI494" s="14"/>
      <c r="KJ494" s="14"/>
      <c r="KK494" s="14"/>
      <c r="KL494" s="14"/>
      <c r="KM494" s="14"/>
      <c r="KN494" s="14"/>
      <c r="KO494" s="14"/>
      <c r="KP494" s="14"/>
    </row>
    <row r="495" spans="1:302" ht="15" customHeight="1">
      <c r="A495" s="1"/>
      <c r="B495" s="14"/>
      <c r="F495" s="14"/>
      <c r="K495" s="14"/>
      <c r="L495" s="14"/>
      <c r="M495" s="122"/>
      <c r="N495" s="122"/>
      <c r="O495" s="122"/>
      <c r="P495" s="704" t="s">
        <v>23</v>
      </c>
      <c r="Q495" s="8"/>
      <c r="R495" s="128"/>
      <c r="S495" s="126"/>
      <c r="T495" s="126"/>
      <c r="U495" s="126"/>
      <c r="V495" s="126"/>
      <c r="W495" s="126"/>
      <c r="X495" s="126"/>
      <c r="Y495" s="127"/>
      <c r="Z495" s="127"/>
      <c r="AA495" s="126"/>
      <c r="AB495" s="125">
        <f ca="1">AB491+AB493</f>
        <v>19212.03733675387</v>
      </c>
      <c r="AC495" s="124"/>
      <c r="AF495" s="69"/>
      <c r="AG495" s="14"/>
      <c r="AH495" s="15"/>
      <c r="AI495" s="981"/>
      <c r="AJ495" s="15"/>
      <c r="AK495" s="65"/>
      <c r="AL495" s="22"/>
      <c r="AM495" s="22"/>
      <c r="AN495" s="22"/>
      <c r="AO495" s="22"/>
      <c r="AP495" s="123"/>
      <c r="AR495" s="15"/>
      <c r="AS495" s="15"/>
      <c r="AT495" s="51"/>
      <c r="AU495" s="15"/>
      <c r="AV495" s="15"/>
      <c r="AW495" s="15"/>
      <c r="AX495" s="15"/>
      <c r="AY495" s="22"/>
      <c r="AZ495" s="22"/>
      <c r="BA495" s="54"/>
      <c r="BB495" s="22"/>
      <c r="BC495" s="15"/>
      <c r="BD495" s="15"/>
      <c r="BE495" s="15"/>
      <c r="BF495" s="15"/>
      <c r="BG495" s="51"/>
      <c r="BH495" s="15"/>
      <c r="BI495" s="15"/>
      <c r="BJ495" s="15"/>
      <c r="BK495" s="51"/>
      <c r="BL495" s="15"/>
      <c r="BM495" s="15"/>
      <c r="BN495" s="15"/>
      <c r="BO495" s="15"/>
      <c r="BP495" s="15"/>
      <c r="BQ495" s="18"/>
      <c r="BR495" s="18"/>
      <c r="BS495" s="18"/>
      <c r="BT495" s="18"/>
      <c r="BU495" s="18"/>
      <c r="BV495" s="18"/>
      <c r="BW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  <c r="FC495" s="18"/>
      <c r="FD495" s="18"/>
      <c r="FE495" s="18"/>
      <c r="FF495" s="18"/>
      <c r="FG495" s="18"/>
      <c r="FH495" s="18"/>
      <c r="FI495" s="18"/>
      <c r="FJ495" s="18"/>
      <c r="FK495" s="18"/>
      <c r="FL495" s="18"/>
      <c r="FM495" s="18"/>
      <c r="FN495" s="18"/>
      <c r="FO495" s="18"/>
      <c r="FP495" s="18"/>
      <c r="FQ495" s="18"/>
      <c r="FR495" s="18"/>
      <c r="FS495" s="18"/>
      <c r="FT495" s="18"/>
      <c r="FU495" s="18"/>
      <c r="FV495" s="18"/>
      <c r="FW495" s="18"/>
      <c r="FX495" s="18"/>
      <c r="FY495" s="18"/>
      <c r="FZ495" s="18"/>
      <c r="GA495" s="18"/>
      <c r="GB495" s="18"/>
      <c r="GC495" s="18"/>
      <c r="GD495" s="18"/>
      <c r="GE495" s="18"/>
      <c r="GF495" s="18"/>
      <c r="GG495" s="18"/>
      <c r="GH495" s="18"/>
      <c r="GI495" s="18"/>
      <c r="GJ495" s="18"/>
      <c r="GK495" s="18"/>
      <c r="GL495" s="18"/>
      <c r="GM495" s="18"/>
      <c r="GN495" s="18"/>
      <c r="GO495" s="18"/>
      <c r="GP495" s="18"/>
      <c r="GQ495" s="18"/>
      <c r="GR495" s="18"/>
      <c r="GS495" s="18"/>
      <c r="GT495" s="18"/>
      <c r="GU495" s="18"/>
      <c r="GV495" s="18"/>
      <c r="GW495" s="18"/>
      <c r="GX495" s="18"/>
      <c r="GY495" s="18"/>
      <c r="GZ495" s="18"/>
      <c r="HA495" s="18"/>
      <c r="HB495" s="18"/>
      <c r="HC495" s="18"/>
      <c r="HD495" s="18"/>
      <c r="HE495" s="18"/>
      <c r="HF495" s="18"/>
      <c r="HG495" s="13"/>
      <c r="HH495" s="13"/>
      <c r="HI495" s="13"/>
      <c r="HJ495" s="13"/>
      <c r="HK495" s="13"/>
      <c r="HL495" s="13"/>
      <c r="HM495" s="13"/>
      <c r="HN495" s="13"/>
      <c r="HO495" s="13"/>
      <c r="HP495" s="13"/>
      <c r="HQ495" s="13"/>
      <c r="HR495" s="13"/>
      <c r="HS495" s="13"/>
      <c r="HT495" s="13"/>
      <c r="HV495" s="18"/>
      <c r="HW495" s="18"/>
      <c r="HX495" s="18"/>
      <c r="HY495" s="18"/>
      <c r="HZ495" s="18"/>
      <c r="IA495" s="18"/>
      <c r="IB495" s="18"/>
      <c r="IC495" s="18"/>
      <c r="ID495" s="18"/>
      <c r="IE495" s="18"/>
      <c r="IF495" s="18"/>
      <c r="IG495" s="18"/>
      <c r="IH495" s="18"/>
      <c r="II495" s="18"/>
      <c r="IJ495" s="18"/>
      <c r="IK495" s="18"/>
      <c r="IL495" s="18"/>
      <c r="IM495" s="18"/>
      <c r="IN495" s="18"/>
      <c r="IO495" s="18"/>
    </row>
    <row r="496" spans="1:302" ht="15" customHeight="1">
      <c r="A496" s="1"/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122"/>
      <c r="N496" s="122"/>
      <c r="O496" s="122"/>
      <c r="P496" s="58"/>
      <c r="Q496" s="1"/>
      <c r="R496" s="23"/>
      <c r="S496" s="23"/>
      <c r="T496" s="23"/>
      <c r="U496" s="23"/>
      <c r="V496" s="23"/>
      <c r="W496" s="23"/>
      <c r="X496" s="23"/>
      <c r="Y496" s="71"/>
      <c r="Z496" s="71"/>
      <c r="AA496" s="23"/>
      <c r="AB496" s="121"/>
      <c r="AC496" s="121"/>
      <c r="AD496" s="23"/>
      <c r="AE496" s="23"/>
      <c r="AF496" s="69"/>
      <c r="AG496" s="23"/>
      <c r="AH496" s="15"/>
      <c r="AI496" s="981"/>
      <c r="AJ496" s="15"/>
      <c r="AK496" s="65"/>
      <c r="AL496" s="22"/>
      <c r="AM496" s="22"/>
      <c r="AN496" s="22"/>
      <c r="AO496" s="22"/>
      <c r="AP496" s="22"/>
      <c r="AQ496" s="22"/>
      <c r="AR496" s="22"/>
      <c r="AS496" s="22"/>
      <c r="AT496" s="54"/>
      <c r="AU496" s="22"/>
      <c r="AV496" s="22"/>
      <c r="AW496" s="22"/>
      <c r="AX496" s="22"/>
      <c r="AY496" s="62"/>
      <c r="AZ496" s="62"/>
      <c r="BA496" s="976"/>
      <c r="BB496" s="62"/>
      <c r="BC496" s="78"/>
      <c r="BD496" s="78"/>
      <c r="BE496" s="78"/>
      <c r="BF496" s="78"/>
      <c r="BG496" s="120"/>
      <c r="BH496" s="78"/>
      <c r="BI496" s="78"/>
      <c r="BJ496" s="78"/>
      <c r="BK496" s="120"/>
      <c r="BL496" s="78"/>
      <c r="BM496" s="78"/>
      <c r="BN496" s="78"/>
      <c r="BO496" s="78"/>
      <c r="BP496" s="119"/>
      <c r="BQ496" s="117"/>
      <c r="BR496" s="117"/>
      <c r="BS496" s="117"/>
      <c r="BT496" s="117"/>
      <c r="BU496" s="117"/>
      <c r="BV496" s="117"/>
      <c r="BW496" s="117"/>
      <c r="BX496" s="118"/>
      <c r="BY496" s="117"/>
      <c r="BZ496" s="117"/>
      <c r="CA496" s="117"/>
      <c r="CB496" s="117"/>
      <c r="CC496" s="117"/>
      <c r="CD496" s="117"/>
      <c r="CE496" s="117"/>
      <c r="CF496" s="117"/>
      <c r="CG496" s="117"/>
      <c r="CH496" s="117"/>
      <c r="CI496" s="117"/>
      <c r="CJ496" s="117"/>
      <c r="CK496" s="117"/>
      <c r="CL496" s="117"/>
      <c r="CM496" s="117"/>
      <c r="CN496" s="117"/>
      <c r="CO496" s="117"/>
      <c r="CP496" s="117"/>
      <c r="CQ496" s="117"/>
      <c r="CR496" s="117"/>
      <c r="CS496" s="118"/>
      <c r="CT496" s="117"/>
      <c r="CU496" s="117"/>
      <c r="CV496" s="117"/>
      <c r="CW496" s="117"/>
      <c r="CX496" s="117"/>
      <c r="CY496" s="117"/>
      <c r="CZ496" s="117"/>
      <c r="DA496" s="117"/>
      <c r="DB496" s="117"/>
      <c r="DC496" s="117"/>
      <c r="DD496" s="117"/>
      <c r="DE496" s="117"/>
      <c r="DF496" s="117"/>
      <c r="DG496" s="117"/>
      <c r="DH496" s="117"/>
      <c r="DI496" s="117"/>
      <c r="DJ496" s="117"/>
      <c r="DK496" s="117"/>
      <c r="DL496" s="117"/>
      <c r="DM496" s="117"/>
      <c r="DN496" s="117"/>
      <c r="DO496" s="118"/>
      <c r="DP496" s="117"/>
      <c r="DQ496" s="117"/>
      <c r="DR496" s="117"/>
      <c r="DS496" s="117"/>
      <c r="DT496" s="117"/>
      <c r="DU496" s="117"/>
      <c r="DV496" s="117"/>
      <c r="DW496" s="117"/>
      <c r="DX496" s="117"/>
      <c r="DY496" s="117"/>
      <c r="DZ496" s="117"/>
      <c r="EA496" s="117"/>
      <c r="EB496" s="117"/>
      <c r="EC496" s="117"/>
      <c r="ED496" s="117"/>
      <c r="EE496" s="117"/>
      <c r="EF496" s="117"/>
      <c r="EG496" s="117"/>
      <c r="EH496" s="117"/>
      <c r="EI496" s="117"/>
      <c r="EJ496" s="117"/>
      <c r="EK496" s="117"/>
      <c r="EL496" s="117"/>
      <c r="EM496" s="117"/>
      <c r="EN496" s="117"/>
      <c r="EO496" s="117"/>
      <c r="EP496" s="117"/>
      <c r="EQ496" s="117"/>
      <c r="ER496" s="117"/>
      <c r="ES496" s="117"/>
      <c r="ET496" s="117"/>
      <c r="EU496" s="117"/>
      <c r="EV496" s="117"/>
      <c r="EW496" s="117"/>
      <c r="EX496" s="117"/>
      <c r="EY496" s="117"/>
      <c r="EZ496" s="117"/>
      <c r="FA496" s="117"/>
      <c r="FB496" s="117"/>
      <c r="FC496" s="117"/>
      <c r="FD496" s="117"/>
      <c r="FE496" s="117"/>
      <c r="FF496" s="117"/>
      <c r="FG496" s="117"/>
      <c r="FH496" s="117"/>
      <c r="FI496" s="117"/>
      <c r="FJ496" s="117"/>
      <c r="FK496" s="117"/>
      <c r="FL496" s="117"/>
      <c r="FM496" s="117"/>
      <c r="FN496" s="117"/>
      <c r="FO496" s="117"/>
      <c r="FP496" s="117"/>
      <c r="FQ496" s="117"/>
      <c r="FR496" s="117"/>
      <c r="FS496" s="117"/>
      <c r="FT496" s="117"/>
      <c r="FU496" s="117"/>
      <c r="FV496" s="117"/>
      <c r="FW496" s="117"/>
      <c r="FX496" s="117"/>
      <c r="FY496" s="117"/>
      <c r="FZ496" s="117"/>
      <c r="GA496" s="117"/>
      <c r="GB496" s="117"/>
      <c r="GC496" s="117"/>
      <c r="GD496" s="117"/>
      <c r="GE496" s="117"/>
      <c r="GF496" s="117"/>
      <c r="GG496" s="117"/>
      <c r="GH496" s="117"/>
      <c r="GI496" s="117"/>
      <c r="GJ496" s="117"/>
      <c r="GK496" s="117"/>
      <c r="GL496" s="117"/>
      <c r="GM496" s="117"/>
      <c r="GN496" s="117"/>
      <c r="GO496" s="117"/>
      <c r="GP496" s="117"/>
      <c r="GQ496" s="117"/>
      <c r="GR496" s="117"/>
      <c r="GS496" s="117"/>
      <c r="GT496" s="117"/>
      <c r="GU496" s="117"/>
      <c r="GV496" s="117"/>
      <c r="GW496" s="117"/>
      <c r="GX496" s="117"/>
      <c r="GY496" s="117"/>
      <c r="GZ496" s="117"/>
      <c r="HA496" s="117"/>
      <c r="HB496" s="117"/>
      <c r="HC496" s="117"/>
      <c r="HD496" s="117"/>
      <c r="HE496" s="117"/>
      <c r="HF496" s="117"/>
      <c r="HG496" s="952"/>
      <c r="HH496" s="952"/>
      <c r="HI496" s="952"/>
      <c r="HJ496" s="952"/>
      <c r="HK496" s="952"/>
      <c r="HL496" s="952"/>
      <c r="HM496" s="952"/>
      <c r="HN496" s="952"/>
      <c r="HO496" s="952"/>
      <c r="HP496" s="952"/>
      <c r="HQ496" s="952"/>
      <c r="HR496" s="952"/>
      <c r="HS496" s="952"/>
      <c r="HT496" s="952"/>
      <c r="HU496" s="118"/>
      <c r="HV496" s="117"/>
      <c r="HW496" s="117"/>
      <c r="HX496" s="117"/>
      <c r="HY496" s="117"/>
      <c r="HZ496" s="117"/>
      <c r="IA496" s="117"/>
      <c r="IB496" s="117"/>
      <c r="IC496" s="117"/>
      <c r="ID496" s="117"/>
      <c r="IE496" s="117"/>
      <c r="IF496" s="117"/>
      <c r="IG496" s="117"/>
      <c r="IH496" s="117"/>
      <c r="II496" s="117"/>
      <c r="IJ496" s="117"/>
      <c r="IK496" s="117"/>
      <c r="IL496" s="117"/>
      <c r="IM496" s="117"/>
      <c r="IN496" s="117"/>
      <c r="IO496" s="117"/>
      <c r="IP496" s="36"/>
      <c r="IQ496" s="850"/>
      <c r="IR496" s="36"/>
      <c r="IS496" s="36"/>
      <c r="IT496" s="36"/>
      <c r="IU496" s="36"/>
      <c r="IV496" s="36"/>
      <c r="IW496" s="36"/>
      <c r="IX496" s="36"/>
      <c r="IY496" s="36"/>
      <c r="IZ496" s="36"/>
      <c r="JA496" s="36"/>
      <c r="JB496" s="36"/>
      <c r="JC496" s="36"/>
      <c r="JD496" s="36"/>
      <c r="JE496" s="36"/>
      <c r="JF496" s="36"/>
      <c r="JG496" s="36"/>
      <c r="JH496" s="36"/>
      <c r="JI496" s="36"/>
      <c r="JJ496" s="36"/>
      <c r="JK496" s="36"/>
      <c r="JL496" s="36"/>
      <c r="JM496" s="36"/>
      <c r="JN496" s="36"/>
      <c r="JO496" s="36"/>
      <c r="JP496" s="36"/>
      <c r="JQ496" s="36"/>
      <c r="JR496" s="23"/>
      <c r="JS496" s="23"/>
      <c r="JT496" s="23"/>
      <c r="JU496" s="23"/>
      <c r="JV496" s="23"/>
      <c r="JW496" s="23"/>
      <c r="JX496" s="23"/>
      <c r="JY496" s="23"/>
      <c r="JZ496" s="23"/>
      <c r="KA496" s="23"/>
      <c r="KB496" s="23"/>
      <c r="KC496" s="23"/>
      <c r="KD496" s="23"/>
      <c r="KE496" s="23"/>
      <c r="KF496" s="23"/>
      <c r="KG496" s="23"/>
      <c r="KH496" s="23"/>
      <c r="KI496" s="23"/>
      <c r="KJ496" s="23"/>
      <c r="KK496" s="23"/>
      <c r="KL496" s="23"/>
      <c r="KM496" s="23"/>
      <c r="KN496" s="23"/>
      <c r="KO496" s="23"/>
      <c r="KP496" s="23"/>
    </row>
    <row r="497" spans="1:302" ht="15" customHeight="1">
      <c r="A497" s="1"/>
      <c r="B497" s="102"/>
      <c r="C497" s="104"/>
      <c r="D497" s="116"/>
      <c r="E497" s="102"/>
      <c r="F497" s="115"/>
      <c r="G497" s="110"/>
      <c r="H497" s="110"/>
      <c r="I497" s="115"/>
      <c r="J497" s="115"/>
      <c r="K497" s="114"/>
      <c r="L497" s="114"/>
      <c r="M497" s="84"/>
      <c r="N497" s="84"/>
      <c r="O497" s="84"/>
      <c r="P497" s="113"/>
      <c r="Q497" s="110"/>
      <c r="R497" s="110"/>
      <c r="S497" s="110"/>
      <c r="T497" s="110"/>
      <c r="U497" s="110"/>
      <c r="V497" s="110"/>
      <c r="W497" s="110"/>
      <c r="X497" s="110"/>
      <c r="Y497" s="112"/>
      <c r="Z497" s="112"/>
      <c r="AA497" s="110"/>
      <c r="AB497" s="111"/>
      <c r="AC497" s="111"/>
      <c r="AD497" s="110"/>
      <c r="AE497" s="110"/>
      <c r="AF497" s="110"/>
      <c r="AG497" s="109"/>
      <c r="AH497" s="107"/>
      <c r="AI497" s="108"/>
      <c r="AJ497" s="107"/>
      <c r="AK497" s="65"/>
      <c r="AL497" s="22"/>
      <c r="AM497" s="22"/>
      <c r="AN497" s="62"/>
      <c r="AO497" s="62"/>
      <c r="AP497" s="62"/>
      <c r="AQ497" s="62"/>
      <c r="AR497" s="62"/>
      <c r="AS497" s="62"/>
      <c r="AT497" s="976"/>
      <c r="AU497" s="62"/>
      <c r="AV497" s="62"/>
      <c r="AW497" s="62"/>
      <c r="AX497" s="62"/>
      <c r="AY497" s="22"/>
      <c r="AZ497" s="22"/>
      <c r="BA497" s="54"/>
      <c r="BB497" s="22"/>
      <c r="BC497" s="15"/>
      <c r="BD497" s="15"/>
      <c r="BE497" s="15"/>
      <c r="BF497" s="15"/>
      <c r="BG497" s="51"/>
      <c r="BH497" s="15"/>
      <c r="BI497" s="15"/>
      <c r="BJ497" s="15"/>
      <c r="BK497" s="51"/>
      <c r="BL497" s="15"/>
      <c r="BM497" s="15"/>
      <c r="BN497" s="15"/>
      <c r="BO497" s="15"/>
      <c r="BP497" s="106"/>
      <c r="BQ497" s="18"/>
      <c r="BR497" s="18"/>
      <c r="BS497" s="18"/>
      <c r="BT497" s="18"/>
      <c r="BU497" s="18"/>
      <c r="BV497" s="18"/>
      <c r="BW497" s="18"/>
      <c r="BX497" s="1041">
        <f>SUM(BX493:CH493)</f>
        <v>18000</v>
      </c>
      <c r="BY497" s="1041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  <c r="FC497" s="18"/>
      <c r="FD497" s="18"/>
      <c r="FE497" s="18"/>
      <c r="FF497" s="18"/>
      <c r="FG497" s="18"/>
      <c r="FH497" s="18"/>
      <c r="FI497" s="18"/>
      <c r="FJ497" s="18"/>
      <c r="FK497" s="18"/>
      <c r="FL497" s="18"/>
      <c r="FM497" s="18"/>
      <c r="FN497" s="18"/>
      <c r="FO497" s="18"/>
      <c r="FP497" s="18"/>
      <c r="FQ497" s="18"/>
      <c r="FR497" s="18"/>
      <c r="FS497" s="18"/>
      <c r="FT497" s="18"/>
      <c r="FU497" s="18"/>
      <c r="FV497" s="18"/>
      <c r="FW497" s="18"/>
      <c r="FX497" s="18"/>
      <c r="FY497" s="18"/>
      <c r="FZ497" s="18"/>
      <c r="GA497" s="18"/>
      <c r="GB497" s="18"/>
      <c r="GC497" s="18"/>
      <c r="GD497" s="18"/>
      <c r="GE497" s="18"/>
      <c r="GF497" s="18"/>
      <c r="GG497" s="18"/>
      <c r="GH497" s="18"/>
      <c r="GI497" s="18"/>
      <c r="GJ497" s="18"/>
      <c r="GK497" s="18"/>
      <c r="GL497" s="18"/>
      <c r="GM497" s="18"/>
      <c r="GN497" s="18"/>
      <c r="GO497" s="18"/>
      <c r="GP497" s="18"/>
      <c r="GQ497" s="18"/>
      <c r="GR497" s="18"/>
      <c r="GS497" s="18"/>
      <c r="GT497" s="18"/>
      <c r="GU497" s="18"/>
      <c r="GV497" s="18"/>
      <c r="GW497" s="18"/>
      <c r="GX497" s="18"/>
      <c r="GY497" s="18"/>
      <c r="GZ497" s="18"/>
      <c r="HA497" s="18"/>
      <c r="HB497" s="18"/>
      <c r="HC497" s="18"/>
      <c r="HD497" s="18"/>
      <c r="HE497" s="18"/>
      <c r="HF497" s="18"/>
      <c r="HG497" s="13"/>
      <c r="HH497" s="13"/>
      <c r="HI497" s="13"/>
      <c r="HJ497" s="13"/>
      <c r="HK497" s="13"/>
      <c r="HL497" s="13"/>
      <c r="HM497" s="13"/>
      <c r="HN497" s="13"/>
      <c r="HO497" s="13"/>
      <c r="HP497" s="13"/>
      <c r="HQ497" s="13"/>
      <c r="HR497" s="13"/>
      <c r="HS497" s="13"/>
      <c r="HT497" s="13"/>
      <c r="HU497" s="1040">
        <f ca="1">SUM(HU493:IP493)</f>
        <v>18222.03733675387</v>
      </c>
      <c r="HV497" s="1041"/>
      <c r="HW497" s="18"/>
      <c r="HX497" s="18"/>
      <c r="HY497" s="18"/>
      <c r="HZ497" s="18"/>
      <c r="IA497" s="18"/>
      <c r="IB497" s="18"/>
      <c r="IC497" s="18"/>
      <c r="ID497" s="18"/>
      <c r="IE497" s="18"/>
      <c r="IF497" s="18"/>
      <c r="IG497" s="18"/>
      <c r="IH497" s="18"/>
      <c r="II497" s="18"/>
      <c r="IJ497" s="18"/>
      <c r="IK497" s="18"/>
      <c r="IL497" s="18"/>
      <c r="IM497" s="18"/>
      <c r="IN497" s="18"/>
      <c r="IO497" s="18"/>
    </row>
    <row r="498" spans="1:302" ht="15" customHeight="1">
      <c r="A498" s="1"/>
      <c r="B498" s="102"/>
      <c r="C498" s="104"/>
      <c r="D498" s="103"/>
      <c r="E498" s="102"/>
      <c r="F498" s="105" t="s">
        <v>12</v>
      </c>
      <c r="G498" s="105" t="s">
        <v>22</v>
      </c>
      <c r="H498" s="105"/>
      <c r="I498" s="105" t="s">
        <v>21</v>
      </c>
      <c r="J498" s="105"/>
      <c r="K498" s="105" t="s">
        <v>20</v>
      </c>
      <c r="L498" s="105"/>
      <c r="M498" s="82"/>
      <c r="N498" s="82"/>
      <c r="O498" s="82"/>
      <c r="P498" s="105" t="s">
        <v>11</v>
      </c>
      <c r="Q498" s="101"/>
      <c r="R498" s="101"/>
      <c r="S498" s="105" t="s">
        <v>19</v>
      </c>
      <c r="T498" s="105"/>
      <c r="U498" s="105"/>
      <c r="V498" s="105"/>
      <c r="W498" s="105"/>
      <c r="X498" s="1083" t="s">
        <v>18</v>
      </c>
      <c r="Y498" s="1083"/>
      <c r="Z498" s="1083"/>
      <c r="AA498" s="1083"/>
      <c r="AB498" s="1083"/>
      <c r="AC498" s="936"/>
      <c r="AD498" s="105" t="s">
        <v>17</v>
      </c>
      <c r="AE498" s="105"/>
      <c r="AF498" s="105" t="s">
        <v>16</v>
      </c>
      <c r="AG498" s="105" t="s">
        <v>10</v>
      </c>
      <c r="AH498" s="105" t="s">
        <v>9</v>
      </c>
      <c r="AI498" s="105" t="s">
        <v>6</v>
      </c>
      <c r="AJ498" s="105" t="s">
        <v>8</v>
      </c>
      <c r="AK498" s="105" t="s">
        <v>7</v>
      </c>
      <c r="AL498" s="105" t="s">
        <v>15</v>
      </c>
      <c r="AM498" s="105" t="s">
        <v>14</v>
      </c>
      <c r="AN498" s="105" t="s">
        <v>13</v>
      </c>
      <c r="AO498" s="22"/>
      <c r="AP498" s="22"/>
      <c r="AQ498" s="22"/>
      <c r="AR498" s="22"/>
      <c r="AS498" s="22"/>
      <c r="AT498" s="54"/>
      <c r="AU498" s="22"/>
      <c r="AV498" s="22"/>
      <c r="AW498" s="22"/>
      <c r="AX498" s="22"/>
      <c r="AY498" s="22"/>
      <c r="AZ498" s="22"/>
      <c r="BA498" s="54"/>
      <c r="BB498" s="22"/>
      <c r="BC498" s="15"/>
      <c r="BD498" s="15"/>
      <c r="BE498" s="15"/>
      <c r="BF498" s="15"/>
      <c r="BG498" s="51"/>
      <c r="BH498" s="15"/>
      <c r="BI498" s="15"/>
      <c r="BJ498" s="15"/>
      <c r="BK498" s="51"/>
      <c r="BL498" s="15"/>
      <c r="BM498" s="15"/>
      <c r="BN498" s="15"/>
      <c r="BO498" s="15"/>
      <c r="BP498" s="15"/>
      <c r="BQ498" s="18"/>
      <c r="BR498" s="18"/>
      <c r="BS498" s="18"/>
      <c r="BT498" s="18"/>
      <c r="BU498" s="18"/>
      <c r="BV498" s="18"/>
      <c r="BW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  <c r="FC498" s="18"/>
      <c r="FD498" s="18"/>
      <c r="FE498" s="18"/>
      <c r="FF498" s="18"/>
      <c r="FG498" s="18"/>
      <c r="FH498" s="18"/>
      <c r="FI498" s="18"/>
      <c r="FJ498" s="18"/>
      <c r="FK498" s="18"/>
      <c r="FL498" s="18"/>
      <c r="FM498" s="18"/>
      <c r="FN498" s="18"/>
      <c r="FO498" s="18"/>
      <c r="FP498" s="18"/>
      <c r="FQ498" s="18"/>
      <c r="FR498" s="18"/>
      <c r="FS498" s="18"/>
      <c r="FT498" s="18"/>
      <c r="FU498" s="18"/>
      <c r="FV498" s="18"/>
      <c r="FW498" s="18"/>
      <c r="FX498" s="18"/>
      <c r="FY498" s="18"/>
      <c r="FZ498" s="18"/>
      <c r="GA498" s="18"/>
      <c r="GB498" s="18"/>
      <c r="GC498" s="18"/>
      <c r="GD498" s="18"/>
      <c r="GE498" s="18"/>
      <c r="GF498" s="18"/>
      <c r="GG498" s="18"/>
      <c r="GH498" s="18"/>
      <c r="GI498" s="18"/>
      <c r="GJ498" s="18"/>
      <c r="GK498" s="18"/>
      <c r="GL498" s="18"/>
      <c r="GM498" s="18"/>
      <c r="GN498" s="18"/>
      <c r="GO498" s="18"/>
      <c r="GP498" s="18"/>
      <c r="GQ498" s="18"/>
      <c r="GR498" s="18"/>
      <c r="GS498" s="18"/>
      <c r="GT498" s="18"/>
      <c r="GU498" s="18"/>
      <c r="GV498" s="18"/>
      <c r="GW498" s="18"/>
      <c r="GX498" s="18"/>
      <c r="GY498" s="18"/>
      <c r="GZ498" s="18"/>
      <c r="HA498" s="18"/>
      <c r="HB498" s="18"/>
      <c r="HC498" s="18"/>
      <c r="HD498" s="18"/>
      <c r="HE498" s="18"/>
      <c r="HF498" s="18"/>
      <c r="HG498" s="13"/>
      <c r="HH498" s="13"/>
      <c r="HI498" s="13"/>
      <c r="HJ498" s="13"/>
      <c r="HK498" s="13"/>
      <c r="HL498" s="13"/>
      <c r="HM498" s="13"/>
      <c r="HN498" s="13"/>
      <c r="HO498" s="13"/>
      <c r="HP498" s="13"/>
      <c r="HQ498" s="13"/>
      <c r="HR498" s="13"/>
      <c r="HS498" s="13"/>
      <c r="HT498" s="13"/>
      <c r="HV498" s="18"/>
      <c r="HW498" s="18"/>
      <c r="HX498" s="18"/>
      <c r="HY498" s="18"/>
      <c r="HZ498" s="18"/>
      <c r="IA498" s="18"/>
      <c r="IB498" s="18"/>
      <c r="IC498" s="18"/>
      <c r="ID498" s="18"/>
      <c r="IE498" s="18"/>
      <c r="IF498" s="18"/>
      <c r="IG498" s="18"/>
      <c r="IH498" s="18"/>
      <c r="II498" s="18"/>
      <c r="IJ498" s="18"/>
      <c r="IK498" s="18"/>
      <c r="IL498" s="18"/>
      <c r="IM498" s="18"/>
      <c r="IN498" s="18"/>
      <c r="IO498" s="18"/>
      <c r="JR498" s="36"/>
      <c r="JS498" s="36"/>
      <c r="JT498" s="36"/>
      <c r="JU498" s="36"/>
      <c r="JV498" s="36"/>
      <c r="JW498" s="36"/>
      <c r="JX498" s="36"/>
      <c r="JY498" s="36"/>
      <c r="JZ498" s="36"/>
      <c r="KA498" s="36"/>
      <c r="KB498" s="36"/>
      <c r="KC498" s="36"/>
      <c r="KD498" s="36"/>
      <c r="KE498" s="36"/>
      <c r="KF498" s="36"/>
      <c r="KG498" s="36"/>
      <c r="KH498" s="36"/>
      <c r="KI498" s="36"/>
      <c r="KJ498" s="36"/>
      <c r="KK498" s="36"/>
      <c r="KL498" s="36"/>
      <c r="KM498" s="36"/>
      <c r="KN498" s="36"/>
      <c r="KO498" s="36"/>
      <c r="KP498" s="36"/>
    </row>
    <row r="499" spans="1:302" ht="15" customHeight="1">
      <c r="A499" s="1"/>
      <c r="B499" s="102"/>
      <c r="C499" s="104"/>
      <c r="D499" s="103"/>
      <c r="E499" s="102"/>
      <c r="F499" s="935">
        <f>[2]CAMBI!B1</f>
        <v>0</v>
      </c>
      <c r="G499" s="935" t="str">
        <f>[2]CAMBI!B2</f>
        <v>https://www.ecb.europa.eu/stats/eurofxref/eurofxref-daily.xml?9a255ee8efa90c6a11139bedc2e35026</v>
      </c>
      <c r="H499" s="975"/>
      <c r="I499" s="935" t="e">
        <f>#REF!/100</f>
        <v>#REF!</v>
      </c>
      <c r="J499" s="935"/>
      <c r="K499" s="975">
        <f>[2]CAMBI!E5</f>
        <v>1.0617000000000001</v>
      </c>
      <c r="L499" s="975"/>
      <c r="M499" s="77"/>
      <c r="N499" s="77"/>
      <c r="O499" s="77"/>
      <c r="P499" s="98" t="e">
        <f>[2]CAMBI!#REF!</f>
        <v>#REF!</v>
      </c>
      <c r="Q499" s="101"/>
      <c r="R499" s="101"/>
      <c r="S499" s="100" t="e">
        <f>[2]CAMBI!#REF!</f>
        <v>#REF!</v>
      </c>
      <c r="T499" s="975"/>
      <c r="U499" s="975"/>
      <c r="V499" s="975"/>
      <c r="W499" s="975"/>
      <c r="X499" s="1082">
        <v>7.1999999999999998E-3</v>
      </c>
      <c r="Y499" s="1082"/>
      <c r="Z499" s="1082"/>
      <c r="AA499" s="1082"/>
      <c r="AB499" s="1082"/>
      <c r="AC499" s="935"/>
      <c r="AD499" s="98">
        <f>[2]CAMBI!E19</f>
        <v>1.6206</v>
      </c>
      <c r="AE499" s="975"/>
      <c r="AF499" s="99" t="e">
        <f>[2]CAMBI!#REF!</f>
        <v>#REF!</v>
      </c>
      <c r="AG499" s="98" t="e">
        <f>[2]CAMBI!#REF!</f>
        <v>#REF!</v>
      </c>
      <c r="AH499" s="975" t="e">
        <f>[2]CAMBI!#REF!</f>
        <v>#REF!</v>
      </c>
      <c r="AI499" s="98" t="e">
        <f>[2]CAMBI!#REF!</f>
        <v>#REF!</v>
      </c>
      <c r="AJ499" s="98" t="e">
        <f>[2]CAMBI!#REF!</f>
        <v>#REF!</v>
      </c>
      <c r="AK499" s="98" t="e">
        <f>[2]CAMBI!#REF!</f>
        <v>#REF!</v>
      </c>
      <c r="AL499" s="97" t="e">
        <f>[2]CAMBI!#REF!</f>
        <v>#REF!</v>
      </c>
      <c r="AM499" s="98" t="e">
        <f>[2]CAMBI!#REF!</f>
        <v>#REF!</v>
      </c>
      <c r="AN499" s="97" t="e">
        <f>[2]CAMBI!#REF!</f>
        <v>#REF!</v>
      </c>
      <c r="AO499" s="22"/>
      <c r="AP499" s="22"/>
      <c r="AQ499" s="22"/>
      <c r="AR499" s="22"/>
      <c r="AS499" s="22"/>
      <c r="AT499" s="54"/>
      <c r="AU499" s="22"/>
      <c r="AV499" s="22"/>
      <c r="AW499" s="22"/>
      <c r="AX499" s="22"/>
      <c r="AY499" s="22"/>
      <c r="AZ499" s="22"/>
      <c r="BA499" s="54"/>
      <c r="BB499" s="22"/>
      <c r="BC499" s="15"/>
      <c r="BD499" s="15"/>
      <c r="BE499" s="15"/>
      <c r="BF499" s="15"/>
      <c r="BG499" s="51"/>
      <c r="BH499" s="15"/>
      <c r="BI499" s="15"/>
      <c r="BJ499" s="15"/>
      <c r="BK499" s="51"/>
      <c r="BL499" s="15"/>
      <c r="BM499" s="15"/>
      <c r="BN499" s="15"/>
      <c r="BO499" s="15"/>
      <c r="BP499" s="96"/>
      <c r="BQ499" s="18"/>
      <c r="BR499" s="18"/>
      <c r="BS499" s="18"/>
      <c r="BT499" s="18"/>
      <c r="BU499" s="18"/>
      <c r="BV499" s="18"/>
      <c r="BW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  <c r="FC499" s="18"/>
      <c r="FD499" s="18"/>
      <c r="FE499" s="18"/>
      <c r="FF499" s="18"/>
      <c r="FG499" s="18"/>
      <c r="FH499" s="18"/>
      <c r="FI499" s="18"/>
      <c r="FJ499" s="18"/>
      <c r="FK499" s="18"/>
      <c r="FL499" s="18"/>
      <c r="FM499" s="18"/>
      <c r="FN499" s="18"/>
      <c r="FO499" s="18"/>
      <c r="FP499" s="18"/>
      <c r="FQ499" s="18"/>
      <c r="FR499" s="18"/>
      <c r="FS499" s="18"/>
      <c r="FT499" s="18"/>
      <c r="FU499" s="18"/>
      <c r="FV499" s="18"/>
      <c r="FW499" s="18"/>
      <c r="FX499" s="18"/>
      <c r="FY499" s="18"/>
      <c r="FZ499" s="18"/>
      <c r="GA499" s="18"/>
      <c r="GB499" s="18"/>
      <c r="GC499" s="18"/>
      <c r="GD499" s="18"/>
      <c r="GE499" s="18"/>
      <c r="GF499" s="18"/>
      <c r="GG499" s="18"/>
      <c r="GH499" s="18"/>
      <c r="GI499" s="18"/>
      <c r="GJ499" s="18"/>
      <c r="GK499" s="18"/>
      <c r="GL499" s="18"/>
      <c r="GM499" s="18"/>
      <c r="GN499" s="18"/>
      <c r="GO499" s="18"/>
      <c r="GP499" s="18"/>
      <c r="GQ499" s="18"/>
      <c r="GR499" s="18"/>
      <c r="GS499" s="18"/>
      <c r="GT499" s="18"/>
      <c r="GU499" s="18"/>
      <c r="GV499" s="18"/>
      <c r="GW499" s="18"/>
      <c r="GX499" s="18"/>
      <c r="GY499" s="18"/>
      <c r="GZ499" s="18"/>
      <c r="HA499" s="18"/>
      <c r="HB499" s="18"/>
      <c r="HC499" s="18"/>
      <c r="HD499" s="18"/>
      <c r="HE499" s="18"/>
      <c r="HF499" s="18"/>
      <c r="HG499" s="13"/>
      <c r="HH499" s="13"/>
      <c r="HI499" s="13"/>
      <c r="HJ499" s="13"/>
      <c r="HK499" s="13"/>
      <c r="HL499" s="13"/>
      <c r="HM499" s="13"/>
      <c r="HN499" s="13"/>
      <c r="HO499" s="13"/>
      <c r="HP499" s="13"/>
      <c r="HQ499" s="13"/>
      <c r="HR499" s="13"/>
      <c r="HS499" s="13"/>
      <c r="HT499" s="13"/>
      <c r="HV499" s="18"/>
      <c r="HW499" s="18"/>
      <c r="HX499" s="18"/>
      <c r="HY499" s="18"/>
      <c r="HZ499" s="18"/>
      <c r="IA499" s="18"/>
      <c r="IB499" s="18"/>
      <c r="IC499" s="18"/>
      <c r="ID499" s="18"/>
      <c r="IE499" s="18"/>
      <c r="IF499" s="18"/>
      <c r="IG499" s="18"/>
      <c r="IH499" s="18"/>
      <c r="II499" s="18"/>
      <c r="IJ499" s="18"/>
      <c r="IK499" s="18"/>
      <c r="IL499" s="18"/>
      <c r="IM499" s="18"/>
      <c r="IN499" s="18"/>
      <c r="IO499" s="18"/>
    </row>
    <row r="500" spans="1:302" ht="15" customHeight="1" thickBot="1">
      <c r="A500" s="1"/>
      <c r="B500" s="95"/>
      <c r="C500" s="94"/>
      <c r="D500" s="95"/>
      <c r="E500" s="95"/>
      <c r="F500" s="94"/>
      <c r="G500" s="94"/>
      <c r="H500" s="94"/>
      <c r="I500" s="94"/>
      <c r="J500" s="94"/>
      <c r="K500" s="93"/>
      <c r="L500" s="93"/>
      <c r="M500" s="72"/>
      <c r="N500" s="84"/>
      <c r="O500" s="84"/>
      <c r="P500" s="92"/>
      <c r="Q500" s="90"/>
      <c r="R500" s="90"/>
      <c r="S500" s="90"/>
      <c r="T500" s="90"/>
      <c r="U500" s="90"/>
      <c r="V500" s="90"/>
      <c r="W500" s="90"/>
      <c r="X500" s="90"/>
      <c r="Y500" s="91"/>
      <c r="Z500" s="91"/>
      <c r="AA500" s="90"/>
      <c r="AB500" s="89"/>
      <c r="AC500" s="89"/>
      <c r="AD500" s="88">
        <v>40543</v>
      </c>
      <c r="AE500" s="88"/>
      <c r="AF500" s="88"/>
      <c r="AG500" s="87"/>
      <c r="AH500" s="85"/>
      <c r="AI500" s="86"/>
      <c r="AJ500" s="85"/>
      <c r="FR500" s="18"/>
      <c r="FS500" s="18"/>
      <c r="FT500" s="18"/>
      <c r="FU500" s="18"/>
      <c r="FV500" s="18"/>
      <c r="FW500" s="18"/>
      <c r="FX500" s="18"/>
      <c r="FY500" s="18"/>
      <c r="FZ500" s="18"/>
      <c r="GA500" s="18"/>
      <c r="GB500" s="18"/>
      <c r="GC500" s="18"/>
      <c r="GD500" s="18"/>
      <c r="GE500" s="18"/>
      <c r="GF500" s="18"/>
      <c r="GG500" s="18"/>
      <c r="GH500" s="18"/>
      <c r="GI500" s="18"/>
      <c r="GJ500" s="18"/>
      <c r="GK500" s="18"/>
      <c r="GL500" s="18"/>
      <c r="GM500" s="18"/>
      <c r="GN500" s="18"/>
      <c r="GO500" s="18"/>
      <c r="GP500" s="18"/>
      <c r="GQ500" s="18"/>
      <c r="GR500" s="18"/>
      <c r="GS500" s="18"/>
      <c r="GT500" s="18"/>
      <c r="GU500" s="18"/>
      <c r="GV500" s="18"/>
      <c r="GW500" s="18"/>
      <c r="GX500" s="18"/>
      <c r="GY500" s="18"/>
      <c r="GZ500" s="18"/>
      <c r="HA500" s="18"/>
      <c r="HB500" s="18"/>
      <c r="HC500" s="18"/>
      <c r="HD500" s="18"/>
      <c r="HE500" s="18"/>
      <c r="HF500" s="18"/>
      <c r="HG500" s="13"/>
      <c r="HH500" s="13"/>
      <c r="HI500" s="13"/>
      <c r="HJ500" s="13"/>
      <c r="HK500" s="13"/>
      <c r="HL500" s="13"/>
      <c r="HM500" s="13"/>
      <c r="HN500" s="13"/>
      <c r="HO500" s="13"/>
      <c r="HP500" s="13"/>
      <c r="HQ500" s="13"/>
      <c r="HR500" s="13"/>
      <c r="HS500" s="13"/>
      <c r="HT500" s="13"/>
    </row>
    <row r="501" spans="1:302" ht="15" customHeight="1" thickTop="1">
      <c r="A501" s="1"/>
      <c r="B501" s="14"/>
      <c r="F501" s="14"/>
      <c r="K501" s="14"/>
      <c r="L501" s="14"/>
      <c r="FR501" s="18"/>
      <c r="FS501" s="18"/>
      <c r="FT501" s="18"/>
      <c r="FU501" s="18"/>
      <c r="FV501" s="18"/>
      <c r="FW501" s="18"/>
      <c r="FX501" s="18"/>
      <c r="FY501" s="18"/>
      <c r="FZ501" s="18"/>
      <c r="GA501" s="18"/>
      <c r="GB501" s="18"/>
      <c r="GC501" s="18"/>
      <c r="GD501" s="18"/>
      <c r="GE501" s="18"/>
      <c r="GF501" s="18"/>
      <c r="GG501" s="18"/>
      <c r="GH501" s="18"/>
      <c r="GI501" s="18"/>
      <c r="GJ501" s="18"/>
      <c r="GK501" s="18"/>
      <c r="GL501" s="18"/>
      <c r="GM501" s="18"/>
      <c r="GN501" s="18"/>
      <c r="GO501" s="18"/>
      <c r="GP501" s="18"/>
      <c r="GQ501" s="18"/>
      <c r="GR501" s="18"/>
      <c r="GS501" s="18"/>
      <c r="GT501" s="18"/>
      <c r="GU501" s="18"/>
      <c r="GV501" s="18"/>
      <c r="GW501" s="18"/>
      <c r="GX501" s="18"/>
      <c r="GY501" s="18"/>
      <c r="GZ501" s="18"/>
      <c r="HA501" s="18"/>
      <c r="HB501" s="18"/>
      <c r="HC501" s="18"/>
      <c r="HD501" s="18"/>
      <c r="HE501" s="18"/>
      <c r="HF501" s="18"/>
      <c r="HG501" s="13"/>
      <c r="HH501" s="13"/>
      <c r="HI501" s="13"/>
      <c r="HJ501" s="13"/>
      <c r="HK501" s="13"/>
      <c r="HL501" s="13"/>
      <c r="HM501" s="13"/>
      <c r="HN501" s="13"/>
      <c r="HO501" s="13"/>
      <c r="HP501" s="13"/>
      <c r="HQ501" s="13"/>
      <c r="HR501" s="13"/>
      <c r="HS501" s="13"/>
      <c r="HT501" s="13"/>
    </row>
    <row r="502" spans="1:302" ht="15" customHeight="1">
      <c r="A502" s="1"/>
      <c r="B502" s="23"/>
      <c r="C502" s="23"/>
      <c r="D502" s="23"/>
      <c r="E502" s="23"/>
      <c r="F502" s="83"/>
      <c r="G502" s="23"/>
      <c r="H502" s="23"/>
      <c r="I502" s="23"/>
      <c r="J502" s="23"/>
      <c r="K502" s="940"/>
      <c r="L502" s="52"/>
      <c r="AH502" s="80"/>
      <c r="AI502" s="81"/>
      <c r="AJ502" s="80"/>
      <c r="AK502" s="79"/>
      <c r="AL502" s="78"/>
      <c r="AM502" s="15"/>
      <c r="AN502" s="22"/>
      <c r="AO502" s="22"/>
      <c r="AP502" s="22"/>
      <c r="AQ502" s="22"/>
      <c r="AR502" s="22"/>
      <c r="AS502" s="22"/>
      <c r="AT502" s="54"/>
      <c r="AU502" s="22"/>
      <c r="AV502" s="22"/>
      <c r="AW502" s="22"/>
      <c r="AX502" s="22"/>
      <c r="AY502" s="22"/>
      <c r="AZ502" s="22"/>
      <c r="BA502" s="54"/>
      <c r="BB502" s="22"/>
      <c r="BC502" s="15"/>
      <c r="BD502" s="15"/>
      <c r="BE502" s="15"/>
      <c r="BF502" s="15"/>
      <c r="BG502" s="51"/>
      <c r="BH502" s="15"/>
      <c r="BI502" s="15"/>
      <c r="BJ502" s="15"/>
      <c r="BK502" s="51"/>
      <c r="BL502" s="15"/>
      <c r="BM502" s="15"/>
      <c r="BN502" s="15"/>
      <c r="BO502" s="15"/>
      <c r="BP502" s="15"/>
      <c r="BQ502" s="18"/>
      <c r="BR502" s="18"/>
      <c r="BS502" s="18"/>
      <c r="BT502" s="18"/>
      <c r="BU502" s="18"/>
      <c r="BV502" s="18"/>
      <c r="BW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  <c r="FR502" s="18"/>
      <c r="FS502" s="18"/>
      <c r="FT502" s="18"/>
      <c r="FU502" s="18"/>
      <c r="FV502" s="18"/>
      <c r="FW502" s="18"/>
      <c r="FX502" s="18"/>
      <c r="FY502" s="18"/>
      <c r="FZ502" s="18"/>
      <c r="GA502" s="18"/>
      <c r="GB502" s="18"/>
      <c r="GC502" s="18"/>
      <c r="GD502" s="18"/>
      <c r="GE502" s="18"/>
      <c r="GF502" s="18"/>
      <c r="GG502" s="18"/>
      <c r="GH502" s="18"/>
      <c r="GI502" s="18"/>
      <c r="GJ502" s="18"/>
      <c r="GK502" s="18"/>
      <c r="GL502" s="18"/>
      <c r="GM502" s="18"/>
      <c r="GN502" s="18"/>
      <c r="GO502" s="18"/>
      <c r="GP502" s="18"/>
      <c r="GQ502" s="18"/>
      <c r="GR502" s="18"/>
      <c r="GS502" s="18"/>
      <c r="GT502" s="18"/>
      <c r="GU502" s="18"/>
      <c r="GV502" s="18"/>
      <c r="GW502" s="18"/>
      <c r="GX502" s="18"/>
      <c r="GY502" s="18"/>
      <c r="GZ502" s="18"/>
      <c r="HA502" s="18"/>
      <c r="HB502" s="18"/>
      <c r="HC502" s="18"/>
      <c r="HD502" s="18"/>
      <c r="HE502" s="18"/>
      <c r="HF502" s="18"/>
      <c r="HG502" s="13"/>
      <c r="HH502" s="13"/>
      <c r="HI502" s="13"/>
      <c r="HJ502" s="13"/>
      <c r="HK502" s="13"/>
      <c r="HL502" s="13"/>
      <c r="HM502" s="13"/>
      <c r="HN502" s="13"/>
      <c r="HO502" s="13"/>
      <c r="HP502" s="13"/>
      <c r="HQ502" s="13"/>
      <c r="HR502" s="13"/>
      <c r="HS502" s="13"/>
      <c r="HT502" s="13"/>
      <c r="HV502" s="18"/>
      <c r="HW502" s="18"/>
      <c r="HX502" s="18"/>
      <c r="HY502" s="18"/>
      <c r="HZ502" s="18"/>
      <c r="IA502" s="18"/>
      <c r="IB502" s="18"/>
      <c r="IC502" s="18"/>
      <c r="ID502" s="18"/>
      <c r="IE502" s="18"/>
      <c r="IF502" s="18"/>
      <c r="IG502" s="18"/>
      <c r="IH502" s="18"/>
      <c r="II502" s="18"/>
      <c r="IJ502" s="18"/>
      <c r="IK502" s="18"/>
      <c r="IL502" s="18"/>
      <c r="IM502" s="18"/>
      <c r="IN502" s="18"/>
      <c r="IO502" s="18"/>
    </row>
    <row r="503" spans="1:302" ht="15" customHeight="1">
      <c r="A503" s="1"/>
      <c r="B503" s="14"/>
      <c r="F503" s="14"/>
      <c r="K503" s="14"/>
      <c r="L503" s="14"/>
      <c r="P503" s="76"/>
      <c r="Q503" s="1"/>
      <c r="AF503" s="69"/>
      <c r="AG503" s="14"/>
      <c r="AH503" s="75"/>
      <c r="AI503" s="75"/>
      <c r="AJ503" s="75"/>
      <c r="AK503" s="74"/>
      <c r="AL503" s="15"/>
      <c r="AM503" s="15"/>
      <c r="AN503" s="22"/>
      <c r="AO503" s="22"/>
      <c r="AP503" s="22"/>
      <c r="AQ503" s="22"/>
      <c r="AR503" s="22"/>
      <c r="AS503" s="22"/>
      <c r="AT503" s="54"/>
      <c r="AU503" s="22"/>
      <c r="AV503" s="22"/>
      <c r="AW503" s="22"/>
      <c r="AX503" s="22"/>
      <c r="AY503" s="22"/>
      <c r="AZ503" s="22"/>
      <c r="BA503" s="54"/>
      <c r="BB503" s="22"/>
      <c r="BC503" s="15"/>
      <c r="BD503" s="15"/>
      <c r="BE503" s="15"/>
      <c r="BF503" s="15"/>
      <c r="BG503" s="51"/>
      <c r="BH503" s="15"/>
      <c r="BI503" s="15"/>
      <c r="BJ503" s="15"/>
      <c r="BK503" s="51"/>
      <c r="BL503" s="15"/>
      <c r="BM503" s="15"/>
      <c r="BN503" s="15"/>
      <c r="BO503" s="15"/>
      <c r="BP503" s="15"/>
      <c r="BQ503" s="18"/>
      <c r="BR503" s="18"/>
      <c r="BS503" s="18"/>
      <c r="BT503" s="18"/>
      <c r="BU503" s="18"/>
      <c r="BV503" s="18"/>
      <c r="BW503" s="18"/>
      <c r="BY503" s="18"/>
      <c r="BZ503" s="18"/>
      <c r="CA503" s="18"/>
      <c r="CB503" s="18"/>
      <c r="CC503" s="18"/>
      <c r="CD503" s="18"/>
      <c r="CE503" s="18"/>
      <c r="CF503" s="18"/>
      <c r="CG503" s="18"/>
      <c r="CH503" s="18"/>
      <c r="CI503" s="18"/>
      <c r="CJ503" s="18"/>
      <c r="CK503" s="18"/>
      <c r="CL503" s="18"/>
      <c r="CM503" s="18"/>
      <c r="CN503" s="18"/>
      <c r="CO503" s="18"/>
      <c r="CP503" s="18"/>
      <c r="CQ503" s="18"/>
      <c r="CR503" s="18"/>
      <c r="CT503" s="18"/>
      <c r="CU503" s="18"/>
      <c r="CV503" s="18"/>
      <c r="CW503" s="18"/>
      <c r="CX503" s="18"/>
      <c r="CY503" s="18"/>
      <c r="CZ503" s="18"/>
      <c r="DA503" s="18"/>
      <c r="DB503" s="18"/>
      <c r="DC503" s="18"/>
      <c r="DD503" s="18"/>
      <c r="DE503" s="18"/>
      <c r="DF503" s="18"/>
      <c r="DG503" s="18"/>
      <c r="DH503" s="18"/>
      <c r="DI503" s="18"/>
      <c r="DJ503" s="18"/>
      <c r="DK503" s="18"/>
      <c r="DL503" s="18"/>
      <c r="DM503" s="18"/>
      <c r="DN503" s="18"/>
      <c r="DP503" s="18"/>
      <c r="DQ503" s="18"/>
      <c r="DR503" s="18"/>
      <c r="DS503" s="18"/>
      <c r="DT503" s="18"/>
      <c r="DU503" s="18"/>
      <c r="DV503" s="18"/>
      <c r="DW503" s="18"/>
      <c r="DX503" s="18"/>
      <c r="DY503" s="18"/>
      <c r="DZ503" s="18"/>
      <c r="EA503" s="18"/>
      <c r="EB503" s="18"/>
      <c r="EC503" s="18"/>
      <c r="ED503" s="18"/>
      <c r="EE503" s="18"/>
      <c r="EF503" s="18"/>
      <c r="EG503" s="18"/>
      <c r="EH503" s="18"/>
      <c r="EI503" s="18"/>
      <c r="EJ503" s="18"/>
      <c r="EK503" s="18"/>
      <c r="EL503" s="18"/>
      <c r="EM503" s="18"/>
      <c r="EN503" s="18"/>
      <c r="EO503" s="18"/>
      <c r="EP503" s="18"/>
      <c r="EQ503" s="18"/>
      <c r="ER503" s="18"/>
      <c r="ES503" s="18"/>
      <c r="ET503" s="18"/>
      <c r="EU503" s="18"/>
      <c r="EV503" s="18"/>
      <c r="EW503" s="18"/>
      <c r="EX503" s="18"/>
      <c r="EY503" s="18"/>
      <c r="EZ503" s="18"/>
      <c r="FA503" s="18"/>
      <c r="FB503" s="18"/>
      <c r="FC503" s="18"/>
      <c r="FD503" s="18"/>
      <c r="FE503" s="18"/>
      <c r="FF503" s="18"/>
      <c r="FG503" s="18"/>
      <c r="FH503" s="18"/>
      <c r="FI503" s="18"/>
      <c r="FJ503" s="18"/>
      <c r="FK503" s="18"/>
      <c r="FL503" s="18"/>
      <c r="FM503" s="18"/>
      <c r="FN503" s="18"/>
      <c r="FO503" s="18"/>
      <c r="FP503" s="18"/>
      <c r="FQ503" s="18"/>
      <c r="FR503" s="18"/>
      <c r="FS503" s="18"/>
      <c r="FT503" s="18"/>
      <c r="FU503" s="18"/>
      <c r="FV503" s="18"/>
      <c r="FW503" s="18"/>
      <c r="FX503" s="18"/>
      <c r="FY503" s="18"/>
      <c r="FZ503" s="18"/>
      <c r="GA503" s="18"/>
      <c r="GB503" s="18"/>
      <c r="GC503" s="18"/>
      <c r="GD503" s="18"/>
      <c r="GE503" s="18"/>
      <c r="GF503" s="18"/>
      <c r="GG503" s="18"/>
      <c r="GH503" s="18"/>
      <c r="GI503" s="18"/>
      <c r="GJ503" s="18"/>
      <c r="GK503" s="18"/>
      <c r="GL503" s="18"/>
      <c r="GM503" s="18"/>
      <c r="GN503" s="18"/>
      <c r="GO503" s="18"/>
      <c r="GP503" s="18"/>
      <c r="GQ503" s="18"/>
      <c r="GR503" s="18"/>
      <c r="GS503" s="18"/>
      <c r="GT503" s="18"/>
      <c r="GU503" s="18"/>
      <c r="GV503" s="18"/>
      <c r="GW503" s="18"/>
      <c r="GX503" s="18"/>
      <c r="GY503" s="18"/>
      <c r="GZ503" s="18"/>
      <c r="HA503" s="18"/>
      <c r="HB503" s="18"/>
      <c r="HC503" s="18"/>
      <c r="HD503" s="18"/>
      <c r="HE503" s="18"/>
      <c r="HF503" s="18"/>
      <c r="HG503" s="13"/>
      <c r="HH503" s="13"/>
      <c r="HI503" s="13"/>
      <c r="HJ503" s="13"/>
      <c r="HK503" s="13"/>
      <c r="HL503" s="13"/>
      <c r="HM503" s="13"/>
      <c r="HN503" s="13"/>
      <c r="HO503" s="13"/>
      <c r="HP503" s="13"/>
      <c r="HQ503" s="13"/>
      <c r="HR503" s="13"/>
      <c r="HS503" s="13"/>
      <c r="HT503" s="13"/>
      <c r="HV503" s="18"/>
      <c r="HW503" s="18"/>
      <c r="HX503" s="18"/>
      <c r="HY503" s="18"/>
      <c r="HZ503" s="18"/>
      <c r="IA503" s="18"/>
      <c r="IB503" s="18"/>
      <c r="IC503" s="18"/>
      <c r="ID503" s="18"/>
      <c r="IE503" s="18"/>
      <c r="IF503" s="18"/>
      <c r="IG503" s="18"/>
      <c r="IH503" s="18"/>
      <c r="II503" s="18"/>
      <c r="IJ503" s="18"/>
      <c r="IK503" s="18"/>
      <c r="IL503" s="18"/>
      <c r="IM503" s="18"/>
      <c r="IN503" s="18"/>
      <c r="IO503" s="18"/>
      <c r="IP503" s="18"/>
      <c r="IQ503" s="18"/>
      <c r="IR503" s="18"/>
      <c r="IS503" s="18"/>
      <c r="IT503" s="18"/>
      <c r="IU503" s="18"/>
      <c r="IV503" s="18"/>
      <c r="IW503" s="18"/>
      <c r="IX503" s="18"/>
      <c r="IY503" s="18"/>
      <c r="IZ503" s="18"/>
      <c r="JA503" s="18"/>
      <c r="JB503" s="18"/>
      <c r="JC503" s="18"/>
      <c r="JD503" s="18"/>
      <c r="JE503" s="18"/>
      <c r="JF503" s="18"/>
      <c r="JG503" s="18"/>
      <c r="JH503" s="18"/>
      <c r="JI503" s="18"/>
      <c r="JJ503" s="18"/>
      <c r="JK503" s="18"/>
      <c r="JL503" s="18"/>
      <c r="JM503" s="18"/>
      <c r="JN503" s="18"/>
      <c r="JO503" s="18"/>
      <c r="JP503" s="18"/>
      <c r="JQ503" s="18"/>
      <c r="JR503" s="18"/>
      <c r="JS503" s="18"/>
      <c r="JT503" s="18"/>
      <c r="JU503" s="18"/>
      <c r="JV503" s="18"/>
      <c r="JW503" s="18"/>
      <c r="JX503" s="18"/>
      <c r="JY503" s="18"/>
      <c r="JZ503" s="18"/>
      <c r="KA503" s="18"/>
      <c r="KB503" s="18"/>
      <c r="KC503" s="18"/>
      <c r="KD503" s="18"/>
      <c r="KE503" s="18"/>
      <c r="KF503" s="18"/>
      <c r="KG503" s="18"/>
      <c r="KH503" s="18"/>
      <c r="KI503" s="18"/>
      <c r="KJ503" s="18"/>
      <c r="KK503" s="18"/>
      <c r="KL503" s="18"/>
      <c r="KM503" s="18"/>
      <c r="KN503" s="18"/>
      <c r="KO503" s="18"/>
      <c r="KP503" s="18"/>
    </row>
    <row r="504" spans="1:302" ht="15" customHeight="1">
      <c r="A504" s="1"/>
      <c r="B504" s="1066"/>
      <c r="C504" s="1066"/>
      <c r="D504" s="1066"/>
      <c r="E504" s="73"/>
      <c r="F504" s="61"/>
      <c r="G504" s="61"/>
      <c r="H504" s="61"/>
      <c r="I504" s="36"/>
      <c r="J504" s="36"/>
      <c r="K504" s="61"/>
      <c r="L504" s="61"/>
      <c r="P504" s="940"/>
      <c r="Q504" s="1"/>
      <c r="R504" s="23"/>
      <c r="S504" s="23"/>
      <c r="T504" s="23"/>
      <c r="U504" s="23"/>
      <c r="V504" s="23"/>
      <c r="W504" s="23"/>
      <c r="X504" s="23"/>
      <c r="Y504" s="71"/>
      <c r="Z504" s="71"/>
      <c r="AA504" s="23"/>
      <c r="AB504" s="9"/>
      <c r="AC504" s="9"/>
      <c r="AD504" s="23"/>
      <c r="AE504" s="23"/>
      <c r="AF504" s="69"/>
      <c r="AG504" s="23"/>
      <c r="AH504" s="15"/>
      <c r="AI504" s="981"/>
      <c r="AJ504" s="15"/>
      <c r="AK504" s="65"/>
      <c r="AL504" s="22"/>
      <c r="AM504" s="22"/>
      <c r="AN504" s="22"/>
      <c r="AO504" s="22"/>
      <c r="AP504" s="22"/>
      <c r="AQ504" s="22"/>
      <c r="AR504" s="22"/>
      <c r="AS504" s="22"/>
      <c r="AT504" s="54"/>
      <c r="AU504" s="22"/>
      <c r="AV504" s="22"/>
      <c r="AW504" s="22"/>
      <c r="AX504" s="22"/>
      <c r="AY504" s="22"/>
      <c r="AZ504" s="22"/>
      <c r="BA504" s="54"/>
      <c r="BB504" s="22"/>
      <c r="BC504" s="15"/>
      <c r="BD504" s="15"/>
      <c r="BE504" s="15"/>
      <c r="BF504" s="15"/>
      <c r="BG504" s="51"/>
      <c r="BH504" s="15"/>
      <c r="BI504" s="15"/>
      <c r="BJ504" s="15"/>
      <c r="BK504" s="51"/>
      <c r="BL504" s="15"/>
      <c r="BM504" s="15"/>
      <c r="BN504" s="15"/>
      <c r="BO504" s="15"/>
      <c r="BP504" s="15"/>
      <c r="BQ504" s="18"/>
      <c r="BR504" s="18"/>
      <c r="BS504" s="18"/>
      <c r="BT504" s="18"/>
      <c r="BU504" s="18"/>
      <c r="BV504" s="18"/>
      <c r="BW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  <c r="FC504" s="18"/>
      <c r="FD504" s="18"/>
      <c r="FE504" s="18"/>
      <c r="FF504" s="18"/>
      <c r="FG504" s="18"/>
      <c r="FH504" s="18"/>
      <c r="FI504" s="18"/>
      <c r="FJ504" s="18"/>
      <c r="FK504" s="18"/>
      <c r="FL504" s="18"/>
      <c r="FM504" s="18"/>
      <c r="FN504" s="18"/>
      <c r="FO504" s="18"/>
      <c r="FP504" s="18"/>
      <c r="FQ504" s="18"/>
      <c r="FR504" s="18"/>
      <c r="FS504" s="18"/>
      <c r="FT504" s="18"/>
      <c r="FU504" s="18"/>
      <c r="FV504" s="18"/>
      <c r="FW504" s="18"/>
      <c r="FX504" s="18"/>
      <c r="FY504" s="18"/>
      <c r="FZ504" s="18"/>
      <c r="GA504" s="18"/>
      <c r="GB504" s="18"/>
      <c r="GC504" s="18"/>
      <c r="GD504" s="18"/>
      <c r="GE504" s="18"/>
      <c r="GF504" s="18"/>
      <c r="GG504" s="18"/>
      <c r="GH504" s="18"/>
      <c r="GI504" s="18"/>
      <c r="GJ504" s="18"/>
      <c r="GK504" s="18"/>
      <c r="GL504" s="18"/>
      <c r="GM504" s="18"/>
      <c r="GN504" s="18"/>
      <c r="GO504" s="18"/>
      <c r="GP504" s="18"/>
      <c r="GQ504" s="18"/>
      <c r="GR504" s="18"/>
      <c r="GS504" s="18"/>
      <c r="GT504" s="18"/>
      <c r="GU504" s="18"/>
      <c r="GV504" s="18"/>
      <c r="GW504" s="18"/>
      <c r="GX504" s="18"/>
      <c r="GY504" s="18"/>
      <c r="GZ504" s="18"/>
      <c r="HA504" s="18"/>
      <c r="HB504" s="18"/>
      <c r="HC504" s="18"/>
      <c r="HD504" s="18"/>
      <c r="HE504" s="18"/>
      <c r="HF504" s="18"/>
      <c r="HG504" s="13"/>
      <c r="HH504" s="13"/>
      <c r="HI504" s="13"/>
      <c r="HJ504" s="13"/>
      <c r="HK504" s="13"/>
      <c r="HL504" s="13"/>
      <c r="HM504" s="13"/>
      <c r="HN504" s="13"/>
      <c r="HO504" s="13"/>
      <c r="HP504" s="13"/>
      <c r="HQ504" s="13"/>
      <c r="HR504" s="13"/>
      <c r="HS504" s="13"/>
      <c r="HT504" s="13"/>
      <c r="HV504" s="18"/>
      <c r="HW504" s="18"/>
      <c r="HX504" s="18"/>
      <c r="HY504" s="18"/>
      <c r="HZ504" s="18"/>
      <c r="IA504" s="18"/>
      <c r="IB504" s="18"/>
      <c r="IC504" s="18"/>
      <c r="ID504" s="18"/>
      <c r="IE504" s="18"/>
      <c r="IF504" s="18"/>
      <c r="IG504" s="18"/>
      <c r="IH504" s="18"/>
      <c r="II504" s="18"/>
      <c r="IJ504" s="18"/>
      <c r="IK504" s="18"/>
      <c r="IL504" s="18"/>
      <c r="IM504" s="18"/>
      <c r="IN504" s="18"/>
      <c r="IO504" s="18"/>
      <c r="IP504" s="18"/>
      <c r="IQ504" s="18"/>
      <c r="IR504" s="18"/>
      <c r="IS504" s="18"/>
      <c r="IT504" s="18"/>
      <c r="IU504" s="18"/>
      <c r="IV504" s="18"/>
      <c r="IW504" s="18"/>
      <c r="IX504" s="18"/>
      <c r="IY504" s="18"/>
      <c r="IZ504" s="18"/>
      <c r="JA504" s="18"/>
      <c r="JB504" s="18"/>
      <c r="JC504" s="18"/>
      <c r="JD504" s="18"/>
      <c r="JE504" s="18"/>
      <c r="JF504" s="18"/>
      <c r="JG504" s="18"/>
      <c r="JH504" s="18"/>
      <c r="JI504" s="18"/>
      <c r="JJ504" s="18"/>
      <c r="JK504" s="18"/>
      <c r="JL504" s="18"/>
      <c r="JM504" s="18"/>
      <c r="JN504" s="18"/>
      <c r="JO504" s="18"/>
      <c r="JP504" s="18"/>
      <c r="JQ504" s="18"/>
      <c r="JR504" s="18"/>
      <c r="JS504" s="18"/>
      <c r="JT504" s="18"/>
      <c r="JU504" s="18"/>
      <c r="JV504" s="18"/>
      <c r="JW504" s="18"/>
      <c r="JX504" s="18"/>
      <c r="JY504" s="18"/>
      <c r="JZ504" s="18"/>
      <c r="KA504" s="18"/>
      <c r="KB504" s="18"/>
      <c r="KC504" s="18"/>
      <c r="KD504" s="18"/>
      <c r="KE504" s="18"/>
      <c r="KF504" s="18"/>
      <c r="KG504" s="18"/>
      <c r="KH504" s="18"/>
      <c r="KI504" s="18"/>
      <c r="KJ504" s="18"/>
      <c r="KK504" s="18"/>
      <c r="KL504" s="18"/>
      <c r="KM504" s="18"/>
      <c r="KN504" s="18"/>
      <c r="KO504" s="18"/>
      <c r="KP504" s="18"/>
    </row>
    <row r="505" spans="1:302" ht="15" customHeight="1">
      <c r="A505" s="1"/>
      <c r="B505" s="1064"/>
      <c r="C505" s="1064"/>
      <c r="D505" s="1063"/>
      <c r="E505" s="1063"/>
      <c r="F505" s="52"/>
      <c r="G505" s="1081"/>
      <c r="H505" s="1081"/>
      <c r="I505" s="1081"/>
      <c r="J505" s="57"/>
      <c r="K505" s="57"/>
      <c r="L505" s="57"/>
      <c r="M505" s="70"/>
      <c r="N505" s="70"/>
      <c r="O505" s="70"/>
      <c r="P505" s="58"/>
      <c r="Q505" s="57"/>
      <c r="AF505" s="69"/>
      <c r="AG505" s="14"/>
      <c r="AH505" s="15"/>
      <c r="AI505" s="981"/>
      <c r="AJ505" s="15"/>
      <c r="AK505" s="65"/>
      <c r="AL505" s="22"/>
      <c r="AM505" s="22"/>
      <c r="AN505" s="22"/>
      <c r="AO505" s="22"/>
      <c r="AP505" s="22"/>
      <c r="AQ505" s="22"/>
      <c r="AR505" s="22"/>
      <c r="AS505" s="22"/>
      <c r="AT505" s="54"/>
      <c r="AU505" s="22"/>
      <c r="AV505" s="22"/>
      <c r="AW505" s="22"/>
      <c r="AX505" s="22"/>
      <c r="AY505" s="22"/>
      <c r="AZ505" s="22"/>
      <c r="BA505" s="54"/>
      <c r="BB505" s="22"/>
      <c r="BC505" s="15"/>
      <c r="BD505" s="15"/>
      <c r="BE505" s="15"/>
      <c r="BF505" s="15"/>
      <c r="BG505" s="51"/>
      <c r="BH505" s="15"/>
      <c r="BI505" s="15"/>
      <c r="BJ505" s="15"/>
      <c r="BK505" s="51"/>
      <c r="BL505" s="15"/>
      <c r="BM505" s="15"/>
      <c r="BN505" s="15"/>
      <c r="BO505" s="15"/>
      <c r="BP505" s="15"/>
      <c r="BQ505" s="18"/>
      <c r="BR505" s="18"/>
      <c r="BS505" s="18"/>
      <c r="BT505" s="18"/>
      <c r="BU505" s="18"/>
      <c r="BV505" s="18"/>
      <c r="BW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  <c r="FC505" s="18"/>
      <c r="FD505" s="18"/>
      <c r="FE505" s="18"/>
      <c r="FF505" s="18"/>
      <c r="FG505" s="18"/>
      <c r="FH505" s="18"/>
      <c r="FI505" s="18"/>
      <c r="FJ505" s="18"/>
      <c r="FK505" s="18"/>
      <c r="FL505" s="18"/>
      <c r="FM505" s="18"/>
      <c r="FN505" s="18"/>
      <c r="FO505" s="18"/>
      <c r="FP505" s="18"/>
      <c r="FQ505" s="18"/>
      <c r="FR505" s="18"/>
      <c r="FS505" s="18"/>
      <c r="FT505" s="18"/>
      <c r="FU505" s="18"/>
      <c r="FV505" s="18"/>
      <c r="FW505" s="18"/>
      <c r="FX505" s="18"/>
      <c r="FY505" s="18"/>
      <c r="FZ505" s="18"/>
      <c r="GA505" s="18"/>
      <c r="GB505" s="18"/>
      <c r="GC505" s="18"/>
      <c r="GD505" s="18"/>
      <c r="GE505" s="18"/>
      <c r="GF505" s="18"/>
      <c r="GG505" s="18"/>
      <c r="GH505" s="18"/>
      <c r="GI505" s="18"/>
      <c r="GJ505" s="18"/>
      <c r="GK505" s="18"/>
      <c r="GL505" s="18"/>
      <c r="GM505" s="18"/>
      <c r="GN505" s="18"/>
      <c r="GO505" s="18"/>
      <c r="GP505" s="18"/>
      <c r="GQ505" s="18"/>
      <c r="GR505" s="18"/>
      <c r="GS505" s="18"/>
      <c r="GT505" s="18"/>
      <c r="GU505" s="18"/>
      <c r="GV505" s="18"/>
      <c r="GW505" s="18"/>
      <c r="GX505" s="18"/>
      <c r="GY505" s="18"/>
      <c r="GZ505" s="18"/>
      <c r="HA505" s="18"/>
      <c r="HB505" s="18"/>
      <c r="HC505" s="18"/>
      <c r="HD505" s="18"/>
      <c r="HE505" s="18"/>
      <c r="HF505" s="18"/>
      <c r="HG505" s="13"/>
      <c r="HH505" s="13"/>
      <c r="HI505" s="13"/>
      <c r="HJ505" s="13"/>
      <c r="HK505" s="13"/>
      <c r="HL505" s="13"/>
      <c r="HM505" s="13"/>
      <c r="HN505" s="13"/>
      <c r="HO505" s="13"/>
      <c r="HP505" s="13"/>
      <c r="HQ505" s="13"/>
      <c r="HR505" s="13"/>
      <c r="HS505" s="13"/>
      <c r="HT505" s="13"/>
      <c r="HV505" s="18"/>
      <c r="HW505" s="18"/>
      <c r="HX505" s="18"/>
      <c r="HY505" s="18"/>
      <c r="HZ505" s="18"/>
      <c r="IA505" s="18"/>
      <c r="IB505" s="18"/>
      <c r="IC505" s="18"/>
      <c r="ID505" s="18"/>
      <c r="IE505" s="18"/>
      <c r="IF505" s="18"/>
      <c r="IG505" s="18"/>
      <c r="IH505" s="18"/>
      <c r="II505" s="18"/>
      <c r="IJ505" s="18"/>
      <c r="IK505" s="18"/>
      <c r="IL505" s="18"/>
      <c r="IM505" s="18"/>
      <c r="IN505" s="18"/>
      <c r="IO505" s="18"/>
      <c r="IP505" s="18"/>
      <c r="IQ505" s="18"/>
      <c r="IR505" s="18"/>
      <c r="IS505" s="18"/>
      <c r="IT505" s="18"/>
      <c r="IU505" s="18"/>
      <c r="IV505" s="18"/>
      <c r="IW505" s="18"/>
      <c r="IX505" s="18"/>
      <c r="IY505" s="18"/>
      <c r="IZ505" s="18"/>
      <c r="JA505" s="18"/>
      <c r="JB505" s="18"/>
      <c r="JC505" s="18"/>
      <c r="JD505" s="18"/>
      <c r="JE505" s="18"/>
      <c r="JF505" s="18"/>
      <c r="JG505" s="18"/>
      <c r="JH505" s="18"/>
      <c r="JI505" s="18"/>
      <c r="JJ505" s="18"/>
      <c r="JK505" s="18"/>
      <c r="JL505" s="18"/>
      <c r="JM505" s="18"/>
      <c r="JN505" s="18"/>
      <c r="JO505" s="18"/>
      <c r="JP505" s="18"/>
      <c r="JQ505" s="18"/>
      <c r="JR505" s="18"/>
      <c r="JS505" s="18"/>
      <c r="JT505" s="18"/>
      <c r="JU505" s="18"/>
      <c r="JV505" s="18"/>
      <c r="JW505" s="18"/>
      <c r="JX505" s="18"/>
      <c r="JY505" s="18"/>
      <c r="JZ505" s="18"/>
      <c r="KA505" s="18"/>
      <c r="KB505" s="18"/>
      <c r="KC505" s="18"/>
      <c r="KD505" s="18"/>
      <c r="KE505" s="18"/>
      <c r="KF505" s="18"/>
      <c r="KG505" s="18"/>
      <c r="KH505" s="18"/>
      <c r="KI505" s="18"/>
      <c r="KJ505" s="18"/>
      <c r="KK505" s="18"/>
      <c r="KL505" s="18"/>
      <c r="KM505" s="18"/>
      <c r="KN505" s="18"/>
      <c r="KO505" s="18"/>
      <c r="KP505" s="18"/>
    </row>
    <row r="506" spans="1:302" ht="15" customHeight="1">
      <c r="A506" s="1"/>
      <c r="B506" s="1064"/>
      <c r="C506" s="1064"/>
      <c r="D506" s="1063"/>
      <c r="E506" s="1063"/>
      <c r="F506" s="52"/>
      <c r="G506" s="1015"/>
      <c r="H506" s="1015"/>
      <c r="I506" s="1015"/>
      <c r="J506" s="68"/>
      <c r="K506" s="57"/>
      <c r="L506" s="57"/>
      <c r="M506" s="67"/>
      <c r="N506" s="67"/>
      <c r="O506" s="67"/>
      <c r="P506" s="58"/>
      <c r="Q506" s="1"/>
      <c r="R506" s="36"/>
      <c r="S506" s="36"/>
      <c r="T506" s="36"/>
      <c r="U506" s="36"/>
      <c r="V506" s="36"/>
      <c r="W506" s="36"/>
      <c r="X506" s="36"/>
      <c r="Y506" s="66"/>
      <c r="Z506" s="66"/>
      <c r="AA506" s="36"/>
      <c r="AD506" s="36"/>
      <c r="AE506" s="36"/>
      <c r="AF506" s="36"/>
      <c r="AG506" s="61"/>
      <c r="AH506" s="15"/>
      <c r="AI506" s="981"/>
      <c r="AJ506" s="15"/>
      <c r="AK506" s="65"/>
      <c r="AL506" s="22"/>
      <c r="AM506" s="22"/>
      <c r="AN506" s="22"/>
      <c r="AO506" s="22"/>
      <c r="AP506" s="22"/>
      <c r="AQ506" s="22"/>
      <c r="AR506" s="22"/>
      <c r="AS506" s="22"/>
      <c r="AT506" s="54"/>
      <c r="AU506" s="22"/>
      <c r="AV506" s="22"/>
      <c r="AW506" s="22"/>
      <c r="AX506" s="22"/>
      <c r="AY506" s="22"/>
      <c r="AZ506" s="22"/>
      <c r="BA506" s="54"/>
      <c r="BB506" s="22"/>
      <c r="BC506" s="15"/>
      <c r="BD506" s="15"/>
      <c r="BE506" s="15"/>
      <c r="BF506" s="15"/>
      <c r="BG506" s="51"/>
      <c r="BH506" s="15"/>
      <c r="BI506" s="15"/>
      <c r="BJ506" s="15"/>
      <c r="BK506" s="51"/>
      <c r="BL506" s="15"/>
      <c r="BM506" s="15"/>
      <c r="BN506" s="15"/>
      <c r="BO506" s="15"/>
      <c r="BP506" s="15"/>
      <c r="BQ506" s="18"/>
      <c r="BR506" s="18"/>
      <c r="BS506" s="18"/>
      <c r="BT506" s="18"/>
      <c r="BU506" s="18"/>
      <c r="BV506" s="18"/>
      <c r="BW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  <c r="FC506" s="18"/>
      <c r="FD506" s="18"/>
      <c r="FE506" s="18"/>
      <c r="FF506" s="18"/>
      <c r="FG506" s="18"/>
      <c r="FH506" s="18"/>
      <c r="FI506" s="18"/>
      <c r="FJ506" s="18"/>
      <c r="FK506" s="18"/>
      <c r="FL506" s="18"/>
      <c r="FM506" s="18"/>
      <c r="FN506" s="18"/>
      <c r="FO506" s="18"/>
      <c r="FP506" s="18"/>
      <c r="FQ506" s="18"/>
      <c r="FR506" s="18"/>
      <c r="FS506" s="18"/>
      <c r="FT506" s="18"/>
      <c r="FU506" s="18"/>
      <c r="FV506" s="18"/>
      <c r="FW506" s="18"/>
      <c r="FX506" s="18"/>
      <c r="FY506" s="18"/>
      <c r="FZ506" s="18"/>
      <c r="GA506" s="18"/>
      <c r="GB506" s="18"/>
      <c r="GC506" s="18"/>
      <c r="GD506" s="18"/>
      <c r="GE506" s="18"/>
      <c r="GF506" s="18"/>
      <c r="GG506" s="18"/>
      <c r="GH506" s="18"/>
      <c r="GI506" s="18"/>
      <c r="GJ506" s="18"/>
      <c r="GK506" s="18"/>
      <c r="GL506" s="18"/>
      <c r="GM506" s="18"/>
      <c r="GN506" s="18"/>
      <c r="GO506" s="18"/>
      <c r="GP506" s="18"/>
      <c r="GQ506" s="18"/>
      <c r="GR506" s="18"/>
      <c r="GS506" s="18"/>
      <c r="GT506" s="18"/>
      <c r="GU506" s="18"/>
      <c r="GV506" s="18"/>
      <c r="GW506" s="18"/>
      <c r="GX506" s="18"/>
      <c r="GY506" s="18"/>
      <c r="GZ506" s="18"/>
      <c r="HA506" s="18"/>
      <c r="HB506" s="18"/>
      <c r="HC506" s="18"/>
      <c r="HD506" s="18"/>
      <c r="HE506" s="18"/>
      <c r="HF506" s="18"/>
      <c r="HG506" s="13"/>
      <c r="HH506" s="13"/>
      <c r="HI506" s="13"/>
      <c r="HJ506" s="13"/>
      <c r="HK506" s="13"/>
      <c r="HL506" s="13"/>
      <c r="HM506" s="13"/>
      <c r="HN506" s="13"/>
      <c r="HO506" s="13"/>
      <c r="HP506" s="13"/>
      <c r="HQ506" s="13"/>
      <c r="HR506" s="13"/>
      <c r="HS506" s="13"/>
      <c r="HT506" s="13"/>
      <c r="HV506" s="18"/>
      <c r="HW506" s="18"/>
      <c r="HX506" s="18"/>
      <c r="HY506" s="18"/>
      <c r="HZ506" s="18"/>
      <c r="IA506" s="18"/>
      <c r="IB506" s="18"/>
      <c r="IC506" s="18"/>
      <c r="ID506" s="18"/>
      <c r="IE506" s="18"/>
      <c r="IF506" s="18"/>
      <c r="IG506" s="18"/>
      <c r="IH506" s="18"/>
      <c r="II506" s="18"/>
      <c r="IJ506" s="18"/>
      <c r="IK506" s="18"/>
      <c r="IL506" s="18"/>
      <c r="IM506" s="18"/>
      <c r="IN506" s="18"/>
      <c r="IO506" s="18"/>
      <c r="IP506" s="18"/>
      <c r="IQ506" s="18"/>
      <c r="IR506" s="18"/>
      <c r="IS506" s="18"/>
      <c r="IT506" s="18"/>
      <c r="IU506" s="18"/>
      <c r="IV506" s="18"/>
      <c r="IW506" s="18"/>
      <c r="IX506" s="18"/>
      <c r="IY506" s="18"/>
      <c r="IZ506" s="18"/>
      <c r="JA506" s="18"/>
      <c r="JB506" s="18"/>
      <c r="JC506" s="18"/>
      <c r="JD506" s="18"/>
      <c r="JE506" s="18"/>
      <c r="JF506" s="18"/>
      <c r="JG506" s="18"/>
      <c r="JH506" s="18"/>
      <c r="JI506" s="18"/>
      <c r="JJ506" s="18"/>
      <c r="JK506" s="18"/>
      <c r="JL506" s="18"/>
      <c r="JM506" s="18"/>
      <c r="JN506" s="18"/>
      <c r="JO506" s="18"/>
      <c r="JP506" s="18"/>
      <c r="JQ506" s="18"/>
      <c r="JR506" s="18"/>
      <c r="JS506" s="18"/>
      <c r="JT506" s="18"/>
      <c r="JU506" s="18"/>
      <c r="JV506" s="18"/>
      <c r="JW506" s="18"/>
      <c r="JX506" s="18"/>
      <c r="JY506" s="18"/>
      <c r="JZ506" s="18"/>
      <c r="KA506" s="18"/>
      <c r="KB506" s="18"/>
      <c r="KC506" s="18"/>
      <c r="KD506" s="18"/>
      <c r="KE506" s="18"/>
      <c r="KF506" s="18"/>
      <c r="KG506" s="18"/>
      <c r="KH506" s="18"/>
      <c r="KI506" s="18"/>
      <c r="KJ506" s="18"/>
      <c r="KK506" s="18"/>
      <c r="KL506" s="18"/>
      <c r="KM506" s="18"/>
      <c r="KN506" s="18"/>
      <c r="KO506" s="18"/>
      <c r="KP506" s="18"/>
    </row>
    <row r="507" spans="1:302">
      <c r="A507" s="1"/>
      <c r="B507" s="1064"/>
      <c r="C507" s="1064"/>
      <c r="D507" s="1063"/>
      <c r="E507" s="1063"/>
      <c r="F507" s="52"/>
      <c r="G507" s="1014"/>
      <c r="H507" s="1014"/>
      <c r="I507" s="1014"/>
      <c r="J507" s="61"/>
      <c r="K507" s="61"/>
      <c r="L507" s="61"/>
      <c r="M507" s="816"/>
      <c r="N507" s="816"/>
      <c r="O507" s="816"/>
      <c r="P507" s="817"/>
      <c r="Q507" s="722"/>
      <c r="R507" s="36"/>
      <c r="S507" s="36"/>
      <c r="T507" s="36"/>
      <c r="U507" s="36"/>
      <c r="V507" s="36"/>
      <c r="W507" s="36"/>
      <c r="X507" s="36"/>
      <c r="Y507" s="66"/>
      <c r="Z507" s="66"/>
      <c r="AA507" s="36"/>
      <c r="AD507" s="36"/>
      <c r="AG507" s="955"/>
      <c r="AH507" s="64"/>
      <c r="AI507" s="978"/>
      <c r="AJ507" s="64"/>
      <c r="AK507" s="63"/>
      <c r="AL507" s="62"/>
      <c r="AM507" s="62"/>
      <c r="AN507" s="22"/>
      <c r="AO507" s="22"/>
      <c r="AP507" s="22"/>
      <c r="AQ507" s="22"/>
      <c r="AR507" s="22"/>
      <c r="AS507" s="22"/>
      <c r="AT507" s="54"/>
      <c r="AU507" s="22"/>
      <c r="AV507" s="22"/>
      <c r="AW507" s="22"/>
      <c r="AX507" s="22"/>
      <c r="AY507" s="22"/>
      <c r="AZ507" s="22"/>
      <c r="BA507" s="54"/>
      <c r="BB507" s="22"/>
      <c r="BC507" s="15"/>
      <c r="BD507" s="15"/>
      <c r="BE507" s="15"/>
      <c r="BF507" s="15"/>
      <c r="BG507" s="51"/>
      <c r="BH507" s="15"/>
      <c r="BI507" s="15"/>
      <c r="BJ507" s="15"/>
      <c r="BK507" s="51"/>
      <c r="BL507" s="15"/>
      <c r="BM507" s="15"/>
      <c r="BN507" s="15"/>
      <c r="BO507" s="15"/>
      <c r="BP507" s="15"/>
      <c r="BQ507" s="18"/>
      <c r="BR507" s="18"/>
      <c r="BS507" s="18"/>
      <c r="BT507" s="18"/>
      <c r="BU507" s="18"/>
      <c r="BV507" s="18"/>
      <c r="BW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  <c r="FC507" s="18"/>
      <c r="FD507" s="18"/>
      <c r="FE507" s="18"/>
      <c r="FF507" s="18"/>
      <c r="FG507" s="18"/>
      <c r="FH507" s="18"/>
      <c r="FI507" s="18"/>
      <c r="FJ507" s="18"/>
      <c r="FK507" s="18"/>
      <c r="FL507" s="18"/>
      <c r="FM507" s="18"/>
      <c r="FN507" s="18"/>
      <c r="FO507" s="18"/>
      <c r="FP507" s="18"/>
      <c r="FQ507" s="18"/>
      <c r="FR507" s="18"/>
      <c r="FS507" s="18"/>
      <c r="FT507" s="18"/>
      <c r="FU507" s="18"/>
      <c r="FV507" s="18"/>
      <c r="FW507" s="18"/>
      <c r="FX507" s="18"/>
      <c r="FY507" s="18"/>
      <c r="FZ507" s="18"/>
      <c r="GA507" s="18"/>
      <c r="GB507" s="18"/>
      <c r="GC507" s="18"/>
      <c r="GD507" s="18"/>
      <c r="GE507" s="18"/>
      <c r="GF507" s="18"/>
      <c r="GG507" s="18"/>
      <c r="GH507" s="18"/>
      <c r="GI507" s="18"/>
      <c r="GJ507" s="18"/>
      <c r="GK507" s="18"/>
      <c r="GL507" s="18"/>
      <c r="GM507" s="18"/>
      <c r="GN507" s="18"/>
      <c r="GO507" s="18"/>
      <c r="GP507" s="18"/>
      <c r="GQ507" s="18"/>
      <c r="GR507" s="18"/>
      <c r="GS507" s="18"/>
      <c r="GT507" s="18"/>
      <c r="GU507" s="18"/>
      <c r="GV507" s="18"/>
      <c r="GW507" s="18"/>
      <c r="GX507" s="18"/>
      <c r="GY507" s="18"/>
      <c r="GZ507" s="18"/>
      <c r="HA507" s="18"/>
      <c r="HB507" s="18"/>
      <c r="HC507" s="18"/>
      <c r="HD507" s="18"/>
      <c r="HE507" s="18"/>
      <c r="HF507" s="18"/>
      <c r="HG507" s="13"/>
      <c r="HH507" s="13"/>
      <c r="HI507" s="13"/>
      <c r="HJ507" s="13"/>
      <c r="HK507" s="13"/>
      <c r="HL507" s="13"/>
      <c r="HM507" s="13"/>
      <c r="HN507" s="13"/>
      <c r="HO507" s="13"/>
      <c r="HP507" s="13"/>
      <c r="HQ507" s="13"/>
      <c r="HR507" s="13"/>
      <c r="HS507" s="13"/>
      <c r="HT507" s="13"/>
      <c r="HV507" s="18"/>
      <c r="HW507" s="18"/>
      <c r="HX507" s="18"/>
      <c r="HY507" s="18"/>
      <c r="HZ507" s="18"/>
      <c r="IA507" s="18"/>
      <c r="IB507" s="18"/>
      <c r="IC507" s="18"/>
      <c r="ID507" s="18"/>
      <c r="IE507" s="18"/>
      <c r="IF507" s="18"/>
      <c r="IG507" s="18"/>
      <c r="IH507" s="18"/>
      <c r="II507" s="18"/>
      <c r="IJ507" s="18"/>
      <c r="IK507" s="18"/>
      <c r="IL507" s="18"/>
      <c r="IM507" s="18"/>
      <c r="IN507" s="18"/>
      <c r="IO507" s="18"/>
      <c r="IP507" s="18"/>
      <c r="IQ507" s="18"/>
      <c r="IR507" s="18"/>
      <c r="IS507" s="18"/>
      <c r="IT507" s="18"/>
      <c r="IU507" s="18"/>
      <c r="IV507" s="18"/>
      <c r="IW507" s="18"/>
      <c r="IX507" s="18"/>
      <c r="IY507" s="18"/>
      <c r="IZ507" s="18"/>
      <c r="JA507" s="18"/>
      <c r="JB507" s="18"/>
      <c r="JC507" s="18"/>
      <c r="JD507" s="18"/>
      <c r="JE507" s="18"/>
      <c r="JF507" s="18"/>
      <c r="JG507" s="18"/>
      <c r="JH507" s="18"/>
      <c r="JI507" s="18"/>
      <c r="JJ507" s="18"/>
      <c r="JK507" s="18"/>
      <c r="JL507" s="18"/>
      <c r="JM507" s="18"/>
      <c r="JN507" s="18"/>
      <c r="JO507" s="18"/>
      <c r="JP507" s="18"/>
      <c r="JQ507" s="18"/>
      <c r="JR507" s="18"/>
      <c r="JS507" s="18"/>
      <c r="JT507" s="18"/>
      <c r="JU507" s="18"/>
      <c r="JV507" s="18"/>
      <c r="JW507" s="18"/>
      <c r="JX507" s="18"/>
      <c r="JY507" s="18"/>
      <c r="JZ507" s="18"/>
      <c r="KA507" s="18"/>
      <c r="KB507" s="18"/>
      <c r="KC507" s="18"/>
      <c r="KD507" s="18"/>
      <c r="KE507" s="18"/>
      <c r="KF507" s="18"/>
      <c r="KG507" s="18"/>
      <c r="KH507" s="18"/>
      <c r="KI507" s="18"/>
      <c r="KJ507" s="18"/>
      <c r="KK507" s="18"/>
      <c r="KL507" s="18"/>
      <c r="KM507" s="18"/>
      <c r="KN507" s="18"/>
      <c r="KO507" s="18"/>
      <c r="KP507" s="18"/>
    </row>
    <row r="508" spans="1:302">
      <c r="A508" s="1"/>
      <c r="B508" s="1064"/>
      <c r="C508" s="1064"/>
      <c r="D508" s="1063"/>
      <c r="E508" s="1063"/>
      <c r="F508" s="52"/>
      <c r="G508" s="1014"/>
      <c r="H508" s="1014"/>
      <c r="I508" s="1014"/>
      <c r="J508" s="61"/>
      <c r="K508" s="61"/>
      <c r="L508" s="57"/>
      <c r="M508" s="59"/>
      <c r="N508" s="59"/>
      <c r="O508" s="59"/>
      <c r="P508" s="58"/>
      <c r="Q508" s="1"/>
      <c r="AG508" s="57"/>
      <c r="AH508" s="16"/>
      <c r="AI508" s="16"/>
      <c r="AJ508" s="16"/>
      <c r="AK508" s="60"/>
      <c r="AL508" s="22"/>
      <c r="AM508" s="22"/>
      <c r="AN508" s="22"/>
      <c r="AO508" s="22"/>
      <c r="AP508" s="22"/>
      <c r="AQ508" s="22"/>
      <c r="AR508" s="22"/>
      <c r="AS508" s="22"/>
      <c r="AT508" s="54"/>
      <c r="AU508" s="22"/>
      <c r="AV508" s="22"/>
      <c r="AW508" s="22"/>
      <c r="AX508" s="22"/>
      <c r="AY508" s="22"/>
      <c r="AZ508" s="22"/>
      <c r="BA508" s="54"/>
      <c r="BB508" s="22"/>
      <c r="BC508" s="15"/>
      <c r="BD508" s="15"/>
      <c r="BE508" s="15"/>
      <c r="BF508" s="15"/>
      <c r="BG508" s="51"/>
      <c r="BH508" s="15"/>
      <c r="BI508" s="15"/>
      <c r="BJ508" s="15"/>
      <c r="BK508" s="51"/>
      <c r="BL508" s="15"/>
      <c r="BM508" s="15"/>
      <c r="BN508" s="15"/>
      <c r="BO508" s="15"/>
      <c r="BP508" s="15"/>
      <c r="BQ508" s="18"/>
      <c r="BR508" s="18"/>
      <c r="BS508" s="18"/>
      <c r="BT508" s="18"/>
      <c r="BU508" s="18"/>
      <c r="BV508" s="18"/>
      <c r="BW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  <c r="FC508" s="18"/>
      <c r="FD508" s="18"/>
      <c r="FE508" s="18"/>
      <c r="FF508" s="18"/>
      <c r="FG508" s="18"/>
      <c r="FH508" s="18"/>
      <c r="FI508" s="18"/>
      <c r="FJ508" s="18"/>
      <c r="FK508" s="18"/>
      <c r="FL508" s="18"/>
      <c r="FM508" s="18"/>
      <c r="FN508" s="18"/>
      <c r="FO508" s="18"/>
      <c r="FP508" s="18"/>
      <c r="FQ508" s="18"/>
      <c r="FR508" s="18"/>
      <c r="FS508" s="18"/>
      <c r="FT508" s="18"/>
      <c r="FU508" s="18"/>
      <c r="FV508" s="18"/>
      <c r="FW508" s="18"/>
      <c r="FX508" s="18"/>
      <c r="FY508" s="18"/>
      <c r="FZ508" s="18"/>
      <c r="GA508" s="18"/>
      <c r="GB508" s="18"/>
      <c r="GC508" s="18"/>
      <c r="GD508" s="18"/>
      <c r="GE508" s="18"/>
      <c r="GF508" s="18"/>
      <c r="GG508" s="18"/>
      <c r="GH508" s="18"/>
      <c r="GI508" s="18"/>
      <c r="GJ508" s="18"/>
      <c r="GK508" s="18"/>
      <c r="GL508" s="18"/>
      <c r="GM508" s="18"/>
      <c r="GN508" s="18"/>
      <c r="GO508" s="18"/>
      <c r="GP508" s="18"/>
      <c r="GQ508" s="18"/>
      <c r="GR508" s="18"/>
      <c r="GS508" s="18"/>
      <c r="GT508" s="18"/>
      <c r="GU508" s="18"/>
      <c r="GV508" s="18"/>
      <c r="GW508" s="18"/>
      <c r="GX508" s="18"/>
      <c r="GY508" s="18"/>
      <c r="GZ508" s="18"/>
      <c r="HA508" s="18"/>
      <c r="HB508" s="18"/>
      <c r="HC508" s="18"/>
      <c r="HD508" s="18"/>
      <c r="HE508" s="18"/>
      <c r="HF508" s="18"/>
      <c r="HG508" s="13"/>
      <c r="HH508" s="13"/>
      <c r="HI508" s="13"/>
      <c r="HJ508" s="13"/>
      <c r="HK508" s="13"/>
      <c r="HL508" s="13"/>
      <c r="HM508" s="13"/>
      <c r="HN508" s="13"/>
      <c r="HO508" s="13"/>
      <c r="HP508" s="13"/>
      <c r="HQ508" s="13"/>
      <c r="HR508" s="13"/>
      <c r="HS508" s="13"/>
      <c r="HT508" s="13"/>
      <c r="HV508" s="18"/>
      <c r="HW508" s="18"/>
      <c r="HX508" s="18"/>
      <c r="HY508" s="18"/>
      <c r="HZ508" s="18"/>
      <c r="IA508" s="18"/>
      <c r="IB508" s="18"/>
      <c r="IC508" s="18"/>
      <c r="ID508" s="18"/>
      <c r="IE508" s="18"/>
      <c r="IF508" s="18"/>
      <c r="IG508" s="18"/>
      <c r="IH508" s="18"/>
      <c r="II508" s="18"/>
      <c r="IJ508" s="18"/>
      <c r="IK508" s="18"/>
      <c r="IL508" s="18"/>
      <c r="IM508" s="18"/>
      <c r="IN508" s="18"/>
      <c r="IO508" s="18"/>
      <c r="IP508" s="18"/>
      <c r="IQ508" s="18"/>
      <c r="IR508" s="18"/>
      <c r="IS508" s="18"/>
      <c r="IT508" s="18"/>
      <c r="IU508" s="18"/>
      <c r="IV508" s="18"/>
      <c r="IW508" s="18"/>
      <c r="IX508" s="18"/>
      <c r="IY508" s="18"/>
      <c r="IZ508" s="18"/>
      <c r="JA508" s="18"/>
      <c r="JB508" s="18"/>
      <c r="JC508" s="18"/>
      <c r="JD508" s="18"/>
      <c r="JE508" s="18"/>
      <c r="JF508" s="18"/>
      <c r="JG508" s="18"/>
      <c r="JH508" s="18"/>
      <c r="JI508" s="18"/>
      <c r="JJ508" s="18"/>
      <c r="JK508" s="18"/>
      <c r="JL508" s="18"/>
      <c r="JM508" s="18"/>
      <c r="JN508" s="18"/>
      <c r="JO508" s="18"/>
      <c r="JP508" s="18"/>
      <c r="JQ508" s="18"/>
      <c r="JR508" s="18"/>
      <c r="JS508" s="18"/>
      <c r="JT508" s="18"/>
      <c r="JU508" s="18"/>
      <c r="JV508" s="18"/>
      <c r="JW508" s="18"/>
      <c r="JX508" s="18"/>
      <c r="JY508" s="18"/>
      <c r="JZ508" s="18"/>
      <c r="KA508" s="18"/>
      <c r="KB508" s="18"/>
      <c r="KC508" s="18"/>
      <c r="KD508" s="18"/>
      <c r="KE508" s="18"/>
      <c r="KF508" s="18"/>
      <c r="KG508" s="18"/>
      <c r="KH508" s="18"/>
      <c r="KI508" s="18"/>
      <c r="KJ508" s="18"/>
      <c r="KK508" s="18"/>
      <c r="KL508" s="18"/>
      <c r="KM508" s="18"/>
      <c r="KN508" s="18"/>
      <c r="KO508" s="18"/>
      <c r="KP508" s="18"/>
    </row>
    <row r="509" spans="1:302">
      <c r="A509" s="1"/>
      <c r="B509" s="1064"/>
      <c r="C509" s="1064"/>
      <c r="D509" s="1063"/>
      <c r="E509" s="1063"/>
      <c r="F509" s="52"/>
      <c r="G509" s="57"/>
      <c r="H509" s="57"/>
      <c r="I509" s="57"/>
      <c r="J509" s="57"/>
      <c r="K509" s="57"/>
      <c r="L509" s="57"/>
      <c r="M509" s="59"/>
      <c r="N509" s="59"/>
      <c r="O509" s="59"/>
      <c r="P509" s="58"/>
      <c r="Q509" s="1"/>
      <c r="AG509" s="57"/>
      <c r="AH509" s="56"/>
      <c r="AI509" s="11"/>
      <c r="AJ509" s="56"/>
      <c r="AK509" s="55"/>
      <c r="AL509" s="22"/>
      <c r="AM509" s="22"/>
      <c r="AN509" s="22"/>
      <c r="AO509" s="22"/>
      <c r="AP509" s="22"/>
      <c r="AQ509" s="22"/>
      <c r="AR509" s="22"/>
      <c r="AS509" s="22"/>
      <c r="AT509" s="54"/>
      <c r="AU509" s="22"/>
      <c r="AV509" s="22"/>
      <c r="AW509" s="22"/>
      <c r="AX509" s="22"/>
      <c r="AY509" s="22"/>
      <c r="AZ509" s="22"/>
      <c r="BA509" s="54"/>
      <c r="BB509" s="22"/>
      <c r="BC509" s="15"/>
      <c r="BD509" s="15"/>
      <c r="BE509" s="15"/>
      <c r="BF509" s="15"/>
      <c r="BG509" s="51"/>
      <c r="BH509" s="15"/>
      <c r="BI509" s="15"/>
      <c r="BJ509" s="15"/>
      <c r="BK509" s="51"/>
      <c r="BL509" s="15"/>
      <c r="BM509" s="15"/>
      <c r="BN509" s="15"/>
      <c r="BO509" s="15"/>
      <c r="BP509" s="15"/>
      <c r="BQ509" s="18"/>
      <c r="BR509" s="18"/>
      <c r="BS509" s="18"/>
      <c r="BT509" s="18"/>
      <c r="BU509" s="18"/>
      <c r="BV509" s="18"/>
      <c r="BW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  <c r="FC509" s="18"/>
      <c r="FD509" s="18"/>
      <c r="FE509" s="18"/>
      <c r="FF509" s="18"/>
      <c r="FG509" s="18"/>
      <c r="FH509" s="18"/>
      <c r="FI509" s="18"/>
      <c r="FJ509" s="18"/>
      <c r="FK509" s="18"/>
      <c r="FL509" s="18"/>
      <c r="FM509" s="18"/>
      <c r="FN509" s="18"/>
      <c r="FO509" s="18"/>
      <c r="FP509" s="18"/>
      <c r="FQ509" s="18"/>
      <c r="FR509" s="18"/>
      <c r="FS509" s="18"/>
      <c r="FT509" s="18"/>
      <c r="FU509" s="18"/>
      <c r="FV509" s="18"/>
      <c r="FW509" s="18"/>
      <c r="FX509" s="18"/>
      <c r="FY509" s="18"/>
      <c r="FZ509" s="18"/>
      <c r="GA509" s="18"/>
      <c r="GB509" s="18"/>
      <c r="GC509" s="18"/>
      <c r="GD509" s="18"/>
      <c r="GE509" s="18"/>
      <c r="GF509" s="18"/>
      <c r="GG509" s="18"/>
      <c r="GH509" s="18"/>
      <c r="GI509" s="18"/>
      <c r="GJ509" s="18"/>
      <c r="GK509" s="18"/>
      <c r="GL509" s="18"/>
      <c r="GM509" s="18"/>
      <c r="GN509" s="18"/>
      <c r="GO509" s="18"/>
      <c r="GP509" s="18"/>
      <c r="GQ509" s="18"/>
      <c r="GR509" s="18"/>
      <c r="GS509" s="18"/>
      <c r="GT509" s="18"/>
      <c r="GU509" s="18"/>
      <c r="GV509" s="18"/>
      <c r="GW509" s="18"/>
      <c r="GX509" s="18"/>
      <c r="GY509" s="18"/>
      <c r="GZ509" s="18"/>
      <c r="HA509" s="18"/>
      <c r="HB509" s="18"/>
      <c r="HC509" s="18"/>
      <c r="HD509" s="18"/>
      <c r="HE509" s="18"/>
      <c r="HF509" s="18"/>
      <c r="HG509" s="13"/>
      <c r="HH509" s="13"/>
      <c r="HI509" s="13"/>
      <c r="HJ509" s="13"/>
      <c r="HK509" s="13"/>
      <c r="HL509" s="13"/>
      <c r="HM509" s="13"/>
      <c r="HN509" s="13"/>
      <c r="HO509" s="13"/>
      <c r="HP509" s="13"/>
      <c r="HQ509" s="13"/>
      <c r="HR509" s="13"/>
      <c r="HS509" s="13"/>
      <c r="HT509" s="13"/>
      <c r="HV509" s="18"/>
      <c r="HW509" s="18"/>
      <c r="HX509" s="18"/>
      <c r="HY509" s="18"/>
      <c r="HZ509" s="18"/>
      <c r="IA509" s="18"/>
      <c r="IB509" s="18"/>
      <c r="IC509" s="18"/>
      <c r="ID509" s="18"/>
      <c r="IE509" s="18"/>
      <c r="IF509" s="18"/>
      <c r="IG509" s="18"/>
      <c r="IH509" s="18"/>
      <c r="II509" s="18"/>
      <c r="IJ509" s="18"/>
      <c r="IK509" s="18"/>
      <c r="IL509" s="18"/>
      <c r="IM509" s="18"/>
      <c r="IN509" s="18"/>
      <c r="IO509" s="18"/>
      <c r="IP509" s="18"/>
      <c r="IQ509" s="18"/>
      <c r="IR509" s="18"/>
      <c r="IS509" s="18"/>
      <c r="IT509" s="18"/>
      <c r="IU509" s="18"/>
      <c r="IV509" s="18"/>
      <c r="IW509" s="18"/>
      <c r="IX509" s="18"/>
      <c r="IY509" s="18"/>
      <c r="IZ509" s="18"/>
      <c r="JA509" s="18"/>
      <c r="JB509" s="18"/>
      <c r="JC509" s="18"/>
      <c r="JD509" s="18"/>
      <c r="JE509" s="18"/>
      <c r="JF509" s="18"/>
      <c r="JG509" s="18"/>
      <c r="JH509" s="18"/>
      <c r="JI509" s="18"/>
      <c r="JJ509" s="18"/>
      <c r="JK509" s="18"/>
      <c r="JL509" s="18"/>
      <c r="JM509" s="18"/>
      <c r="JN509" s="18"/>
      <c r="JO509" s="18"/>
      <c r="JP509" s="18"/>
      <c r="JQ509" s="18"/>
      <c r="JR509" s="18"/>
      <c r="JS509" s="18"/>
      <c r="JT509" s="18"/>
      <c r="JU509" s="18"/>
      <c r="JV509" s="18"/>
      <c r="JW509" s="18"/>
      <c r="JX509" s="18"/>
      <c r="JY509" s="18"/>
      <c r="JZ509" s="18"/>
      <c r="KA509" s="18"/>
      <c r="KB509" s="18"/>
      <c r="KC509" s="18"/>
      <c r="KD509" s="18"/>
      <c r="KE509" s="18"/>
      <c r="KF509" s="18"/>
      <c r="KG509" s="18"/>
      <c r="KH509" s="18"/>
      <c r="KI509" s="18"/>
      <c r="KJ509" s="18"/>
      <c r="KK509" s="18"/>
      <c r="KL509" s="18"/>
      <c r="KM509" s="18"/>
      <c r="KN509" s="18"/>
      <c r="KO509" s="18"/>
      <c r="KP509" s="18"/>
    </row>
    <row r="510" spans="1:302">
      <c r="A510" s="14"/>
      <c r="B510" s="1062"/>
      <c r="C510" s="1062"/>
      <c r="D510" s="1063"/>
      <c r="E510" s="1063"/>
      <c r="F510" s="52"/>
      <c r="G510" s="23"/>
      <c r="H510" s="23"/>
      <c r="I510" s="23"/>
      <c r="J510" s="23"/>
      <c r="K510" s="14"/>
      <c r="L510" s="14"/>
      <c r="P510" s="14"/>
      <c r="AG510" s="44"/>
      <c r="AH510" s="44"/>
      <c r="AI510" s="45"/>
      <c r="AJ510" s="44"/>
      <c r="AK510" s="43"/>
      <c r="AT510" s="51"/>
      <c r="AU510" s="15"/>
      <c r="AV510" s="15"/>
      <c r="AW510" s="15"/>
      <c r="AX510" s="15"/>
      <c r="AY510" s="15"/>
      <c r="AZ510" s="15"/>
      <c r="BA510" s="51"/>
      <c r="BB510" s="15"/>
      <c r="BC510" s="15"/>
      <c r="BD510" s="15"/>
      <c r="BE510" s="15"/>
      <c r="BF510" s="15"/>
      <c r="BG510" s="51"/>
      <c r="BH510" s="15"/>
      <c r="BI510" s="15"/>
      <c r="BJ510" s="15"/>
      <c r="BK510" s="51"/>
      <c r="BL510" s="15"/>
      <c r="BM510" s="15"/>
      <c r="BN510" s="15"/>
      <c r="BO510" s="15"/>
      <c r="BP510" s="15"/>
      <c r="BQ510" s="18"/>
      <c r="BR510" s="18"/>
      <c r="BS510" s="18"/>
      <c r="BT510" s="18"/>
      <c r="BU510" s="18"/>
      <c r="BV510" s="18"/>
      <c r="BW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  <c r="FR510" s="18"/>
      <c r="FS510" s="18"/>
      <c r="FT510" s="18"/>
      <c r="FU510" s="18"/>
      <c r="FV510" s="18"/>
      <c r="FW510" s="18"/>
      <c r="FX510" s="18"/>
      <c r="FY510" s="18"/>
      <c r="FZ510" s="18"/>
      <c r="GA510" s="18"/>
      <c r="GB510" s="18"/>
      <c r="GC510" s="18"/>
      <c r="GD510" s="18"/>
      <c r="GE510" s="18"/>
      <c r="GF510" s="18"/>
      <c r="GG510" s="18"/>
      <c r="GH510" s="18"/>
      <c r="GI510" s="18"/>
      <c r="GJ510" s="18"/>
      <c r="GK510" s="18"/>
      <c r="GL510" s="18"/>
      <c r="GM510" s="18"/>
      <c r="GN510" s="18"/>
      <c r="GO510" s="18"/>
      <c r="GP510" s="18"/>
      <c r="GQ510" s="18"/>
      <c r="GR510" s="18"/>
      <c r="GS510" s="18"/>
      <c r="GT510" s="18"/>
      <c r="GU510" s="18"/>
      <c r="GV510" s="18"/>
      <c r="GW510" s="18"/>
      <c r="GX510" s="18"/>
      <c r="GY510" s="18"/>
      <c r="GZ510" s="18"/>
      <c r="HA510" s="18"/>
      <c r="HB510" s="18"/>
      <c r="HC510" s="18"/>
      <c r="HD510" s="18"/>
      <c r="HE510" s="18"/>
      <c r="HF510" s="18"/>
      <c r="HG510" s="13"/>
      <c r="HH510" s="13"/>
      <c r="HI510" s="13"/>
      <c r="HJ510" s="13"/>
      <c r="HK510" s="13"/>
      <c r="HL510" s="13"/>
      <c r="HM510" s="13"/>
      <c r="HN510" s="13"/>
      <c r="HO510" s="13"/>
      <c r="HP510" s="13"/>
      <c r="HQ510" s="13"/>
      <c r="HR510" s="13"/>
      <c r="HS510" s="13"/>
      <c r="HT510" s="13"/>
      <c r="HV510" s="18"/>
      <c r="HW510" s="18"/>
      <c r="HX510" s="18"/>
      <c r="HY510" s="18"/>
      <c r="HZ510" s="18"/>
      <c r="IA510" s="18"/>
      <c r="IB510" s="18"/>
      <c r="IC510" s="18"/>
      <c r="ID510" s="18"/>
      <c r="IE510" s="18"/>
      <c r="IF510" s="18"/>
      <c r="IG510" s="18"/>
      <c r="IH510" s="18"/>
      <c r="II510" s="18"/>
      <c r="IJ510" s="18"/>
      <c r="IK510" s="18"/>
      <c r="IL510" s="18"/>
      <c r="IM510" s="18"/>
      <c r="IN510" s="18"/>
      <c r="IO510" s="18"/>
      <c r="IP510" s="18"/>
      <c r="IQ510" s="18"/>
      <c r="IR510" s="18"/>
      <c r="IS510" s="18"/>
      <c r="IT510" s="18"/>
      <c r="IU510" s="18"/>
      <c r="IV510" s="18"/>
      <c r="IW510" s="18"/>
      <c r="IX510" s="18"/>
      <c r="IY510" s="18"/>
      <c r="IZ510" s="18"/>
      <c r="JA510" s="18"/>
      <c r="JB510" s="18"/>
      <c r="JC510" s="18"/>
      <c r="JD510" s="18"/>
      <c r="JE510" s="18"/>
      <c r="JF510" s="18"/>
      <c r="JG510" s="18"/>
      <c r="JH510" s="18"/>
      <c r="JI510" s="18"/>
      <c r="JJ510" s="18"/>
      <c r="JK510" s="18"/>
      <c r="JL510" s="18"/>
      <c r="JM510" s="18"/>
      <c r="JN510" s="18"/>
      <c r="JO510" s="18"/>
      <c r="JP510" s="18"/>
      <c r="JQ510" s="18"/>
      <c r="JR510" s="18"/>
      <c r="JS510" s="18"/>
      <c r="JT510" s="18"/>
      <c r="JU510" s="18"/>
      <c r="JV510" s="18"/>
      <c r="JW510" s="18"/>
      <c r="JX510" s="18"/>
      <c r="JY510" s="18"/>
      <c r="JZ510" s="18"/>
      <c r="KA510" s="18"/>
      <c r="KB510" s="18"/>
      <c r="KC510" s="18"/>
      <c r="KD510" s="18"/>
      <c r="KE510" s="18"/>
      <c r="KF510" s="18"/>
      <c r="KG510" s="18"/>
      <c r="KH510" s="18"/>
      <c r="KI510" s="18"/>
      <c r="KJ510" s="18"/>
      <c r="KK510" s="18"/>
      <c r="KL510" s="18"/>
      <c r="KM510" s="18"/>
      <c r="KN510" s="18"/>
      <c r="KO510" s="18"/>
      <c r="KP510" s="18"/>
    </row>
    <row r="511" spans="1:302">
      <c r="A511" s="14"/>
      <c r="B511" s="1062"/>
      <c r="C511" s="1062"/>
      <c r="D511" s="1063"/>
      <c r="E511" s="1063"/>
      <c r="F511" s="23"/>
      <c r="G511" s="23"/>
      <c r="H511" s="23"/>
      <c r="I511" s="23"/>
      <c r="J511" s="23"/>
      <c r="K511" s="14"/>
      <c r="L511" s="14"/>
      <c r="P511" s="14"/>
      <c r="AG511" s="44"/>
      <c r="AH511" s="44"/>
      <c r="AI511" s="45"/>
      <c r="AJ511" s="44"/>
      <c r="AK511" s="43"/>
      <c r="AT511" s="51"/>
      <c r="AU511" s="15"/>
      <c r="AV511" s="15"/>
      <c r="AW511" s="15"/>
      <c r="AX511" s="15"/>
      <c r="AY511" s="15"/>
      <c r="AZ511" s="15"/>
      <c r="BA511" s="51"/>
      <c r="BB511" s="15"/>
      <c r="BC511" s="15"/>
      <c r="BD511" s="15"/>
      <c r="BE511" s="15"/>
      <c r="BF511" s="15"/>
      <c r="BG511" s="51"/>
      <c r="BH511" s="15"/>
      <c r="BI511" s="15"/>
      <c r="BJ511" s="15"/>
      <c r="BK511" s="51"/>
      <c r="BL511" s="15"/>
      <c r="BM511" s="15"/>
      <c r="BN511" s="15"/>
      <c r="BO511" s="15"/>
      <c r="BP511" s="15"/>
      <c r="BQ511" s="18"/>
      <c r="BR511" s="18"/>
      <c r="BS511" s="18"/>
      <c r="BT511" s="18"/>
      <c r="BU511" s="18"/>
      <c r="BV511" s="18"/>
      <c r="BW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  <c r="FR511" s="18"/>
      <c r="FS511" s="18"/>
      <c r="FT511" s="18"/>
      <c r="FU511" s="18"/>
      <c r="FV511" s="18"/>
      <c r="FW511" s="18"/>
      <c r="FX511" s="18"/>
      <c r="FY511" s="18"/>
      <c r="FZ511" s="18"/>
      <c r="GA511" s="18"/>
      <c r="GB511" s="18"/>
      <c r="GC511" s="18"/>
      <c r="GD511" s="18"/>
      <c r="GE511" s="18"/>
      <c r="GF511" s="18"/>
      <c r="GG511" s="18"/>
      <c r="GH511" s="18"/>
      <c r="GI511" s="18"/>
      <c r="GJ511" s="18"/>
      <c r="GK511" s="18"/>
      <c r="GL511" s="18"/>
      <c r="GM511" s="18"/>
      <c r="GN511" s="18"/>
      <c r="GO511" s="18"/>
      <c r="GP511" s="18"/>
      <c r="GQ511" s="18"/>
      <c r="GR511" s="18"/>
      <c r="GS511" s="18"/>
      <c r="GT511" s="18"/>
      <c r="GU511" s="18"/>
      <c r="GV511" s="18"/>
      <c r="GW511" s="18"/>
      <c r="GX511" s="18"/>
      <c r="GY511" s="18"/>
      <c r="GZ511" s="18"/>
      <c r="HA511" s="18"/>
      <c r="HB511" s="18"/>
      <c r="HC511" s="18"/>
      <c r="HD511" s="18"/>
      <c r="HE511" s="18"/>
      <c r="HF511" s="18"/>
      <c r="HG511" s="13"/>
      <c r="HH511" s="13"/>
      <c r="HI511" s="13"/>
      <c r="HJ511" s="13"/>
      <c r="HK511" s="13"/>
      <c r="HL511" s="13"/>
      <c r="HM511" s="13"/>
      <c r="HN511" s="13"/>
      <c r="HO511" s="13"/>
      <c r="HP511" s="13"/>
      <c r="HQ511" s="13"/>
      <c r="HR511" s="13"/>
      <c r="HS511" s="13"/>
      <c r="HT511" s="13"/>
      <c r="HV511" s="18"/>
      <c r="HW511" s="18"/>
      <c r="HX511" s="18"/>
      <c r="HY511" s="18"/>
      <c r="HZ511" s="18"/>
      <c r="IA511" s="18"/>
      <c r="IB511" s="18"/>
      <c r="IC511" s="18"/>
      <c r="ID511" s="18"/>
      <c r="IE511" s="18"/>
      <c r="IF511" s="18"/>
      <c r="IG511" s="18"/>
      <c r="IH511" s="18"/>
      <c r="II511" s="18"/>
      <c r="IJ511" s="18"/>
      <c r="IK511" s="18"/>
      <c r="IL511" s="18"/>
      <c r="IM511" s="18"/>
      <c r="IN511" s="18"/>
      <c r="IO511" s="18"/>
      <c r="IP511" s="18"/>
      <c r="IQ511" s="18"/>
      <c r="IR511" s="18"/>
      <c r="IS511" s="18"/>
      <c r="IT511" s="18"/>
      <c r="IU511" s="18"/>
      <c r="IV511" s="18"/>
      <c r="IW511" s="18"/>
      <c r="IX511" s="18"/>
      <c r="IY511" s="18"/>
      <c r="IZ511" s="18"/>
      <c r="JA511" s="18"/>
      <c r="JB511" s="18"/>
      <c r="JC511" s="18"/>
      <c r="JD511" s="18"/>
      <c r="JE511" s="18"/>
      <c r="JF511" s="18"/>
      <c r="JG511" s="18"/>
      <c r="JH511" s="18"/>
      <c r="JI511" s="18"/>
      <c r="JJ511" s="18"/>
      <c r="JK511" s="18"/>
      <c r="JL511" s="18"/>
      <c r="JM511" s="18"/>
      <c r="JN511" s="18"/>
      <c r="JO511" s="18"/>
      <c r="JP511" s="18"/>
      <c r="JQ511" s="18"/>
      <c r="JR511" s="18"/>
      <c r="JS511" s="18"/>
      <c r="JT511" s="18"/>
      <c r="JU511" s="18"/>
      <c r="JV511" s="18"/>
      <c r="JW511" s="18"/>
      <c r="JX511" s="18"/>
      <c r="JY511" s="18"/>
      <c r="JZ511" s="18"/>
      <c r="KA511" s="18"/>
      <c r="KB511" s="18"/>
      <c r="KC511" s="18"/>
      <c r="KD511" s="18"/>
      <c r="KE511" s="18"/>
      <c r="KF511" s="18"/>
      <c r="KG511" s="18"/>
      <c r="KH511" s="18"/>
      <c r="KI511" s="18"/>
      <c r="KJ511" s="18"/>
      <c r="KK511" s="18"/>
      <c r="KL511" s="18"/>
      <c r="KM511" s="18"/>
      <c r="KN511" s="18"/>
      <c r="KO511" s="18"/>
      <c r="KP511" s="18"/>
    </row>
    <row r="512" spans="1:302">
      <c r="A512" s="14"/>
      <c r="B512" s="1062"/>
      <c r="C512" s="1062"/>
      <c r="D512" s="1063"/>
      <c r="E512" s="1063"/>
      <c r="F512" s="52"/>
      <c r="G512" s="23"/>
      <c r="H512" s="23"/>
      <c r="I512" s="23"/>
      <c r="J512" s="23"/>
      <c r="K512" s="14"/>
      <c r="L512" s="14"/>
      <c r="P512" s="14"/>
      <c r="AG512" s="44"/>
      <c r="AH512" s="44"/>
      <c r="AI512" s="45"/>
      <c r="AJ512" s="44"/>
      <c r="AK512" s="43"/>
      <c r="AT512" s="51"/>
      <c r="AU512" s="15"/>
      <c r="AV512" s="15"/>
      <c r="AW512" s="15"/>
      <c r="AX512" s="15"/>
      <c r="AY512" s="15"/>
      <c r="AZ512" s="15"/>
      <c r="BA512" s="51"/>
      <c r="BB512" s="15"/>
      <c r="BC512" s="15"/>
      <c r="BD512" s="15"/>
      <c r="BE512" s="15"/>
      <c r="BF512" s="15"/>
      <c r="BG512" s="51"/>
      <c r="BH512" s="15"/>
      <c r="BI512" s="15"/>
      <c r="BJ512" s="15"/>
      <c r="BK512" s="51"/>
      <c r="BL512" s="15"/>
      <c r="BM512" s="15"/>
      <c r="BN512" s="15"/>
      <c r="BO512" s="15"/>
      <c r="BP512" s="15"/>
      <c r="BQ512" s="18"/>
      <c r="BR512" s="18"/>
      <c r="BS512" s="18"/>
      <c r="BT512" s="18"/>
      <c r="BU512" s="18"/>
      <c r="BV512" s="18"/>
      <c r="BW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  <c r="FC512" s="18"/>
      <c r="FD512" s="18"/>
      <c r="FE512" s="18"/>
      <c r="FF512" s="18"/>
      <c r="FG512" s="18"/>
      <c r="FH512" s="18"/>
      <c r="FI512" s="18"/>
      <c r="FJ512" s="18"/>
      <c r="FK512" s="18"/>
      <c r="FL512" s="18"/>
      <c r="FM512" s="18"/>
      <c r="FN512" s="18"/>
      <c r="FO512" s="18"/>
      <c r="FP512" s="18"/>
      <c r="FQ512" s="18"/>
      <c r="FR512" s="18"/>
      <c r="FS512" s="18"/>
      <c r="FT512" s="18"/>
      <c r="FU512" s="18"/>
      <c r="FV512" s="18"/>
      <c r="FW512" s="18"/>
      <c r="FX512" s="18"/>
      <c r="FY512" s="18"/>
      <c r="FZ512" s="18"/>
      <c r="GA512" s="18"/>
      <c r="GB512" s="18"/>
      <c r="GC512" s="18"/>
      <c r="GD512" s="18"/>
      <c r="GE512" s="18"/>
      <c r="GF512" s="18"/>
      <c r="GG512" s="18"/>
      <c r="GH512" s="18"/>
      <c r="GI512" s="18"/>
      <c r="GJ512" s="18"/>
      <c r="GK512" s="18"/>
      <c r="GL512" s="18"/>
      <c r="GM512" s="18"/>
      <c r="GN512" s="18"/>
      <c r="GO512" s="18"/>
      <c r="GP512" s="18"/>
      <c r="GQ512" s="18"/>
      <c r="GR512" s="18"/>
      <c r="GS512" s="18"/>
      <c r="GT512" s="18"/>
      <c r="GU512" s="18"/>
      <c r="GV512" s="18"/>
      <c r="GW512" s="18"/>
      <c r="GX512" s="18"/>
      <c r="GY512" s="18"/>
      <c r="GZ512" s="18"/>
      <c r="HA512" s="18"/>
      <c r="HB512" s="18"/>
      <c r="HC512" s="18"/>
      <c r="HD512" s="18"/>
      <c r="HE512" s="18"/>
      <c r="HF512" s="18"/>
      <c r="HG512" s="13"/>
      <c r="HH512" s="13"/>
      <c r="HI512" s="13"/>
      <c r="HJ512" s="13"/>
      <c r="HK512" s="13"/>
      <c r="HL512" s="13"/>
      <c r="HM512" s="13"/>
      <c r="HN512" s="13"/>
      <c r="HO512" s="13"/>
      <c r="HP512" s="13"/>
      <c r="HQ512" s="13"/>
      <c r="HR512" s="13"/>
      <c r="HS512" s="13"/>
      <c r="HT512" s="13"/>
      <c r="HV512" s="18"/>
      <c r="HW512" s="18"/>
      <c r="HX512" s="18"/>
      <c r="HY512" s="18"/>
      <c r="HZ512" s="18"/>
      <c r="IA512" s="18"/>
      <c r="IB512" s="18"/>
      <c r="IC512" s="18"/>
      <c r="ID512" s="18"/>
      <c r="IE512" s="18"/>
      <c r="IF512" s="18"/>
      <c r="IG512" s="18"/>
      <c r="IH512" s="18"/>
      <c r="II512" s="18"/>
      <c r="IJ512" s="18"/>
      <c r="IK512" s="18"/>
      <c r="IL512" s="18"/>
      <c r="IM512" s="18"/>
      <c r="IN512" s="18"/>
      <c r="IO512" s="18"/>
      <c r="IP512" s="18"/>
      <c r="IQ512" s="18"/>
      <c r="IR512" s="18"/>
      <c r="IS512" s="18"/>
      <c r="IT512" s="18"/>
      <c r="IU512" s="18"/>
      <c r="IV512" s="18"/>
      <c r="IW512" s="18"/>
      <c r="IX512" s="18"/>
      <c r="IY512" s="18"/>
      <c r="IZ512" s="18"/>
      <c r="JA512" s="18"/>
      <c r="JB512" s="18"/>
      <c r="JC512" s="18"/>
      <c r="JD512" s="18"/>
      <c r="JE512" s="18"/>
      <c r="JF512" s="18"/>
      <c r="JG512" s="18"/>
      <c r="JH512" s="18"/>
      <c r="JI512" s="18"/>
      <c r="JJ512" s="18"/>
      <c r="JK512" s="18"/>
      <c r="JL512" s="18"/>
      <c r="JM512" s="18"/>
      <c r="JN512" s="18"/>
      <c r="JO512" s="18"/>
      <c r="JP512" s="18"/>
      <c r="JQ512" s="18"/>
      <c r="JR512" s="18"/>
      <c r="JS512" s="18"/>
      <c r="JT512" s="18"/>
      <c r="JU512" s="18"/>
      <c r="JV512" s="18"/>
      <c r="JW512" s="18"/>
      <c r="JX512" s="18"/>
      <c r="JY512" s="18"/>
      <c r="JZ512" s="18"/>
      <c r="KA512" s="18"/>
      <c r="KB512" s="18"/>
      <c r="KC512" s="18"/>
      <c r="KD512" s="18"/>
      <c r="KE512" s="18"/>
      <c r="KF512" s="18"/>
      <c r="KG512" s="18"/>
      <c r="KH512" s="18"/>
      <c r="KI512" s="18"/>
      <c r="KJ512" s="18"/>
      <c r="KK512" s="18"/>
      <c r="KL512" s="18"/>
      <c r="KM512" s="18"/>
      <c r="KN512" s="18"/>
      <c r="KO512" s="18"/>
      <c r="KP512" s="18"/>
    </row>
    <row r="513" spans="1:302">
      <c r="A513" s="14"/>
      <c r="B513" s="1062"/>
      <c r="C513" s="1062"/>
      <c r="D513" s="1063"/>
      <c r="E513" s="1063"/>
      <c r="F513" s="52"/>
      <c r="G513" s="23"/>
      <c r="H513" s="23"/>
      <c r="I513" s="23"/>
      <c r="J513" s="23"/>
      <c r="K513" s="14"/>
      <c r="L513" s="14"/>
      <c r="P513" s="14"/>
      <c r="AG513" s="44"/>
      <c r="AH513" s="44"/>
      <c r="AI513" s="45"/>
      <c r="AJ513" s="44"/>
      <c r="AK513" s="43"/>
      <c r="AT513" s="51"/>
      <c r="AU513" s="15"/>
      <c r="AV513" s="15"/>
      <c r="AW513" s="15"/>
      <c r="AX513" s="15"/>
      <c r="AY513" s="15"/>
      <c r="AZ513" s="15"/>
      <c r="BA513" s="51"/>
      <c r="BB513" s="15"/>
      <c r="BC513" s="15"/>
      <c r="BD513" s="15"/>
      <c r="BE513" s="15"/>
      <c r="BF513" s="15"/>
      <c r="BG513" s="51"/>
      <c r="BH513" s="15"/>
      <c r="BI513" s="15"/>
      <c r="BJ513" s="15"/>
      <c r="BK513" s="51"/>
      <c r="BL513" s="15"/>
      <c r="BM513" s="15"/>
      <c r="BN513" s="15"/>
      <c r="BO513" s="15"/>
      <c r="BP513" s="15"/>
      <c r="BQ513" s="18"/>
      <c r="BR513" s="18"/>
      <c r="BS513" s="18"/>
      <c r="BT513" s="18"/>
      <c r="BU513" s="18"/>
      <c r="BV513" s="18"/>
      <c r="BW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  <c r="FC513" s="18"/>
      <c r="FD513" s="18"/>
      <c r="FE513" s="18"/>
      <c r="FF513" s="18"/>
      <c r="FG513" s="18"/>
      <c r="FH513" s="18"/>
      <c r="FI513" s="18"/>
      <c r="FJ513" s="18"/>
      <c r="FK513" s="18"/>
      <c r="FL513" s="18"/>
      <c r="FM513" s="18"/>
      <c r="FN513" s="18"/>
      <c r="FO513" s="18"/>
      <c r="FP513" s="18"/>
      <c r="FQ513" s="18"/>
      <c r="FR513" s="18"/>
      <c r="FS513" s="18"/>
      <c r="FT513" s="18"/>
      <c r="FU513" s="18"/>
      <c r="FV513" s="18"/>
      <c r="FW513" s="18"/>
      <c r="FX513" s="18"/>
      <c r="FY513" s="18"/>
      <c r="FZ513" s="18"/>
      <c r="GA513" s="18"/>
      <c r="GB513" s="18"/>
      <c r="GC513" s="18"/>
      <c r="GD513" s="18"/>
      <c r="GE513" s="18"/>
      <c r="GF513" s="18"/>
      <c r="GG513" s="18"/>
      <c r="GH513" s="18"/>
      <c r="GI513" s="18"/>
      <c r="GJ513" s="18"/>
      <c r="GK513" s="18"/>
      <c r="GL513" s="18"/>
      <c r="GM513" s="18"/>
      <c r="GN513" s="18"/>
      <c r="GO513" s="18"/>
      <c r="GP513" s="18"/>
      <c r="GQ513" s="18"/>
      <c r="GR513" s="18"/>
      <c r="GS513" s="18"/>
      <c r="GT513" s="18"/>
      <c r="GU513" s="18"/>
      <c r="GV513" s="18"/>
      <c r="GW513" s="18"/>
      <c r="GX513" s="18"/>
      <c r="GY513" s="18"/>
      <c r="GZ513" s="18"/>
      <c r="HA513" s="18"/>
      <c r="HB513" s="18"/>
      <c r="HC513" s="18"/>
      <c r="HD513" s="18"/>
      <c r="HE513" s="18"/>
      <c r="HF513" s="18"/>
      <c r="HG513" s="13"/>
      <c r="HH513" s="13"/>
      <c r="HI513" s="13"/>
      <c r="HJ513" s="13"/>
      <c r="HK513" s="13"/>
      <c r="HL513" s="13"/>
      <c r="HM513" s="13"/>
      <c r="HN513" s="13"/>
      <c r="HO513" s="13"/>
      <c r="HP513" s="13"/>
      <c r="HQ513" s="13"/>
      <c r="HR513" s="13"/>
      <c r="HS513" s="13"/>
      <c r="HT513" s="13"/>
      <c r="HV513" s="18"/>
      <c r="HW513" s="18"/>
      <c r="HX513" s="18"/>
      <c r="HY513" s="18"/>
      <c r="HZ513" s="18"/>
      <c r="IA513" s="18"/>
      <c r="IB513" s="18"/>
      <c r="IC513" s="18"/>
      <c r="ID513" s="18"/>
      <c r="IE513" s="18"/>
      <c r="IF513" s="18"/>
      <c r="IG513" s="18"/>
      <c r="IH513" s="18"/>
      <c r="II513" s="18"/>
      <c r="IJ513" s="18"/>
      <c r="IK513" s="18"/>
      <c r="IL513" s="18"/>
      <c r="IM513" s="18"/>
      <c r="IN513" s="18"/>
      <c r="IO513" s="18"/>
      <c r="IP513" s="18"/>
      <c r="IQ513" s="18"/>
      <c r="IR513" s="18"/>
      <c r="IS513" s="18"/>
      <c r="IT513" s="18"/>
      <c r="IU513" s="18"/>
      <c r="IV513" s="18"/>
      <c r="IW513" s="18"/>
      <c r="IX513" s="18"/>
      <c r="IY513" s="18"/>
      <c r="IZ513" s="18"/>
      <c r="JA513" s="18"/>
      <c r="JB513" s="18"/>
      <c r="JC513" s="18"/>
      <c r="JD513" s="18"/>
      <c r="JE513" s="18"/>
      <c r="JF513" s="18"/>
      <c r="JG513" s="18"/>
      <c r="JH513" s="18"/>
      <c r="JI513" s="18"/>
      <c r="JJ513" s="18"/>
      <c r="JK513" s="18"/>
      <c r="JL513" s="18"/>
      <c r="JM513" s="18"/>
      <c r="JN513" s="18"/>
      <c r="JO513" s="18"/>
      <c r="JP513" s="18"/>
      <c r="JQ513" s="18"/>
      <c r="JR513" s="18"/>
      <c r="JS513" s="18"/>
      <c r="JT513" s="18"/>
      <c r="JU513" s="18"/>
      <c r="JV513" s="18"/>
      <c r="JW513" s="18"/>
      <c r="JX513" s="18"/>
      <c r="JY513" s="18"/>
      <c r="JZ513" s="18"/>
      <c r="KA513" s="18"/>
      <c r="KB513" s="18"/>
      <c r="KC513" s="18"/>
      <c r="KD513" s="18"/>
      <c r="KE513" s="18"/>
      <c r="KF513" s="18"/>
      <c r="KG513" s="18"/>
      <c r="KH513" s="18"/>
      <c r="KI513" s="18"/>
      <c r="KJ513" s="18"/>
      <c r="KK513" s="18"/>
      <c r="KL513" s="18"/>
      <c r="KM513" s="18"/>
      <c r="KN513" s="18"/>
      <c r="KO513" s="18"/>
      <c r="KP513" s="18"/>
    </row>
    <row r="514" spans="1:302">
      <c r="A514" s="14"/>
      <c r="B514" s="1062"/>
      <c r="C514" s="1062"/>
      <c r="D514" s="1063"/>
      <c r="E514" s="1063"/>
      <c r="F514" s="52"/>
      <c r="G514" s="23"/>
      <c r="H514" s="23"/>
      <c r="I514" s="23"/>
      <c r="J514" s="23"/>
      <c r="K514" s="14"/>
      <c r="L514" s="14"/>
      <c r="P514" s="14"/>
      <c r="AG514" s="44"/>
      <c r="AH514" s="44"/>
      <c r="AI514" s="45"/>
      <c r="AJ514" s="44"/>
      <c r="AK514" s="43"/>
      <c r="AT514" s="51"/>
      <c r="AU514" s="15"/>
      <c r="AV514" s="15"/>
      <c r="AW514" s="15"/>
      <c r="AX514" s="15"/>
      <c r="AY514" s="15"/>
      <c r="AZ514" s="15"/>
      <c r="BA514" s="51"/>
      <c r="BB514" s="15"/>
      <c r="BC514" s="15"/>
      <c r="BD514" s="15"/>
      <c r="BE514" s="15"/>
      <c r="BF514" s="15"/>
      <c r="BG514" s="51"/>
      <c r="BH514" s="15"/>
      <c r="BI514" s="15"/>
      <c r="BJ514" s="15"/>
      <c r="BK514" s="51"/>
      <c r="BL514" s="15"/>
      <c r="BM514" s="15"/>
      <c r="BN514" s="15"/>
      <c r="BO514" s="15"/>
      <c r="BP514" s="15"/>
      <c r="BQ514" s="18"/>
      <c r="BR514" s="18"/>
      <c r="BS514" s="18"/>
      <c r="BT514" s="18"/>
      <c r="BU514" s="18"/>
      <c r="BV514" s="18"/>
      <c r="BW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  <c r="FR514" s="18"/>
      <c r="FS514" s="18"/>
      <c r="FT514" s="18"/>
      <c r="FU514" s="18"/>
      <c r="FV514" s="18"/>
      <c r="FW514" s="18"/>
      <c r="FX514" s="18"/>
      <c r="FY514" s="18"/>
      <c r="FZ514" s="18"/>
      <c r="GA514" s="18"/>
      <c r="GB514" s="18"/>
      <c r="GC514" s="18"/>
      <c r="GD514" s="18"/>
      <c r="GE514" s="18"/>
      <c r="GF514" s="18"/>
      <c r="GG514" s="18"/>
      <c r="GH514" s="18"/>
      <c r="GI514" s="18"/>
      <c r="GJ514" s="18"/>
      <c r="GK514" s="18"/>
      <c r="GL514" s="18"/>
      <c r="GM514" s="18"/>
      <c r="GN514" s="18"/>
      <c r="GO514" s="18"/>
      <c r="GP514" s="18"/>
      <c r="GQ514" s="18"/>
      <c r="GR514" s="18"/>
      <c r="GS514" s="18"/>
      <c r="GT514" s="18"/>
      <c r="GU514" s="18"/>
      <c r="GV514" s="18"/>
      <c r="GW514" s="18"/>
      <c r="GX514" s="18"/>
      <c r="GY514" s="18"/>
      <c r="GZ514" s="18"/>
      <c r="HA514" s="18"/>
      <c r="HB514" s="18"/>
      <c r="HC514" s="18"/>
      <c r="HD514" s="18"/>
      <c r="HE514" s="18"/>
      <c r="HF514" s="18"/>
      <c r="HG514" s="13"/>
      <c r="HH514" s="13"/>
      <c r="HI514" s="13"/>
      <c r="HJ514" s="13"/>
      <c r="HK514" s="13"/>
      <c r="HL514" s="13"/>
      <c r="HM514" s="13"/>
      <c r="HN514" s="13"/>
      <c r="HO514" s="13"/>
      <c r="HP514" s="13"/>
      <c r="HQ514" s="13"/>
      <c r="HR514" s="13"/>
      <c r="HS514" s="13"/>
      <c r="HT514" s="13"/>
      <c r="HV514" s="18"/>
      <c r="HW514" s="18"/>
      <c r="HX514" s="18"/>
      <c r="HY514" s="18"/>
      <c r="HZ514" s="18"/>
      <c r="IA514" s="18"/>
      <c r="IB514" s="18"/>
      <c r="IC514" s="18"/>
      <c r="ID514" s="18"/>
      <c r="IE514" s="18"/>
      <c r="IF514" s="18"/>
      <c r="IG514" s="18"/>
      <c r="IH514" s="18"/>
      <c r="II514" s="18"/>
      <c r="IJ514" s="18"/>
      <c r="IK514" s="18"/>
      <c r="IL514" s="18"/>
      <c r="IM514" s="18"/>
      <c r="IN514" s="18"/>
      <c r="IO514" s="18"/>
      <c r="IP514" s="18"/>
      <c r="IQ514" s="18"/>
      <c r="IR514" s="18"/>
      <c r="IS514" s="18"/>
      <c r="IT514" s="18"/>
      <c r="IU514" s="18"/>
      <c r="IV514" s="18"/>
      <c r="IW514" s="18"/>
      <c r="IX514" s="18"/>
      <c r="IY514" s="18"/>
      <c r="IZ514" s="18"/>
      <c r="JA514" s="18"/>
      <c r="JB514" s="18"/>
      <c r="JC514" s="18"/>
      <c r="JD514" s="18"/>
      <c r="JE514" s="18"/>
      <c r="JF514" s="18"/>
      <c r="JG514" s="18"/>
      <c r="JH514" s="18"/>
      <c r="JI514" s="18"/>
      <c r="JJ514" s="18"/>
      <c r="JK514" s="18"/>
      <c r="JL514" s="18"/>
      <c r="JM514" s="18"/>
      <c r="JN514" s="18"/>
      <c r="JO514" s="18"/>
      <c r="JP514" s="18"/>
      <c r="JQ514" s="18"/>
      <c r="JR514" s="18"/>
      <c r="JS514" s="18"/>
      <c r="JT514" s="18"/>
      <c r="JU514" s="18"/>
      <c r="JV514" s="18"/>
      <c r="JW514" s="18"/>
      <c r="JX514" s="18"/>
      <c r="JY514" s="18"/>
      <c r="JZ514" s="18"/>
      <c r="KA514" s="18"/>
      <c r="KB514" s="18"/>
      <c r="KC514" s="18"/>
      <c r="KD514" s="18"/>
      <c r="KE514" s="18"/>
      <c r="KF514" s="18"/>
      <c r="KG514" s="18"/>
      <c r="KH514" s="18"/>
      <c r="KI514" s="18"/>
      <c r="KJ514" s="18"/>
      <c r="KK514" s="18"/>
      <c r="KL514" s="18"/>
      <c r="KM514" s="18"/>
      <c r="KN514" s="18"/>
      <c r="KO514" s="18"/>
      <c r="KP514" s="18"/>
    </row>
    <row r="515" spans="1:302">
      <c r="A515" s="14"/>
      <c r="B515" s="1064"/>
      <c r="C515" s="1064"/>
      <c r="D515" s="1063"/>
      <c r="E515" s="1063"/>
      <c r="F515" s="52"/>
      <c r="G515" s="23"/>
      <c r="H515" s="23"/>
      <c r="I515" s="23"/>
      <c r="J515" s="23"/>
      <c r="K515" s="14"/>
      <c r="L515" s="14"/>
      <c r="P515" s="14"/>
      <c r="AG515" s="44"/>
      <c r="AH515" s="44"/>
      <c r="AI515" s="45"/>
      <c r="AJ515" s="44"/>
      <c r="AK515" s="43"/>
      <c r="AT515" s="51"/>
      <c r="AU515" s="15"/>
      <c r="AV515" s="15"/>
      <c r="AW515" s="15"/>
      <c r="AX515" s="15"/>
      <c r="AY515" s="15"/>
      <c r="AZ515" s="15"/>
      <c r="BA515" s="51"/>
      <c r="BB515" s="15"/>
      <c r="BC515" s="15"/>
      <c r="BD515" s="15"/>
      <c r="BE515" s="15"/>
      <c r="BF515" s="15"/>
      <c r="BG515" s="51"/>
      <c r="BH515" s="15"/>
      <c r="BI515" s="15"/>
      <c r="BJ515" s="15"/>
      <c r="BK515" s="51"/>
      <c r="BL515" s="15"/>
      <c r="BM515" s="15"/>
      <c r="BN515" s="15"/>
      <c r="BO515" s="15"/>
      <c r="BP515" s="15"/>
      <c r="BQ515" s="18"/>
      <c r="BR515" s="18"/>
      <c r="BS515" s="18"/>
      <c r="BT515" s="18"/>
      <c r="BU515" s="18"/>
      <c r="BV515" s="18"/>
      <c r="BW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  <c r="FC515" s="18"/>
      <c r="FD515" s="18"/>
      <c r="FE515" s="18"/>
      <c r="FF515" s="18"/>
      <c r="FG515" s="18"/>
      <c r="FH515" s="18"/>
      <c r="FI515" s="18"/>
      <c r="FJ515" s="18"/>
      <c r="FK515" s="18"/>
      <c r="FL515" s="18"/>
      <c r="FM515" s="18"/>
      <c r="FN515" s="18"/>
      <c r="FO515" s="18"/>
      <c r="FP515" s="18"/>
      <c r="FQ515" s="18"/>
      <c r="FR515" s="18"/>
      <c r="FS515" s="18"/>
      <c r="FT515" s="18"/>
      <c r="FU515" s="18"/>
      <c r="FV515" s="18"/>
      <c r="FW515" s="18"/>
      <c r="FX515" s="18"/>
      <c r="FY515" s="18"/>
      <c r="FZ515" s="18"/>
      <c r="GA515" s="18"/>
      <c r="GB515" s="18"/>
      <c r="GC515" s="18"/>
      <c r="GD515" s="18"/>
      <c r="GE515" s="18"/>
      <c r="GF515" s="18"/>
      <c r="GG515" s="18"/>
      <c r="GH515" s="18"/>
      <c r="GI515" s="18"/>
      <c r="GJ515" s="18"/>
      <c r="GK515" s="18"/>
      <c r="GL515" s="18"/>
      <c r="GM515" s="18"/>
      <c r="GN515" s="18"/>
      <c r="GO515" s="18"/>
      <c r="GP515" s="18"/>
      <c r="GQ515" s="18"/>
      <c r="GR515" s="18"/>
      <c r="GS515" s="18"/>
      <c r="GT515" s="18"/>
      <c r="GU515" s="18"/>
      <c r="GV515" s="18"/>
      <c r="GW515" s="18"/>
      <c r="GX515" s="18"/>
      <c r="GY515" s="18"/>
      <c r="GZ515" s="18"/>
      <c r="HA515" s="18"/>
      <c r="HB515" s="18"/>
      <c r="HC515" s="18"/>
      <c r="HD515" s="18"/>
      <c r="HE515" s="18"/>
      <c r="HF515" s="18"/>
      <c r="HG515" s="13"/>
      <c r="HH515" s="13"/>
      <c r="HI515" s="13"/>
      <c r="HJ515" s="13"/>
      <c r="HK515" s="13"/>
      <c r="HL515" s="13"/>
      <c r="HM515" s="13"/>
      <c r="HN515" s="13"/>
      <c r="HO515" s="13"/>
      <c r="HP515" s="13"/>
      <c r="HQ515" s="13"/>
      <c r="HR515" s="13"/>
      <c r="HS515" s="13"/>
      <c r="HT515" s="13"/>
      <c r="HV515" s="18"/>
      <c r="HW515" s="18"/>
      <c r="HX515" s="18"/>
      <c r="HY515" s="18"/>
      <c r="HZ515" s="18"/>
      <c r="IA515" s="18"/>
      <c r="IB515" s="18"/>
      <c r="IC515" s="18"/>
      <c r="ID515" s="18"/>
      <c r="IE515" s="18"/>
      <c r="IF515" s="18"/>
      <c r="IG515" s="18"/>
      <c r="IH515" s="18"/>
      <c r="II515" s="18"/>
      <c r="IJ515" s="18"/>
      <c r="IK515" s="18"/>
      <c r="IL515" s="18"/>
      <c r="IM515" s="18"/>
      <c r="IN515" s="18"/>
      <c r="IO515" s="18"/>
      <c r="IP515" s="18"/>
      <c r="IQ515" s="18"/>
      <c r="IR515" s="18"/>
      <c r="IS515" s="18"/>
      <c r="IT515" s="18"/>
      <c r="IU515" s="18"/>
      <c r="IV515" s="18"/>
      <c r="IW515" s="18"/>
      <c r="IX515" s="18"/>
      <c r="IY515" s="18"/>
      <c r="IZ515" s="18"/>
      <c r="JA515" s="18"/>
      <c r="JB515" s="18"/>
      <c r="JC515" s="18"/>
      <c r="JD515" s="18"/>
      <c r="JE515" s="18"/>
      <c r="JF515" s="18"/>
      <c r="JG515" s="18"/>
      <c r="JH515" s="18"/>
      <c r="JI515" s="18"/>
      <c r="JJ515" s="18"/>
      <c r="JK515" s="18"/>
      <c r="JL515" s="18"/>
      <c r="JM515" s="18"/>
      <c r="JN515" s="18"/>
      <c r="JO515" s="18"/>
      <c r="JP515" s="18"/>
      <c r="JQ515" s="18"/>
      <c r="JR515" s="18"/>
      <c r="JS515" s="18"/>
      <c r="JT515" s="18"/>
      <c r="JU515" s="18"/>
      <c r="JV515" s="18"/>
      <c r="JW515" s="18"/>
      <c r="JX515" s="18"/>
      <c r="JY515" s="18"/>
      <c r="JZ515" s="18"/>
      <c r="KA515" s="18"/>
      <c r="KB515" s="18"/>
      <c r="KC515" s="18"/>
      <c r="KD515" s="18"/>
      <c r="KE515" s="18"/>
      <c r="KF515" s="18"/>
      <c r="KG515" s="18"/>
      <c r="KH515" s="18"/>
      <c r="KI515" s="18"/>
      <c r="KJ515" s="18"/>
      <c r="KK515" s="18"/>
      <c r="KL515" s="18"/>
      <c r="KM515" s="18"/>
      <c r="KN515" s="18"/>
      <c r="KO515" s="18"/>
      <c r="KP515" s="18"/>
    </row>
    <row r="516" spans="1:302">
      <c r="A516" s="14"/>
      <c r="B516" s="1062"/>
      <c r="C516" s="1062"/>
      <c r="D516" s="1063"/>
      <c r="E516" s="1063"/>
      <c r="F516" s="53"/>
      <c r="G516" s="23"/>
      <c r="H516" s="23"/>
      <c r="I516" s="23"/>
      <c r="J516" s="23"/>
      <c r="K516" s="14"/>
      <c r="L516" s="14"/>
      <c r="P516" s="14"/>
      <c r="AG516" s="44"/>
      <c r="AH516" s="44"/>
      <c r="AI516" s="45"/>
      <c r="AJ516" s="44"/>
      <c r="AK516" s="43"/>
      <c r="AT516" s="51"/>
      <c r="AU516" s="15"/>
      <c r="AV516" s="15"/>
      <c r="AW516" s="15"/>
      <c r="AX516" s="15"/>
      <c r="AY516" s="15"/>
      <c r="AZ516" s="15"/>
      <c r="BA516" s="51"/>
      <c r="BB516" s="15"/>
      <c r="BC516" s="15"/>
      <c r="BD516" s="15"/>
      <c r="BE516" s="15"/>
      <c r="BF516" s="15"/>
      <c r="BG516" s="51"/>
      <c r="BH516" s="15"/>
      <c r="BI516" s="15"/>
      <c r="BJ516" s="15"/>
      <c r="BK516" s="51"/>
      <c r="BL516" s="15"/>
      <c r="BM516" s="15"/>
      <c r="BN516" s="15"/>
      <c r="BO516" s="15"/>
      <c r="BP516" s="15"/>
      <c r="BQ516" s="18"/>
      <c r="BR516" s="18"/>
      <c r="BS516" s="18"/>
      <c r="BT516" s="18"/>
      <c r="BU516" s="18"/>
      <c r="BV516" s="18"/>
      <c r="BW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  <c r="FR516" s="18"/>
      <c r="FS516" s="18"/>
      <c r="FT516" s="18"/>
      <c r="FU516" s="18"/>
      <c r="FV516" s="18"/>
      <c r="FW516" s="18"/>
      <c r="FX516" s="18"/>
      <c r="FY516" s="18"/>
      <c r="FZ516" s="18"/>
      <c r="GA516" s="18"/>
      <c r="GB516" s="18"/>
      <c r="GC516" s="18"/>
      <c r="GD516" s="18"/>
      <c r="GE516" s="18"/>
      <c r="GF516" s="18"/>
      <c r="GG516" s="18"/>
      <c r="GH516" s="18"/>
      <c r="GI516" s="18"/>
      <c r="GJ516" s="18"/>
      <c r="GK516" s="18"/>
      <c r="GL516" s="18"/>
      <c r="GM516" s="18"/>
      <c r="GN516" s="18"/>
      <c r="GO516" s="18"/>
      <c r="GP516" s="18"/>
      <c r="GQ516" s="18"/>
      <c r="GR516" s="18"/>
      <c r="GS516" s="18"/>
      <c r="GT516" s="18"/>
      <c r="GU516" s="18"/>
      <c r="GV516" s="18"/>
      <c r="GW516" s="18"/>
      <c r="GX516" s="18"/>
      <c r="GY516" s="18"/>
      <c r="GZ516" s="18"/>
      <c r="HA516" s="18"/>
      <c r="HB516" s="18"/>
      <c r="HC516" s="18"/>
      <c r="HD516" s="18"/>
      <c r="HE516" s="18"/>
      <c r="HF516" s="18"/>
      <c r="HG516" s="13"/>
      <c r="HH516" s="13"/>
      <c r="HI516" s="13"/>
      <c r="HJ516" s="13"/>
      <c r="HK516" s="13"/>
      <c r="HL516" s="13"/>
      <c r="HM516" s="13"/>
      <c r="HN516" s="13"/>
      <c r="HO516" s="13"/>
      <c r="HP516" s="13"/>
      <c r="HQ516" s="13"/>
      <c r="HR516" s="13"/>
      <c r="HS516" s="13"/>
      <c r="HT516" s="13"/>
      <c r="HV516" s="18"/>
      <c r="HW516" s="18"/>
      <c r="HX516" s="18"/>
      <c r="HY516" s="18"/>
      <c r="HZ516" s="18"/>
      <c r="IA516" s="18"/>
      <c r="IB516" s="18"/>
      <c r="IC516" s="18"/>
      <c r="ID516" s="18"/>
      <c r="IE516" s="18"/>
      <c r="IF516" s="18"/>
      <c r="IG516" s="18"/>
      <c r="IH516" s="18"/>
      <c r="II516" s="18"/>
      <c r="IJ516" s="18"/>
      <c r="IK516" s="18"/>
      <c r="IL516" s="18"/>
      <c r="IM516" s="18"/>
      <c r="IN516" s="18"/>
      <c r="IO516" s="18"/>
      <c r="IP516" s="18"/>
      <c r="IQ516" s="18"/>
      <c r="IR516" s="18"/>
      <c r="IS516" s="18"/>
      <c r="IT516" s="18"/>
      <c r="IU516" s="18"/>
      <c r="IV516" s="18"/>
      <c r="IW516" s="18"/>
      <c r="IX516" s="18"/>
      <c r="IY516" s="18"/>
      <c r="IZ516" s="18"/>
      <c r="JA516" s="18"/>
      <c r="JB516" s="18"/>
      <c r="JC516" s="18"/>
      <c r="JD516" s="18"/>
      <c r="JE516" s="18"/>
      <c r="JF516" s="18"/>
      <c r="JG516" s="18"/>
      <c r="JH516" s="18"/>
      <c r="JI516" s="18"/>
      <c r="JJ516" s="18"/>
      <c r="JK516" s="18"/>
      <c r="JL516" s="18"/>
      <c r="JM516" s="18"/>
      <c r="JN516" s="18"/>
      <c r="JO516" s="18"/>
      <c r="JP516" s="18"/>
      <c r="JQ516" s="18"/>
      <c r="JR516" s="18"/>
      <c r="JS516" s="18"/>
      <c r="JT516" s="18"/>
      <c r="JU516" s="18"/>
      <c r="JV516" s="18"/>
      <c r="JW516" s="18"/>
      <c r="JX516" s="18"/>
      <c r="JY516" s="18"/>
      <c r="JZ516" s="18"/>
      <c r="KA516" s="18"/>
      <c r="KB516" s="18"/>
      <c r="KC516" s="18"/>
      <c r="KD516" s="18"/>
      <c r="KE516" s="18"/>
      <c r="KF516" s="18"/>
      <c r="KG516" s="18"/>
      <c r="KH516" s="18"/>
      <c r="KI516" s="18"/>
      <c r="KJ516" s="18"/>
      <c r="KK516" s="18"/>
      <c r="KL516" s="18"/>
      <c r="KM516" s="18"/>
      <c r="KN516" s="18"/>
      <c r="KO516" s="18"/>
      <c r="KP516" s="18"/>
    </row>
    <row r="517" spans="1:302">
      <c r="A517" s="14"/>
      <c r="B517" s="1062"/>
      <c r="C517" s="1062"/>
      <c r="D517" s="1063"/>
      <c r="E517" s="1063"/>
      <c r="F517" s="52"/>
      <c r="G517" s="23"/>
      <c r="H517" s="23"/>
      <c r="I517" s="23"/>
      <c r="J517" s="23"/>
      <c r="K517" s="14"/>
      <c r="L517" s="14"/>
      <c r="P517" s="14"/>
      <c r="AG517" s="44"/>
      <c r="AH517" s="44"/>
      <c r="AI517" s="45"/>
      <c r="AJ517" s="44"/>
      <c r="AK517" s="43"/>
      <c r="AT517" s="51"/>
      <c r="AU517" s="15"/>
      <c r="AV517" s="15"/>
      <c r="AW517" s="15"/>
      <c r="AX517" s="15"/>
      <c r="AY517" s="15"/>
      <c r="AZ517" s="15"/>
      <c r="BA517" s="51"/>
      <c r="BB517" s="15"/>
      <c r="BC517" s="15"/>
      <c r="BD517" s="15"/>
      <c r="BE517" s="15"/>
      <c r="BF517" s="15"/>
      <c r="BG517" s="51"/>
      <c r="BH517" s="15"/>
      <c r="BI517" s="15"/>
      <c r="BJ517" s="15"/>
      <c r="BK517" s="51"/>
      <c r="BL517" s="15"/>
      <c r="BM517" s="15"/>
      <c r="BN517" s="15"/>
      <c r="BO517" s="15"/>
      <c r="BP517" s="15"/>
      <c r="BQ517" s="18"/>
      <c r="BR517" s="18"/>
      <c r="BS517" s="18"/>
      <c r="BT517" s="18"/>
      <c r="BU517" s="18"/>
      <c r="BV517" s="18"/>
      <c r="BW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  <c r="FR517" s="18"/>
      <c r="FS517" s="18"/>
      <c r="FT517" s="18"/>
      <c r="FU517" s="18"/>
      <c r="FV517" s="18"/>
      <c r="FW517" s="18"/>
      <c r="FX517" s="18"/>
      <c r="FY517" s="18"/>
      <c r="FZ517" s="18"/>
      <c r="GA517" s="18"/>
      <c r="GB517" s="18"/>
      <c r="GC517" s="18"/>
      <c r="GD517" s="18"/>
      <c r="GE517" s="18"/>
      <c r="GF517" s="18"/>
      <c r="GG517" s="18"/>
      <c r="GH517" s="18"/>
      <c r="GI517" s="18"/>
      <c r="GJ517" s="18"/>
      <c r="GK517" s="18"/>
      <c r="GL517" s="18"/>
      <c r="GM517" s="18"/>
      <c r="GN517" s="18"/>
      <c r="GO517" s="18"/>
      <c r="GP517" s="18"/>
      <c r="GQ517" s="18"/>
      <c r="GR517" s="18"/>
      <c r="GS517" s="18"/>
      <c r="GT517" s="18"/>
      <c r="GU517" s="18"/>
      <c r="GV517" s="18"/>
      <c r="GW517" s="18"/>
      <c r="GX517" s="18"/>
      <c r="GY517" s="18"/>
      <c r="GZ517" s="18"/>
      <c r="HA517" s="18"/>
      <c r="HB517" s="18"/>
      <c r="HC517" s="18"/>
      <c r="HD517" s="18"/>
      <c r="HE517" s="18"/>
      <c r="HF517" s="18"/>
      <c r="HG517" s="13"/>
      <c r="HH517" s="13"/>
      <c r="HI517" s="13"/>
      <c r="HJ517" s="13"/>
      <c r="HK517" s="13"/>
      <c r="HL517" s="13"/>
      <c r="HM517" s="13"/>
      <c r="HN517" s="13"/>
      <c r="HO517" s="13"/>
      <c r="HP517" s="13"/>
      <c r="HQ517" s="13"/>
      <c r="HR517" s="13"/>
      <c r="HS517" s="13"/>
      <c r="HT517" s="13"/>
      <c r="HV517" s="18"/>
      <c r="HW517" s="18"/>
      <c r="HX517" s="18"/>
      <c r="HY517" s="18"/>
      <c r="HZ517" s="18"/>
      <c r="IA517" s="18"/>
      <c r="IB517" s="18"/>
      <c r="IC517" s="18"/>
      <c r="ID517" s="18"/>
      <c r="IE517" s="18"/>
      <c r="IF517" s="18"/>
      <c r="IG517" s="18"/>
      <c r="IH517" s="18"/>
      <c r="II517" s="18"/>
      <c r="IJ517" s="18"/>
      <c r="IK517" s="18"/>
      <c r="IL517" s="18"/>
      <c r="IM517" s="18"/>
      <c r="IN517" s="18"/>
      <c r="IO517" s="18"/>
      <c r="IP517" s="18"/>
      <c r="IQ517" s="18"/>
      <c r="IR517" s="18"/>
      <c r="IS517" s="18"/>
      <c r="IT517" s="18"/>
      <c r="IU517" s="18"/>
      <c r="IV517" s="18"/>
      <c r="IW517" s="18"/>
      <c r="IX517" s="18"/>
      <c r="IY517" s="18"/>
      <c r="IZ517" s="18"/>
      <c r="JA517" s="18"/>
      <c r="JB517" s="18"/>
      <c r="JC517" s="18"/>
      <c r="JD517" s="18"/>
      <c r="JE517" s="18"/>
      <c r="JF517" s="18"/>
      <c r="JG517" s="18"/>
      <c r="JH517" s="18"/>
      <c r="JI517" s="18"/>
      <c r="JJ517" s="18"/>
      <c r="JK517" s="18"/>
      <c r="JL517" s="18"/>
      <c r="JM517" s="18"/>
      <c r="JN517" s="18"/>
      <c r="JO517" s="18"/>
      <c r="JP517" s="18"/>
      <c r="JQ517" s="18"/>
      <c r="JR517" s="18"/>
      <c r="JS517" s="18"/>
      <c r="JT517" s="18"/>
      <c r="JU517" s="18"/>
      <c r="JV517" s="18"/>
      <c r="JW517" s="18"/>
      <c r="JX517" s="18"/>
      <c r="JY517" s="18"/>
      <c r="JZ517" s="18"/>
      <c r="KA517" s="18"/>
      <c r="KB517" s="18"/>
      <c r="KC517" s="18"/>
      <c r="KD517" s="18"/>
      <c r="KE517" s="18"/>
      <c r="KF517" s="18"/>
      <c r="KG517" s="18"/>
      <c r="KH517" s="18"/>
      <c r="KI517" s="18"/>
      <c r="KJ517" s="18"/>
      <c r="KK517" s="18"/>
      <c r="KL517" s="18"/>
      <c r="KM517" s="18"/>
      <c r="KN517" s="18"/>
      <c r="KO517" s="18"/>
      <c r="KP517" s="18"/>
    </row>
    <row r="518" spans="1:302">
      <c r="A518" s="14"/>
      <c r="B518" s="1062"/>
      <c r="C518" s="1062"/>
      <c r="D518" s="1063"/>
      <c r="E518" s="1063"/>
      <c r="F518" s="52"/>
      <c r="G518" s="23"/>
      <c r="H518" s="23"/>
      <c r="I518" s="23"/>
      <c r="J518" s="23"/>
      <c r="K518" s="14"/>
      <c r="L518" s="14"/>
      <c r="P518" s="14"/>
      <c r="AG518" s="44"/>
      <c r="AH518" s="44"/>
      <c r="AI518" s="45"/>
      <c r="AJ518" s="44"/>
      <c r="AK518" s="43"/>
      <c r="AT518" s="51"/>
      <c r="AU518" s="15"/>
      <c r="AV518" s="15"/>
      <c r="AW518" s="15"/>
      <c r="AX518" s="15"/>
      <c r="AY518" s="15"/>
      <c r="AZ518" s="15"/>
      <c r="BA518" s="51"/>
      <c r="BB518" s="15"/>
      <c r="BC518" s="15"/>
      <c r="BD518" s="15"/>
      <c r="BE518" s="15"/>
      <c r="BF518" s="15"/>
      <c r="BG518" s="51"/>
      <c r="BH518" s="15"/>
      <c r="BI518" s="15"/>
      <c r="BJ518" s="15"/>
      <c r="BK518" s="51"/>
      <c r="BL518" s="15"/>
      <c r="BM518" s="15"/>
      <c r="BN518" s="15"/>
      <c r="BO518" s="15"/>
      <c r="BP518" s="15"/>
      <c r="BQ518" s="18"/>
      <c r="BR518" s="18"/>
      <c r="BS518" s="18"/>
      <c r="BT518" s="18"/>
      <c r="BU518" s="18"/>
      <c r="BV518" s="18"/>
      <c r="BW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  <c r="FC518" s="18"/>
      <c r="FD518" s="18"/>
      <c r="FE518" s="18"/>
      <c r="FF518" s="18"/>
      <c r="FG518" s="18"/>
      <c r="FH518" s="18"/>
      <c r="FI518" s="18"/>
      <c r="FJ518" s="18"/>
      <c r="FK518" s="18"/>
      <c r="FL518" s="18"/>
      <c r="FM518" s="18"/>
      <c r="FN518" s="18"/>
      <c r="FO518" s="18"/>
      <c r="FP518" s="18"/>
      <c r="FQ518" s="18"/>
      <c r="FR518" s="18"/>
      <c r="FS518" s="18"/>
      <c r="FT518" s="18"/>
      <c r="FU518" s="18"/>
      <c r="FV518" s="18"/>
      <c r="FW518" s="18"/>
      <c r="FX518" s="18"/>
      <c r="FY518" s="18"/>
      <c r="FZ518" s="18"/>
      <c r="GA518" s="18"/>
      <c r="GB518" s="18"/>
      <c r="GC518" s="18"/>
      <c r="GD518" s="18"/>
      <c r="GE518" s="18"/>
      <c r="GF518" s="18"/>
      <c r="GG518" s="18"/>
      <c r="GH518" s="18"/>
      <c r="GI518" s="18"/>
      <c r="GJ518" s="18"/>
      <c r="GK518" s="18"/>
      <c r="GL518" s="18"/>
      <c r="GM518" s="18"/>
      <c r="GN518" s="18"/>
      <c r="GO518" s="18"/>
      <c r="GP518" s="18"/>
      <c r="GQ518" s="18"/>
      <c r="GR518" s="18"/>
      <c r="GS518" s="18"/>
      <c r="GT518" s="18"/>
      <c r="GU518" s="18"/>
      <c r="GV518" s="18"/>
      <c r="GW518" s="18"/>
      <c r="GX518" s="18"/>
      <c r="GY518" s="18"/>
      <c r="GZ518" s="18"/>
      <c r="HA518" s="18"/>
      <c r="HB518" s="18"/>
      <c r="HC518" s="18"/>
      <c r="HD518" s="18"/>
      <c r="HE518" s="18"/>
      <c r="HF518" s="18"/>
      <c r="HG518" s="13"/>
      <c r="HH518" s="13"/>
      <c r="HI518" s="13"/>
      <c r="HJ518" s="13"/>
      <c r="HK518" s="13"/>
      <c r="HL518" s="13"/>
      <c r="HM518" s="13"/>
      <c r="HN518" s="13"/>
      <c r="HO518" s="13"/>
      <c r="HP518" s="13"/>
      <c r="HQ518" s="13"/>
      <c r="HR518" s="13"/>
      <c r="HS518" s="13"/>
      <c r="HT518" s="13"/>
      <c r="HV518" s="18"/>
      <c r="HW518" s="18"/>
      <c r="HX518" s="18"/>
      <c r="HY518" s="18"/>
      <c r="HZ518" s="18"/>
      <c r="IA518" s="18"/>
      <c r="IB518" s="18"/>
      <c r="IC518" s="18"/>
      <c r="ID518" s="18"/>
      <c r="IE518" s="18"/>
      <c r="IF518" s="18"/>
      <c r="IG518" s="18"/>
      <c r="IH518" s="18"/>
      <c r="II518" s="18"/>
      <c r="IJ518" s="18"/>
      <c r="IK518" s="18"/>
      <c r="IL518" s="18"/>
      <c r="IM518" s="18"/>
      <c r="IN518" s="18"/>
      <c r="IO518" s="18"/>
      <c r="IP518" s="18"/>
      <c r="IQ518" s="18"/>
      <c r="IR518" s="18"/>
      <c r="IS518" s="18"/>
      <c r="IT518" s="18"/>
      <c r="IU518" s="18"/>
      <c r="IV518" s="18"/>
      <c r="IW518" s="18"/>
      <c r="IX518" s="18"/>
      <c r="IY518" s="18"/>
      <c r="IZ518" s="18"/>
      <c r="JA518" s="18"/>
      <c r="JB518" s="18"/>
      <c r="JC518" s="18"/>
      <c r="JD518" s="18"/>
      <c r="JE518" s="18"/>
      <c r="JF518" s="18"/>
      <c r="JG518" s="18"/>
      <c r="JH518" s="18"/>
      <c r="JI518" s="18"/>
      <c r="JJ518" s="18"/>
      <c r="JK518" s="18"/>
      <c r="JL518" s="18"/>
      <c r="JM518" s="18"/>
      <c r="JN518" s="18"/>
      <c r="JO518" s="18"/>
      <c r="JP518" s="18"/>
      <c r="JQ518" s="18"/>
      <c r="JR518" s="18"/>
      <c r="JS518" s="18"/>
      <c r="JT518" s="18"/>
      <c r="JU518" s="18"/>
      <c r="JV518" s="18"/>
      <c r="JW518" s="18"/>
      <c r="JX518" s="18"/>
      <c r="JY518" s="18"/>
      <c r="JZ518" s="18"/>
      <c r="KA518" s="18"/>
      <c r="KB518" s="18"/>
      <c r="KC518" s="18"/>
      <c r="KD518" s="18"/>
      <c r="KE518" s="18"/>
      <c r="KF518" s="18"/>
      <c r="KG518" s="18"/>
      <c r="KH518" s="18"/>
      <c r="KI518" s="18"/>
      <c r="KJ518" s="18"/>
      <c r="KK518" s="18"/>
      <c r="KL518" s="18"/>
      <c r="KM518" s="18"/>
      <c r="KN518" s="18"/>
      <c r="KO518" s="18"/>
      <c r="KP518" s="18"/>
    </row>
    <row r="519" spans="1:302">
      <c r="A519" s="14"/>
      <c r="B519" s="1064"/>
      <c r="C519" s="1064"/>
      <c r="D519" s="1063"/>
      <c r="E519" s="1063"/>
      <c r="F519" s="52"/>
      <c r="G519" s="23"/>
      <c r="H519" s="23"/>
      <c r="I519" s="23"/>
      <c r="J519" s="23"/>
      <c r="K519" s="14"/>
      <c r="L519" s="14"/>
      <c r="P519" s="14"/>
      <c r="AG519" s="44"/>
      <c r="AH519" s="44"/>
      <c r="AI519" s="45"/>
      <c r="AJ519" s="44"/>
      <c r="AK519" s="43"/>
      <c r="AT519" s="51"/>
      <c r="AU519" s="15"/>
      <c r="AV519" s="15"/>
      <c r="AW519" s="15"/>
      <c r="AX519" s="15"/>
      <c r="AY519" s="15"/>
      <c r="AZ519" s="15"/>
      <c r="BA519" s="51"/>
      <c r="BB519" s="15"/>
      <c r="BC519" s="15"/>
      <c r="BD519" s="15"/>
      <c r="BE519" s="15"/>
      <c r="BF519" s="15"/>
      <c r="BG519" s="51"/>
      <c r="BH519" s="15"/>
      <c r="BI519" s="15"/>
      <c r="BJ519" s="15"/>
      <c r="BK519" s="51"/>
      <c r="BL519" s="15"/>
      <c r="BM519" s="15"/>
      <c r="BN519" s="15"/>
      <c r="BO519" s="15"/>
      <c r="BP519" s="15"/>
      <c r="BQ519" s="18"/>
      <c r="BR519" s="18"/>
      <c r="BS519" s="18"/>
      <c r="BT519" s="18"/>
      <c r="BU519" s="18"/>
      <c r="BV519" s="18"/>
      <c r="BW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  <c r="FC519" s="18"/>
      <c r="FD519" s="18"/>
      <c r="FE519" s="18"/>
      <c r="FF519" s="18"/>
      <c r="FG519" s="18"/>
      <c r="FH519" s="18"/>
      <c r="FI519" s="18"/>
      <c r="FJ519" s="18"/>
      <c r="FK519" s="18"/>
      <c r="FL519" s="18"/>
      <c r="FM519" s="18"/>
      <c r="FN519" s="18"/>
      <c r="FO519" s="18"/>
      <c r="FP519" s="18"/>
      <c r="FQ519" s="18"/>
      <c r="FR519" s="18"/>
      <c r="FS519" s="18"/>
      <c r="FT519" s="18"/>
      <c r="FU519" s="18"/>
      <c r="FV519" s="18"/>
      <c r="FW519" s="18"/>
      <c r="FX519" s="18"/>
      <c r="FY519" s="18"/>
      <c r="FZ519" s="18"/>
      <c r="GA519" s="18"/>
      <c r="GB519" s="18"/>
      <c r="GC519" s="18"/>
      <c r="GD519" s="18"/>
      <c r="GE519" s="18"/>
      <c r="GF519" s="18"/>
      <c r="GG519" s="18"/>
      <c r="GH519" s="18"/>
      <c r="GI519" s="18"/>
      <c r="GJ519" s="18"/>
      <c r="GK519" s="18"/>
      <c r="GL519" s="18"/>
      <c r="GM519" s="18"/>
      <c r="GN519" s="18"/>
      <c r="GO519" s="18"/>
      <c r="GP519" s="18"/>
      <c r="GQ519" s="18"/>
      <c r="GR519" s="18"/>
      <c r="GS519" s="18"/>
      <c r="GT519" s="18"/>
      <c r="GU519" s="18"/>
      <c r="GV519" s="18"/>
      <c r="GW519" s="18"/>
      <c r="GX519" s="18"/>
      <c r="GY519" s="18"/>
      <c r="GZ519" s="18"/>
      <c r="HA519" s="18"/>
      <c r="HB519" s="18"/>
      <c r="HC519" s="18"/>
      <c r="HD519" s="18"/>
      <c r="HE519" s="18"/>
      <c r="HF519" s="18"/>
      <c r="HG519" s="13"/>
      <c r="HH519" s="13"/>
      <c r="HI519" s="13"/>
      <c r="HJ519" s="13"/>
      <c r="HK519" s="13"/>
      <c r="HL519" s="13"/>
      <c r="HM519" s="13"/>
      <c r="HN519" s="13"/>
      <c r="HO519" s="13"/>
      <c r="HP519" s="13"/>
      <c r="HQ519" s="13"/>
      <c r="HR519" s="13"/>
      <c r="HS519" s="13"/>
      <c r="HT519" s="13"/>
      <c r="HV519" s="18"/>
      <c r="HW519" s="18"/>
      <c r="HX519" s="18"/>
      <c r="HY519" s="18"/>
      <c r="HZ519" s="18"/>
      <c r="IA519" s="18"/>
      <c r="IB519" s="18"/>
      <c r="IC519" s="18"/>
      <c r="ID519" s="18"/>
      <c r="IE519" s="18"/>
      <c r="IF519" s="18"/>
      <c r="IG519" s="18"/>
      <c r="IH519" s="18"/>
      <c r="II519" s="18"/>
      <c r="IJ519" s="18"/>
      <c r="IK519" s="18"/>
      <c r="IL519" s="18"/>
      <c r="IM519" s="18"/>
      <c r="IN519" s="18"/>
      <c r="IO519" s="18"/>
      <c r="IP519" s="18"/>
      <c r="IQ519" s="18"/>
      <c r="IR519" s="18"/>
      <c r="IS519" s="18"/>
      <c r="IT519" s="18"/>
      <c r="IU519" s="18"/>
      <c r="IV519" s="18"/>
      <c r="IW519" s="18"/>
      <c r="IX519" s="18"/>
      <c r="IY519" s="18"/>
      <c r="IZ519" s="18"/>
      <c r="JA519" s="18"/>
      <c r="JB519" s="18"/>
      <c r="JC519" s="18"/>
      <c r="JD519" s="18"/>
      <c r="JE519" s="18"/>
      <c r="JF519" s="18"/>
      <c r="JG519" s="18"/>
      <c r="JH519" s="18"/>
      <c r="JI519" s="18"/>
      <c r="JJ519" s="18"/>
      <c r="JK519" s="18"/>
      <c r="JL519" s="18"/>
      <c r="JM519" s="18"/>
      <c r="JN519" s="18"/>
      <c r="JO519" s="18"/>
      <c r="JP519" s="18"/>
      <c r="JQ519" s="18"/>
      <c r="JR519" s="18"/>
      <c r="JS519" s="18"/>
      <c r="JT519" s="18"/>
      <c r="JU519" s="18"/>
      <c r="JV519" s="18"/>
      <c r="JW519" s="18"/>
      <c r="JX519" s="18"/>
      <c r="JY519" s="18"/>
      <c r="JZ519" s="18"/>
      <c r="KA519" s="18"/>
      <c r="KB519" s="18"/>
      <c r="KC519" s="18"/>
      <c r="KD519" s="18"/>
      <c r="KE519" s="18"/>
      <c r="KF519" s="18"/>
      <c r="KG519" s="18"/>
      <c r="KH519" s="18"/>
      <c r="KI519" s="18"/>
      <c r="KJ519" s="18"/>
      <c r="KK519" s="18"/>
      <c r="KL519" s="18"/>
      <c r="KM519" s="18"/>
      <c r="KN519" s="18"/>
      <c r="KO519" s="18"/>
      <c r="KP519" s="18"/>
    </row>
    <row r="520" spans="1:302">
      <c r="A520" s="14"/>
      <c r="B520" s="1062"/>
      <c r="C520" s="1062"/>
      <c r="D520" s="1063"/>
      <c r="E520" s="1063"/>
      <c r="F520" s="52"/>
      <c r="G520" s="23"/>
      <c r="H520" s="23"/>
      <c r="I520" s="23"/>
      <c r="J520" s="23"/>
      <c r="K520" s="14"/>
      <c r="L520" s="14"/>
      <c r="P520" s="14"/>
      <c r="AG520" s="44"/>
      <c r="AH520" s="44"/>
      <c r="AI520" s="45"/>
      <c r="AJ520" s="44"/>
      <c r="AK520" s="43"/>
      <c r="AT520" s="51"/>
      <c r="AU520" s="15"/>
      <c r="AV520" s="15"/>
      <c r="AW520" s="15"/>
      <c r="AX520" s="15"/>
      <c r="AY520" s="15"/>
      <c r="AZ520" s="15"/>
      <c r="BA520" s="51"/>
      <c r="BB520" s="15"/>
      <c r="BC520" s="15"/>
      <c r="BD520" s="15"/>
      <c r="BE520" s="15"/>
      <c r="BF520" s="15"/>
      <c r="BG520" s="51"/>
      <c r="BH520" s="15"/>
      <c r="BI520" s="15"/>
      <c r="BJ520" s="15"/>
      <c r="BK520" s="51"/>
      <c r="BL520" s="15"/>
      <c r="BM520" s="15"/>
      <c r="BN520" s="15"/>
      <c r="BO520" s="15"/>
      <c r="BP520" s="15"/>
      <c r="BQ520" s="18"/>
      <c r="BR520" s="18"/>
      <c r="BS520" s="18"/>
      <c r="BT520" s="18"/>
      <c r="BU520" s="18"/>
      <c r="BV520" s="18"/>
      <c r="BW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  <c r="FC520" s="18"/>
      <c r="FD520" s="18"/>
      <c r="FE520" s="18"/>
      <c r="FF520" s="18"/>
      <c r="FG520" s="18"/>
      <c r="FH520" s="18"/>
      <c r="FI520" s="18"/>
      <c r="FJ520" s="18"/>
      <c r="FK520" s="18"/>
      <c r="FL520" s="18"/>
      <c r="FM520" s="18"/>
      <c r="FN520" s="18"/>
      <c r="FO520" s="18"/>
      <c r="FP520" s="18"/>
      <c r="FQ520" s="18"/>
      <c r="FR520" s="18"/>
      <c r="FS520" s="18"/>
      <c r="FT520" s="18"/>
      <c r="FU520" s="18"/>
      <c r="FV520" s="18"/>
      <c r="FW520" s="18"/>
      <c r="FX520" s="18"/>
      <c r="FY520" s="18"/>
      <c r="FZ520" s="18"/>
      <c r="GA520" s="18"/>
      <c r="GB520" s="18"/>
      <c r="GC520" s="18"/>
      <c r="GD520" s="18"/>
      <c r="GE520" s="18"/>
      <c r="GF520" s="18"/>
      <c r="GG520" s="18"/>
      <c r="GH520" s="18"/>
      <c r="GI520" s="18"/>
      <c r="GJ520" s="18"/>
      <c r="GK520" s="18"/>
      <c r="GL520" s="18"/>
      <c r="GM520" s="18"/>
      <c r="GN520" s="18"/>
      <c r="GO520" s="18"/>
      <c r="GP520" s="18"/>
      <c r="GQ520" s="18"/>
      <c r="GR520" s="18"/>
      <c r="GS520" s="18"/>
      <c r="GT520" s="18"/>
      <c r="GU520" s="18"/>
      <c r="GV520" s="18"/>
      <c r="GW520" s="18"/>
      <c r="GX520" s="18"/>
      <c r="GY520" s="18"/>
      <c r="GZ520" s="18"/>
      <c r="HA520" s="18"/>
      <c r="HB520" s="18"/>
      <c r="HC520" s="18"/>
      <c r="HD520" s="18"/>
      <c r="HE520" s="18"/>
      <c r="HF520" s="18"/>
      <c r="HG520" s="13"/>
      <c r="HH520" s="13"/>
      <c r="HI520" s="13"/>
      <c r="HJ520" s="13"/>
      <c r="HK520" s="13"/>
      <c r="HL520" s="13"/>
      <c r="HM520" s="13"/>
      <c r="HN520" s="13"/>
      <c r="HO520" s="13"/>
      <c r="HP520" s="13"/>
      <c r="HQ520" s="13"/>
      <c r="HR520" s="13"/>
      <c r="HS520" s="13"/>
      <c r="HT520" s="13"/>
      <c r="HV520" s="18"/>
      <c r="HW520" s="18"/>
      <c r="HX520" s="18"/>
      <c r="HY520" s="18"/>
      <c r="HZ520" s="18"/>
      <c r="IA520" s="18"/>
      <c r="IB520" s="18"/>
      <c r="IC520" s="18"/>
      <c r="ID520" s="18"/>
      <c r="IE520" s="18"/>
      <c r="IF520" s="18"/>
      <c r="IG520" s="18"/>
      <c r="IH520" s="18"/>
      <c r="II520" s="18"/>
      <c r="IJ520" s="18"/>
      <c r="IK520" s="18"/>
      <c r="IL520" s="18"/>
      <c r="IM520" s="18"/>
      <c r="IN520" s="18"/>
      <c r="IO520" s="18"/>
      <c r="IP520" s="18"/>
      <c r="IQ520" s="18"/>
      <c r="IR520" s="18"/>
      <c r="IS520" s="18"/>
      <c r="IT520" s="18"/>
      <c r="IU520" s="18"/>
      <c r="IV520" s="18"/>
      <c r="IW520" s="18"/>
      <c r="IX520" s="18"/>
      <c r="IY520" s="18"/>
      <c r="IZ520" s="18"/>
      <c r="JA520" s="18"/>
      <c r="JB520" s="18"/>
      <c r="JC520" s="18"/>
      <c r="JD520" s="18"/>
      <c r="JE520" s="18"/>
      <c r="JF520" s="18"/>
      <c r="JG520" s="18"/>
      <c r="JH520" s="18"/>
      <c r="JI520" s="18"/>
      <c r="JJ520" s="18"/>
      <c r="JK520" s="18"/>
      <c r="JL520" s="18"/>
      <c r="JM520" s="18"/>
      <c r="JN520" s="18"/>
      <c r="JO520" s="18"/>
      <c r="JP520" s="18"/>
      <c r="JQ520" s="18"/>
      <c r="JR520" s="18"/>
      <c r="JS520" s="18"/>
      <c r="JT520" s="18"/>
      <c r="JU520" s="18"/>
      <c r="JV520" s="18"/>
      <c r="JW520" s="18"/>
      <c r="JX520" s="18"/>
      <c r="JY520" s="18"/>
      <c r="JZ520" s="18"/>
      <c r="KA520" s="18"/>
      <c r="KB520" s="18"/>
      <c r="KC520" s="18"/>
      <c r="KD520" s="18"/>
      <c r="KE520" s="18"/>
      <c r="KF520" s="18"/>
      <c r="KG520" s="18"/>
      <c r="KH520" s="18"/>
      <c r="KI520" s="18"/>
      <c r="KJ520" s="18"/>
      <c r="KK520" s="18"/>
      <c r="KL520" s="18"/>
      <c r="KM520" s="18"/>
      <c r="KN520" s="18"/>
      <c r="KO520" s="18"/>
      <c r="KP520" s="18"/>
    </row>
    <row r="521" spans="1:302">
      <c r="A521" s="14"/>
      <c r="B521" s="1062"/>
      <c r="C521" s="1062"/>
      <c r="D521" s="945"/>
      <c r="E521" s="945"/>
      <c r="F521" s="52"/>
      <c r="G521" s="23"/>
      <c r="H521" s="23"/>
      <c r="I521" s="23"/>
      <c r="J521" s="23"/>
      <c r="K521" s="14"/>
      <c r="L521" s="14"/>
      <c r="P521" s="14"/>
      <c r="AG521" s="44"/>
      <c r="AH521" s="44"/>
      <c r="AI521" s="45"/>
      <c r="AJ521" s="44"/>
      <c r="AK521" s="43"/>
      <c r="AT521" s="51"/>
      <c r="AU521" s="15"/>
      <c r="AV521" s="15"/>
      <c r="AW521" s="15"/>
      <c r="AX521" s="15"/>
      <c r="AY521" s="15"/>
      <c r="AZ521" s="15"/>
      <c r="BA521" s="51"/>
      <c r="BB521" s="15"/>
      <c r="BC521" s="15"/>
      <c r="BD521" s="15"/>
      <c r="BE521" s="15"/>
      <c r="BF521" s="15"/>
      <c r="BG521" s="51"/>
      <c r="BH521" s="15"/>
      <c r="BI521" s="15"/>
      <c r="BJ521" s="15"/>
      <c r="BK521" s="51"/>
      <c r="BL521" s="15"/>
      <c r="BM521" s="15"/>
      <c r="BN521" s="15"/>
      <c r="BO521" s="15"/>
      <c r="BP521" s="15"/>
      <c r="BQ521" s="18"/>
      <c r="BR521" s="18"/>
      <c r="BS521" s="18"/>
      <c r="BT521" s="18"/>
      <c r="BU521" s="18"/>
      <c r="BV521" s="18"/>
      <c r="BW521" s="18"/>
      <c r="BY521" s="18"/>
      <c r="BZ521" s="18"/>
      <c r="CA521" s="18"/>
      <c r="CB521" s="18"/>
      <c r="CC521" s="18"/>
      <c r="CD521" s="18"/>
      <c r="CE521" s="18"/>
      <c r="CF521" s="18"/>
      <c r="CG521" s="18"/>
      <c r="CH521" s="18"/>
      <c r="CI521" s="18"/>
      <c r="CJ521" s="18"/>
      <c r="CK521" s="18"/>
      <c r="CL521" s="18"/>
      <c r="CM521" s="18"/>
      <c r="CN521" s="18"/>
      <c r="CO521" s="18"/>
      <c r="CP521" s="18"/>
      <c r="CQ521" s="18"/>
      <c r="CR521" s="18"/>
      <c r="CT521" s="18"/>
      <c r="CU521" s="18"/>
      <c r="CV521" s="18"/>
      <c r="CW521" s="18"/>
      <c r="CX521" s="18"/>
      <c r="CY521" s="18"/>
      <c r="CZ521" s="18"/>
      <c r="DA521" s="18"/>
      <c r="DB521" s="18"/>
      <c r="DC521" s="18"/>
      <c r="DD521" s="18"/>
      <c r="DE521" s="18"/>
      <c r="DF521" s="18"/>
      <c r="DG521" s="18"/>
      <c r="DH521" s="18"/>
      <c r="DI521" s="18"/>
      <c r="DJ521" s="18"/>
      <c r="DK521" s="18"/>
      <c r="DL521" s="18"/>
      <c r="DM521" s="18"/>
      <c r="DN521" s="18"/>
      <c r="DP521" s="18"/>
      <c r="DQ521" s="18"/>
      <c r="DR521" s="18"/>
      <c r="DS521" s="18"/>
      <c r="DT521" s="18"/>
      <c r="DU521" s="18"/>
      <c r="DV521" s="18"/>
      <c r="DW521" s="18"/>
      <c r="DX521" s="18"/>
      <c r="DY521" s="18"/>
      <c r="DZ521" s="18"/>
      <c r="EA521" s="18"/>
      <c r="EB521" s="18"/>
      <c r="EC521" s="18"/>
      <c r="ED521" s="18"/>
      <c r="EE521" s="18"/>
      <c r="EF521" s="18"/>
      <c r="EG521" s="18"/>
      <c r="EH521" s="18"/>
      <c r="EI521" s="18"/>
      <c r="EJ521" s="18"/>
      <c r="EK521" s="18"/>
      <c r="EL521" s="18"/>
      <c r="EM521" s="18"/>
      <c r="EN521" s="18"/>
      <c r="EO521" s="18"/>
      <c r="EP521" s="18"/>
      <c r="EQ521" s="18"/>
      <c r="ER521" s="18"/>
      <c r="ES521" s="18"/>
      <c r="ET521" s="18"/>
      <c r="EU521" s="18"/>
      <c r="EV521" s="18"/>
      <c r="EW521" s="18"/>
      <c r="EX521" s="18"/>
      <c r="EY521" s="18"/>
      <c r="EZ521" s="18"/>
      <c r="FA521" s="18"/>
      <c r="FB521" s="18"/>
      <c r="FC521" s="18"/>
      <c r="FD521" s="18"/>
      <c r="FE521" s="18"/>
      <c r="FF521" s="18"/>
      <c r="FG521" s="18"/>
      <c r="FH521" s="18"/>
      <c r="FI521" s="18"/>
      <c r="FJ521" s="18"/>
      <c r="FK521" s="18"/>
      <c r="FL521" s="18"/>
      <c r="FM521" s="18"/>
      <c r="FN521" s="18"/>
      <c r="FO521" s="18"/>
      <c r="FP521" s="18"/>
      <c r="FQ521" s="18"/>
      <c r="FR521" s="18"/>
      <c r="FS521" s="18"/>
      <c r="FT521" s="18"/>
      <c r="FU521" s="18"/>
      <c r="FV521" s="18"/>
      <c r="FW521" s="18"/>
      <c r="FX521" s="18"/>
      <c r="FY521" s="18"/>
      <c r="FZ521" s="18"/>
      <c r="GA521" s="18"/>
      <c r="GB521" s="18"/>
      <c r="GC521" s="18"/>
      <c r="GD521" s="18"/>
      <c r="GE521" s="18"/>
      <c r="GF521" s="18"/>
      <c r="GG521" s="18"/>
      <c r="GH521" s="18"/>
      <c r="GI521" s="18"/>
      <c r="GJ521" s="18"/>
      <c r="GK521" s="18"/>
      <c r="GL521" s="18"/>
      <c r="GM521" s="18"/>
      <c r="GN521" s="18"/>
      <c r="GO521" s="18"/>
      <c r="GP521" s="18"/>
      <c r="GQ521" s="18"/>
      <c r="GR521" s="18"/>
      <c r="GS521" s="18"/>
      <c r="GT521" s="18"/>
      <c r="GU521" s="18"/>
      <c r="GV521" s="18"/>
      <c r="GW521" s="18"/>
      <c r="GX521" s="18"/>
      <c r="GY521" s="18"/>
      <c r="GZ521" s="18"/>
      <c r="HA521" s="18"/>
      <c r="HB521" s="18"/>
      <c r="HC521" s="18"/>
      <c r="HD521" s="18"/>
      <c r="HE521" s="18"/>
      <c r="HF521" s="18"/>
      <c r="HG521" s="13"/>
      <c r="HH521" s="13"/>
      <c r="HI521" s="13"/>
      <c r="HJ521" s="13"/>
      <c r="HK521" s="13"/>
      <c r="HL521" s="13"/>
      <c r="HM521" s="13"/>
      <c r="HN521" s="13"/>
      <c r="HO521" s="13"/>
      <c r="HP521" s="13"/>
      <c r="HQ521" s="13"/>
      <c r="HR521" s="13"/>
      <c r="HS521" s="13"/>
      <c r="HT521" s="13"/>
      <c r="HV521" s="18"/>
      <c r="HW521" s="18"/>
      <c r="HX521" s="18"/>
      <c r="HY521" s="18"/>
      <c r="HZ521" s="18"/>
      <c r="IA521" s="18"/>
      <c r="IB521" s="18"/>
      <c r="IC521" s="18"/>
      <c r="ID521" s="18"/>
      <c r="IE521" s="18"/>
      <c r="IF521" s="18"/>
      <c r="IG521" s="18"/>
      <c r="IH521" s="18"/>
      <c r="II521" s="18"/>
      <c r="IJ521" s="18"/>
      <c r="IK521" s="18"/>
      <c r="IL521" s="18"/>
      <c r="IM521" s="18"/>
      <c r="IN521" s="18"/>
      <c r="IO521" s="18"/>
      <c r="IP521" s="18"/>
      <c r="IQ521" s="18"/>
      <c r="IR521" s="18"/>
      <c r="IS521" s="18"/>
      <c r="IT521" s="18"/>
      <c r="IU521" s="18"/>
      <c r="IV521" s="18"/>
      <c r="IW521" s="18"/>
      <c r="IX521" s="18"/>
      <c r="IY521" s="18"/>
      <c r="IZ521" s="18"/>
      <c r="JA521" s="18"/>
      <c r="JB521" s="18"/>
      <c r="JC521" s="18"/>
      <c r="JD521" s="18"/>
      <c r="JE521" s="18"/>
      <c r="JF521" s="18"/>
      <c r="JG521" s="18"/>
      <c r="JH521" s="18"/>
      <c r="JI521" s="18"/>
      <c r="JJ521" s="18"/>
      <c r="JK521" s="18"/>
      <c r="JL521" s="18"/>
      <c r="JM521" s="18"/>
      <c r="JN521" s="18"/>
      <c r="JO521" s="18"/>
      <c r="JP521" s="18"/>
      <c r="JQ521" s="18"/>
      <c r="JR521" s="18"/>
      <c r="JS521" s="18"/>
      <c r="JT521" s="18"/>
      <c r="JU521" s="18"/>
      <c r="JV521" s="18"/>
      <c r="JW521" s="18"/>
      <c r="JX521" s="18"/>
      <c r="JY521" s="18"/>
      <c r="JZ521" s="18"/>
      <c r="KA521" s="18"/>
      <c r="KB521" s="18"/>
      <c r="KC521" s="18"/>
      <c r="KD521" s="18"/>
      <c r="KE521" s="18"/>
      <c r="KF521" s="18"/>
      <c r="KG521" s="18"/>
      <c r="KH521" s="18"/>
      <c r="KI521" s="18"/>
      <c r="KJ521" s="18"/>
      <c r="KK521" s="18"/>
      <c r="KL521" s="18"/>
      <c r="KM521" s="18"/>
      <c r="KN521" s="18"/>
      <c r="KO521" s="18"/>
      <c r="KP521" s="18"/>
    </row>
    <row r="522" spans="1:302">
      <c r="A522" s="14"/>
      <c r="B522" s="1062"/>
      <c r="C522" s="1062"/>
      <c r="D522" s="1063"/>
      <c r="E522" s="1063"/>
      <c r="F522" s="52"/>
      <c r="G522" s="23"/>
      <c r="H522" s="23"/>
      <c r="I522" s="23"/>
      <c r="J522" s="23"/>
      <c r="K522" s="14"/>
      <c r="L522" s="14"/>
      <c r="P522" s="14"/>
      <c r="AG522" s="44"/>
      <c r="AH522" s="44"/>
      <c r="AI522" s="45"/>
      <c r="AJ522" s="44"/>
      <c r="AK522" s="43"/>
      <c r="AT522" s="51"/>
      <c r="AU522" s="15"/>
      <c r="AV522" s="15"/>
      <c r="AW522" s="15"/>
      <c r="AX522" s="15"/>
      <c r="AY522" s="15"/>
      <c r="AZ522" s="15"/>
      <c r="BA522" s="51"/>
      <c r="BB522" s="15"/>
      <c r="BC522" s="15"/>
      <c r="BD522" s="15"/>
      <c r="BE522" s="15"/>
      <c r="BF522" s="15"/>
      <c r="BG522" s="51"/>
      <c r="BH522" s="15"/>
      <c r="BI522" s="15"/>
      <c r="BJ522" s="15"/>
      <c r="BK522" s="51"/>
      <c r="BL522" s="15"/>
      <c r="BM522" s="15"/>
      <c r="BN522" s="15"/>
      <c r="BO522" s="15"/>
      <c r="BP522" s="15"/>
      <c r="BQ522" s="18"/>
      <c r="BR522" s="18"/>
      <c r="BS522" s="18"/>
      <c r="BT522" s="18"/>
      <c r="BU522" s="18"/>
      <c r="BV522" s="18"/>
      <c r="BW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  <c r="EZ522" s="18"/>
      <c r="FA522" s="18"/>
      <c r="FB522" s="18"/>
      <c r="FC522" s="18"/>
      <c r="FD522" s="18"/>
      <c r="FE522" s="18"/>
      <c r="FF522" s="18"/>
      <c r="FG522" s="18"/>
      <c r="FH522" s="18"/>
      <c r="FI522" s="18"/>
      <c r="FJ522" s="18"/>
      <c r="FK522" s="18"/>
      <c r="FL522" s="18"/>
      <c r="FM522" s="18"/>
      <c r="FN522" s="18"/>
      <c r="FO522" s="18"/>
      <c r="FP522" s="18"/>
      <c r="FQ522" s="18"/>
      <c r="FR522" s="18"/>
      <c r="FS522" s="18"/>
      <c r="FT522" s="18"/>
      <c r="FU522" s="18"/>
      <c r="FV522" s="18"/>
      <c r="FW522" s="18"/>
      <c r="FX522" s="18"/>
      <c r="FY522" s="18"/>
      <c r="FZ522" s="18"/>
      <c r="GA522" s="18"/>
      <c r="GB522" s="18"/>
      <c r="GC522" s="18"/>
      <c r="GD522" s="18"/>
      <c r="GE522" s="18"/>
      <c r="GF522" s="18"/>
      <c r="GG522" s="18"/>
      <c r="GH522" s="18"/>
      <c r="GI522" s="18"/>
      <c r="GJ522" s="18"/>
      <c r="GK522" s="18"/>
      <c r="GL522" s="18"/>
      <c r="GM522" s="18"/>
      <c r="GN522" s="18"/>
      <c r="GO522" s="18"/>
      <c r="GP522" s="18"/>
      <c r="GQ522" s="18"/>
      <c r="GR522" s="18"/>
      <c r="GS522" s="18"/>
      <c r="GT522" s="18"/>
      <c r="GU522" s="18"/>
      <c r="GV522" s="18"/>
      <c r="GW522" s="18"/>
      <c r="GX522" s="18"/>
      <c r="GY522" s="18"/>
      <c r="GZ522" s="18"/>
      <c r="HA522" s="18"/>
      <c r="HB522" s="18"/>
      <c r="HC522" s="18"/>
      <c r="HD522" s="18"/>
      <c r="HE522" s="18"/>
      <c r="HF522" s="18"/>
      <c r="HG522" s="13"/>
      <c r="HH522" s="13"/>
      <c r="HI522" s="13"/>
      <c r="HJ522" s="13"/>
      <c r="HK522" s="13"/>
      <c r="HL522" s="13"/>
      <c r="HM522" s="13"/>
      <c r="HN522" s="13"/>
      <c r="HO522" s="13"/>
      <c r="HP522" s="13"/>
      <c r="HQ522" s="13"/>
      <c r="HR522" s="13"/>
      <c r="HS522" s="13"/>
      <c r="HT522" s="13"/>
      <c r="HV522" s="18"/>
      <c r="HW522" s="18"/>
      <c r="HX522" s="18"/>
      <c r="HY522" s="18"/>
      <c r="HZ522" s="18"/>
      <c r="IA522" s="18"/>
      <c r="IB522" s="18"/>
      <c r="IC522" s="18"/>
      <c r="ID522" s="18"/>
      <c r="IE522" s="18"/>
      <c r="IF522" s="18"/>
      <c r="IG522" s="18"/>
      <c r="IH522" s="18"/>
      <c r="II522" s="18"/>
      <c r="IJ522" s="18"/>
      <c r="IK522" s="18"/>
      <c r="IL522" s="18"/>
      <c r="IM522" s="18"/>
      <c r="IN522" s="18"/>
      <c r="IO522" s="18"/>
      <c r="IP522" s="18"/>
      <c r="IQ522" s="18"/>
      <c r="IR522" s="18"/>
      <c r="IS522" s="18"/>
      <c r="IT522" s="18"/>
      <c r="IU522" s="18"/>
      <c r="IV522" s="18"/>
      <c r="IW522" s="18"/>
      <c r="IX522" s="18"/>
      <c r="IY522" s="18"/>
      <c r="IZ522" s="18"/>
      <c r="JA522" s="18"/>
      <c r="JB522" s="18"/>
      <c r="JC522" s="18"/>
      <c r="JD522" s="18"/>
      <c r="JE522" s="18"/>
      <c r="JF522" s="18"/>
      <c r="JG522" s="18"/>
      <c r="JH522" s="18"/>
      <c r="JI522" s="18"/>
      <c r="JJ522" s="18"/>
      <c r="JK522" s="18"/>
      <c r="JL522" s="18"/>
      <c r="JM522" s="18"/>
      <c r="JN522" s="18"/>
      <c r="JO522" s="18"/>
      <c r="JP522" s="18"/>
      <c r="JQ522" s="18"/>
      <c r="JR522" s="18"/>
      <c r="JS522" s="18"/>
      <c r="JT522" s="18"/>
      <c r="JU522" s="18"/>
      <c r="JV522" s="18"/>
      <c r="JW522" s="18"/>
      <c r="JX522" s="18"/>
      <c r="JY522" s="18"/>
      <c r="JZ522" s="18"/>
      <c r="KA522" s="18"/>
      <c r="KB522" s="18"/>
      <c r="KC522" s="18"/>
      <c r="KD522" s="18"/>
      <c r="KE522" s="18"/>
      <c r="KF522" s="18"/>
      <c r="KG522" s="18"/>
      <c r="KH522" s="18"/>
      <c r="KI522" s="18"/>
      <c r="KJ522" s="18"/>
      <c r="KK522" s="18"/>
      <c r="KL522" s="18"/>
      <c r="KM522" s="18"/>
      <c r="KN522" s="18"/>
      <c r="KO522" s="18"/>
      <c r="KP522" s="18"/>
    </row>
    <row r="523" spans="1:302">
      <c r="A523" s="14"/>
      <c r="B523" s="1062"/>
      <c r="C523" s="1062"/>
      <c r="D523" s="1063"/>
      <c r="E523" s="1063"/>
      <c r="F523" s="52"/>
      <c r="G523" s="23"/>
      <c r="H523" s="23"/>
      <c r="I523" s="23"/>
      <c r="J523" s="23"/>
      <c r="K523" s="14"/>
      <c r="L523" s="14"/>
      <c r="P523" s="14"/>
      <c r="AG523" s="44"/>
      <c r="AH523" s="44"/>
      <c r="AI523" s="45"/>
      <c r="AJ523" s="44"/>
      <c r="AK523" s="43"/>
      <c r="AT523" s="51"/>
      <c r="AU523" s="15"/>
      <c r="AV523" s="15"/>
      <c r="AW523" s="15"/>
      <c r="AX523" s="15"/>
      <c r="AY523" s="15"/>
      <c r="AZ523" s="15"/>
      <c r="BA523" s="51"/>
      <c r="BB523" s="15"/>
      <c r="BC523" s="15"/>
      <c r="BD523" s="15"/>
      <c r="BE523" s="15"/>
      <c r="BF523" s="15"/>
      <c r="BG523" s="51"/>
      <c r="BH523" s="15"/>
      <c r="BI523" s="15"/>
      <c r="BJ523" s="15"/>
      <c r="BK523" s="51"/>
      <c r="BL523" s="15"/>
      <c r="BM523" s="15"/>
      <c r="BN523" s="15"/>
      <c r="BO523" s="15"/>
      <c r="BP523" s="15"/>
      <c r="BQ523" s="18"/>
      <c r="BR523" s="18"/>
      <c r="BS523" s="18"/>
      <c r="BT523" s="18"/>
      <c r="BU523" s="18"/>
      <c r="BV523" s="18"/>
      <c r="BW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  <c r="FR523" s="18"/>
      <c r="FS523" s="18"/>
      <c r="FT523" s="18"/>
      <c r="FU523" s="18"/>
      <c r="FV523" s="18"/>
      <c r="FW523" s="18"/>
      <c r="FX523" s="18"/>
      <c r="FY523" s="18"/>
      <c r="FZ523" s="18"/>
      <c r="GA523" s="18"/>
      <c r="GB523" s="18"/>
      <c r="GC523" s="18"/>
      <c r="GD523" s="18"/>
      <c r="GE523" s="18"/>
      <c r="GF523" s="18"/>
      <c r="GG523" s="18"/>
      <c r="GH523" s="18"/>
      <c r="GI523" s="18"/>
      <c r="GJ523" s="18"/>
      <c r="GK523" s="18"/>
      <c r="GL523" s="18"/>
      <c r="GM523" s="18"/>
      <c r="GN523" s="18"/>
      <c r="GO523" s="18"/>
      <c r="GP523" s="18"/>
      <c r="GQ523" s="18"/>
      <c r="GR523" s="18"/>
      <c r="GS523" s="18"/>
      <c r="GT523" s="18"/>
      <c r="GU523" s="18"/>
      <c r="GV523" s="18"/>
      <c r="GW523" s="18"/>
      <c r="GX523" s="18"/>
      <c r="GY523" s="18"/>
      <c r="GZ523" s="18"/>
      <c r="HA523" s="18"/>
      <c r="HB523" s="18"/>
      <c r="HC523" s="18"/>
      <c r="HD523" s="18"/>
      <c r="HE523" s="18"/>
      <c r="HF523" s="18"/>
      <c r="HG523" s="13"/>
      <c r="HH523" s="13"/>
      <c r="HI523" s="13"/>
      <c r="HJ523" s="13"/>
      <c r="HK523" s="13"/>
      <c r="HL523" s="13"/>
      <c r="HM523" s="13"/>
      <c r="HN523" s="13"/>
      <c r="HO523" s="13"/>
      <c r="HP523" s="13"/>
      <c r="HQ523" s="13"/>
      <c r="HR523" s="13"/>
      <c r="HS523" s="13"/>
      <c r="HT523" s="13"/>
      <c r="HV523" s="18"/>
      <c r="HW523" s="18"/>
      <c r="HX523" s="18"/>
      <c r="HY523" s="18"/>
      <c r="HZ523" s="18"/>
      <c r="IA523" s="18"/>
      <c r="IB523" s="18"/>
      <c r="IC523" s="18"/>
      <c r="ID523" s="18"/>
      <c r="IE523" s="18"/>
      <c r="IF523" s="18"/>
      <c r="IG523" s="18"/>
      <c r="IH523" s="18"/>
      <c r="II523" s="18"/>
      <c r="IJ523" s="18"/>
      <c r="IK523" s="18"/>
      <c r="IL523" s="18"/>
      <c r="IM523" s="18"/>
      <c r="IN523" s="18"/>
      <c r="IO523" s="18"/>
      <c r="IP523" s="18"/>
      <c r="IQ523" s="18"/>
      <c r="IR523" s="18"/>
      <c r="IS523" s="18"/>
      <c r="IT523" s="18"/>
      <c r="IU523" s="18"/>
      <c r="IV523" s="18"/>
      <c r="IW523" s="18"/>
      <c r="IX523" s="18"/>
      <c r="IY523" s="18"/>
      <c r="IZ523" s="18"/>
      <c r="JA523" s="18"/>
      <c r="JB523" s="18"/>
      <c r="JC523" s="18"/>
      <c r="JD523" s="18"/>
      <c r="JE523" s="18"/>
      <c r="JF523" s="18"/>
      <c r="JG523" s="18"/>
      <c r="JH523" s="18"/>
      <c r="JI523" s="18"/>
      <c r="JJ523" s="18"/>
      <c r="JK523" s="18"/>
      <c r="JL523" s="18"/>
      <c r="JM523" s="18"/>
      <c r="JN523" s="18"/>
      <c r="JO523" s="18"/>
      <c r="JP523" s="18"/>
      <c r="JQ523" s="18"/>
      <c r="JR523" s="18"/>
      <c r="JS523" s="18"/>
      <c r="JT523" s="18"/>
      <c r="JU523" s="18"/>
      <c r="JV523" s="18"/>
      <c r="JW523" s="18"/>
      <c r="JX523" s="18"/>
      <c r="JY523" s="18"/>
      <c r="JZ523" s="18"/>
      <c r="KA523" s="18"/>
      <c r="KB523" s="18"/>
      <c r="KC523" s="18"/>
      <c r="KD523" s="18"/>
      <c r="KE523" s="18"/>
      <c r="KF523" s="18"/>
      <c r="KG523" s="18"/>
      <c r="KH523" s="18"/>
      <c r="KI523" s="18"/>
      <c r="KJ523" s="18"/>
      <c r="KK523" s="18"/>
      <c r="KL523" s="18"/>
      <c r="KM523" s="18"/>
      <c r="KN523" s="18"/>
      <c r="KO523" s="18"/>
      <c r="KP523" s="18"/>
    </row>
    <row r="524" spans="1:302">
      <c r="A524" s="14"/>
      <c r="B524" s="1062"/>
      <c r="C524" s="1062"/>
      <c r="D524" s="1063"/>
      <c r="E524" s="1063"/>
      <c r="F524" s="52"/>
      <c r="G524" s="23"/>
      <c r="H524" s="23"/>
      <c r="I524" s="23"/>
      <c r="J524" s="23"/>
      <c r="K524" s="14"/>
      <c r="L524" s="14"/>
      <c r="P524" s="14"/>
      <c r="AG524" s="44"/>
      <c r="AH524" s="44"/>
      <c r="AI524" s="45"/>
      <c r="AJ524" s="44"/>
      <c r="AK524" s="43"/>
      <c r="AT524" s="51"/>
      <c r="AU524" s="15"/>
      <c r="AV524" s="15"/>
      <c r="AW524" s="15"/>
      <c r="AX524" s="15"/>
      <c r="AY524" s="15"/>
      <c r="AZ524" s="15"/>
      <c r="BA524" s="51"/>
      <c r="BB524" s="15"/>
      <c r="BC524" s="15"/>
      <c r="BD524" s="15"/>
      <c r="BE524" s="15"/>
      <c r="BF524" s="15"/>
      <c r="BG524" s="51"/>
      <c r="BH524" s="15"/>
      <c r="BI524" s="15"/>
      <c r="BJ524" s="15"/>
      <c r="BK524" s="51"/>
      <c r="BL524" s="15"/>
      <c r="BM524" s="15"/>
      <c r="BN524" s="15"/>
      <c r="BO524" s="15"/>
      <c r="BP524" s="15"/>
      <c r="BQ524" s="18"/>
      <c r="BR524" s="18"/>
      <c r="BS524" s="18"/>
      <c r="BT524" s="18"/>
      <c r="BU524" s="18"/>
      <c r="BV524" s="18"/>
      <c r="BW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  <c r="EZ524" s="18"/>
      <c r="FA524" s="18"/>
      <c r="FB524" s="18"/>
      <c r="FC524" s="18"/>
      <c r="FD524" s="18"/>
      <c r="FE524" s="18"/>
      <c r="FF524" s="18"/>
      <c r="FG524" s="18"/>
      <c r="FH524" s="18"/>
      <c r="FI524" s="18"/>
      <c r="FJ524" s="18"/>
      <c r="FK524" s="18"/>
      <c r="FL524" s="18"/>
      <c r="FM524" s="18"/>
      <c r="FN524" s="18"/>
      <c r="FO524" s="18"/>
      <c r="FP524" s="18"/>
      <c r="FQ524" s="18"/>
      <c r="FR524" s="18"/>
      <c r="FS524" s="18"/>
      <c r="FT524" s="18"/>
      <c r="FU524" s="18"/>
      <c r="FV524" s="18"/>
      <c r="FW524" s="18"/>
      <c r="FX524" s="18"/>
      <c r="FY524" s="18"/>
      <c r="FZ524" s="18"/>
      <c r="GA524" s="18"/>
      <c r="GB524" s="18"/>
      <c r="GC524" s="18"/>
      <c r="GD524" s="18"/>
      <c r="GE524" s="18"/>
      <c r="GF524" s="18"/>
      <c r="GG524" s="18"/>
      <c r="GH524" s="18"/>
      <c r="GI524" s="18"/>
      <c r="GJ524" s="18"/>
      <c r="GK524" s="18"/>
      <c r="GL524" s="18"/>
      <c r="GM524" s="18"/>
      <c r="GN524" s="18"/>
      <c r="GO524" s="18"/>
      <c r="GP524" s="18"/>
      <c r="GQ524" s="18"/>
      <c r="GR524" s="18"/>
      <c r="GS524" s="18"/>
      <c r="GT524" s="18"/>
      <c r="GU524" s="18"/>
      <c r="GV524" s="18"/>
      <c r="GW524" s="18"/>
      <c r="GX524" s="18"/>
      <c r="GY524" s="18"/>
      <c r="GZ524" s="18"/>
      <c r="HA524" s="18"/>
      <c r="HB524" s="18"/>
      <c r="HC524" s="18"/>
      <c r="HD524" s="18"/>
      <c r="HE524" s="18"/>
      <c r="HF524" s="18"/>
      <c r="HG524" s="13"/>
      <c r="HH524" s="13"/>
      <c r="HI524" s="13"/>
      <c r="HJ524" s="13"/>
      <c r="HK524" s="13"/>
      <c r="HL524" s="13"/>
      <c r="HM524" s="13"/>
      <c r="HN524" s="13"/>
      <c r="HO524" s="13"/>
      <c r="HP524" s="13"/>
      <c r="HQ524" s="13"/>
      <c r="HR524" s="13"/>
      <c r="HS524" s="13"/>
      <c r="HT524" s="13"/>
      <c r="HV524" s="18"/>
      <c r="HW524" s="18"/>
      <c r="HX524" s="18"/>
      <c r="HY524" s="18"/>
      <c r="HZ524" s="18"/>
      <c r="IA524" s="18"/>
      <c r="IB524" s="18"/>
      <c r="IC524" s="18"/>
      <c r="ID524" s="18"/>
      <c r="IE524" s="18"/>
      <c r="IF524" s="18"/>
      <c r="IG524" s="18"/>
      <c r="IH524" s="18"/>
      <c r="II524" s="18"/>
      <c r="IJ524" s="18"/>
      <c r="IK524" s="18"/>
      <c r="IL524" s="18"/>
      <c r="IM524" s="18"/>
      <c r="IN524" s="18"/>
      <c r="IO524" s="18"/>
      <c r="IP524" s="18"/>
      <c r="IQ524" s="18"/>
      <c r="IR524" s="18"/>
      <c r="IS524" s="18"/>
      <c r="IT524" s="18"/>
      <c r="IU524" s="18"/>
      <c r="IV524" s="18"/>
      <c r="IW524" s="18"/>
      <c r="IX524" s="18"/>
      <c r="IY524" s="18"/>
      <c r="IZ524" s="18"/>
      <c r="JA524" s="18"/>
      <c r="JB524" s="18"/>
      <c r="JC524" s="18"/>
      <c r="JD524" s="18"/>
      <c r="JE524" s="18"/>
      <c r="JF524" s="18"/>
      <c r="JG524" s="18"/>
      <c r="JH524" s="18"/>
      <c r="JI524" s="18"/>
      <c r="JJ524" s="18"/>
      <c r="JK524" s="18"/>
      <c r="JL524" s="18"/>
      <c r="JM524" s="18"/>
      <c r="JN524" s="18"/>
      <c r="JO524" s="18"/>
      <c r="JP524" s="18"/>
      <c r="JQ524" s="18"/>
      <c r="JR524" s="18"/>
      <c r="JS524" s="18"/>
      <c r="JT524" s="18"/>
      <c r="JU524" s="18"/>
      <c r="JV524" s="18"/>
      <c r="JW524" s="18"/>
      <c r="JX524" s="18"/>
      <c r="JY524" s="18"/>
      <c r="JZ524" s="18"/>
      <c r="KA524" s="18"/>
      <c r="KB524" s="18"/>
      <c r="KC524" s="18"/>
      <c r="KD524" s="18"/>
      <c r="KE524" s="18"/>
      <c r="KF524" s="18"/>
      <c r="KG524" s="18"/>
      <c r="KH524" s="18"/>
      <c r="KI524" s="18"/>
      <c r="KJ524" s="18"/>
      <c r="KK524" s="18"/>
      <c r="KL524" s="18"/>
      <c r="KM524" s="18"/>
      <c r="KN524" s="18"/>
      <c r="KO524" s="18"/>
      <c r="KP524" s="18"/>
    </row>
    <row r="525" spans="1:302">
      <c r="A525" s="14"/>
      <c r="B525" s="1062"/>
      <c r="C525" s="1062"/>
      <c r="D525" s="1063"/>
      <c r="E525" s="1063"/>
      <c r="F525" s="52"/>
      <c r="G525" s="23"/>
      <c r="H525" s="23"/>
      <c r="I525" s="23"/>
      <c r="J525" s="23"/>
      <c r="K525" s="14"/>
      <c r="L525" s="14"/>
      <c r="P525" s="14"/>
      <c r="AG525" s="44"/>
      <c r="AH525" s="44"/>
      <c r="AI525" s="45"/>
      <c r="AJ525" s="44"/>
      <c r="AK525" s="43"/>
      <c r="AT525" s="51"/>
      <c r="AU525" s="15"/>
      <c r="AV525" s="15"/>
      <c r="AW525" s="15"/>
      <c r="AX525" s="15"/>
      <c r="AY525" s="15"/>
      <c r="AZ525" s="15"/>
      <c r="BA525" s="51"/>
      <c r="BB525" s="15"/>
      <c r="BC525" s="15"/>
      <c r="BD525" s="15"/>
      <c r="BE525" s="15"/>
      <c r="BF525" s="15"/>
      <c r="BG525" s="51"/>
      <c r="BH525" s="15"/>
      <c r="BI525" s="15"/>
      <c r="BJ525" s="15"/>
      <c r="BK525" s="51"/>
      <c r="BL525" s="15"/>
      <c r="BM525" s="15"/>
      <c r="BN525" s="15"/>
      <c r="BO525" s="15"/>
      <c r="BP525" s="15"/>
      <c r="BQ525" s="18"/>
      <c r="BR525" s="18"/>
      <c r="BS525" s="18"/>
      <c r="BT525" s="18"/>
      <c r="BU525" s="18"/>
      <c r="BV525" s="18"/>
      <c r="BW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  <c r="FC525" s="18"/>
      <c r="FD525" s="18"/>
      <c r="FE525" s="18"/>
      <c r="FF525" s="18"/>
      <c r="FG525" s="18"/>
      <c r="FH525" s="18"/>
      <c r="FI525" s="18"/>
      <c r="FJ525" s="18"/>
      <c r="FK525" s="18"/>
      <c r="FL525" s="18"/>
      <c r="FM525" s="18"/>
      <c r="FN525" s="18"/>
      <c r="FO525" s="18"/>
      <c r="FP525" s="18"/>
      <c r="FQ525" s="18"/>
      <c r="FR525" s="18"/>
      <c r="FS525" s="18"/>
      <c r="FT525" s="18"/>
      <c r="FU525" s="18"/>
      <c r="FV525" s="18"/>
      <c r="FW525" s="18"/>
      <c r="FX525" s="18"/>
      <c r="FY525" s="18"/>
      <c r="FZ525" s="18"/>
      <c r="GA525" s="18"/>
      <c r="GB525" s="18"/>
      <c r="GC525" s="18"/>
      <c r="GD525" s="18"/>
      <c r="GE525" s="18"/>
      <c r="GF525" s="18"/>
      <c r="GG525" s="18"/>
      <c r="GH525" s="18"/>
      <c r="GI525" s="18"/>
      <c r="GJ525" s="18"/>
      <c r="GK525" s="18"/>
      <c r="GL525" s="18"/>
      <c r="GM525" s="18"/>
      <c r="GN525" s="18"/>
      <c r="GO525" s="18"/>
      <c r="GP525" s="18"/>
      <c r="GQ525" s="18"/>
      <c r="GR525" s="18"/>
      <c r="GS525" s="18"/>
      <c r="GT525" s="18"/>
      <c r="GU525" s="18"/>
      <c r="GV525" s="18"/>
      <c r="GW525" s="18"/>
      <c r="GX525" s="18"/>
      <c r="GY525" s="18"/>
      <c r="GZ525" s="18"/>
      <c r="HA525" s="18"/>
      <c r="HB525" s="18"/>
      <c r="HC525" s="18"/>
      <c r="HD525" s="18"/>
      <c r="HE525" s="18"/>
      <c r="HF525" s="18"/>
      <c r="HG525" s="13"/>
      <c r="HH525" s="13"/>
      <c r="HI525" s="13"/>
      <c r="HJ525" s="13"/>
      <c r="HK525" s="13"/>
      <c r="HL525" s="13"/>
      <c r="HM525" s="13"/>
      <c r="HN525" s="13"/>
      <c r="HO525" s="13"/>
      <c r="HP525" s="13"/>
      <c r="HQ525" s="13"/>
      <c r="HR525" s="13"/>
      <c r="HS525" s="13"/>
      <c r="HT525" s="13"/>
      <c r="HV525" s="18"/>
      <c r="HW525" s="18"/>
      <c r="HX525" s="18"/>
      <c r="HY525" s="18"/>
      <c r="HZ525" s="18"/>
      <c r="IA525" s="18"/>
      <c r="IB525" s="18"/>
      <c r="IC525" s="18"/>
      <c r="ID525" s="18"/>
      <c r="IE525" s="18"/>
      <c r="IF525" s="18"/>
      <c r="IG525" s="18"/>
      <c r="IH525" s="18"/>
      <c r="II525" s="18"/>
      <c r="IJ525" s="18"/>
      <c r="IK525" s="18"/>
      <c r="IL525" s="18"/>
      <c r="IM525" s="18"/>
      <c r="IN525" s="18"/>
      <c r="IO525" s="18"/>
      <c r="IP525" s="18"/>
      <c r="IQ525" s="18"/>
      <c r="IR525" s="18"/>
      <c r="IS525" s="18"/>
      <c r="IT525" s="18"/>
      <c r="IU525" s="18"/>
      <c r="IV525" s="18"/>
      <c r="IW525" s="18"/>
      <c r="IX525" s="18"/>
      <c r="IY525" s="18"/>
      <c r="IZ525" s="18"/>
      <c r="JA525" s="18"/>
      <c r="JB525" s="18"/>
      <c r="JC525" s="18"/>
      <c r="JD525" s="18"/>
      <c r="JE525" s="18"/>
      <c r="JF525" s="18"/>
      <c r="JG525" s="18"/>
      <c r="JH525" s="18"/>
      <c r="JI525" s="18"/>
      <c r="JJ525" s="18"/>
      <c r="JK525" s="18"/>
      <c r="JL525" s="18"/>
      <c r="JM525" s="18"/>
      <c r="JN525" s="18"/>
      <c r="JO525" s="18"/>
      <c r="JP525" s="18"/>
      <c r="JQ525" s="18"/>
      <c r="JR525" s="18"/>
      <c r="JS525" s="18"/>
      <c r="JT525" s="18"/>
      <c r="JU525" s="18"/>
      <c r="JV525" s="18"/>
      <c r="JW525" s="18"/>
      <c r="JX525" s="18"/>
      <c r="JY525" s="18"/>
      <c r="JZ525" s="18"/>
      <c r="KA525" s="18"/>
      <c r="KB525" s="18"/>
      <c r="KC525" s="18"/>
      <c r="KD525" s="18"/>
      <c r="KE525" s="18"/>
      <c r="KF525" s="18"/>
      <c r="KG525" s="18"/>
      <c r="KH525" s="18"/>
      <c r="KI525" s="18"/>
      <c r="KJ525" s="18"/>
      <c r="KK525" s="18"/>
      <c r="KL525" s="18"/>
      <c r="KM525" s="18"/>
      <c r="KN525" s="18"/>
      <c r="KO525" s="18"/>
      <c r="KP525" s="18"/>
    </row>
    <row r="526" spans="1:302">
      <c r="A526" s="14"/>
      <c r="B526" s="1062"/>
      <c r="C526" s="1062"/>
      <c r="D526" s="1063"/>
      <c r="E526" s="1063"/>
      <c r="F526" s="52"/>
      <c r="G526" s="23"/>
      <c r="H526" s="23"/>
      <c r="I526" s="23"/>
      <c r="J526" s="23"/>
      <c r="K526" s="14"/>
      <c r="L526" s="14"/>
      <c r="P526" s="14"/>
      <c r="AG526" s="44"/>
      <c r="AH526" s="44"/>
      <c r="AI526" s="45"/>
      <c r="AJ526" s="44"/>
      <c r="AK526" s="43"/>
      <c r="AT526" s="51"/>
      <c r="AU526" s="15"/>
      <c r="AV526" s="15"/>
      <c r="AW526" s="15"/>
      <c r="AX526" s="15"/>
      <c r="AY526" s="15"/>
      <c r="AZ526" s="15"/>
      <c r="BA526" s="51"/>
      <c r="BB526" s="15"/>
      <c r="BC526" s="15"/>
      <c r="BD526" s="15"/>
      <c r="BE526" s="15"/>
      <c r="BF526" s="15"/>
      <c r="BG526" s="51"/>
      <c r="BH526" s="15"/>
      <c r="BI526" s="15"/>
      <c r="BJ526" s="15"/>
      <c r="BK526" s="51"/>
      <c r="BL526" s="15"/>
      <c r="BM526" s="15"/>
      <c r="BN526" s="15"/>
      <c r="BO526" s="15"/>
      <c r="BP526" s="15"/>
      <c r="BQ526" s="18"/>
      <c r="BR526" s="18"/>
      <c r="BS526" s="18"/>
      <c r="BT526" s="18"/>
      <c r="BU526" s="18"/>
      <c r="BV526" s="18"/>
      <c r="BW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  <c r="FC526" s="18"/>
      <c r="FD526" s="18"/>
      <c r="FE526" s="18"/>
      <c r="FF526" s="18"/>
      <c r="FG526" s="18"/>
      <c r="FH526" s="18"/>
      <c r="FI526" s="18"/>
      <c r="FJ526" s="18"/>
      <c r="FK526" s="18"/>
      <c r="FL526" s="18"/>
      <c r="FM526" s="18"/>
      <c r="FN526" s="18"/>
      <c r="FO526" s="18"/>
      <c r="FP526" s="18"/>
      <c r="FQ526" s="18"/>
      <c r="FR526" s="18"/>
      <c r="FS526" s="18"/>
      <c r="FT526" s="18"/>
      <c r="FU526" s="18"/>
      <c r="FV526" s="18"/>
      <c r="FW526" s="18"/>
      <c r="FX526" s="18"/>
      <c r="FY526" s="18"/>
      <c r="FZ526" s="18"/>
      <c r="GA526" s="18"/>
      <c r="GB526" s="18"/>
      <c r="GC526" s="18"/>
      <c r="GD526" s="18"/>
      <c r="GE526" s="18"/>
      <c r="GF526" s="18"/>
      <c r="GG526" s="18"/>
      <c r="GH526" s="18"/>
      <c r="GI526" s="18"/>
      <c r="GJ526" s="18"/>
      <c r="GK526" s="18"/>
      <c r="GL526" s="18"/>
      <c r="GM526" s="18"/>
      <c r="GN526" s="18"/>
      <c r="GO526" s="18"/>
      <c r="GP526" s="18"/>
      <c r="GQ526" s="18"/>
      <c r="GR526" s="18"/>
      <c r="GS526" s="18"/>
      <c r="GT526" s="18"/>
      <c r="GU526" s="18"/>
      <c r="GV526" s="18"/>
      <c r="GW526" s="18"/>
      <c r="GX526" s="18"/>
      <c r="GY526" s="18"/>
      <c r="GZ526" s="18"/>
      <c r="HA526" s="18"/>
      <c r="HB526" s="18"/>
      <c r="HC526" s="18"/>
      <c r="HD526" s="18"/>
      <c r="HE526" s="18"/>
      <c r="HF526" s="18"/>
      <c r="HG526" s="13"/>
      <c r="HH526" s="13"/>
      <c r="HI526" s="13"/>
      <c r="HJ526" s="13"/>
      <c r="HK526" s="13"/>
      <c r="HL526" s="13"/>
      <c r="HM526" s="13"/>
      <c r="HN526" s="13"/>
      <c r="HO526" s="13"/>
      <c r="HP526" s="13"/>
      <c r="HQ526" s="13"/>
      <c r="HR526" s="13"/>
      <c r="HS526" s="13"/>
      <c r="HT526" s="13"/>
      <c r="HV526" s="18"/>
      <c r="HW526" s="18"/>
      <c r="HX526" s="18"/>
      <c r="HY526" s="18"/>
      <c r="HZ526" s="18"/>
      <c r="IA526" s="18"/>
      <c r="IB526" s="18"/>
      <c r="IC526" s="18"/>
      <c r="ID526" s="18"/>
      <c r="IE526" s="18"/>
      <c r="IF526" s="18"/>
      <c r="IG526" s="18"/>
      <c r="IH526" s="18"/>
      <c r="II526" s="18"/>
      <c r="IJ526" s="18"/>
      <c r="IK526" s="18"/>
      <c r="IL526" s="18"/>
      <c r="IM526" s="18"/>
      <c r="IN526" s="18"/>
      <c r="IO526" s="18"/>
      <c r="IP526" s="18"/>
      <c r="IQ526" s="18"/>
      <c r="IR526" s="18"/>
      <c r="IS526" s="18"/>
      <c r="IT526" s="18"/>
      <c r="IU526" s="18"/>
      <c r="IV526" s="18"/>
      <c r="IW526" s="18"/>
      <c r="IX526" s="18"/>
      <c r="IY526" s="18"/>
      <c r="IZ526" s="18"/>
      <c r="JA526" s="18"/>
      <c r="JB526" s="18"/>
      <c r="JC526" s="18"/>
      <c r="JD526" s="18"/>
      <c r="JE526" s="18"/>
      <c r="JF526" s="18"/>
      <c r="JG526" s="18"/>
      <c r="JH526" s="18"/>
      <c r="JI526" s="18"/>
      <c r="JJ526" s="18"/>
      <c r="JK526" s="18"/>
      <c r="JL526" s="18"/>
      <c r="JM526" s="18"/>
      <c r="JN526" s="18"/>
      <c r="JO526" s="18"/>
      <c r="JP526" s="18"/>
      <c r="JQ526" s="18"/>
      <c r="JR526" s="18"/>
      <c r="JS526" s="18"/>
      <c r="JT526" s="18"/>
      <c r="JU526" s="18"/>
      <c r="JV526" s="18"/>
      <c r="JW526" s="18"/>
      <c r="JX526" s="18"/>
      <c r="JY526" s="18"/>
      <c r="JZ526" s="18"/>
      <c r="KA526" s="18"/>
      <c r="KB526" s="18"/>
      <c r="KC526" s="18"/>
      <c r="KD526" s="18"/>
      <c r="KE526" s="18"/>
      <c r="KF526" s="18"/>
      <c r="KG526" s="18"/>
      <c r="KH526" s="18"/>
      <c r="KI526" s="18"/>
      <c r="KJ526" s="18"/>
      <c r="KK526" s="18"/>
      <c r="KL526" s="18"/>
      <c r="KM526" s="18"/>
      <c r="KN526" s="18"/>
      <c r="KO526" s="18"/>
      <c r="KP526" s="18"/>
    </row>
    <row r="527" spans="1:302">
      <c r="A527" s="14"/>
      <c r="B527" s="1062"/>
      <c r="C527" s="1062"/>
      <c r="D527" s="1065"/>
      <c r="E527" s="1065"/>
      <c r="F527" s="14"/>
      <c r="G527" s="23"/>
      <c r="H527" s="23"/>
      <c r="I527" s="23"/>
      <c r="J527" s="23"/>
      <c r="K527" s="14"/>
      <c r="L527" s="14"/>
      <c r="P527" s="14"/>
      <c r="AG527" s="44"/>
      <c r="AH527" s="44"/>
      <c r="AI527" s="45"/>
      <c r="AJ527" s="44"/>
      <c r="AK527" s="43"/>
      <c r="AU527" s="18"/>
      <c r="AV527" s="18"/>
      <c r="AW527" s="18"/>
      <c r="AX527" s="18"/>
      <c r="AY527" s="18"/>
      <c r="AZ527" s="18"/>
      <c r="BB527" s="18"/>
      <c r="BC527" s="18"/>
      <c r="BD527" s="18"/>
      <c r="BE527" s="18"/>
      <c r="BF527" s="18"/>
      <c r="BH527" s="18"/>
      <c r="BI527" s="18"/>
      <c r="BJ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  <c r="FC527" s="18"/>
      <c r="FD527" s="18"/>
      <c r="FE527" s="18"/>
      <c r="FF527" s="18"/>
      <c r="FG527" s="18"/>
      <c r="FH527" s="18"/>
      <c r="FI527" s="18"/>
      <c r="FJ527" s="18"/>
      <c r="FK527" s="18"/>
      <c r="FL527" s="18"/>
      <c r="FM527" s="18"/>
      <c r="FN527" s="18"/>
      <c r="FO527" s="18"/>
      <c r="FP527" s="18"/>
      <c r="FQ527" s="18"/>
      <c r="FR527" s="18"/>
      <c r="FS527" s="18"/>
      <c r="FT527" s="18"/>
      <c r="FU527" s="18"/>
      <c r="FV527" s="18"/>
      <c r="FW527" s="18"/>
      <c r="FX527" s="18"/>
      <c r="FY527" s="18"/>
      <c r="FZ527" s="18"/>
      <c r="GA527" s="18"/>
      <c r="GB527" s="18"/>
      <c r="GC527" s="18"/>
      <c r="GD527" s="18"/>
      <c r="GE527" s="18"/>
      <c r="GF527" s="18"/>
      <c r="GG527" s="18"/>
      <c r="GH527" s="18"/>
      <c r="GI527" s="18"/>
      <c r="GJ527" s="18"/>
      <c r="GK527" s="18"/>
      <c r="GL527" s="18"/>
      <c r="GM527" s="18"/>
      <c r="GN527" s="18"/>
      <c r="GO527" s="18"/>
      <c r="GP527" s="18"/>
      <c r="GQ527" s="18"/>
      <c r="GR527" s="18"/>
      <c r="GS527" s="18"/>
      <c r="GT527" s="18"/>
      <c r="GU527" s="18"/>
      <c r="GV527" s="18"/>
      <c r="GW527" s="18"/>
      <c r="GX527" s="18"/>
      <c r="GY527" s="18"/>
      <c r="GZ527" s="18"/>
      <c r="HA527" s="18"/>
      <c r="HB527" s="18"/>
      <c r="HC527" s="18"/>
      <c r="HD527" s="18"/>
      <c r="HE527" s="18"/>
      <c r="HF527" s="18"/>
      <c r="HG527" s="13"/>
      <c r="HH527" s="13"/>
      <c r="HI527" s="13"/>
      <c r="HJ527" s="13"/>
      <c r="HK527" s="13"/>
      <c r="HL527" s="13"/>
      <c r="HM527" s="13"/>
      <c r="HN527" s="13"/>
      <c r="HO527" s="13"/>
      <c r="HP527" s="13"/>
      <c r="HQ527" s="13"/>
      <c r="HR527" s="13"/>
      <c r="HS527" s="13"/>
      <c r="HT527" s="13"/>
      <c r="HV527" s="18"/>
      <c r="HW527" s="18"/>
      <c r="HX527" s="18"/>
      <c r="HY527" s="18"/>
      <c r="HZ527" s="18"/>
      <c r="IA527" s="18"/>
      <c r="IB527" s="18"/>
      <c r="IC527" s="18"/>
      <c r="ID527" s="18"/>
      <c r="IE527" s="18"/>
      <c r="IF527" s="18"/>
      <c r="IG527" s="18"/>
      <c r="IH527" s="18"/>
      <c r="II527" s="18"/>
      <c r="IJ527" s="18"/>
      <c r="IK527" s="18"/>
      <c r="IL527" s="18"/>
      <c r="IM527" s="18"/>
      <c r="IN527" s="18"/>
      <c r="IO527" s="18"/>
      <c r="IP527" s="18"/>
      <c r="IQ527" s="18"/>
      <c r="IR527" s="18"/>
      <c r="IS527" s="18"/>
      <c r="IT527" s="18"/>
      <c r="IU527" s="18"/>
      <c r="IV527" s="18"/>
      <c r="IW527" s="18"/>
      <c r="IX527" s="18"/>
      <c r="IY527" s="18"/>
      <c r="IZ527" s="18"/>
      <c r="JA527" s="18"/>
      <c r="JB527" s="18"/>
      <c r="JC527" s="18"/>
      <c r="JD527" s="18"/>
      <c r="JE527" s="18"/>
      <c r="JF527" s="18"/>
      <c r="JG527" s="18"/>
      <c r="JH527" s="18"/>
      <c r="JI527" s="18"/>
      <c r="JJ527" s="18"/>
      <c r="JK527" s="18"/>
      <c r="JL527" s="18"/>
      <c r="JM527" s="18"/>
      <c r="JN527" s="18"/>
      <c r="JO527" s="18"/>
      <c r="JP527" s="18"/>
      <c r="JQ527" s="18"/>
      <c r="JR527" s="18"/>
      <c r="JS527" s="18"/>
      <c r="JT527" s="18"/>
      <c r="JU527" s="18"/>
      <c r="JV527" s="18"/>
      <c r="JW527" s="18"/>
      <c r="JX527" s="18"/>
      <c r="JY527" s="18"/>
      <c r="JZ527" s="18"/>
      <c r="KA527" s="18"/>
      <c r="KB527" s="18"/>
      <c r="KC527" s="18"/>
      <c r="KD527" s="18"/>
      <c r="KE527" s="18"/>
      <c r="KF527" s="18"/>
      <c r="KG527" s="18"/>
      <c r="KH527" s="18"/>
      <c r="KI527" s="18"/>
      <c r="KJ527" s="18"/>
      <c r="KK527" s="18"/>
      <c r="KL527" s="18"/>
      <c r="KM527" s="18"/>
      <c r="KN527" s="18"/>
      <c r="KO527" s="18"/>
      <c r="KP527" s="18"/>
    </row>
    <row r="528" spans="1:302">
      <c r="A528" s="14"/>
      <c r="B528" s="1062"/>
      <c r="C528" s="1062"/>
      <c r="F528" s="14"/>
      <c r="G528" s="23"/>
      <c r="H528" s="23"/>
      <c r="I528" s="23"/>
      <c r="J528" s="23"/>
      <c r="K528" s="14"/>
      <c r="L528" s="14"/>
      <c r="P528" s="14"/>
      <c r="AG528" s="44"/>
      <c r="AH528" s="44"/>
      <c r="AI528" s="45"/>
      <c r="AJ528" s="44"/>
      <c r="AK528" s="43"/>
      <c r="AU528" s="18"/>
      <c r="AV528" s="18"/>
      <c r="AW528" s="18"/>
      <c r="AX528" s="18"/>
      <c r="AY528" s="18"/>
      <c r="AZ528" s="18"/>
      <c r="BB528" s="18"/>
      <c r="BC528" s="18"/>
      <c r="BD528" s="18"/>
      <c r="BE528" s="18"/>
      <c r="BF528" s="18"/>
      <c r="BH528" s="18"/>
      <c r="BI528" s="18"/>
      <c r="BJ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  <c r="FR528" s="18"/>
      <c r="FS528" s="18"/>
      <c r="FT528" s="18"/>
      <c r="FU528" s="18"/>
      <c r="FV528" s="18"/>
      <c r="FW528" s="18"/>
      <c r="FX528" s="18"/>
      <c r="FY528" s="18"/>
      <c r="FZ528" s="18"/>
      <c r="GA528" s="18"/>
      <c r="GB528" s="18"/>
      <c r="GC528" s="18"/>
      <c r="GD528" s="18"/>
      <c r="GE528" s="18"/>
      <c r="GF528" s="18"/>
      <c r="GG528" s="18"/>
      <c r="GH528" s="18"/>
      <c r="GI528" s="18"/>
      <c r="GJ528" s="18"/>
      <c r="GK528" s="18"/>
      <c r="GL528" s="18"/>
      <c r="GM528" s="18"/>
      <c r="GN528" s="18"/>
      <c r="GO528" s="18"/>
      <c r="GP528" s="18"/>
      <c r="GQ528" s="18"/>
      <c r="GR528" s="18"/>
      <c r="GS528" s="18"/>
      <c r="GT528" s="18"/>
      <c r="GU528" s="18"/>
      <c r="GV528" s="18"/>
      <c r="GW528" s="18"/>
      <c r="GX528" s="18"/>
      <c r="GY528" s="18"/>
      <c r="GZ528" s="18"/>
      <c r="HA528" s="18"/>
      <c r="HB528" s="18"/>
      <c r="HC528" s="18"/>
      <c r="HD528" s="18"/>
      <c r="HE528" s="18"/>
      <c r="HF528" s="18"/>
      <c r="HG528" s="13"/>
      <c r="HH528" s="13"/>
      <c r="HI528" s="13"/>
      <c r="HJ528" s="13"/>
      <c r="HK528" s="13"/>
      <c r="HL528" s="13"/>
      <c r="HM528" s="13"/>
      <c r="HN528" s="13"/>
      <c r="HO528" s="13"/>
      <c r="HP528" s="13"/>
      <c r="HQ528" s="13"/>
      <c r="HR528" s="13"/>
      <c r="HS528" s="13"/>
      <c r="HT528" s="13"/>
      <c r="HV528" s="18"/>
      <c r="HW528" s="18"/>
      <c r="HX528" s="18"/>
      <c r="HY528" s="18"/>
      <c r="HZ528" s="18"/>
      <c r="IA528" s="18"/>
      <c r="IB528" s="18"/>
      <c r="IC528" s="18"/>
      <c r="ID528" s="18"/>
      <c r="IE528" s="18"/>
      <c r="IF528" s="18"/>
      <c r="IG528" s="18"/>
      <c r="IH528" s="18"/>
      <c r="II528" s="18"/>
      <c r="IJ528" s="18"/>
      <c r="IK528" s="18"/>
      <c r="IL528" s="18"/>
      <c r="IM528" s="18"/>
      <c r="IN528" s="18"/>
      <c r="IO528" s="18"/>
      <c r="IP528" s="18"/>
      <c r="IQ528" s="18"/>
      <c r="IR528" s="18"/>
      <c r="IS528" s="18"/>
      <c r="IT528" s="18"/>
      <c r="IU528" s="18"/>
      <c r="IV528" s="18"/>
      <c r="IW528" s="18"/>
      <c r="IX528" s="18"/>
      <c r="IY528" s="18"/>
      <c r="IZ528" s="18"/>
      <c r="JA528" s="18"/>
      <c r="JB528" s="18"/>
      <c r="JC528" s="18"/>
      <c r="JD528" s="18"/>
      <c r="JE528" s="18"/>
      <c r="JF528" s="18"/>
      <c r="JG528" s="18"/>
      <c r="JH528" s="18"/>
      <c r="JI528" s="18"/>
      <c r="JJ528" s="18"/>
      <c r="JK528" s="18"/>
      <c r="JL528" s="18"/>
      <c r="JM528" s="18"/>
      <c r="JN528" s="18"/>
      <c r="JO528" s="18"/>
      <c r="JP528" s="18"/>
      <c r="JQ528" s="18"/>
      <c r="JR528" s="18"/>
      <c r="JS528" s="18"/>
      <c r="JT528" s="18"/>
      <c r="JU528" s="18"/>
      <c r="JV528" s="18"/>
      <c r="JW528" s="18"/>
      <c r="JX528" s="18"/>
      <c r="JY528" s="18"/>
      <c r="JZ528" s="18"/>
      <c r="KA528" s="18"/>
      <c r="KB528" s="18"/>
      <c r="KC528" s="18"/>
      <c r="KD528" s="18"/>
      <c r="KE528" s="18"/>
      <c r="KF528" s="18"/>
      <c r="KG528" s="18"/>
      <c r="KH528" s="18"/>
      <c r="KI528" s="18"/>
      <c r="KJ528" s="18"/>
      <c r="KK528" s="18"/>
      <c r="KL528" s="18"/>
      <c r="KM528" s="18"/>
      <c r="KN528" s="18"/>
      <c r="KO528" s="18"/>
      <c r="KP528" s="18"/>
    </row>
    <row r="529" spans="1:302">
      <c r="A529" s="14"/>
      <c r="B529" s="1062"/>
      <c r="C529" s="1062"/>
      <c r="F529" s="14"/>
      <c r="G529" s="23"/>
      <c r="H529" s="23"/>
      <c r="I529" s="23"/>
      <c r="J529" s="23"/>
      <c r="K529" s="14"/>
      <c r="L529" s="14"/>
      <c r="P529" s="14"/>
      <c r="AG529" s="44"/>
      <c r="AH529" s="44"/>
      <c r="AI529" s="45"/>
      <c r="AJ529" s="44"/>
      <c r="AK529" s="43"/>
      <c r="AU529" s="18"/>
      <c r="AV529" s="18"/>
      <c r="AW529" s="18"/>
      <c r="AX529" s="18"/>
      <c r="AY529" s="18"/>
      <c r="AZ529" s="18"/>
      <c r="BB529" s="18"/>
      <c r="BC529" s="18"/>
      <c r="BD529" s="18"/>
      <c r="BE529" s="18"/>
      <c r="BF529" s="18"/>
      <c r="BH529" s="18"/>
      <c r="BI529" s="18"/>
      <c r="BJ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  <c r="FC529" s="18"/>
      <c r="FD529" s="18"/>
      <c r="FE529" s="18"/>
      <c r="FF529" s="18"/>
      <c r="FG529" s="18"/>
      <c r="FH529" s="18"/>
      <c r="FI529" s="18"/>
      <c r="FJ529" s="18"/>
      <c r="FK529" s="18"/>
      <c r="FL529" s="18"/>
      <c r="FM529" s="18"/>
      <c r="FN529" s="18"/>
      <c r="FO529" s="18"/>
      <c r="FP529" s="18"/>
      <c r="FQ529" s="18"/>
      <c r="FR529" s="18"/>
      <c r="FS529" s="18"/>
      <c r="FT529" s="18"/>
      <c r="FU529" s="18"/>
      <c r="FV529" s="18"/>
      <c r="FW529" s="18"/>
      <c r="FX529" s="18"/>
      <c r="FY529" s="18"/>
      <c r="FZ529" s="18"/>
      <c r="GA529" s="18"/>
      <c r="GB529" s="18"/>
      <c r="GC529" s="18"/>
      <c r="GD529" s="18"/>
      <c r="GE529" s="18"/>
      <c r="GF529" s="18"/>
      <c r="GG529" s="18"/>
      <c r="GH529" s="18"/>
      <c r="GI529" s="18"/>
      <c r="GJ529" s="18"/>
      <c r="GK529" s="18"/>
      <c r="GL529" s="18"/>
      <c r="GM529" s="18"/>
      <c r="GN529" s="18"/>
      <c r="GO529" s="18"/>
      <c r="GP529" s="18"/>
      <c r="GQ529" s="18"/>
      <c r="GR529" s="18"/>
      <c r="GS529" s="18"/>
      <c r="GT529" s="18"/>
      <c r="GU529" s="18"/>
      <c r="GV529" s="18"/>
      <c r="GW529" s="18"/>
      <c r="GX529" s="18"/>
      <c r="GY529" s="18"/>
      <c r="GZ529" s="18"/>
      <c r="HA529" s="18"/>
      <c r="HB529" s="18"/>
      <c r="HC529" s="18"/>
      <c r="HD529" s="18"/>
      <c r="HE529" s="18"/>
      <c r="HF529" s="18"/>
      <c r="HG529" s="13"/>
      <c r="HH529" s="13"/>
      <c r="HI529" s="13"/>
      <c r="HJ529" s="13"/>
      <c r="HK529" s="13"/>
      <c r="HL529" s="13"/>
      <c r="HM529" s="13"/>
      <c r="HN529" s="13"/>
      <c r="HO529" s="13"/>
      <c r="HP529" s="13"/>
      <c r="HQ529" s="13"/>
      <c r="HR529" s="13"/>
      <c r="HS529" s="13"/>
      <c r="HT529" s="13"/>
      <c r="HV529" s="18"/>
      <c r="HW529" s="18"/>
      <c r="HX529" s="18"/>
      <c r="HY529" s="18"/>
      <c r="HZ529" s="18"/>
      <c r="IA529" s="18"/>
      <c r="IB529" s="18"/>
      <c r="IC529" s="18"/>
      <c r="ID529" s="18"/>
      <c r="IE529" s="18"/>
      <c r="IF529" s="18"/>
      <c r="IG529" s="18"/>
      <c r="IH529" s="18"/>
      <c r="II529" s="18"/>
      <c r="IJ529" s="18"/>
      <c r="IK529" s="18"/>
      <c r="IL529" s="18"/>
      <c r="IM529" s="18"/>
      <c r="IN529" s="18"/>
      <c r="IO529" s="18"/>
      <c r="IP529" s="18"/>
      <c r="IQ529" s="18"/>
      <c r="IR529" s="18"/>
      <c r="IS529" s="18"/>
      <c r="IT529" s="18"/>
      <c r="IU529" s="18"/>
      <c r="IV529" s="18"/>
      <c r="IW529" s="18"/>
      <c r="IX529" s="18"/>
      <c r="IY529" s="18"/>
      <c r="IZ529" s="18"/>
      <c r="JA529" s="18"/>
      <c r="JB529" s="18"/>
      <c r="JC529" s="18"/>
      <c r="JD529" s="18"/>
      <c r="JE529" s="18"/>
      <c r="JF529" s="18"/>
      <c r="JG529" s="18"/>
      <c r="JH529" s="18"/>
      <c r="JI529" s="18"/>
      <c r="JJ529" s="18"/>
      <c r="JK529" s="18"/>
      <c r="JL529" s="18"/>
      <c r="JM529" s="18"/>
      <c r="JN529" s="18"/>
      <c r="JO529" s="18"/>
      <c r="JP529" s="18"/>
      <c r="JQ529" s="18"/>
      <c r="JR529" s="18"/>
      <c r="JS529" s="18"/>
      <c r="JT529" s="18"/>
      <c r="JU529" s="18"/>
      <c r="JV529" s="18"/>
      <c r="JW529" s="18"/>
      <c r="JX529" s="18"/>
      <c r="JY529" s="18"/>
      <c r="JZ529" s="18"/>
      <c r="KA529" s="18"/>
      <c r="KB529" s="18"/>
      <c r="KC529" s="18"/>
      <c r="KD529" s="18"/>
      <c r="KE529" s="18"/>
      <c r="KF529" s="18"/>
      <c r="KG529" s="18"/>
      <c r="KH529" s="18"/>
      <c r="KI529" s="18"/>
      <c r="KJ529" s="18"/>
      <c r="KK529" s="18"/>
      <c r="KL529" s="18"/>
      <c r="KM529" s="18"/>
      <c r="KN529" s="18"/>
      <c r="KO529" s="18"/>
      <c r="KP529" s="18"/>
    </row>
    <row r="530" spans="1:302">
      <c r="A530" s="14"/>
      <c r="B530" s="1062"/>
      <c r="C530" s="1062"/>
      <c r="F530" s="14"/>
      <c r="G530" s="23"/>
      <c r="H530" s="23"/>
      <c r="I530" s="23"/>
      <c r="J530" s="23"/>
      <c r="K530" s="14"/>
      <c r="L530" s="14"/>
      <c r="P530" s="14"/>
      <c r="AG530" s="44"/>
      <c r="AH530" s="44"/>
      <c r="AI530" s="45"/>
      <c r="AJ530" s="44"/>
      <c r="AK530" s="43"/>
      <c r="AU530" s="18"/>
      <c r="AV530" s="18"/>
      <c r="AW530" s="18"/>
      <c r="AX530" s="18"/>
      <c r="AY530" s="18"/>
      <c r="AZ530" s="18"/>
      <c r="BB530" s="18"/>
      <c r="BC530" s="18"/>
      <c r="BD530" s="18"/>
      <c r="BE530" s="18"/>
      <c r="BF530" s="18"/>
      <c r="BH530" s="18"/>
      <c r="BI530" s="18"/>
      <c r="BJ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  <c r="FC530" s="18"/>
      <c r="FD530" s="18"/>
      <c r="FE530" s="18"/>
      <c r="FF530" s="18"/>
      <c r="FG530" s="18"/>
      <c r="FH530" s="18"/>
      <c r="FI530" s="18"/>
      <c r="FJ530" s="18"/>
      <c r="FK530" s="18"/>
      <c r="FL530" s="18"/>
      <c r="FM530" s="18"/>
      <c r="FN530" s="18"/>
      <c r="FO530" s="18"/>
      <c r="FP530" s="18"/>
      <c r="FQ530" s="18"/>
      <c r="FR530" s="18"/>
      <c r="FS530" s="18"/>
      <c r="FT530" s="18"/>
      <c r="FU530" s="18"/>
      <c r="FV530" s="18"/>
      <c r="FW530" s="18"/>
      <c r="FX530" s="18"/>
      <c r="FY530" s="18"/>
      <c r="FZ530" s="18"/>
      <c r="GA530" s="18"/>
      <c r="GB530" s="18"/>
      <c r="GC530" s="18"/>
      <c r="GD530" s="18"/>
      <c r="GE530" s="18"/>
      <c r="GF530" s="18"/>
      <c r="GG530" s="18"/>
      <c r="GH530" s="18"/>
      <c r="GI530" s="18"/>
      <c r="GJ530" s="18"/>
      <c r="GK530" s="18"/>
      <c r="GL530" s="18"/>
      <c r="GM530" s="18"/>
      <c r="GN530" s="18"/>
      <c r="GO530" s="18"/>
      <c r="GP530" s="18"/>
      <c r="GQ530" s="18"/>
      <c r="GR530" s="18"/>
      <c r="GS530" s="18"/>
      <c r="GT530" s="18"/>
      <c r="GU530" s="18"/>
      <c r="GV530" s="18"/>
      <c r="GW530" s="18"/>
      <c r="GX530" s="18"/>
      <c r="GY530" s="18"/>
      <c r="GZ530" s="18"/>
      <c r="HA530" s="18"/>
      <c r="HB530" s="18"/>
      <c r="HC530" s="18"/>
      <c r="HD530" s="18"/>
      <c r="HE530" s="18"/>
      <c r="HF530" s="18"/>
      <c r="HG530" s="13"/>
      <c r="HH530" s="13"/>
      <c r="HI530" s="13"/>
      <c r="HJ530" s="13"/>
      <c r="HK530" s="13"/>
      <c r="HL530" s="13"/>
      <c r="HM530" s="13"/>
      <c r="HN530" s="13"/>
      <c r="HO530" s="13"/>
      <c r="HP530" s="13"/>
      <c r="HQ530" s="13"/>
      <c r="HR530" s="13"/>
      <c r="HS530" s="13"/>
      <c r="HT530" s="13"/>
      <c r="HV530" s="18"/>
      <c r="HW530" s="18"/>
      <c r="HX530" s="18"/>
      <c r="HY530" s="18"/>
      <c r="HZ530" s="18"/>
      <c r="IA530" s="18"/>
      <c r="IB530" s="18"/>
      <c r="IC530" s="18"/>
      <c r="ID530" s="18"/>
      <c r="IE530" s="18"/>
      <c r="IF530" s="18"/>
      <c r="IG530" s="18"/>
      <c r="IH530" s="18"/>
      <c r="II530" s="18"/>
      <c r="IJ530" s="18"/>
      <c r="IK530" s="18"/>
      <c r="IL530" s="18"/>
      <c r="IM530" s="18"/>
      <c r="IN530" s="18"/>
      <c r="IO530" s="18"/>
      <c r="IP530" s="18"/>
      <c r="IQ530" s="18"/>
      <c r="IR530" s="18"/>
      <c r="IS530" s="18"/>
      <c r="IT530" s="18"/>
      <c r="IU530" s="18"/>
      <c r="IV530" s="18"/>
      <c r="IW530" s="18"/>
      <c r="IX530" s="18"/>
      <c r="IY530" s="18"/>
      <c r="IZ530" s="18"/>
      <c r="JA530" s="18"/>
      <c r="JB530" s="18"/>
      <c r="JC530" s="18"/>
      <c r="JD530" s="18"/>
      <c r="JE530" s="18"/>
      <c r="JF530" s="18"/>
      <c r="JG530" s="18"/>
      <c r="JH530" s="18"/>
      <c r="JI530" s="18"/>
      <c r="JJ530" s="18"/>
      <c r="JK530" s="18"/>
      <c r="JL530" s="18"/>
      <c r="JM530" s="18"/>
      <c r="JN530" s="18"/>
      <c r="JO530" s="18"/>
      <c r="JP530" s="18"/>
      <c r="JQ530" s="18"/>
      <c r="JR530" s="18"/>
      <c r="JS530" s="18"/>
      <c r="JT530" s="18"/>
      <c r="JU530" s="18"/>
      <c r="JV530" s="18"/>
      <c r="JW530" s="18"/>
      <c r="JX530" s="18"/>
      <c r="JY530" s="18"/>
      <c r="JZ530" s="18"/>
      <c r="KA530" s="18"/>
      <c r="KB530" s="18"/>
      <c r="KC530" s="18"/>
      <c r="KD530" s="18"/>
      <c r="KE530" s="18"/>
      <c r="KF530" s="18"/>
      <c r="KG530" s="18"/>
      <c r="KH530" s="18"/>
      <c r="KI530" s="18"/>
      <c r="KJ530" s="18"/>
      <c r="KK530" s="18"/>
      <c r="KL530" s="18"/>
      <c r="KM530" s="18"/>
      <c r="KN530" s="18"/>
      <c r="KO530" s="18"/>
      <c r="KP530" s="18"/>
    </row>
    <row r="531" spans="1:302" ht="15" customHeight="1">
      <c r="A531" s="23"/>
      <c r="B531" s="1062"/>
      <c r="C531" s="1062"/>
      <c r="D531" s="23"/>
      <c r="E531" s="23"/>
      <c r="F531" s="23"/>
      <c r="G531" s="23"/>
      <c r="H531" s="23"/>
      <c r="I531" s="23"/>
      <c r="J531" s="23"/>
      <c r="K531" s="23"/>
      <c r="L531" s="23"/>
      <c r="M531" s="67"/>
      <c r="N531" s="67"/>
      <c r="O531" s="67"/>
      <c r="P531" s="23"/>
      <c r="Q531" s="23"/>
      <c r="R531" s="23"/>
      <c r="S531" s="23"/>
      <c r="T531" s="23"/>
      <c r="U531" s="23"/>
      <c r="V531" s="23"/>
      <c r="W531" s="23"/>
      <c r="X531" s="23"/>
      <c r="Y531" s="71"/>
      <c r="Z531" s="71"/>
      <c r="AA531" s="23"/>
      <c r="AB531" s="9"/>
      <c r="AC531" s="9"/>
      <c r="AD531" s="23"/>
      <c r="AE531" s="23"/>
      <c r="AF531" s="23"/>
      <c r="AG531" s="44"/>
      <c r="AH531" s="44"/>
      <c r="AI531" s="45"/>
      <c r="AJ531" s="44"/>
      <c r="AK531" s="43"/>
      <c r="AL531" s="23"/>
      <c r="AU531" s="18"/>
      <c r="AV531" s="18"/>
      <c r="AW531" s="18"/>
      <c r="AX531" s="18"/>
      <c r="AY531" s="18"/>
      <c r="AZ531" s="18"/>
      <c r="BB531" s="18"/>
      <c r="BC531" s="18"/>
      <c r="BD531" s="18"/>
      <c r="BE531" s="18"/>
      <c r="BF531" s="18"/>
      <c r="BH531" s="18"/>
      <c r="BI531" s="18"/>
      <c r="BJ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  <c r="FC531" s="18"/>
      <c r="FD531" s="18"/>
      <c r="FE531" s="18"/>
      <c r="FF531" s="18"/>
      <c r="FG531" s="18"/>
      <c r="FH531" s="18"/>
      <c r="FI531" s="18"/>
      <c r="FJ531" s="18"/>
      <c r="FK531" s="18"/>
      <c r="FL531" s="18"/>
      <c r="FM531" s="18"/>
      <c r="FN531" s="18"/>
      <c r="FO531" s="18"/>
      <c r="FP531" s="18"/>
      <c r="FQ531" s="18"/>
      <c r="FR531" s="18"/>
      <c r="FS531" s="18"/>
      <c r="FT531" s="18"/>
      <c r="FU531" s="18"/>
      <c r="FV531" s="18"/>
      <c r="FW531" s="18"/>
      <c r="FX531" s="18"/>
      <c r="FY531" s="18"/>
      <c r="FZ531" s="18"/>
      <c r="GA531" s="18"/>
      <c r="GB531" s="18"/>
      <c r="GC531" s="18"/>
      <c r="GD531" s="18"/>
      <c r="GE531" s="18"/>
      <c r="GF531" s="18"/>
      <c r="GG531" s="18"/>
      <c r="GH531" s="18"/>
      <c r="GI531" s="18"/>
      <c r="GJ531" s="18"/>
      <c r="GK531" s="18"/>
      <c r="GL531" s="18"/>
      <c r="GM531" s="18"/>
      <c r="GN531" s="18"/>
      <c r="GO531" s="18"/>
      <c r="GP531" s="18"/>
      <c r="GQ531" s="18"/>
      <c r="GR531" s="18"/>
      <c r="GS531" s="18"/>
      <c r="GT531" s="18"/>
      <c r="GU531" s="18"/>
      <c r="GV531" s="18"/>
      <c r="GW531" s="18"/>
      <c r="GX531" s="18"/>
      <c r="GY531" s="18"/>
      <c r="GZ531" s="18"/>
      <c r="HA531" s="18"/>
      <c r="HB531" s="18"/>
      <c r="HC531" s="18"/>
      <c r="HD531" s="18"/>
      <c r="HE531" s="18"/>
      <c r="HF531" s="18"/>
      <c r="HG531" s="13"/>
      <c r="HH531" s="13"/>
      <c r="HI531" s="13"/>
      <c r="HJ531" s="13"/>
      <c r="HK531" s="13"/>
      <c r="HL531" s="13"/>
      <c r="HM531" s="13"/>
      <c r="HN531" s="13"/>
      <c r="HO531" s="13"/>
      <c r="HP531" s="13"/>
      <c r="HQ531" s="13"/>
      <c r="HR531" s="13"/>
      <c r="HS531" s="13"/>
      <c r="HT531" s="13"/>
      <c r="HV531" s="18"/>
      <c r="HW531" s="18"/>
      <c r="HX531" s="18"/>
      <c r="HY531" s="18"/>
      <c r="HZ531" s="18"/>
      <c r="IA531" s="18"/>
      <c r="IB531" s="18"/>
      <c r="IC531" s="18"/>
      <c r="ID531" s="18"/>
      <c r="IE531" s="18"/>
      <c r="IF531" s="18"/>
      <c r="IG531" s="18"/>
      <c r="IH531" s="18"/>
      <c r="II531" s="18"/>
      <c r="IJ531" s="18"/>
      <c r="IK531" s="18"/>
      <c r="IL531" s="18"/>
      <c r="IM531" s="18"/>
      <c r="IN531" s="18"/>
      <c r="IO531" s="18"/>
      <c r="IP531" s="18"/>
      <c r="IQ531" s="18"/>
      <c r="IR531" s="18"/>
      <c r="IS531" s="18"/>
      <c r="IT531" s="18"/>
      <c r="IU531" s="18"/>
      <c r="IV531" s="18"/>
      <c r="IW531" s="18"/>
      <c r="IX531" s="18"/>
      <c r="IY531" s="18"/>
      <c r="IZ531" s="18"/>
      <c r="JA531" s="18"/>
      <c r="JB531" s="18"/>
      <c r="JC531" s="18"/>
      <c r="JD531" s="18"/>
      <c r="JE531" s="18"/>
      <c r="JF531" s="18"/>
      <c r="JG531" s="18"/>
      <c r="JH531" s="18"/>
      <c r="JI531" s="18"/>
      <c r="JJ531" s="18"/>
      <c r="JK531" s="18"/>
      <c r="JL531" s="18"/>
      <c r="JM531" s="18"/>
      <c r="JN531" s="18"/>
      <c r="JO531" s="18"/>
      <c r="JP531" s="18"/>
      <c r="JQ531" s="18"/>
      <c r="JR531" s="18"/>
      <c r="JS531" s="18"/>
      <c r="JT531" s="18"/>
      <c r="JU531" s="18"/>
      <c r="JV531" s="18"/>
      <c r="JW531" s="18"/>
      <c r="JX531" s="18"/>
      <c r="JY531" s="18"/>
      <c r="JZ531" s="18"/>
      <c r="KA531" s="18"/>
      <c r="KB531" s="18"/>
      <c r="KC531" s="18"/>
      <c r="KD531" s="18"/>
      <c r="KE531" s="18"/>
      <c r="KF531" s="18"/>
      <c r="KG531" s="18"/>
      <c r="KH531" s="18"/>
      <c r="KI531" s="18"/>
      <c r="KJ531" s="18"/>
      <c r="KK531" s="18"/>
      <c r="KL531" s="18"/>
      <c r="KM531" s="18"/>
      <c r="KN531" s="18"/>
      <c r="KO531" s="18"/>
      <c r="KP531" s="18"/>
    </row>
    <row r="532" spans="1:302" ht="15" customHeight="1">
      <c r="A532" s="23"/>
      <c r="B532" s="1062"/>
      <c r="C532" s="1062"/>
      <c r="D532" s="6"/>
      <c r="E532" s="6"/>
      <c r="F532" s="6"/>
      <c r="G532" s="6"/>
      <c r="H532" s="6"/>
      <c r="I532" s="1091"/>
      <c r="J532" s="1091"/>
      <c r="K532" s="1091"/>
      <c r="L532" s="1091"/>
      <c r="M532" s="67"/>
      <c r="N532" s="67"/>
      <c r="O532" s="67"/>
      <c r="P532" s="23"/>
      <c r="Q532" s="23"/>
      <c r="R532" s="23"/>
      <c r="S532" s="23"/>
      <c r="T532" s="23"/>
      <c r="U532" s="23"/>
      <c r="V532" s="23"/>
      <c r="W532" s="23"/>
      <c r="X532" s="23"/>
      <c r="Y532" s="71"/>
      <c r="Z532" s="71"/>
      <c r="AA532" s="23"/>
      <c r="AB532" s="9"/>
      <c r="AC532" s="9"/>
      <c r="AD532" s="23"/>
      <c r="AE532" s="23"/>
      <c r="AF532" s="23"/>
      <c r="AG532" s="44"/>
      <c r="AH532" s="44"/>
      <c r="AI532" s="45"/>
      <c r="AJ532" s="44"/>
      <c r="AK532" s="43"/>
      <c r="AL532" s="23"/>
      <c r="AU532" s="18"/>
      <c r="AV532" s="18"/>
      <c r="AW532" s="18"/>
      <c r="AX532" s="18"/>
      <c r="AY532" s="18"/>
      <c r="AZ532" s="18"/>
      <c r="BB532" s="18"/>
      <c r="BC532" s="18"/>
      <c r="BD532" s="18"/>
      <c r="BE532" s="18"/>
      <c r="BF532" s="18"/>
      <c r="BH532" s="18"/>
      <c r="BI532" s="18"/>
      <c r="BJ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  <c r="FC532" s="18"/>
      <c r="FD532" s="18"/>
      <c r="FE532" s="18"/>
      <c r="FF532" s="18"/>
      <c r="FG532" s="18"/>
      <c r="FH532" s="18"/>
      <c r="FI532" s="18"/>
      <c r="FJ532" s="18"/>
      <c r="FK532" s="18"/>
      <c r="FL532" s="18"/>
      <c r="FM532" s="18"/>
      <c r="FN532" s="18"/>
      <c r="FO532" s="18"/>
      <c r="FP532" s="18"/>
      <c r="FQ532" s="18"/>
      <c r="FR532" s="18"/>
      <c r="FS532" s="18"/>
      <c r="FT532" s="18"/>
      <c r="FU532" s="18"/>
      <c r="FV532" s="18"/>
      <c r="FW532" s="18"/>
      <c r="FX532" s="18"/>
      <c r="FY532" s="18"/>
      <c r="FZ532" s="18"/>
      <c r="GA532" s="18"/>
      <c r="GB532" s="18"/>
      <c r="GC532" s="18"/>
      <c r="GD532" s="18"/>
      <c r="GE532" s="18"/>
      <c r="GF532" s="18"/>
      <c r="GG532" s="18"/>
      <c r="GH532" s="18"/>
      <c r="GI532" s="18"/>
      <c r="GJ532" s="18"/>
      <c r="GK532" s="18"/>
      <c r="GL532" s="18"/>
      <c r="GM532" s="18"/>
      <c r="GN532" s="18"/>
      <c r="GO532" s="18"/>
      <c r="GP532" s="18"/>
      <c r="GQ532" s="18"/>
      <c r="GR532" s="18"/>
      <c r="GS532" s="18"/>
      <c r="GT532" s="18"/>
      <c r="GU532" s="18"/>
      <c r="GV532" s="18"/>
      <c r="GW532" s="18"/>
      <c r="GX532" s="18"/>
      <c r="GY532" s="18"/>
      <c r="GZ532" s="18"/>
      <c r="HA532" s="18"/>
      <c r="HB532" s="18"/>
      <c r="HC532" s="18"/>
      <c r="HD532" s="18"/>
      <c r="HE532" s="18"/>
      <c r="HF532" s="18"/>
      <c r="HG532" s="13"/>
      <c r="HH532" s="13"/>
      <c r="HI532" s="13"/>
      <c r="HJ532" s="13"/>
      <c r="HK532" s="13"/>
      <c r="HL532" s="13"/>
      <c r="HM532" s="13"/>
      <c r="HN532" s="13"/>
      <c r="HO532" s="13"/>
      <c r="HP532" s="13"/>
      <c r="HQ532" s="13"/>
      <c r="HR532" s="13"/>
      <c r="HS532" s="13"/>
      <c r="HT532" s="13"/>
      <c r="HV532" s="18"/>
      <c r="HW532" s="18"/>
      <c r="HX532" s="18"/>
      <c r="HY532" s="18"/>
      <c r="HZ532" s="18"/>
      <c r="IA532" s="18"/>
      <c r="IB532" s="18"/>
      <c r="IC532" s="18"/>
      <c r="ID532" s="18"/>
      <c r="IE532" s="18"/>
      <c r="IF532" s="18"/>
      <c r="IG532" s="18"/>
      <c r="IH532" s="18"/>
      <c r="II532" s="18"/>
      <c r="IJ532" s="18"/>
      <c r="IK532" s="18"/>
      <c r="IL532" s="18"/>
      <c r="IM532" s="18"/>
      <c r="IN532" s="18"/>
      <c r="IO532" s="18"/>
      <c r="IP532" s="18"/>
      <c r="IQ532" s="18"/>
      <c r="IR532" s="18"/>
      <c r="IS532" s="18"/>
      <c r="IT532" s="18"/>
      <c r="IU532" s="18"/>
      <c r="IV532" s="18"/>
      <c r="IW532" s="18"/>
      <c r="IX532" s="18"/>
      <c r="IY532" s="18"/>
      <c r="IZ532" s="18"/>
      <c r="JA532" s="18"/>
      <c r="JB532" s="18"/>
      <c r="JC532" s="18"/>
      <c r="JD532" s="18"/>
      <c r="JE532" s="18"/>
      <c r="JF532" s="18"/>
      <c r="JG532" s="18"/>
      <c r="JH532" s="18"/>
      <c r="JI532" s="18"/>
      <c r="JJ532" s="18"/>
      <c r="JK532" s="18"/>
      <c r="JL532" s="18"/>
      <c r="JM532" s="18"/>
      <c r="JN532" s="18"/>
      <c r="JO532" s="18"/>
      <c r="JP532" s="18"/>
      <c r="JQ532" s="18"/>
      <c r="JR532" s="18"/>
      <c r="JS532" s="18"/>
      <c r="JT532" s="18"/>
      <c r="JU532" s="18"/>
      <c r="JV532" s="18"/>
      <c r="JW532" s="18"/>
      <c r="JX532" s="18"/>
      <c r="JY532" s="18"/>
      <c r="JZ532" s="18"/>
      <c r="KA532" s="18"/>
      <c r="KB532" s="18"/>
      <c r="KC532" s="18"/>
      <c r="KD532" s="18"/>
      <c r="KE532" s="18"/>
      <c r="KF532" s="18"/>
      <c r="KG532" s="18"/>
      <c r="KH532" s="18"/>
      <c r="KI532" s="18"/>
      <c r="KJ532" s="18"/>
      <c r="KK532" s="18"/>
      <c r="KL532" s="18"/>
      <c r="KM532" s="18"/>
      <c r="KN532" s="18"/>
      <c r="KO532" s="18"/>
      <c r="KP532" s="18"/>
    </row>
    <row r="533" spans="1:302" ht="15" customHeight="1">
      <c r="A533" s="23"/>
      <c r="B533" s="1062"/>
      <c r="C533" s="1062"/>
      <c r="D533" s="1092"/>
      <c r="E533" s="1093"/>
      <c r="F533" s="1094"/>
      <c r="G533" s="6"/>
      <c r="H533" s="6"/>
      <c r="I533" s="1095"/>
      <c r="J533" s="1095"/>
      <c r="K533" s="235"/>
      <c r="L533" s="23"/>
      <c r="M533" s="67"/>
      <c r="N533" s="67"/>
      <c r="O533" s="67"/>
      <c r="P533" s="23"/>
      <c r="Q533" s="23"/>
      <c r="R533" s="23"/>
      <c r="S533" s="23"/>
      <c r="T533" s="23"/>
      <c r="U533" s="23"/>
      <c r="V533" s="23"/>
      <c r="W533" s="23"/>
      <c r="X533" s="23"/>
      <c r="Y533" s="71"/>
      <c r="Z533" s="71"/>
      <c r="AA533" s="23"/>
      <c r="AB533" s="9"/>
      <c r="AC533" s="9"/>
      <c r="AD533" s="23"/>
      <c r="AE533" s="23"/>
      <c r="AF533" s="23"/>
      <c r="AG533" s="44"/>
      <c r="AH533" s="44"/>
      <c r="AI533" s="45"/>
      <c r="AJ533" s="44"/>
      <c r="AK533" s="43"/>
      <c r="AL533" s="23"/>
      <c r="AU533" s="18"/>
      <c r="AV533" s="18"/>
      <c r="AW533" s="18"/>
      <c r="AX533" s="18"/>
      <c r="AY533" s="18"/>
      <c r="AZ533" s="18"/>
      <c r="BB533" s="18"/>
      <c r="BC533" s="18"/>
      <c r="BD533" s="18"/>
      <c r="BE533" s="18"/>
      <c r="BF533" s="18"/>
      <c r="BH533" s="18"/>
      <c r="BI533" s="18"/>
      <c r="BJ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  <c r="FC533" s="18"/>
      <c r="FD533" s="18"/>
      <c r="FE533" s="18"/>
      <c r="FF533" s="18"/>
      <c r="FG533" s="18"/>
      <c r="FH533" s="18"/>
      <c r="FI533" s="18"/>
      <c r="FJ533" s="18"/>
      <c r="FK533" s="18"/>
      <c r="FL533" s="18"/>
      <c r="FM533" s="18"/>
      <c r="FN533" s="18"/>
      <c r="FO533" s="18"/>
      <c r="FP533" s="18"/>
      <c r="FQ533" s="18"/>
      <c r="FR533" s="18"/>
      <c r="FS533" s="18"/>
      <c r="FT533" s="18"/>
      <c r="FU533" s="18"/>
      <c r="FV533" s="18"/>
      <c r="FW533" s="18"/>
      <c r="FX533" s="18"/>
      <c r="FY533" s="18"/>
      <c r="FZ533" s="18"/>
      <c r="GA533" s="18"/>
      <c r="GB533" s="18"/>
      <c r="GC533" s="18"/>
      <c r="GD533" s="18"/>
      <c r="GE533" s="18"/>
      <c r="GF533" s="18"/>
      <c r="GG533" s="18"/>
      <c r="GH533" s="18"/>
      <c r="GI533" s="18"/>
      <c r="GJ533" s="18"/>
      <c r="GK533" s="18"/>
      <c r="GL533" s="18"/>
      <c r="GM533" s="18"/>
      <c r="GN533" s="18"/>
      <c r="GO533" s="18"/>
      <c r="GP533" s="18"/>
      <c r="GQ533" s="18"/>
      <c r="GR533" s="18"/>
      <c r="GS533" s="18"/>
      <c r="GT533" s="18"/>
      <c r="GU533" s="18"/>
      <c r="GV533" s="18"/>
      <c r="GW533" s="18"/>
      <c r="GX533" s="18"/>
      <c r="GY533" s="18"/>
      <c r="GZ533" s="18"/>
      <c r="HA533" s="18"/>
      <c r="HB533" s="18"/>
      <c r="HC533" s="18"/>
      <c r="HD533" s="18"/>
      <c r="HE533" s="18"/>
      <c r="HF533" s="18"/>
      <c r="HG533" s="13"/>
      <c r="HH533" s="13"/>
      <c r="HI533" s="13"/>
      <c r="HJ533" s="13"/>
      <c r="HK533" s="13"/>
      <c r="HL533" s="13"/>
      <c r="HM533" s="13"/>
      <c r="HN533" s="13"/>
      <c r="HO533" s="13"/>
      <c r="HP533" s="13"/>
      <c r="HQ533" s="13"/>
      <c r="HR533" s="13"/>
      <c r="HS533" s="13"/>
      <c r="HT533" s="13"/>
      <c r="HV533" s="18"/>
      <c r="HW533" s="18"/>
      <c r="HX533" s="18"/>
      <c r="HY533" s="18"/>
      <c r="HZ533" s="18"/>
      <c r="IA533" s="18"/>
      <c r="IB533" s="18"/>
      <c r="IC533" s="18"/>
      <c r="ID533" s="18"/>
      <c r="IE533" s="18"/>
      <c r="IF533" s="18"/>
      <c r="IG533" s="18"/>
      <c r="IH533" s="18"/>
      <c r="II533" s="18"/>
      <c r="IJ533" s="18"/>
      <c r="IK533" s="18"/>
      <c r="IL533" s="18"/>
      <c r="IM533" s="18"/>
      <c r="IN533" s="18"/>
      <c r="IO533" s="18"/>
      <c r="IP533" s="18"/>
      <c r="IQ533" s="18"/>
      <c r="IR533" s="18"/>
      <c r="IS533" s="18"/>
      <c r="IT533" s="18"/>
      <c r="IU533" s="18"/>
      <c r="IV533" s="18"/>
      <c r="IW533" s="18"/>
      <c r="IX533" s="18"/>
      <c r="IY533" s="18"/>
      <c r="IZ533" s="18"/>
      <c r="JA533" s="18"/>
      <c r="JB533" s="18"/>
      <c r="JC533" s="18"/>
      <c r="JD533" s="18"/>
      <c r="JE533" s="18"/>
      <c r="JF533" s="18"/>
      <c r="JG533" s="18"/>
      <c r="JH533" s="18"/>
      <c r="JI533" s="18"/>
      <c r="JJ533" s="18"/>
      <c r="JK533" s="18"/>
      <c r="JL533" s="18"/>
      <c r="JM533" s="18"/>
      <c r="JN533" s="18"/>
      <c r="JO533" s="18"/>
      <c r="JP533" s="18"/>
      <c r="JQ533" s="18"/>
      <c r="JR533" s="18"/>
      <c r="JS533" s="18"/>
      <c r="JT533" s="18"/>
      <c r="JU533" s="18"/>
      <c r="JV533" s="18"/>
      <c r="JW533" s="18"/>
      <c r="JX533" s="18"/>
      <c r="JY533" s="18"/>
      <c r="JZ533" s="18"/>
      <c r="KA533" s="18"/>
      <c r="KB533" s="18"/>
      <c r="KC533" s="18"/>
      <c r="KD533" s="18"/>
      <c r="KE533" s="18"/>
      <c r="KF533" s="18"/>
      <c r="KG533" s="18"/>
      <c r="KH533" s="18"/>
      <c r="KI533" s="18"/>
      <c r="KJ533" s="18"/>
      <c r="KK533" s="18"/>
      <c r="KL533" s="18"/>
      <c r="KM533" s="18"/>
      <c r="KN533" s="18"/>
      <c r="KO533" s="18"/>
      <c r="KP533" s="18"/>
    </row>
    <row r="534" spans="1:302" ht="15" customHeight="1">
      <c r="A534" s="1096"/>
      <c r="B534" s="1062"/>
      <c r="C534" s="1062"/>
      <c r="D534" s="1092"/>
      <c r="E534" s="1093"/>
      <c r="F534" s="1094"/>
      <c r="G534" s="6"/>
      <c r="H534" s="6"/>
      <c r="I534" s="1095"/>
      <c r="J534" s="1095"/>
      <c r="K534" s="235"/>
      <c r="L534" s="23"/>
      <c r="M534" s="67"/>
      <c r="N534" s="67"/>
      <c r="O534" s="67"/>
      <c r="P534" s="1091"/>
      <c r="Q534" s="1091"/>
      <c r="R534" s="1091"/>
      <c r="S534" s="1091"/>
      <c r="T534" s="23"/>
      <c r="U534" s="23"/>
      <c r="V534" s="23"/>
      <c r="W534" s="23"/>
      <c r="X534" s="23"/>
      <c r="Y534" s="71"/>
      <c r="Z534" s="71"/>
      <c r="AA534" s="23"/>
      <c r="AB534" s="9"/>
      <c r="AC534" s="9"/>
      <c r="AD534" s="23"/>
      <c r="AE534" s="23"/>
      <c r="AF534" s="23"/>
      <c r="AG534" s="1097"/>
      <c r="AH534" s="1097"/>
      <c r="AI534" s="1098"/>
      <c r="AJ534" s="44"/>
      <c r="AK534" s="43"/>
      <c r="AL534" s="23"/>
      <c r="AU534" s="18"/>
      <c r="AV534" s="18"/>
      <c r="AW534" s="18"/>
      <c r="AX534" s="18"/>
      <c r="AY534" s="18"/>
      <c r="AZ534" s="18"/>
      <c r="BB534" s="18"/>
      <c r="BC534" s="18"/>
      <c r="BD534" s="18"/>
      <c r="BE534" s="18"/>
      <c r="BF534" s="18"/>
      <c r="BH534" s="18"/>
      <c r="BI534" s="18"/>
      <c r="BJ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  <c r="FC534" s="18"/>
      <c r="FD534" s="18"/>
      <c r="FE534" s="18"/>
      <c r="FF534" s="18"/>
      <c r="FG534" s="18"/>
      <c r="FH534" s="18"/>
      <c r="FI534" s="18"/>
      <c r="FJ534" s="18"/>
      <c r="FK534" s="18"/>
      <c r="FL534" s="18"/>
      <c r="FM534" s="18"/>
      <c r="FN534" s="18"/>
      <c r="FO534" s="18"/>
      <c r="FP534" s="18"/>
      <c r="FQ534" s="18"/>
      <c r="FR534" s="18"/>
      <c r="FS534" s="18"/>
      <c r="FT534" s="18"/>
      <c r="FU534" s="18"/>
      <c r="FV534" s="18"/>
      <c r="FW534" s="18"/>
      <c r="FX534" s="18"/>
      <c r="FY534" s="18"/>
      <c r="FZ534" s="18"/>
      <c r="GA534" s="18"/>
      <c r="GB534" s="18"/>
      <c r="GC534" s="18"/>
      <c r="GD534" s="18"/>
      <c r="GE534" s="18"/>
      <c r="GF534" s="18"/>
      <c r="GG534" s="18"/>
      <c r="GH534" s="18"/>
      <c r="GI534" s="18"/>
      <c r="GJ534" s="18"/>
      <c r="GK534" s="18"/>
      <c r="GL534" s="18"/>
      <c r="GM534" s="18"/>
      <c r="GN534" s="18"/>
      <c r="GO534" s="18"/>
      <c r="GP534" s="18"/>
      <c r="GQ534" s="18"/>
      <c r="GR534" s="18"/>
      <c r="GS534" s="18"/>
      <c r="GT534" s="18"/>
      <c r="GU534" s="18"/>
      <c r="GV534" s="18"/>
      <c r="GW534" s="18"/>
      <c r="GX534" s="18"/>
      <c r="GY534" s="18"/>
      <c r="GZ534" s="18"/>
      <c r="HA534" s="18"/>
      <c r="HB534" s="18"/>
      <c r="HC534" s="18"/>
      <c r="HD534" s="18"/>
      <c r="HE534" s="18"/>
      <c r="HF534" s="18"/>
      <c r="HG534" s="13"/>
      <c r="HH534" s="13"/>
      <c r="HI534" s="13"/>
      <c r="HJ534" s="13"/>
      <c r="HK534" s="13"/>
      <c r="HL534" s="13"/>
      <c r="HM534" s="13"/>
      <c r="HN534" s="13"/>
      <c r="HO534" s="13"/>
      <c r="HP534" s="13"/>
      <c r="HQ534" s="13"/>
      <c r="HR534" s="13"/>
      <c r="HS534" s="13"/>
      <c r="HT534" s="13"/>
      <c r="HV534" s="18"/>
      <c r="HW534" s="18"/>
      <c r="HX534" s="18"/>
      <c r="HY534" s="18"/>
      <c r="HZ534" s="18"/>
      <c r="IA534" s="18"/>
      <c r="IB534" s="18"/>
      <c r="IC534" s="18"/>
      <c r="ID534" s="18"/>
      <c r="IE534" s="18"/>
      <c r="IF534" s="18"/>
      <c r="IG534" s="18"/>
      <c r="IH534" s="18"/>
      <c r="II534" s="18"/>
      <c r="IJ534" s="18"/>
      <c r="IK534" s="18"/>
      <c r="IL534" s="18"/>
      <c r="IM534" s="18"/>
      <c r="IN534" s="18"/>
      <c r="IO534" s="18"/>
      <c r="IP534" s="18"/>
      <c r="IQ534" s="18"/>
      <c r="IR534" s="18"/>
      <c r="IS534" s="18"/>
      <c r="IT534" s="18"/>
      <c r="IU534" s="18"/>
      <c r="IV534" s="18"/>
      <c r="IW534" s="18"/>
      <c r="IX534" s="18"/>
      <c r="IY534" s="18"/>
      <c r="IZ534" s="18"/>
      <c r="JA534" s="18"/>
      <c r="JB534" s="18"/>
      <c r="JC534" s="18"/>
      <c r="JD534" s="18"/>
      <c r="JE534" s="18"/>
      <c r="JF534" s="18"/>
      <c r="JG534" s="18"/>
      <c r="JH534" s="18"/>
      <c r="JI534" s="18"/>
      <c r="JJ534" s="18"/>
      <c r="JK534" s="18"/>
      <c r="JL534" s="18"/>
      <c r="JM534" s="18"/>
      <c r="JN534" s="18"/>
      <c r="JO534" s="18"/>
      <c r="JP534" s="18"/>
      <c r="JQ534" s="18"/>
      <c r="JR534" s="18"/>
      <c r="JS534" s="18"/>
      <c r="JT534" s="18"/>
      <c r="JU534" s="18"/>
      <c r="JV534" s="18"/>
      <c r="JW534" s="18"/>
      <c r="JX534" s="18"/>
      <c r="JY534" s="18"/>
      <c r="JZ534" s="18"/>
      <c r="KA534" s="18"/>
      <c r="KB534" s="18"/>
      <c r="KC534" s="18"/>
      <c r="KD534" s="18"/>
      <c r="KE534" s="18"/>
      <c r="KF534" s="18"/>
      <c r="KG534" s="18"/>
      <c r="KH534" s="18"/>
      <c r="KI534" s="18"/>
      <c r="KJ534" s="18"/>
      <c r="KK534" s="18"/>
      <c r="KL534" s="18"/>
      <c r="KM534" s="18"/>
      <c r="KN534" s="18"/>
      <c r="KO534" s="18"/>
      <c r="KP534" s="18"/>
    </row>
    <row r="535" spans="1:302" ht="15" customHeight="1">
      <c r="A535" s="1096"/>
      <c r="B535" s="23"/>
      <c r="C535" s="1092"/>
      <c r="D535" s="1092"/>
      <c r="E535" s="1093"/>
      <c r="F535" s="1094"/>
      <c r="G535" s="6"/>
      <c r="H535" s="6"/>
      <c r="I535" s="1095"/>
      <c r="J535" s="1095"/>
      <c r="K535" s="235"/>
      <c r="L535" s="23"/>
      <c r="M535" s="67"/>
      <c r="N535" s="67"/>
      <c r="O535" s="67"/>
      <c r="P535" s="23"/>
      <c r="Q535" s="23"/>
      <c r="R535" s="23"/>
      <c r="S535" s="23"/>
      <c r="T535" s="23"/>
      <c r="U535" s="23"/>
      <c r="V535" s="23"/>
      <c r="W535" s="23"/>
      <c r="X535" s="23"/>
      <c r="Y535" s="71"/>
      <c r="Z535" s="71"/>
      <c r="AA535" s="23"/>
      <c r="AB535" s="9"/>
      <c r="AC535" s="9"/>
      <c r="AD535" s="23"/>
      <c r="AE535" s="23"/>
      <c r="AF535" s="23"/>
      <c r="AG535" s="1099"/>
      <c r="AH535" s="44"/>
      <c r="AI535" s="45"/>
      <c r="AJ535" s="44"/>
      <c r="AK535" s="43"/>
      <c r="AL535" s="23"/>
      <c r="AU535" s="18"/>
      <c r="AV535" s="18"/>
      <c r="AW535" s="18"/>
      <c r="AX535" s="18"/>
      <c r="AY535" s="18"/>
      <c r="AZ535" s="18"/>
      <c r="BB535" s="18"/>
      <c r="BC535" s="18"/>
      <c r="BD535" s="18"/>
      <c r="BE535" s="18"/>
      <c r="BF535" s="18"/>
      <c r="BH535" s="18"/>
      <c r="BI535" s="18"/>
      <c r="BJ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  <c r="FC535" s="18"/>
      <c r="FD535" s="18"/>
      <c r="FE535" s="18"/>
      <c r="FF535" s="18"/>
      <c r="FG535" s="18"/>
      <c r="FH535" s="18"/>
      <c r="FI535" s="18"/>
      <c r="FJ535" s="18"/>
      <c r="FK535" s="18"/>
      <c r="FL535" s="18"/>
      <c r="FM535" s="18"/>
      <c r="FN535" s="18"/>
      <c r="FO535" s="18"/>
      <c r="FP535" s="18"/>
      <c r="FQ535" s="18"/>
      <c r="FR535" s="18"/>
      <c r="FS535" s="18"/>
      <c r="FT535" s="18"/>
      <c r="FU535" s="18"/>
      <c r="FV535" s="18"/>
      <c r="FW535" s="18"/>
      <c r="FX535" s="18"/>
      <c r="FY535" s="18"/>
      <c r="FZ535" s="18"/>
      <c r="GA535" s="18"/>
      <c r="GB535" s="18"/>
      <c r="GC535" s="18"/>
      <c r="GD535" s="18"/>
      <c r="GE535" s="18"/>
      <c r="GF535" s="18"/>
      <c r="GG535" s="18"/>
      <c r="GH535" s="18"/>
      <c r="GI535" s="18"/>
      <c r="GJ535" s="18"/>
      <c r="GK535" s="18"/>
      <c r="GL535" s="18"/>
      <c r="GM535" s="18"/>
      <c r="GN535" s="18"/>
      <c r="GO535" s="18"/>
      <c r="GP535" s="18"/>
      <c r="GQ535" s="18"/>
      <c r="GR535" s="18"/>
      <c r="GS535" s="18"/>
      <c r="GT535" s="18"/>
      <c r="GU535" s="18"/>
      <c r="GV535" s="18"/>
      <c r="GW535" s="18"/>
      <c r="GX535" s="18"/>
      <c r="GY535" s="18"/>
      <c r="GZ535" s="18"/>
      <c r="HA535" s="18"/>
      <c r="HB535" s="18"/>
      <c r="HC535" s="18"/>
      <c r="HD535" s="18"/>
      <c r="HE535" s="18"/>
      <c r="HF535" s="18"/>
      <c r="HG535" s="13"/>
      <c r="HH535" s="13"/>
      <c r="HI535" s="13"/>
      <c r="HJ535" s="13"/>
      <c r="HK535" s="13"/>
      <c r="HL535" s="13"/>
      <c r="HM535" s="13"/>
      <c r="HN535" s="13"/>
      <c r="HO535" s="13"/>
      <c r="HP535" s="13"/>
      <c r="HQ535" s="13"/>
      <c r="HR535" s="13"/>
      <c r="HS535" s="13"/>
      <c r="HT535" s="13"/>
      <c r="HV535" s="18"/>
      <c r="HW535" s="18"/>
      <c r="HX535" s="18"/>
      <c r="HY535" s="18"/>
      <c r="HZ535" s="18"/>
      <c r="IA535" s="18"/>
      <c r="IB535" s="18"/>
      <c r="IC535" s="18"/>
      <c r="ID535" s="18"/>
      <c r="IE535" s="18"/>
      <c r="IF535" s="18"/>
      <c r="IG535" s="18"/>
      <c r="IH535" s="18"/>
      <c r="II535" s="18"/>
      <c r="IJ535" s="18"/>
      <c r="IK535" s="18"/>
      <c r="IL535" s="18"/>
      <c r="IM535" s="18"/>
      <c r="IN535" s="18"/>
      <c r="IO535" s="18"/>
      <c r="IP535" s="18"/>
      <c r="IQ535" s="18"/>
      <c r="IR535" s="18"/>
      <c r="IS535" s="18"/>
      <c r="IT535" s="18"/>
      <c r="IU535" s="18"/>
      <c r="IV535" s="18"/>
      <c r="IW535" s="18"/>
      <c r="IX535" s="18"/>
      <c r="IY535" s="18"/>
      <c r="IZ535" s="18"/>
      <c r="JA535" s="18"/>
      <c r="JB535" s="18"/>
      <c r="JC535" s="18"/>
      <c r="JD535" s="18"/>
      <c r="JE535" s="18"/>
      <c r="JF535" s="18"/>
      <c r="JG535" s="18"/>
      <c r="JH535" s="18"/>
      <c r="JI535" s="18"/>
      <c r="JJ535" s="18"/>
      <c r="JK535" s="18"/>
      <c r="JL535" s="18"/>
      <c r="JM535" s="18"/>
      <c r="JN535" s="18"/>
      <c r="JO535" s="18"/>
      <c r="JP535" s="18"/>
      <c r="JQ535" s="18"/>
      <c r="JR535" s="18"/>
      <c r="JS535" s="18"/>
      <c r="JT535" s="18"/>
      <c r="JU535" s="18"/>
      <c r="JV535" s="18"/>
      <c r="JW535" s="18"/>
      <c r="JX535" s="18"/>
      <c r="JY535" s="18"/>
      <c r="JZ535" s="18"/>
      <c r="KA535" s="18"/>
      <c r="KB535" s="18"/>
      <c r="KC535" s="18"/>
      <c r="KD535" s="18"/>
      <c r="KE535" s="18"/>
      <c r="KF535" s="18"/>
      <c r="KG535" s="18"/>
      <c r="KH535" s="18"/>
      <c r="KI535" s="18"/>
      <c r="KJ535" s="18"/>
      <c r="KK535" s="18"/>
      <c r="KL535" s="18"/>
      <c r="KM535" s="18"/>
      <c r="KN535" s="18"/>
      <c r="KO535" s="18"/>
      <c r="KP535" s="18"/>
    </row>
    <row r="536" spans="1:302" ht="15" customHeight="1">
      <c r="A536" s="1096"/>
      <c r="B536" s="23"/>
      <c r="C536" s="1092"/>
      <c r="D536" s="1092"/>
      <c r="E536" s="1093"/>
      <c r="F536" s="1094"/>
      <c r="G536" s="6"/>
      <c r="H536" s="6"/>
      <c r="I536" s="1095"/>
      <c r="J536" s="1095"/>
      <c r="K536" s="235"/>
      <c r="L536" s="23"/>
      <c r="M536" s="1100"/>
      <c r="N536" s="1100"/>
      <c r="O536" s="1100"/>
      <c r="P536" s="23"/>
      <c r="Q536" s="23"/>
      <c r="R536" s="23"/>
      <c r="S536" s="23"/>
      <c r="T536" s="23"/>
      <c r="U536" s="23"/>
      <c r="V536" s="23"/>
      <c r="W536" s="23"/>
      <c r="X536" s="23"/>
      <c r="Y536" s="71"/>
      <c r="Z536" s="71"/>
      <c r="AA536" s="23"/>
      <c r="AB536" s="9"/>
      <c r="AC536" s="9"/>
      <c r="AD536" s="23"/>
      <c r="AE536" s="23"/>
      <c r="AF536" s="23"/>
      <c r="AG536" s="1099"/>
      <c r="AH536" s="44"/>
      <c r="AI536" s="45"/>
      <c r="AJ536" s="44"/>
      <c r="AK536" s="43"/>
      <c r="AL536" s="23"/>
      <c r="AU536" s="18"/>
      <c r="AV536" s="18"/>
      <c r="AW536" s="18"/>
      <c r="AX536" s="18"/>
      <c r="AY536" s="18"/>
      <c r="AZ536" s="18"/>
      <c r="BB536" s="18"/>
      <c r="BC536" s="18"/>
      <c r="BD536" s="18"/>
      <c r="BE536" s="18"/>
      <c r="BF536" s="18"/>
      <c r="BH536" s="18"/>
      <c r="BI536" s="18"/>
      <c r="BJ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  <c r="FC536" s="18"/>
      <c r="FD536" s="18"/>
      <c r="FE536" s="18"/>
      <c r="FF536" s="18"/>
      <c r="FG536" s="18"/>
      <c r="FH536" s="18"/>
      <c r="FI536" s="18"/>
      <c r="FJ536" s="18"/>
      <c r="FK536" s="18"/>
      <c r="FL536" s="18"/>
      <c r="FM536" s="18"/>
      <c r="FN536" s="18"/>
      <c r="FO536" s="18"/>
      <c r="FP536" s="18"/>
      <c r="FQ536" s="18"/>
      <c r="FR536" s="18"/>
      <c r="FS536" s="18"/>
      <c r="FT536" s="18"/>
      <c r="FU536" s="18"/>
      <c r="FV536" s="18"/>
      <c r="FW536" s="18"/>
      <c r="FX536" s="18"/>
      <c r="FY536" s="18"/>
      <c r="FZ536" s="18"/>
      <c r="GA536" s="18"/>
      <c r="GB536" s="18"/>
      <c r="GC536" s="18"/>
      <c r="GD536" s="18"/>
      <c r="GE536" s="18"/>
      <c r="GF536" s="18"/>
      <c r="GG536" s="18"/>
      <c r="GH536" s="18"/>
      <c r="GI536" s="18"/>
      <c r="GJ536" s="18"/>
      <c r="GK536" s="18"/>
      <c r="GL536" s="18"/>
      <c r="GM536" s="18"/>
      <c r="GN536" s="18"/>
      <c r="GO536" s="18"/>
      <c r="GP536" s="18"/>
      <c r="GQ536" s="18"/>
      <c r="GR536" s="18"/>
      <c r="GS536" s="18"/>
      <c r="GT536" s="18"/>
      <c r="GU536" s="18"/>
      <c r="GV536" s="18"/>
      <c r="GW536" s="18"/>
      <c r="GX536" s="18"/>
      <c r="GY536" s="18"/>
      <c r="GZ536" s="18"/>
      <c r="HA536" s="18"/>
      <c r="HB536" s="18"/>
      <c r="HC536" s="18"/>
      <c r="HD536" s="18"/>
      <c r="HE536" s="18"/>
      <c r="HF536" s="18"/>
      <c r="HG536" s="13"/>
      <c r="HH536" s="13"/>
      <c r="HI536" s="13"/>
      <c r="HJ536" s="13"/>
      <c r="HK536" s="13"/>
      <c r="HL536" s="13"/>
      <c r="HM536" s="13"/>
      <c r="HN536" s="13"/>
      <c r="HO536" s="13"/>
      <c r="HP536" s="13"/>
      <c r="HQ536" s="13"/>
      <c r="HR536" s="13"/>
      <c r="HS536" s="13"/>
      <c r="HT536" s="13"/>
      <c r="HV536" s="18"/>
      <c r="HW536" s="18"/>
      <c r="HX536" s="18"/>
      <c r="HY536" s="18"/>
      <c r="HZ536" s="18"/>
      <c r="IA536" s="18"/>
      <c r="IB536" s="18"/>
      <c r="IC536" s="18"/>
      <c r="ID536" s="18"/>
      <c r="IE536" s="18"/>
      <c r="IF536" s="18"/>
      <c r="IG536" s="18"/>
      <c r="IH536" s="18"/>
      <c r="II536" s="18"/>
      <c r="IJ536" s="18"/>
      <c r="IK536" s="18"/>
      <c r="IL536" s="18"/>
      <c r="IM536" s="18"/>
      <c r="IN536" s="18"/>
      <c r="IO536" s="18"/>
      <c r="IP536" s="18"/>
      <c r="IQ536" s="18"/>
      <c r="IR536" s="18"/>
      <c r="IS536" s="18"/>
      <c r="IT536" s="18"/>
      <c r="IU536" s="18"/>
      <c r="IV536" s="18"/>
      <c r="IW536" s="18"/>
      <c r="IX536" s="18"/>
      <c r="IY536" s="18"/>
      <c r="IZ536" s="18"/>
      <c r="JA536" s="18"/>
      <c r="JB536" s="18"/>
      <c r="JC536" s="18"/>
      <c r="JD536" s="18"/>
      <c r="JE536" s="18"/>
      <c r="JF536" s="18"/>
      <c r="JG536" s="18"/>
      <c r="JH536" s="18"/>
      <c r="JI536" s="18"/>
      <c r="JJ536" s="18"/>
      <c r="JK536" s="18"/>
      <c r="JL536" s="18"/>
      <c r="JM536" s="18"/>
      <c r="JN536" s="18"/>
      <c r="JO536" s="18"/>
      <c r="JP536" s="18"/>
      <c r="JQ536" s="18"/>
      <c r="JR536" s="18"/>
      <c r="JS536" s="18"/>
      <c r="JT536" s="18"/>
      <c r="JU536" s="18"/>
      <c r="JV536" s="18"/>
      <c r="JW536" s="18"/>
      <c r="JX536" s="18"/>
      <c r="JY536" s="18"/>
      <c r="JZ536" s="18"/>
      <c r="KA536" s="18"/>
      <c r="KB536" s="18"/>
      <c r="KC536" s="18"/>
      <c r="KD536" s="18"/>
      <c r="KE536" s="18"/>
      <c r="KF536" s="18"/>
      <c r="KG536" s="18"/>
      <c r="KH536" s="18"/>
      <c r="KI536" s="18"/>
      <c r="KJ536" s="18"/>
      <c r="KK536" s="18"/>
      <c r="KL536" s="18"/>
      <c r="KM536" s="18"/>
      <c r="KN536" s="18"/>
      <c r="KO536" s="18"/>
      <c r="KP536" s="18"/>
    </row>
    <row r="537" spans="1:302" ht="15" customHeight="1">
      <c r="A537" s="1096"/>
      <c r="B537" s="23"/>
      <c r="C537" s="1092"/>
      <c r="D537" s="1092"/>
      <c r="E537" s="1093"/>
      <c r="F537" s="1094"/>
      <c r="G537" s="6"/>
      <c r="H537" s="6"/>
      <c r="I537" s="1095"/>
      <c r="J537" s="1095"/>
      <c r="K537" s="235"/>
      <c r="L537" s="23"/>
      <c r="M537" s="67"/>
      <c r="N537" s="67"/>
      <c r="O537" s="67"/>
      <c r="P537" s="23"/>
      <c r="Q537" s="23"/>
      <c r="R537" s="23"/>
      <c r="S537" s="23"/>
      <c r="T537" s="23"/>
      <c r="U537" s="23"/>
      <c r="V537" s="23"/>
      <c r="W537" s="23"/>
      <c r="X537" s="23"/>
      <c r="Y537" s="71"/>
      <c r="Z537" s="71"/>
      <c r="AA537" s="23"/>
      <c r="AB537" s="9"/>
      <c r="AC537" s="9"/>
      <c r="AD537" s="23"/>
      <c r="AE537" s="23"/>
      <c r="AF537" s="23"/>
      <c r="AG537" s="1099"/>
      <c r="AH537" s="44"/>
      <c r="AI537" s="45"/>
      <c r="AJ537" s="44"/>
      <c r="AK537" s="43"/>
      <c r="AL537" s="23"/>
      <c r="AS537" s="14"/>
      <c r="AU537" s="18"/>
      <c r="AV537" s="18"/>
      <c r="AW537" s="18"/>
      <c r="AX537" s="18"/>
      <c r="AY537" s="18"/>
      <c r="AZ537" s="18"/>
      <c r="BB537" s="18"/>
      <c r="BC537" s="18"/>
      <c r="BD537" s="18"/>
      <c r="BE537" s="18"/>
      <c r="BF537" s="18"/>
      <c r="BH537" s="18"/>
      <c r="BI537" s="18"/>
      <c r="BJ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  <c r="FC537" s="18"/>
      <c r="FD537" s="18"/>
      <c r="FE537" s="18"/>
      <c r="FF537" s="18"/>
      <c r="FG537" s="18"/>
      <c r="FH537" s="18"/>
      <c r="FI537" s="18"/>
      <c r="FJ537" s="18"/>
      <c r="FK537" s="18"/>
      <c r="FL537" s="18"/>
      <c r="FM537" s="18"/>
      <c r="FN537" s="18"/>
      <c r="FO537" s="18"/>
      <c r="FP537" s="18"/>
      <c r="FQ537" s="18"/>
      <c r="FR537" s="18"/>
      <c r="FS537" s="18"/>
      <c r="FT537" s="18"/>
      <c r="FU537" s="18"/>
      <c r="FV537" s="18"/>
      <c r="FW537" s="18"/>
      <c r="FX537" s="18"/>
      <c r="FY537" s="18"/>
      <c r="FZ537" s="18"/>
      <c r="GA537" s="18"/>
      <c r="GB537" s="18"/>
      <c r="GC537" s="18"/>
      <c r="GD537" s="18"/>
      <c r="GE537" s="18"/>
      <c r="GF537" s="18"/>
      <c r="GG537" s="18"/>
      <c r="GH537" s="18"/>
      <c r="GI537" s="18"/>
      <c r="GJ537" s="18"/>
      <c r="GK537" s="18"/>
      <c r="GL537" s="18"/>
      <c r="GM537" s="18"/>
      <c r="GN537" s="18"/>
      <c r="GO537" s="18"/>
      <c r="GP537" s="18"/>
      <c r="GQ537" s="18"/>
      <c r="GR537" s="18"/>
      <c r="GS537" s="18"/>
      <c r="GT537" s="18"/>
      <c r="GU537" s="18"/>
      <c r="GV537" s="18"/>
      <c r="GW537" s="18"/>
      <c r="GX537" s="18"/>
      <c r="GY537" s="18"/>
      <c r="GZ537" s="18"/>
      <c r="HA537" s="18"/>
      <c r="HB537" s="18"/>
      <c r="HC537" s="18"/>
      <c r="HD537" s="18"/>
      <c r="HE537" s="18"/>
      <c r="HF537" s="18"/>
      <c r="HG537" s="13"/>
      <c r="HH537" s="13"/>
      <c r="HI537" s="13"/>
      <c r="HJ537" s="13"/>
      <c r="HK537" s="13"/>
      <c r="HL537" s="13"/>
      <c r="HM537" s="13"/>
      <c r="HN537" s="13"/>
      <c r="HO537" s="13"/>
      <c r="HP537" s="13"/>
      <c r="HQ537" s="13"/>
      <c r="HR537" s="13"/>
      <c r="HS537" s="13"/>
      <c r="HT537" s="13"/>
      <c r="HV537" s="18"/>
      <c r="HW537" s="18"/>
      <c r="HX537" s="18"/>
      <c r="HY537" s="18"/>
      <c r="HZ537" s="18"/>
      <c r="IA537" s="18"/>
      <c r="IB537" s="18"/>
      <c r="IC537" s="18"/>
      <c r="ID537" s="18"/>
      <c r="IE537" s="18"/>
      <c r="IF537" s="18"/>
      <c r="IG537" s="18"/>
      <c r="IH537" s="18"/>
      <c r="II537" s="18"/>
      <c r="IJ537" s="18"/>
      <c r="IK537" s="18"/>
      <c r="IL537" s="18"/>
      <c r="IM537" s="18"/>
      <c r="IN537" s="18"/>
      <c r="IO537" s="18"/>
      <c r="IP537" s="18"/>
      <c r="IQ537" s="18"/>
      <c r="IR537" s="18"/>
      <c r="IS537" s="18"/>
      <c r="IT537" s="18"/>
      <c r="IU537" s="18"/>
      <c r="IV537" s="18"/>
      <c r="IW537" s="18"/>
      <c r="IX537" s="18"/>
      <c r="IY537" s="18"/>
      <c r="IZ537" s="18"/>
      <c r="JA537" s="18"/>
      <c r="JB537" s="18"/>
      <c r="JC537" s="18"/>
      <c r="JD537" s="18"/>
      <c r="JE537" s="18"/>
      <c r="JF537" s="18"/>
      <c r="JG537" s="18"/>
      <c r="JH537" s="18"/>
      <c r="JI537" s="18"/>
      <c r="JJ537" s="18"/>
      <c r="JK537" s="18"/>
      <c r="JL537" s="18"/>
      <c r="JM537" s="18"/>
      <c r="JN537" s="18"/>
      <c r="JO537" s="18"/>
      <c r="JP537" s="18"/>
      <c r="JQ537" s="18"/>
      <c r="JR537" s="18"/>
      <c r="JS537" s="18"/>
      <c r="JT537" s="18"/>
      <c r="JU537" s="18"/>
      <c r="JV537" s="18"/>
      <c r="JW537" s="18"/>
      <c r="JX537" s="18"/>
      <c r="JY537" s="18"/>
      <c r="JZ537" s="18"/>
      <c r="KA537" s="18"/>
      <c r="KB537" s="18"/>
      <c r="KC537" s="18"/>
      <c r="KD537" s="18"/>
      <c r="KE537" s="18"/>
      <c r="KF537" s="18"/>
      <c r="KG537" s="18"/>
      <c r="KH537" s="18"/>
      <c r="KI537" s="18"/>
      <c r="KJ537" s="18"/>
      <c r="KK537" s="18"/>
      <c r="KL537" s="18"/>
      <c r="KM537" s="18"/>
      <c r="KN537" s="18"/>
      <c r="KO537" s="18"/>
      <c r="KP537" s="18"/>
    </row>
    <row r="538" spans="1:302" ht="15" customHeight="1">
      <c r="A538" s="1096"/>
      <c r="B538" s="23"/>
      <c r="C538" s="1092"/>
      <c r="D538" s="1092"/>
      <c r="E538" s="1093"/>
      <c r="F538" s="1094"/>
      <c r="G538" s="6"/>
      <c r="H538" s="6"/>
      <c r="I538" s="1095"/>
      <c r="J538" s="1095"/>
      <c r="K538" s="235"/>
      <c r="L538" s="23"/>
      <c r="M538" s="67"/>
      <c r="N538" s="67"/>
      <c r="O538" s="67"/>
      <c r="P538" s="23"/>
      <c r="Q538" s="23"/>
      <c r="R538" s="23"/>
      <c r="S538" s="23"/>
      <c r="T538" s="23"/>
      <c r="U538" s="23"/>
      <c r="V538" s="23"/>
      <c r="W538" s="23"/>
      <c r="X538" s="23"/>
      <c r="Y538" s="71"/>
      <c r="Z538" s="71"/>
      <c r="AA538" s="23"/>
      <c r="AB538" s="9"/>
      <c r="AC538" s="9"/>
      <c r="AD538" s="23"/>
      <c r="AE538" s="23"/>
      <c r="AF538" s="23"/>
      <c r="AG538" s="1099"/>
      <c r="AH538" s="44"/>
      <c r="AI538" s="45"/>
      <c r="AJ538" s="44"/>
      <c r="AK538" s="43"/>
      <c r="AL538" s="23"/>
      <c r="AS538" s="14"/>
      <c r="AU538" s="18"/>
      <c r="AV538" s="18"/>
      <c r="AW538" s="18"/>
      <c r="AX538" s="18"/>
      <c r="AY538" s="18"/>
      <c r="AZ538" s="18"/>
      <c r="BB538" s="18"/>
      <c r="BC538" s="18"/>
      <c r="BD538" s="18"/>
      <c r="BE538" s="18"/>
      <c r="BF538" s="18"/>
      <c r="BH538" s="18"/>
      <c r="BI538" s="18"/>
      <c r="BJ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  <c r="FC538" s="18"/>
      <c r="FD538" s="18"/>
      <c r="FE538" s="18"/>
      <c r="FF538" s="18"/>
      <c r="FG538" s="18"/>
      <c r="FH538" s="18"/>
      <c r="FI538" s="18"/>
      <c r="FJ538" s="18"/>
      <c r="FK538" s="18"/>
      <c r="FL538" s="18"/>
      <c r="FM538" s="18"/>
      <c r="FN538" s="18"/>
      <c r="FO538" s="18"/>
      <c r="FP538" s="18"/>
      <c r="FQ538" s="18"/>
      <c r="FR538" s="18"/>
      <c r="FS538" s="18"/>
      <c r="FT538" s="18"/>
      <c r="FU538" s="18"/>
      <c r="FV538" s="18"/>
      <c r="FW538" s="18"/>
      <c r="FX538" s="18"/>
      <c r="FY538" s="18"/>
      <c r="FZ538" s="18"/>
      <c r="GA538" s="18"/>
      <c r="GB538" s="18"/>
      <c r="GC538" s="18"/>
      <c r="GD538" s="18"/>
      <c r="GE538" s="18"/>
      <c r="GF538" s="18"/>
      <c r="GG538" s="18"/>
      <c r="GH538" s="18"/>
      <c r="GI538" s="18"/>
      <c r="GJ538" s="18"/>
      <c r="GK538" s="18"/>
      <c r="GL538" s="18"/>
      <c r="GM538" s="18"/>
      <c r="GN538" s="18"/>
      <c r="GO538" s="18"/>
      <c r="GP538" s="18"/>
      <c r="GQ538" s="18"/>
      <c r="GR538" s="18"/>
      <c r="GS538" s="18"/>
      <c r="GT538" s="18"/>
      <c r="GU538" s="18"/>
      <c r="GV538" s="18"/>
      <c r="GW538" s="18"/>
      <c r="GX538" s="18"/>
      <c r="GY538" s="18"/>
      <c r="GZ538" s="18"/>
      <c r="HA538" s="18"/>
      <c r="HB538" s="18"/>
      <c r="HC538" s="18"/>
      <c r="HD538" s="18"/>
      <c r="HE538" s="18"/>
      <c r="HF538" s="18"/>
      <c r="HG538" s="13"/>
      <c r="HH538" s="13"/>
      <c r="HI538" s="13"/>
      <c r="HJ538" s="13"/>
      <c r="HK538" s="13"/>
      <c r="HL538" s="13"/>
      <c r="HM538" s="13"/>
      <c r="HN538" s="13"/>
      <c r="HO538" s="13"/>
      <c r="HP538" s="13"/>
      <c r="HQ538" s="13"/>
      <c r="HR538" s="13"/>
      <c r="HS538" s="13"/>
      <c r="HT538" s="13"/>
      <c r="HV538" s="18"/>
      <c r="HW538" s="18"/>
      <c r="HX538" s="18"/>
      <c r="HY538" s="18"/>
      <c r="HZ538" s="18"/>
      <c r="IA538" s="18"/>
      <c r="IB538" s="18"/>
      <c r="IC538" s="18"/>
      <c r="ID538" s="18"/>
      <c r="IE538" s="18"/>
      <c r="IF538" s="18"/>
      <c r="IG538" s="18"/>
      <c r="IH538" s="18"/>
      <c r="II538" s="18"/>
      <c r="IJ538" s="18"/>
      <c r="IK538" s="18"/>
      <c r="IL538" s="18"/>
      <c r="IM538" s="18"/>
      <c r="IN538" s="18"/>
      <c r="IO538" s="18"/>
      <c r="IP538" s="18"/>
      <c r="IQ538" s="18"/>
      <c r="IR538" s="18"/>
      <c r="IS538" s="18"/>
      <c r="IT538" s="18"/>
      <c r="IU538" s="18"/>
      <c r="IV538" s="18"/>
      <c r="IW538" s="18"/>
      <c r="IX538" s="18"/>
      <c r="IY538" s="18"/>
      <c r="IZ538" s="18"/>
      <c r="JA538" s="18"/>
      <c r="JB538" s="18"/>
      <c r="JC538" s="18"/>
      <c r="JD538" s="18"/>
      <c r="JE538" s="18"/>
      <c r="JF538" s="18"/>
      <c r="JG538" s="18"/>
      <c r="JH538" s="18"/>
      <c r="JI538" s="18"/>
      <c r="JJ538" s="18"/>
      <c r="JK538" s="18"/>
      <c r="JL538" s="18"/>
      <c r="JM538" s="18"/>
      <c r="JN538" s="18"/>
      <c r="JO538" s="18"/>
      <c r="JP538" s="18"/>
      <c r="JQ538" s="18"/>
      <c r="JR538" s="18"/>
      <c r="JS538" s="18"/>
      <c r="JT538" s="18"/>
      <c r="JU538" s="18"/>
      <c r="JV538" s="18"/>
      <c r="JW538" s="18"/>
      <c r="JX538" s="18"/>
      <c r="JY538" s="18"/>
      <c r="JZ538" s="18"/>
      <c r="KA538" s="18"/>
      <c r="KB538" s="18"/>
      <c r="KC538" s="18"/>
      <c r="KD538" s="18"/>
      <c r="KE538" s="18"/>
      <c r="KF538" s="18"/>
      <c r="KG538" s="18"/>
      <c r="KH538" s="18"/>
      <c r="KI538" s="18"/>
      <c r="KJ538" s="18"/>
      <c r="KK538" s="18"/>
      <c r="KL538" s="18"/>
      <c r="KM538" s="18"/>
      <c r="KN538" s="18"/>
      <c r="KO538" s="18"/>
      <c r="KP538" s="18"/>
    </row>
    <row r="539" spans="1:302" ht="15" customHeight="1">
      <c r="A539" s="1096"/>
      <c r="B539" s="23"/>
      <c r="C539" s="1092"/>
      <c r="D539" s="1092"/>
      <c r="E539" s="1093"/>
      <c r="F539" s="1094"/>
      <c r="G539" s="6"/>
      <c r="H539" s="6"/>
      <c r="I539" s="1095"/>
      <c r="J539" s="1095"/>
      <c r="K539" s="235"/>
      <c r="L539" s="23"/>
      <c r="M539" s="67"/>
      <c r="N539" s="67"/>
      <c r="O539" s="67"/>
      <c r="P539" s="23"/>
      <c r="Q539" s="23"/>
      <c r="R539" s="23"/>
      <c r="S539" s="23"/>
      <c r="T539" s="23"/>
      <c r="U539" s="23"/>
      <c r="V539" s="23"/>
      <c r="W539" s="23"/>
      <c r="X539" s="23"/>
      <c r="Y539" s="71"/>
      <c r="Z539" s="71"/>
      <c r="AA539" s="23"/>
      <c r="AB539" s="9"/>
      <c r="AC539" s="9"/>
      <c r="AD539" s="23"/>
      <c r="AE539" s="23"/>
      <c r="AF539" s="23"/>
      <c r="AG539" s="1099"/>
      <c r="AH539" s="44"/>
      <c r="AI539" s="45"/>
      <c r="AJ539" s="44"/>
      <c r="AK539" s="43"/>
      <c r="AL539" s="23"/>
      <c r="AS539" s="14"/>
      <c r="AU539" s="18"/>
      <c r="AV539" s="18"/>
      <c r="AW539" s="18"/>
      <c r="AX539" s="18"/>
      <c r="AY539" s="18"/>
      <c r="AZ539" s="18"/>
      <c r="BB539" s="18"/>
      <c r="BC539" s="18"/>
      <c r="BD539" s="18"/>
      <c r="BE539" s="18"/>
      <c r="BF539" s="18"/>
      <c r="BH539" s="18"/>
      <c r="BI539" s="18"/>
      <c r="BJ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  <c r="FC539" s="18"/>
      <c r="FD539" s="18"/>
      <c r="FE539" s="18"/>
      <c r="FF539" s="18"/>
      <c r="FG539" s="18"/>
      <c r="FH539" s="18"/>
      <c r="FI539" s="18"/>
      <c r="FJ539" s="18"/>
      <c r="FK539" s="18"/>
      <c r="FL539" s="18"/>
      <c r="FM539" s="18"/>
      <c r="FN539" s="18"/>
      <c r="FO539" s="18"/>
      <c r="FP539" s="18"/>
      <c r="FQ539" s="18"/>
      <c r="FR539" s="18"/>
      <c r="FS539" s="18"/>
      <c r="FT539" s="18"/>
      <c r="FU539" s="18"/>
      <c r="FV539" s="18"/>
      <c r="FW539" s="18"/>
      <c r="FX539" s="18"/>
      <c r="FY539" s="18"/>
      <c r="FZ539" s="18"/>
      <c r="GA539" s="18"/>
      <c r="GB539" s="18"/>
      <c r="GC539" s="18"/>
      <c r="GD539" s="18"/>
      <c r="GE539" s="18"/>
      <c r="GF539" s="18"/>
      <c r="GG539" s="18"/>
      <c r="GH539" s="18"/>
      <c r="GI539" s="18"/>
      <c r="GJ539" s="18"/>
      <c r="GK539" s="18"/>
      <c r="GL539" s="18"/>
      <c r="GM539" s="18"/>
      <c r="GN539" s="18"/>
      <c r="GO539" s="18"/>
      <c r="GP539" s="18"/>
      <c r="GQ539" s="18"/>
      <c r="GR539" s="18"/>
      <c r="GS539" s="18"/>
      <c r="GT539" s="18"/>
      <c r="GU539" s="18"/>
      <c r="GV539" s="18"/>
      <c r="GW539" s="18"/>
      <c r="GX539" s="18"/>
      <c r="GY539" s="18"/>
      <c r="GZ539" s="18"/>
      <c r="HA539" s="18"/>
      <c r="HB539" s="18"/>
      <c r="HC539" s="18"/>
      <c r="HD539" s="18"/>
      <c r="HE539" s="18"/>
      <c r="HF539" s="18"/>
      <c r="HG539" s="13"/>
      <c r="HH539" s="13"/>
      <c r="HI539" s="13"/>
      <c r="HJ539" s="13"/>
      <c r="HK539" s="13"/>
      <c r="HL539" s="13"/>
      <c r="HM539" s="13"/>
      <c r="HN539" s="13"/>
      <c r="HO539" s="13"/>
      <c r="HP539" s="13"/>
      <c r="HQ539" s="13"/>
      <c r="HR539" s="13"/>
      <c r="HS539" s="13"/>
      <c r="HT539" s="13"/>
      <c r="HV539" s="18"/>
      <c r="HW539" s="18"/>
      <c r="HX539" s="18"/>
      <c r="HY539" s="18"/>
      <c r="HZ539" s="18"/>
      <c r="IA539" s="18"/>
      <c r="IB539" s="18"/>
      <c r="IC539" s="18"/>
      <c r="ID539" s="18"/>
      <c r="IE539" s="18"/>
      <c r="IF539" s="18"/>
      <c r="IG539" s="18"/>
      <c r="IH539" s="18"/>
      <c r="II539" s="18"/>
      <c r="IJ539" s="18"/>
      <c r="IK539" s="18"/>
      <c r="IL539" s="18"/>
      <c r="IM539" s="18"/>
      <c r="IN539" s="18"/>
      <c r="IO539" s="18"/>
      <c r="IP539" s="18"/>
      <c r="IQ539" s="18"/>
      <c r="IR539" s="18"/>
      <c r="IS539" s="18"/>
      <c r="IT539" s="18"/>
      <c r="IU539" s="18"/>
      <c r="IV539" s="18"/>
      <c r="IW539" s="18"/>
      <c r="IX539" s="18"/>
      <c r="IY539" s="18"/>
      <c r="IZ539" s="18"/>
      <c r="JA539" s="18"/>
      <c r="JB539" s="18"/>
      <c r="JC539" s="18"/>
      <c r="JD539" s="18"/>
      <c r="JE539" s="18"/>
      <c r="JF539" s="18"/>
      <c r="JG539" s="18"/>
      <c r="JH539" s="18"/>
      <c r="JI539" s="18"/>
      <c r="JJ539" s="18"/>
      <c r="JK539" s="18"/>
      <c r="JL539" s="18"/>
      <c r="JM539" s="18"/>
      <c r="JN539" s="18"/>
      <c r="JO539" s="18"/>
      <c r="JP539" s="18"/>
      <c r="JQ539" s="18"/>
      <c r="JR539" s="18"/>
      <c r="JS539" s="18"/>
      <c r="JT539" s="18"/>
      <c r="JU539" s="18"/>
      <c r="JV539" s="18"/>
      <c r="JW539" s="18"/>
      <c r="JX539" s="18"/>
      <c r="JY539" s="18"/>
      <c r="JZ539" s="18"/>
      <c r="KA539" s="18"/>
      <c r="KB539" s="18"/>
      <c r="KC539" s="18"/>
      <c r="KD539" s="18"/>
      <c r="KE539" s="18"/>
      <c r="KF539" s="18"/>
      <c r="KG539" s="18"/>
      <c r="KH539" s="18"/>
      <c r="KI539" s="18"/>
      <c r="KJ539" s="18"/>
      <c r="KK539" s="18"/>
      <c r="KL539" s="18"/>
      <c r="KM539" s="18"/>
      <c r="KN539" s="18"/>
      <c r="KO539" s="18"/>
      <c r="KP539" s="18"/>
    </row>
    <row r="540" spans="1:302" ht="15" customHeight="1">
      <c r="A540" s="1096"/>
      <c r="B540" s="23"/>
      <c r="C540" s="1092"/>
      <c r="D540" s="1092"/>
      <c r="E540" s="1093"/>
      <c r="F540" s="1094"/>
      <c r="G540" s="6"/>
      <c r="H540" s="6"/>
      <c r="I540" s="1095"/>
      <c r="J540" s="1095"/>
      <c r="K540" s="235"/>
      <c r="L540" s="23"/>
      <c r="M540" s="67"/>
      <c r="N540" s="67"/>
      <c r="O540" s="67"/>
      <c r="P540" s="23"/>
      <c r="Q540" s="23"/>
      <c r="R540" s="23"/>
      <c r="S540" s="23"/>
      <c r="T540" s="23"/>
      <c r="U540" s="23"/>
      <c r="V540" s="23"/>
      <c r="W540" s="23"/>
      <c r="X540" s="23"/>
      <c r="Y540" s="71"/>
      <c r="Z540" s="71"/>
      <c r="AA540" s="23"/>
      <c r="AB540" s="9"/>
      <c r="AC540" s="9"/>
      <c r="AD540" s="23"/>
      <c r="AE540" s="23"/>
      <c r="AF540" s="23"/>
      <c r="AG540" s="1099"/>
      <c r="AH540" s="44"/>
      <c r="AI540" s="45"/>
      <c r="AJ540" s="44"/>
      <c r="AK540" s="43"/>
      <c r="AL540" s="23"/>
      <c r="AS540" s="14"/>
      <c r="AU540" s="18"/>
      <c r="AV540" s="18"/>
      <c r="AW540" s="18"/>
      <c r="AX540" s="18"/>
      <c r="AY540" s="18"/>
      <c r="AZ540" s="18"/>
      <c r="BB540" s="18"/>
      <c r="BC540" s="18"/>
      <c r="BD540" s="18"/>
      <c r="BE540" s="18"/>
      <c r="BF540" s="18"/>
      <c r="BH540" s="18"/>
      <c r="BI540" s="18"/>
      <c r="BJ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  <c r="FC540" s="18"/>
      <c r="FD540" s="18"/>
      <c r="FE540" s="18"/>
      <c r="FF540" s="18"/>
      <c r="FG540" s="18"/>
      <c r="FH540" s="18"/>
      <c r="FI540" s="18"/>
      <c r="FJ540" s="18"/>
      <c r="FK540" s="18"/>
      <c r="FL540" s="18"/>
      <c r="FM540" s="18"/>
      <c r="FN540" s="18"/>
      <c r="FO540" s="18"/>
      <c r="FP540" s="18"/>
      <c r="FQ540" s="18"/>
      <c r="FR540" s="18"/>
      <c r="FS540" s="18"/>
      <c r="FT540" s="18"/>
      <c r="FU540" s="18"/>
      <c r="FV540" s="18"/>
      <c r="FW540" s="18"/>
      <c r="FX540" s="18"/>
      <c r="FY540" s="18"/>
      <c r="FZ540" s="18"/>
      <c r="GA540" s="18"/>
      <c r="GB540" s="18"/>
      <c r="GC540" s="18"/>
      <c r="GD540" s="18"/>
      <c r="GE540" s="18"/>
      <c r="GF540" s="18"/>
      <c r="GG540" s="18"/>
      <c r="GH540" s="18"/>
      <c r="GI540" s="18"/>
      <c r="GJ540" s="18"/>
      <c r="GK540" s="18"/>
      <c r="GL540" s="18"/>
      <c r="GM540" s="18"/>
      <c r="GN540" s="18"/>
      <c r="GO540" s="18"/>
      <c r="GP540" s="18"/>
      <c r="GQ540" s="18"/>
      <c r="GR540" s="18"/>
      <c r="GS540" s="18"/>
      <c r="GT540" s="18"/>
      <c r="GU540" s="18"/>
      <c r="GV540" s="18"/>
      <c r="GW540" s="18"/>
      <c r="GX540" s="18"/>
      <c r="GY540" s="18"/>
      <c r="GZ540" s="18"/>
      <c r="HA540" s="18"/>
      <c r="HB540" s="18"/>
      <c r="HC540" s="18"/>
      <c r="HD540" s="18"/>
      <c r="HE540" s="18"/>
      <c r="HF540" s="18"/>
      <c r="HG540" s="13"/>
      <c r="HH540" s="13"/>
      <c r="HI540" s="13"/>
      <c r="HJ540" s="13"/>
      <c r="HK540" s="13"/>
      <c r="HL540" s="13"/>
      <c r="HM540" s="13"/>
      <c r="HN540" s="13"/>
      <c r="HO540" s="13"/>
      <c r="HP540" s="13"/>
      <c r="HQ540" s="13"/>
      <c r="HR540" s="13"/>
      <c r="HS540" s="13"/>
      <c r="HT540" s="13"/>
      <c r="HV540" s="18"/>
      <c r="HW540" s="18"/>
      <c r="HX540" s="18"/>
      <c r="HY540" s="18"/>
      <c r="HZ540" s="18"/>
      <c r="IA540" s="18"/>
      <c r="IB540" s="18"/>
      <c r="IC540" s="18"/>
      <c r="ID540" s="18"/>
      <c r="IE540" s="18"/>
      <c r="IF540" s="18"/>
      <c r="IG540" s="18"/>
      <c r="IH540" s="18"/>
      <c r="II540" s="18"/>
      <c r="IJ540" s="18"/>
      <c r="IK540" s="18"/>
      <c r="IL540" s="18"/>
      <c r="IM540" s="18"/>
      <c r="IN540" s="18"/>
      <c r="IO540" s="18"/>
      <c r="IP540" s="18"/>
      <c r="IQ540" s="18"/>
      <c r="IR540" s="18"/>
      <c r="IS540" s="18"/>
      <c r="IT540" s="18"/>
      <c r="IU540" s="18"/>
      <c r="IV540" s="18"/>
      <c r="IW540" s="18"/>
      <c r="IX540" s="18"/>
      <c r="IY540" s="18"/>
      <c r="IZ540" s="18"/>
      <c r="JA540" s="18"/>
      <c r="JB540" s="18"/>
      <c r="JC540" s="18"/>
      <c r="JD540" s="18"/>
      <c r="JE540" s="18"/>
      <c r="JF540" s="18"/>
      <c r="JG540" s="18"/>
      <c r="JH540" s="18"/>
      <c r="JI540" s="18"/>
      <c r="JJ540" s="18"/>
      <c r="JK540" s="18"/>
      <c r="JL540" s="18"/>
      <c r="JM540" s="18"/>
      <c r="JN540" s="18"/>
      <c r="JO540" s="18"/>
      <c r="JP540" s="18"/>
      <c r="JQ540" s="18"/>
      <c r="JR540" s="18"/>
      <c r="JS540" s="18"/>
      <c r="JT540" s="18"/>
      <c r="JU540" s="18"/>
      <c r="JV540" s="18"/>
      <c r="JW540" s="18"/>
      <c r="JX540" s="18"/>
      <c r="JY540" s="18"/>
      <c r="JZ540" s="18"/>
      <c r="KA540" s="18"/>
      <c r="KB540" s="18"/>
      <c r="KC540" s="18"/>
      <c r="KD540" s="18"/>
      <c r="KE540" s="18"/>
      <c r="KF540" s="18"/>
      <c r="KG540" s="18"/>
      <c r="KH540" s="18"/>
      <c r="KI540" s="18"/>
      <c r="KJ540" s="18"/>
      <c r="KK540" s="18"/>
      <c r="KL540" s="18"/>
      <c r="KM540" s="18"/>
      <c r="KN540" s="18"/>
      <c r="KO540" s="18"/>
      <c r="KP540" s="18"/>
    </row>
    <row r="541" spans="1:302" ht="15" customHeight="1">
      <c r="A541" s="1096"/>
      <c r="B541" s="23"/>
      <c r="C541" s="1092"/>
      <c r="D541" s="1092"/>
      <c r="E541" s="1093"/>
      <c r="F541" s="1094"/>
      <c r="G541" s="6"/>
      <c r="H541" s="6"/>
      <c r="I541" s="1095"/>
      <c r="J541" s="1095"/>
      <c r="K541" s="235"/>
      <c r="L541" s="23"/>
      <c r="M541" s="67"/>
      <c r="N541" s="67"/>
      <c r="O541" s="67"/>
      <c r="P541" s="23"/>
      <c r="Q541" s="23"/>
      <c r="R541" s="23"/>
      <c r="S541" s="23"/>
      <c r="T541" s="23"/>
      <c r="U541" s="23"/>
      <c r="V541" s="23"/>
      <c r="W541" s="23"/>
      <c r="X541" s="23"/>
      <c r="Y541" s="71"/>
      <c r="Z541" s="71"/>
      <c r="AA541" s="23"/>
      <c r="AB541" s="9"/>
      <c r="AC541" s="9"/>
      <c r="AD541" s="23"/>
      <c r="AE541" s="23"/>
      <c r="AF541" s="23"/>
      <c r="AG541" s="1099"/>
      <c r="AH541" s="44"/>
      <c r="AI541" s="45"/>
      <c r="AJ541" s="44"/>
      <c r="AK541" s="43"/>
      <c r="AL541" s="23"/>
      <c r="AS541" s="14"/>
      <c r="AU541" s="18"/>
      <c r="AV541" s="18"/>
      <c r="AW541" s="18"/>
      <c r="AX541" s="18"/>
      <c r="AY541" s="18"/>
      <c r="AZ541" s="18"/>
      <c r="BB541" s="18"/>
      <c r="BC541" s="18"/>
      <c r="BD541" s="18"/>
      <c r="BE541" s="18"/>
      <c r="BF541" s="18"/>
      <c r="BH541" s="18"/>
      <c r="BI541" s="18"/>
      <c r="BJ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  <c r="FC541" s="18"/>
      <c r="FD541" s="18"/>
      <c r="FE541" s="18"/>
      <c r="FF541" s="18"/>
      <c r="FG541" s="18"/>
      <c r="FH541" s="18"/>
      <c r="FI541" s="18"/>
      <c r="FJ541" s="18"/>
      <c r="FK541" s="18"/>
      <c r="FL541" s="18"/>
      <c r="FM541" s="18"/>
      <c r="FN541" s="18"/>
      <c r="FO541" s="18"/>
      <c r="FP541" s="18"/>
      <c r="FQ541" s="18"/>
      <c r="FR541" s="18"/>
      <c r="FS541" s="18"/>
      <c r="FT541" s="18"/>
      <c r="FU541" s="18"/>
      <c r="FV541" s="18"/>
      <c r="FW541" s="18"/>
      <c r="FX541" s="18"/>
      <c r="FY541" s="18"/>
      <c r="FZ541" s="18"/>
      <c r="GA541" s="18"/>
      <c r="GB541" s="18"/>
      <c r="GC541" s="18"/>
      <c r="GD541" s="18"/>
      <c r="GE541" s="18"/>
      <c r="GF541" s="18"/>
      <c r="GG541" s="18"/>
      <c r="GH541" s="18"/>
      <c r="GI541" s="18"/>
      <c r="GJ541" s="18"/>
      <c r="GK541" s="18"/>
      <c r="GL541" s="18"/>
      <c r="GM541" s="18"/>
      <c r="GN541" s="18"/>
      <c r="GO541" s="18"/>
      <c r="GP541" s="18"/>
      <c r="GQ541" s="18"/>
      <c r="GR541" s="18"/>
      <c r="GS541" s="18"/>
      <c r="GT541" s="18"/>
      <c r="GU541" s="18"/>
      <c r="GV541" s="18"/>
      <c r="GW541" s="18"/>
      <c r="GX541" s="18"/>
      <c r="GY541" s="18"/>
      <c r="GZ541" s="18"/>
      <c r="HA541" s="18"/>
      <c r="HB541" s="18"/>
      <c r="HC541" s="18"/>
      <c r="HD541" s="18"/>
      <c r="HE541" s="18"/>
      <c r="HF541" s="18"/>
      <c r="HG541" s="13"/>
      <c r="HH541" s="13"/>
      <c r="HI541" s="13"/>
      <c r="HJ541" s="13"/>
      <c r="HK541" s="13"/>
      <c r="HL541" s="13"/>
      <c r="HM541" s="13"/>
      <c r="HN541" s="13"/>
      <c r="HO541" s="13"/>
      <c r="HP541" s="13"/>
      <c r="HQ541" s="13"/>
      <c r="HR541" s="13"/>
      <c r="HS541" s="13"/>
      <c r="HT541" s="13"/>
      <c r="HV541" s="18"/>
      <c r="HW541" s="18"/>
      <c r="HX541" s="18"/>
      <c r="HY541" s="18"/>
      <c r="HZ541" s="18"/>
      <c r="IA541" s="18"/>
      <c r="IB541" s="18"/>
      <c r="IC541" s="18"/>
      <c r="ID541" s="18"/>
      <c r="IE541" s="18"/>
      <c r="IF541" s="18"/>
      <c r="IG541" s="18"/>
      <c r="IH541" s="18"/>
      <c r="II541" s="18"/>
      <c r="IJ541" s="18"/>
      <c r="IK541" s="18"/>
      <c r="IL541" s="18"/>
      <c r="IM541" s="18"/>
      <c r="IN541" s="18"/>
      <c r="IO541" s="18"/>
      <c r="IP541" s="18"/>
      <c r="IQ541" s="18"/>
      <c r="IR541" s="18"/>
      <c r="IS541" s="18"/>
      <c r="IT541" s="18"/>
      <c r="IU541" s="18"/>
      <c r="IV541" s="18"/>
      <c r="IW541" s="18"/>
      <c r="IX541" s="18"/>
      <c r="IY541" s="18"/>
      <c r="IZ541" s="18"/>
      <c r="JA541" s="18"/>
      <c r="JB541" s="18"/>
      <c r="JC541" s="18"/>
      <c r="JD541" s="18"/>
      <c r="JE541" s="18"/>
      <c r="JF541" s="18"/>
      <c r="JG541" s="18"/>
      <c r="JH541" s="18"/>
      <c r="JI541" s="18"/>
      <c r="JJ541" s="18"/>
      <c r="JK541" s="18"/>
      <c r="JL541" s="18"/>
      <c r="JM541" s="18"/>
      <c r="JN541" s="18"/>
      <c r="JO541" s="18"/>
      <c r="JP541" s="18"/>
      <c r="JQ541" s="18"/>
      <c r="JR541" s="18"/>
      <c r="JS541" s="18"/>
      <c r="JT541" s="18"/>
      <c r="JU541" s="18"/>
      <c r="JV541" s="18"/>
      <c r="JW541" s="18"/>
      <c r="JX541" s="18"/>
      <c r="JY541" s="18"/>
      <c r="JZ541" s="18"/>
      <c r="KA541" s="18"/>
      <c r="KB541" s="18"/>
      <c r="KC541" s="18"/>
      <c r="KD541" s="18"/>
      <c r="KE541" s="18"/>
      <c r="KF541" s="18"/>
      <c r="KG541" s="18"/>
      <c r="KH541" s="18"/>
      <c r="KI541" s="18"/>
      <c r="KJ541" s="18"/>
      <c r="KK541" s="18"/>
      <c r="KL541" s="18"/>
      <c r="KM541" s="18"/>
      <c r="KN541" s="18"/>
      <c r="KO541" s="18"/>
      <c r="KP541" s="18"/>
    </row>
    <row r="542" spans="1:302" ht="15" customHeight="1">
      <c r="A542" s="1096"/>
      <c r="B542" s="23"/>
      <c r="C542" s="1092"/>
      <c r="D542" s="1092"/>
      <c r="E542" s="1093"/>
      <c r="F542" s="1094"/>
      <c r="G542" s="6"/>
      <c r="H542" s="6"/>
      <c r="I542" s="1095"/>
      <c r="J542" s="1095"/>
      <c r="K542" s="235"/>
      <c r="L542" s="23"/>
      <c r="M542" s="67"/>
      <c r="N542" s="67"/>
      <c r="O542" s="67"/>
      <c r="P542" s="23"/>
      <c r="Q542" s="23"/>
      <c r="R542" s="23"/>
      <c r="S542" s="23"/>
      <c r="T542" s="23"/>
      <c r="U542" s="23"/>
      <c r="V542" s="23"/>
      <c r="W542" s="23"/>
      <c r="X542" s="23"/>
      <c r="Y542" s="71"/>
      <c r="Z542" s="71"/>
      <c r="AA542" s="23"/>
      <c r="AB542" s="9"/>
      <c r="AC542" s="9"/>
      <c r="AD542" s="23"/>
      <c r="AE542" s="23"/>
      <c r="AF542" s="23"/>
      <c r="AG542" s="1099"/>
      <c r="AH542" s="44"/>
      <c r="AI542" s="45"/>
      <c r="AJ542" s="44"/>
      <c r="AK542" s="43"/>
      <c r="AL542" s="23"/>
      <c r="AS542" s="14"/>
      <c r="AU542" s="18"/>
      <c r="AV542" s="18"/>
      <c r="AW542" s="18"/>
      <c r="AX542" s="18"/>
      <c r="AY542" s="18"/>
      <c r="AZ542" s="18"/>
      <c r="BB542" s="18"/>
      <c r="BC542" s="18"/>
      <c r="BD542" s="18"/>
      <c r="BE542" s="18"/>
      <c r="BF542" s="18"/>
      <c r="BH542" s="18"/>
      <c r="BI542" s="18"/>
      <c r="BJ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  <c r="FC542" s="18"/>
      <c r="FD542" s="18"/>
      <c r="FE542" s="18"/>
      <c r="FF542" s="18"/>
      <c r="FG542" s="18"/>
      <c r="FH542" s="18"/>
      <c r="FI542" s="18"/>
      <c r="FJ542" s="18"/>
      <c r="FK542" s="18"/>
      <c r="FL542" s="18"/>
      <c r="FM542" s="18"/>
      <c r="FN542" s="18"/>
      <c r="FO542" s="18"/>
      <c r="FP542" s="18"/>
      <c r="FQ542" s="18"/>
      <c r="FR542" s="18"/>
      <c r="FS542" s="18"/>
      <c r="FT542" s="18"/>
      <c r="FU542" s="18"/>
      <c r="FV542" s="18"/>
      <c r="FW542" s="18"/>
      <c r="FX542" s="18"/>
      <c r="FY542" s="18"/>
      <c r="FZ542" s="18"/>
      <c r="GA542" s="18"/>
      <c r="GB542" s="18"/>
      <c r="GC542" s="18"/>
      <c r="GD542" s="18"/>
      <c r="GE542" s="18"/>
      <c r="GF542" s="18"/>
      <c r="GG542" s="18"/>
      <c r="GH542" s="18"/>
      <c r="GI542" s="18"/>
      <c r="GJ542" s="18"/>
      <c r="GK542" s="18"/>
      <c r="GL542" s="18"/>
      <c r="GM542" s="18"/>
      <c r="GN542" s="18"/>
      <c r="GO542" s="18"/>
      <c r="GP542" s="18"/>
      <c r="GQ542" s="18"/>
      <c r="GR542" s="18"/>
      <c r="GS542" s="18"/>
      <c r="GT542" s="18"/>
      <c r="GU542" s="18"/>
      <c r="GV542" s="18"/>
      <c r="GW542" s="18"/>
      <c r="GX542" s="18"/>
      <c r="GY542" s="18"/>
      <c r="GZ542" s="18"/>
      <c r="HA542" s="18"/>
      <c r="HB542" s="18"/>
      <c r="HC542" s="18"/>
      <c r="HD542" s="18"/>
      <c r="HE542" s="18"/>
      <c r="HF542" s="18"/>
      <c r="HG542" s="13"/>
      <c r="HH542" s="13"/>
      <c r="HI542" s="13"/>
      <c r="HJ542" s="13"/>
      <c r="HK542" s="13"/>
      <c r="HL542" s="13"/>
      <c r="HM542" s="13"/>
      <c r="HN542" s="13"/>
      <c r="HO542" s="13"/>
      <c r="HP542" s="13"/>
      <c r="HQ542" s="13"/>
      <c r="HR542" s="13"/>
      <c r="HS542" s="13"/>
      <c r="HT542" s="13"/>
      <c r="HV542" s="18"/>
      <c r="HW542" s="18"/>
      <c r="HX542" s="18"/>
      <c r="HY542" s="18"/>
      <c r="HZ542" s="18"/>
      <c r="IA542" s="18"/>
      <c r="IB542" s="18"/>
      <c r="IC542" s="18"/>
      <c r="ID542" s="18"/>
      <c r="IE542" s="18"/>
      <c r="IF542" s="18"/>
      <c r="IG542" s="18"/>
      <c r="IH542" s="18"/>
      <c r="II542" s="18"/>
      <c r="IJ542" s="18"/>
      <c r="IK542" s="18"/>
      <c r="IL542" s="18"/>
      <c r="IM542" s="18"/>
      <c r="IN542" s="18"/>
      <c r="IO542" s="18"/>
      <c r="IP542" s="18"/>
      <c r="IQ542" s="18"/>
      <c r="IR542" s="18"/>
      <c r="IS542" s="18"/>
      <c r="IT542" s="18"/>
      <c r="IU542" s="18"/>
      <c r="IV542" s="18"/>
      <c r="IW542" s="18"/>
      <c r="IX542" s="18"/>
      <c r="IY542" s="18"/>
      <c r="IZ542" s="18"/>
      <c r="JA542" s="18"/>
      <c r="JB542" s="18"/>
      <c r="JC542" s="18"/>
      <c r="JD542" s="18"/>
      <c r="JE542" s="18"/>
      <c r="JF542" s="18"/>
      <c r="JG542" s="18"/>
      <c r="JH542" s="18"/>
      <c r="JI542" s="18"/>
      <c r="JJ542" s="18"/>
      <c r="JK542" s="18"/>
      <c r="JL542" s="18"/>
      <c r="JM542" s="18"/>
      <c r="JN542" s="18"/>
      <c r="JO542" s="18"/>
      <c r="JP542" s="18"/>
      <c r="JQ542" s="18"/>
      <c r="JR542" s="18"/>
      <c r="JS542" s="18"/>
      <c r="JT542" s="18"/>
      <c r="JU542" s="18"/>
      <c r="JV542" s="18"/>
      <c r="JW542" s="18"/>
      <c r="JX542" s="18"/>
      <c r="JY542" s="18"/>
      <c r="JZ542" s="18"/>
      <c r="KA542" s="18"/>
      <c r="KB542" s="18"/>
      <c r="KC542" s="18"/>
      <c r="KD542" s="18"/>
      <c r="KE542" s="18"/>
      <c r="KF542" s="18"/>
      <c r="KG542" s="18"/>
      <c r="KH542" s="18"/>
      <c r="KI542" s="18"/>
      <c r="KJ542" s="18"/>
      <c r="KK542" s="18"/>
      <c r="KL542" s="18"/>
      <c r="KM542" s="18"/>
      <c r="KN542" s="18"/>
      <c r="KO542" s="18"/>
      <c r="KP542" s="18"/>
    </row>
    <row r="543" spans="1:302" ht="15" customHeight="1">
      <c r="A543" s="1096"/>
      <c r="B543" s="23"/>
      <c r="C543" s="1092"/>
      <c r="D543" s="1092"/>
      <c r="E543" s="1093"/>
      <c r="F543" s="1094"/>
      <c r="G543" s="6"/>
      <c r="H543" s="6"/>
      <c r="I543" s="1095"/>
      <c r="J543" s="1095"/>
      <c r="K543" s="235"/>
      <c r="L543" s="23"/>
      <c r="M543" s="67"/>
      <c r="N543" s="67"/>
      <c r="O543" s="67"/>
      <c r="P543" s="23"/>
      <c r="Q543" s="23"/>
      <c r="R543" s="23"/>
      <c r="S543" s="23"/>
      <c r="T543" s="23"/>
      <c r="U543" s="23"/>
      <c r="V543" s="23"/>
      <c r="W543" s="23"/>
      <c r="X543" s="23"/>
      <c r="Y543" s="71"/>
      <c r="Z543" s="71"/>
      <c r="AA543" s="23"/>
      <c r="AB543" s="9"/>
      <c r="AC543" s="9"/>
      <c r="AD543" s="23"/>
      <c r="AE543" s="23"/>
      <c r="AF543" s="23"/>
      <c r="AG543" s="1099"/>
      <c r="AH543" s="44"/>
      <c r="AI543" s="45"/>
      <c r="AJ543" s="44"/>
      <c r="AK543" s="43"/>
      <c r="AL543" s="23"/>
      <c r="AS543" s="14"/>
      <c r="AU543" s="18"/>
      <c r="AV543" s="18"/>
      <c r="AW543" s="18"/>
      <c r="AX543" s="18"/>
      <c r="AY543" s="18"/>
      <c r="AZ543" s="18"/>
      <c r="BB543" s="18"/>
      <c r="BC543" s="18"/>
      <c r="BD543" s="18"/>
      <c r="BE543" s="18"/>
      <c r="BF543" s="18"/>
      <c r="BH543" s="18"/>
      <c r="BI543" s="18"/>
      <c r="BJ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  <c r="FC543" s="18"/>
      <c r="FD543" s="18"/>
      <c r="FE543" s="18"/>
      <c r="FF543" s="18"/>
      <c r="FG543" s="18"/>
      <c r="FH543" s="18"/>
      <c r="FI543" s="18"/>
      <c r="FJ543" s="18"/>
      <c r="FK543" s="18"/>
      <c r="FL543" s="18"/>
      <c r="FM543" s="18"/>
      <c r="FN543" s="18"/>
      <c r="FO543" s="18"/>
      <c r="FP543" s="18"/>
      <c r="FQ543" s="18"/>
      <c r="FR543" s="18"/>
      <c r="FS543" s="18"/>
      <c r="FT543" s="18"/>
      <c r="FU543" s="18"/>
      <c r="FV543" s="18"/>
      <c r="FW543" s="18"/>
      <c r="FX543" s="18"/>
      <c r="FY543" s="18"/>
      <c r="FZ543" s="18"/>
      <c r="GA543" s="18"/>
      <c r="GB543" s="18"/>
      <c r="GC543" s="18"/>
      <c r="GD543" s="18"/>
      <c r="GE543" s="18"/>
      <c r="GF543" s="18"/>
      <c r="GG543" s="18"/>
      <c r="GH543" s="18"/>
      <c r="GI543" s="18"/>
      <c r="GJ543" s="18"/>
      <c r="GK543" s="18"/>
      <c r="GL543" s="18"/>
      <c r="GM543" s="18"/>
      <c r="GN543" s="18"/>
      <c r="GO543" s="18"/>
      <c r="GP543" s="18"/>
      <c r="GQ543" s="18"/>
      <c r="GR543" s="18"/>
      <c r="GS543" s="18"/>
      <c r="GT543" s="18"/>
      <c r="GU543" s="18"/>
      <c r="GV543" s="18"/>
      <c r="GW543" s="18"/>
      <c r="GX543" s="18"/>
      <c r="GY543" s="18"/>
      <c r="GZ543" s="18"/>
      <c r="HA543" s="18"/>
      <c r="HB543" s="18"/>
      <c r="HC543" s="18"/>
      <c r="HD543" s="18"/>
      <c r="HE543" s="18"/>
      <c r="HF543" s="18"/>
      <c r="HG543" s="13"/>
      <c r="HH543" s="13"/>
      <c r="HI543" s="13"/>
      <c r="HJ543" s="13"/>
      <c r="HK543" s="13"/>
      <c r="HL543" s="13"/>
      <c r="HM543" s="13"/>
      <c r="HN543" s="13"/>
      <c r="HO543" s="13"/>
      <c r="HP543" s="13"/>
      <c r="HQ543" s="13"/>
      <c r="HR543" s="13"/>
      <c r="HS543" s="13"/>
      <c r="HT543" s="13"/>
      <c r="HV543" s="18"/>
      <c r="HW543" s="18"/>
      <c r="HX543" s="18"/>
      <c r="HY543" s="18"/>
      <c r="HZ543" s="18"/>
      <c r="IA543" s="18"/>
      <c r="IB543" s="18"/>
      <c r="IC543" s="18"/>
      <c r="ID543" s="18"/>
      <c r="IE543" s="18"/>
      <c r="IF543" s="18"/>
      <c r="IG543" s="18"/>
      <c r="IH543" s="18"/>
      <c r="II543" s="18"/>
      <c r="IJ543" s="18"/>
      <c r="IK543" s="18"/>
      <c r="IL543" s="18"/>
      <c r="IM543" s="18"/>
      <c r="IN543" s="18"/>
      <c r="IO543" s="18"/>
      <c r="IP543" s="18"/>
      <c r="IQ543" s="18"/>
      <c r="IR543" s="18"/>
      <c r="IS543" s="18"/>
      <c r="IT543" s="18"/>
      <c r="IU543" s="18"/>
      <c r="IV543" s="18"/>
      <c r="IW543" s="18"/>
      <c r="IX543" s="18"/>
      <c r="IY543" s="18"/>
      <c r="IZ543" s="18"/>
      <c r="JA543" s="18"/>
      <c r="JB543" s="18"/>
      <c r="JC543" s="18"/>
      <c r="JD543" s="18"/>
      <c r="JE543" s="18"/>
      <c r="JF543" s="18"/>
      <c r="JG543" s="18"/>
      <c r="JH543" s="18"/>
      <c r="JI543" s="18"/>
      <c r="JJ543" s="18"/>
      <c r="JK543" s="18"/>
      <c r="JL543" s="18"/>
      <c r="JM543" s="18"/>
      <c r="JN543" s="18"/>
      <c r="JO543" s="18"/>
      <c r="JP543" s="18"/>
      <c r="JQ543" s="18"/>
      <c r="JR543" s="18"/>
      <c r="JS543" s="18"/>
      <c r="JT543" s="18"/>
      <c r="JU543" s="18"/>
      <c r="JV543" s="18"/>
      <c r="JW543" s="18"/>
      <c r="JX543" s="18"/>
      <c r="JY543" s="18"/>
      <c r="JZ543" s="18"/>
      <c r="KA543" s="18"/>
      <c r="KB543" s="18"/>
      <c r="KC543" s="18"/>
      <c r="KD543" s="18"/>
      <c r="KE543" s="18"/>
      <c r="KF543" s="18"/>
      <c r="KG543" s="18"/>
      <c r="KH543" s="18"/>
      <c r="KI543" s="18"/>
      <c r="KJ543" s="18"/>
      <c r="KK543" s="18"/>
      <c r="KL543" s="18"/>
      <c r="KM543" s="18"/>
      <c r="KN543" s="18"/>
      <c r="KO543" s="18"/>
      <c r="KP543" s="18"/>
    </row>
    <row r="544" spans="1:302" ht="15" customHeight="1">
      <c r="A544" s="1096"/>
      <c r="B544" s="23"/>
      <c r="C544" s="1092"/>
      <c r="D544" s="1092"/>
      <c r="E544" s="1093"/>
      <c r="F544" s="1094"/>
      <c r="G544" s="6"/>
      <c r="H544" s="6"/>
      <c r="I544" s="1095"/>
      <c r="J544" s="1095"/>
      <c r="K544" s="235"/>
      <c r="L544" s="23"/>
      <c r="M544" s="67"/>
      <c r="N544" s="67"/>
      <c r="O544" s="67"/>
      <c r="P544" s="23"/>
      <c r="Q544" s="23"/>
      <c r="R544" s="23"/>
      <c r="S544" s="23"/>
      <c r="T544" s="23"/>
      <c r="U544" s="23"/>
      <c r="V544" s="23"/>
      <c r="W544" s="23"/>
      <c r="X544" s="23"/>
      <c r="Y544" s="71"/>
      <c r="Z544" s="71"/>
      <c r="AA544" s="23"/>
      <c r="AB544" s="9"/>
      <c r="AC544" s="9"/>
      <c r="AD544" s="23"/>
      <c r="AE544" s="23"/>
      <c r="AF544" s="23"/>
      <c r="AG544" s="1099"/>
      <c r="AH544" s="44"/>
      <c r="AI544" s="45"/>
      <c r="AJ544" s="44"/>
      <c r="AK544" s="43"/>
      <c r="AL544" s="23"/>
      <c r="AS544" s="14"/>
      <c r="AU544" s="18"/>
      <c r="AV544" s="18"/>
      <c r="AW544" s="18"/>
      <c r="AX544" s="18"/>
      <c r="AY544" s="18"/>
      <c r="AZ544" s="18"/>
      <c r="BB544" s="18"/>
      <c r="BC544" s="18"/>
      <c r="BD544" s="18"/>
      <c r="BE544" s="18"/>
      <c r="BF544" s="18"/>
      <c r="BH544" s="18"/>
      <c r="BI544" s="18"/>
      <c r="BJ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  <c r="FC544" s="18"/>
      <c r="FD544" s="18"/>
      <c r="FE544" s="18"/>
      <c r="FF544" s="18"/>
      <c r="FG544" s="18"/>
      <c r="FH544" s="18"/>
      <c r="FI544" s="18"/>
      <c r="FJ544" s="18"/>
      <c r="FK544" s="18"/>
      <c r="FL544" s="18"/>
      <c r="FM544" s="18"/>
      <c r="FN544" s="18"/>
      <c r="FO544" s="18"/>
      <c r="FP544" s="18"/>
      <c r="FQ544" s="18"/>
      <c r="FR544" s="18"/>
      <c r="FS544" s="18"/>
      <c r="FT544" s="18"/>
      <c r="FU544" s="18"/>
      <c r="FV544" s="18"/>
      <c r="FW544" s="18"/>
      <c r="FX544" s="18"/>
      <c r="FY544" s="18"/>
      <c r="FZ544" s="18"/>
      <c r="GA544" s="18"/>
      <c r="GB544" s="18"/>
      <c r="GC544" s="18"/>
      <c r="GD544" s="18"/>
      <c r="GE544" s="18"/>
      <c r="GF544" s="18"/>
      <c r="GG544" s="18"/>
      <c r="GH544" s="18"/>
      <c r="GI544" s="18"/>
      <c r="GJ544" s="18"/>
      <c r="GK544" s="18"/>
      <c r="GL544" s="18"/>
      <c r="GM544" s="18"/>
      <c r="GN544" s="18"/>
      <c r="GO544" s="18"/>
      <c r="GP544" s="18"/>
      <c r="GQ544" s="18"/>
      <c r="GR544" s="18"/>
      <c r="GS544" s="18"/>
      <c r="GT544" s="18"/>
      <c r="GU544" s="18"/>
      <c r="GV544" s="18"/>
      <c r="GW544" s="18"/>
      <c r="GX544" s="18"/>
      <c r="GY544" s="18"/>
      <c r="GZ544" s="18"/>
      <c r="HA544" s="18"/>
      <c r="HB544" s="18"/>
      <c r="HC544" s="18"/>
      <c r="HD544" s="18"/>
      <c r="HE544" s="18"/>
      <c r="HF544" s="18"/>
      <c r="HG544" s="13"/>
      <c r="HH544" s="13"/>
      <c r="HI544" s="13"/>
      <c r="HJ544" s="13"/>
      <c r="HK544" s="13"/>
      <c r="HL544" s="13"/>
      <c r="HM544" s="13"/>
      <c r="HN544" s="13"/>
      <c r="HO544" s="13"/>
      <c r="HP544" s="13"/>
      <c r="HQ544" s="13"/>
      <c r="HR544" s="13"/>
      <c r="HS544" s="13"/>
      <c r="HT544" s="13"/>
      <c r="HV544" s="18"/>
      <c r="HW544" s="18"/>
      <c r="HX544" s="18"/>
      <c r="HY544" s="18"/>
      <c r="HZ544" s="18"/>
      <c r="IA544" s="18"/>
      <c r="IB544" s="18"/>
      <c r="IC544" s="18"/>
      <c r="ID544" s="18"/>
      <c r="IE544" s="18"/>
      <c r="IF544" s="18"/>
      <c r="IG544" s="18"/>
      <c r="IH544" s="18"/>
      <c r="II544" s="18"/>
      <c r="IJ544" s="18"/>
      <c r="IK544" s="18"/>
      <c r="IL544" s="18"/>
      <c r="IM544" s="18"/>
      <c r="IN544" s="18"/>
      <c r="IO544" s="18"/>
      <c r="IP544" s="18"/>
      <c r="IQ544" s="18"/>
      <c r="IR544" s="18"/>
      <c r="IS544" s="18"/>
      <c r="IT544" s="18"/>
      <c r="IU544" s="18"/>
      <c r="IV544" s="18"/>
      <c r="IW544" s="18"/>
      <c r="IX544" s="18"/>
      <c r="IY544" s="18"/>
      <c r="IZ544" s="18"/>
      <c r="JA544" s="18"/>
      <c r="JB544" s="18"/>
      <c r="JC544" s="18"/>
      <c r="JD544" s="18"/>
      <c r="JE544" s="18"/>
      <c r="JF544" s="18"/>
      <c r="JG544" s="18"/>
      <c r="JH544" s="18"/>
      <c r="JI544" s="18"/>
      <c r="JJ544" s="18"/>
      <c r="JK544" s="18"/>
      <c r="JL544" s="18"/>
      <c r="JM544" s="18"/>
      <c r="JN544" s="18"/>
      <c r="JO544" s="18"/>
      <c r="JP544" s="18"/>
      <c r="JQ544" s="18"/>
      <c r="JR544" s="18"/>
      <c r="JS544" s="18"/>
      <c r="JT544" s="18"/>
      <c r="JU544" s="18"/>
      <c r="JV544" s="18"/>
      <c r="JW544" s="18"/>
      <c r="JX544" s="18"/>
      <c r="JY544" s="18"/>
      <c r="JZ544" s="18"/>
      <c r="KA544" s="18"/>
      <c r="KB544" s="18"/>
      <c r="KC544" s="18"/>
      <c r="KD544" s="18"/>
      <c r="KE544" s="18"/>
      <c r="KF544" s="18"/>
      <c r="KG544" s="18"/>
      <c r="KH544" s="18"/>
      <c r="KI544" s="18"/>
      <c r="KJ544" s="18"/>
      <c r="KK544" s="18"/>
      <c r="KL544" s="18"/>
      <c r="KM544" s="18"/>
      <c r="KN544" s="18"/>
      <c r="KO544" s="18"/>
      <c r="KP544" s="18"/>
    </row>
    <row r="545" spans="1:302" ht="15" customHeight="1">
      <c r="A545" s="1096"/>
      <c r="B545" s="23"/>
      <c r="C545" s="1092"/>
      <c r="D545" s="1092"/>
      <c r="E545" s="1093"/>
      <c r="F545" s="1094"/>
      <c r="G545" s="6"/>
      <c r="H545" s="6"/>
      <c r="I545" s="1095"/>
      <c r="J545" s="1095"/>
      <c r="K545" s="235"/>
      <c r="L545" s="23"/>
      <c r="M545" s="67"/>
      <c r="N545" s="67"/>
      <c r="O545" s="67"/>
      <c r="P545" s="23"/>
      <c r="Q545" s="23"/>
      <c r="R545" s="23"/>
      <c r="S545" s="23"/>
      <c r="T545" s="23"/>
      <c r="U545" s="23"/>
      <c r="V545" s="23"/>
      <c r="W545" s="23"/>
      <c r="X545" s="23"/>
      <c r="Y545" s="71"/>
      <c r="Z545" s="71"/>
      <c r="AA545" s="23"/>
      <c r="AB545" s="9"/>
      <c r="AC545" s="9"/>
      <c r="AD545" s="23"/>
      <c r="AE545" s="23"/>
      <c r="AF545" s="23"/>
      <c r="AG545" s="1099"/>
      <c r="AH545" s="44"/>
      <c r="AI545" s="45"/>
      <c r="AJ545" s="44"/>
      <c r="AK545" s="43"/>
      <c r="AL545" s="23"/>
      <c r="AS545" s="14"/>
      <c r="AU545" s="18"/>
      <c r="AV545" s="18"/>
      <c r="AW545" s="18"/>
      <c r="AX545" s="18"/>
      <c r="AY545" s="18"/>
      <c r="AZ545" s="18"/>
      <c r="BB545" s="18"/>
      <c r="BC545" s="18"/>
      <c r="BD545" s="18"/>
      <c r="BE545" s="18"/>
      <c r="BF545" s="18"/>
      <c r="BH545" s="18"/>
      <c r="BI545" s="18"/>
      <c r="BJ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  <c r="FC545" s="18"/>
      <c r="FD545" s="18"/>
      <c r="FE545" s="18"/>
      <c r="FF545" s="18"/>
      <c r="FG545" s="18"/>
      <c r="FH545" s="18"/>
      <c r="FI545" s="18"/>
      <c r="FJ545" s="18"/>
      <c r="FK545" s="18"/>
      <c r="FL545" s="18"/>
      <c r="FM545" s="18"/>
      <c r="FN545" s="18"/>
      <c r="FO545" s="18"/>
      <c r="FP545" s="18"/>
      <c r="FQ545" s="18"/>
      <c r="FR545" s="18"/>
      <c r="FS545" s="18"/>
      <c r="FT545" s="18"/>
      <c r="FU545" s="18"/>
      <c r="FV545" s="18"/>
      <c r="FW545" s="18"/>
      <c r="FX545" s="18"/>
      <c r="FY545" s="18"/>
      <c r="FZ545" s="18"/>
      <c r="GA545" s="18"/>
      <c r="GB545" s="18"/>
      <c r="GC545" s="18"/>
      <c r="GD545" s="18"/>
      <c r="GE545" s="18"/>
      <c r="GF545" s="18"/>
      <c r="GG545" s="18"/>
      <c r="GH545" s="18"/>
      <c r="GI545" s="18"/>
      <c r="GJ545" s="18"/>
      <c r="GK545" s="18"/>
      <c r="GL545" s="18"/>
      <c r="GM545" s="18"/>
      <c r="GN545" s="18"/>
      <c r="GO545" s="18"/>
      <c r="GP545" s="18"/>
      <c r="GQ545" s="18"/>
      <c r="GR545" s="18"/>
      <c r="GS545" s="18"/>
      <c r="GT545" s="18"/>
      <c r="GU545" s="18"/>
      <c r="GV545" s="18"/>
      <c r="GW545" s="18"/>
      <c r="GX545" s="18"/>
      <c r="GY545" s="18"/>
      <c r="GZ545" s="18"/>
      <c r="HA545" s="18"/>
      <c r="HB545" s="18"/>
      <c r="HC545" s="18"/>
      <c r="HD545" s="18"/>
      <c r="HE545" s="18"/>
      <c r="HF545" s="18"/>
      <c r="HG545" s="13"/>
      <c r="HH545" s="13"/>
      <c r="HI545" s="13"/>
      <c r="HJ545" s="13"/>
      <c r="HK545" s="13"/>
      <c r="HL545" s="13"/>
      <c r="HM545" s="13"/>
      <c r="HN545" s="13"/>
      <c r="HO545" s="13"/>
      <c r="HP545" s="13"/>
      <c r="HQ545" s="13"/>
      <c r="HR545" s="13"/>
      <c r="HS545" s="13"/>
      <c r="HT545" s="13"/>
      <c r="HV545" s="18"/>
      <c r="HW545" s="18"/>
      <c r="HX545" s="18"/>
      <c r="HY545" s="18"/>
      <c r="HZ545" s="18"/>
      <c r="IA545" s="18"/>
      <c r="IB545" s="18"/>
      <c r="IC545" s="18"/>
      <c r="ID545" s="18"/>
      <c r="IE545" s="18"/>
      <c r="IF545" s="18"/>
      <c r="IG545" s="18"/>
      <c r="IH545" s="18"/>
      <c r="II545" s="18"/>
      <c r="IJ545" s="18"/>
      <c r="IK545" s="18"/>
      <c r="IL545" s="18"/>
      <c r="IM545" s="18"/>
      <c r="IN545" s="18"/>
      <c r="IO545" s="18"/>
      <c r="IP545" s="18"/>
      <c r="IQ545" s="18"/>
      <c r="IR545" s="18"/>
      <c r="IS545" s="18"/>
      <c r="IT545" s="18"/>
      <c r="IU545" s="18"/>
      <c r="IV545" s="18"/>
      <c r="IW545" s="18"/>
      <c r="IX545" s="18"/>
      <c r="IY545" s="18"/>
      <c r="IZ545" s="18"/>
      <c r="JA545" s="18"/>
      <c r="JB545" s="18"/>
      <c r="JC545" s="18"/>
      <c r="JD545" s="18"/>
      <c r="JE545" s="18"/>
      <c r="JF545" s="18"/>
      <c r="JG545" s="18"/>
      <c r="JH545" s="18"/>
      <c r="JI545" s="18"/>
      <c r="JJ545" s="18"/>
      <c r="JK545" s="18"/>
      <c r="JL545" s="18"/>
      <c r="JM545" s="18"/>
      <c r="JN545" s="18"/>
      <c r="JO545" s="18"/>
      <c r="JP545" s="18"/>
      <c r="JQ545" s="18"/>
      <c r="JR545" s="18"/>
      <c r="JS545" s="18"/>
      <c r="JT545" s="18"/>
      <c r="JU545" s="18"/>
      <c r="JV545" s="18"/>
      <c r="JW545" s="18"/>
      <c r="JX545" s="18"/>
      <c r="JY545" s="18"/>
      <c r="JZ545" s="18"/>
      <c r="KA545" s="18"/>
      <c r="KB545" s="18"/>
      <c r="KC545" s="18"/>
      <c r="KD545" s="18"/>
      <c r="KE545" s="18"/>
      <c r="KF545" s="18"/>
      <c r="KG545" s="18"/>
      <c r="KH545" s="18"/>
      <c r="KI545" s="18"/>
      <c r="KJ545" s="18"/>
      <c r="KK545" s="18"/>
      <c r="KL545" s="18"/>
      <c r="KM545" s="18"/>
      <c r="KN545" s="18"/>
      <c r="KO545" s="18"/>
      <c r="KP545" s="18"/>
    </row>
    <row r="546" spans="1:302" ht="15" customHeight="1">
      <c r="A546" s="1096"/>
      <c r="B546" s="23"/>
      <c r="C546" s="1092"/>
      <c r="D546" s="1092"/>
      <c r="E546" s="1093"/>
      <c r="F546" s="1094"/>
      <c r="G546" s="6"/>
      <c r="H546" s="6"/>
      <c r="I546" s="1095"/>
      <c r="J546" s="1095"/>
      <c r="K546" s="235"/>
      <c r="L546" s="23"/>
      <c r="M546" s="67"/>
      <c r="N546" s="67"/>
      <c r="O546" s="67"/>
      <c r="P546" s="23"/>
      <c r="Q546" s="23"/>
      <c r="R546" s="23"/>
      <c r="S546" s="23"/>
      <c r="T546" s="23"/>
      <c r="U546" s="23"/>
      <c r="V546" s="23"/>
      <c r="W546" s="23"/>
      <c r="X546" s="23"/>
      <c r="Y546" s="71"/>
      <c r="Z546" s="71"/>
      <c r="AA546" s="23"/>
      <c r="AB546" s="9"/>
      <c r="AC546" s="9"/>
      <c r="AD546" s="23"/>
      <c r="AE546" s="23"/>
      <c r="AF546" s="23"/>
      <c r="AG546" s="1099"/>
      <c r="AH546" s="44"/>
      <c r="AI546" s="45"/>
      <c r="AJ546" s="44"/>
      <c r="AK546" s="43"/>
      <c r="AL546" s="23"/>
      <c r="AS546" s="14"/>
      <c r="AU546" s="18"/>
      <c r="AV546" s="18"/>
      <c r="AW546" s="18"/>
      <c r="AX546" s="18"/>
      <c r="AY546" s="18"/>
      <c r="AZ546" s="18"/>
      <c r="BB546" s="18"/>
      <c r="BC546" s="18"/>
      <c r="BD546" s="18"/>
      <c r="BE546" s="18"/>
      <c r="BF546" s="18"/>
      <c r="BH546" s="18"/>
      <c r="BI546" s="18"/>
      <c r="BJ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  <c r="FC546" s="18"/>
      <c r="FD546" s="18"/>
      <c r="FE546" s="18"/>
      <c r="FF546" s="18"/>
      <c r="FG546" s="18"/>
      <c r="FH546" s="18"/>
      <c r="FI546" s="18"/>
      <c r="FJ546" s="18"/>
      <c r="FK546" s="18"/>
      <c r="FL546" s="18"/>
      <c r="FM546" s="18"/>
      <c r="FN546" s="18"/>
      <c r="FO546" s="18"/>
      <c r="FP546" s="18"/>
      <c r="FQ546" s="18"/>
      <c r="FR546" s="18"/>
      <c r="FS546" s="18"/>
      <c r="FT546" s="18"/>
      <c r="FU546" s="18"/>
      <c r="FV546" s="18"/>
      <c r="FW546" s="18"/>
      <c r="FX546" s="18"/>
      <c r="FY546" s="18"/>
      <c r="FZ546" s="18"/>
      <c r="GA546" s="18"/>
      <c r="GB546" s="18"/>
      <c r="GC546" s="18"/>
      <c r="GD546" s="18"/>
      <c r="GE546" s="18"/>
      <c r="GF546" s="18"/>
      <c r="GG546" s="18"/>
      <c r="GH546" s="18"/>
      <c r="GI546" s="18"/>
      <c r="GJ546" s="18"/>
      <c r="GK546" s="18"/>
      <c r="GL546" s="18"/>
      <c r="GM546" s="18"/>
      <c r="GN546" s="18"/>
      <c r="GO546" s="18"/>
      <c r="GP546" s="18"/>
      <c r="GQ546" s="18"/>
      <c r="GR546" s="18"/>
      <c r="GS546" s="18"/>
      <c r="GT546" s="18"/>
      <c r="GU546" s="18"/>
      <c r="GV546" s="18"/>
      <c r="GW546" s="18"/>
      <c r="GX546" s="18"/>
      <c r="GY546" s="18"/>
      <c r="GZ546" s="18"/>
      <c r="HA546" s="18"/>
      <c r="HB546" s="18"/>
      <c r="HC546" s="18"/>
      <c r="HD546" s="18"/>
      <c r="HE546" s="18"/>
      <c r="HF546" s="18"/>
      <c r="HG546" s="13"/>
      <c r="HH546" s="13"/>
      <c r="HI546" s="13"/>
      <c r="HJ546" s="13"/>
      <c r="HK546" s="13"/>
      <c r="HL546" s="13"/>
      <c r="HM546" s="13"/>
      <c r="HN546" s="13"/>
      <c r="HO546" s="13"/>
      <c r="HP546" s="13"/>
      <c r="HQ546" s="13"/>
      <c r="HR546" s="13"/>
      <c r="HS546" s="13"/>
      <c r="HT546" s="13"/>
      <c r="HV546" s="18"/>
      <c r="HW546" s="18"/>
      <c r="HX546" s="18"/>
      <c r="HY546" s="18"/>
      <c r="HZ546" s="18"/>
      <c r="IA546" s="18"/>
      <c r="IB546" s="18"/>
      <c r="IC546" s="18"/>
      <c r="ID546" s="18"/>
      <c r="IE546" s="18"/>
      <c r="IF546" s="18"/>
      <c r="IG546" s="18"/>
      <c r="IH546" s="18"/>
      <c r="II546" s="18"/>
      <c r="IJ546" s="18"/>
      <c r="IK546" s="18"/>
      <c r="IL546" s="18"/>
      <c r="IM546" s="18"/>
      <c r="IN546" s="18"/>
      <c r="IO546" s="18"/>
      <c r="IP546" s="18"/>
      <c r="IQ546" s="18"/>
      <c r="IR546" s="18"/>
      <c r="IS546" s="18"/>
      <c r="IT546" s="18"/>
      <c r="IU546" s="18"/>
      <c r="IV546" s="18"/>
      <c r="IW546" s="18"/>
      <c r="IX546" s="18"/>
      <c r="IY546" s="18"/>
      <c r="IZ546" s="18"/>
      <c r="JA546" s="18"/>
      <c r="JB546" s="18"/>
      <c r="JC546" s="18"/>
      <c r="JD546" s="18"/>
      <c r="JE546" s="18"/>
      <c r="JF546" s="18"/>
      <c r="JG546" s="18"/>
      <c r="JH546" s="18"/>
      <c r="JI546" s="18"/>
      <c r="JJ546" s="18"/>
      <c r="JK546" s="18"/>
      <c r="JL546" s="18"/>
      <c r="JM546" s="18"/>
      <c r="JN546" s="18"/>
      <c r="JO546" s="18"/>
      <c r="JP546" s="18"/>
      <c r="JQ546" s="18"/>
      <c r="JR546" s="18"/>
      <c r="JS546" s="18"/>
      <c r="JT546" s="18"/>
      <c r="JU546" s="18"/>
      <c r="JV546" s="18"/>
      <c r="JW546" s="18"/>
      <c r="JX546" s="18"/>
      <c r="JY546" s="18"/>
      <c r="JZ546" s="18"/>
      <c r="KA546" s="18"/>
      <c r="KB546" s="18"/>
      <c r="KC546" s="18"/>
      <c r="KD546" s="18"/>
      <c r="KE546" s="18"/>
      <c r="KF546" s="18"/>
      <c r="KG546" s="18"/>
      <c r="KH546" s="18"/>
      <c r="KI546" s="18"/>
      <c r="KJ546" s="18"/>
      <c r="KK546" s="18"/>
      <c r="KL546" s="18"/>
      <c r="KM546" s="18"/>
      <c r="KN546" s="18"/>
      <c r="KO546" s="18"/>
      <c r="KP546" s="18"/>
    </row>
    <row r="547" spans="1:302" ht="15" customHeight="1">
      <c r="A547" s="1096"/>
      <c r="B547" s="23"/>
      <c r="C547" s="1092"/>
      <c r="D547" s="1092"/>
      <c r="E547" s="1093"/>
      <c r="F547" s="1094"/>
      <c r="G547" s="6"/>
      <c r="H547" s="6"/>
      <c r="I547" s="1095"/>
      <c r="J547" s="1095"/>
      <c r="K547" s="235"/>
      <c r="L547" s="23"/>
      <c r="M547" s="67"/>
      <c r="N547" s="67"/>
      <c r="O547" s="67"/>
      <c r="P547" s="23"/>
      <c r="Q547" s="23"/>
      <c r="R547" s="23"/>
      <c r="S547" s="23"/>
      <c r="T547" s="23"/>
      <c r="U547" s="23"/>
      <c r="V547" s="23"/>
      <c r="W547" s="23"/>
      <c r="X547" s="23"/>
      <c r="Y547" s="71"/>
      <c r="Z547" s="71"/>
      <c r="AA547" s="23"/>
      <c r="AB547" s="9"/>
      <c r="AC547" s="9"/>
      <c r="AD547" s="23"/>
      <c r="AE547" s="23"/>
      <c r="AF547" s="23"/>
      <c r="AG547" s="1099"/>
      <c r="AH547" s="44"/>
      <c r="AI547" s="45"/>
      <c r="AJ547" s="44"/>
      <c r="AK547" s="43"/>
      <c r="AL547" s="23"/>
      <c r="AS547" s="14"/>
      <c r="AU547" s="18"/>
      <c r="AV547" s="18"/>
      <c r="AW547" s="18"/>
      <c r="AX547" s="18"/>
      <c r="AY547" s="18"/>
      <c r="AZ547" s="18"/>
      <c r="BB547" s="18"/>
      <c r="BC547" s="18"/>
      <c r="BD547" s="18"/>
      <c r="BE547" s="18"/>
      <c r="BF547" s="18"/>
      <c r="BH547" s="18"/>
      <c r="BI547" s="18"/>
      <c r="BJ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  <c r="FR547" s="18"/>
      <c r="FS547" s="18"/>
      <c r="FT547" s="18"/>
      <c r="FU547" s="18"/>
      <c r="FV547" s="18"/>
      <c r="FW547" s="18"/>
      <c r="FX547" s="18"/>
      <c r="FY547" s="18"/>
      <c r="FZ547" s="18"/>
      <c r="GA547" s="18"/>
      <c r="GB547" s="18"/>
      <c r="GC547" s="18"/>
      <c r="GD547" s="18"/>
      <c r="GE547" s="18"/>
      <c r="GF547" s="18"/>
      <c r="GG547" s="18"/>
      <c r="GH547" s="18"/>
      <c r="GI547" s="18"/>
      <c r="GJ547" s="18"/>
      <c r="GK547" s="18"/>
      <c r="GL547" s="18"/>
      <c r="GM547" s="18"/>
      <c r="GN547" s="18"/>
      <c r="GO547" s="18"/>
      <c r="GP547" s="18"/>
      <c r="GQ547" s="18"/>
      <c r="GR547" s="18"/>
      <c r="GS547" s="18"/>
      <c r="GT547" s="18"/>
      <c r="GU547" s="18"/>
      <c r="GV547" s="18"/>
      <c r="GW547" s="18"/>
      <c r="GX547" s="18"/>
      <c r="GY547" s="18"/>
      <c r="GZ547" s="18"/>
      <c r="HA547" s="18"/>
      <c r="HB547" s="18"/>
      <c r="HC547" s="18"/>
      <c r="HD547" s="18"/>
      <c r="HE547" s="18"/>
      <c r="HF547" s="18"/>
      <c r="HG547" s="13"/>
      <c r="HH547" s="13"/>
      <c r="HI547" s="13"/>
      <c r="HJ547" s="13"/>
      <c r="HK547" s="13"/>
      <c r="HL547" s="13"/>
      <c r="HM547" s="13"/>
      <c r="HN547" s="13"/>
      <c r="HO547" s="13"/>
      <c r="HP547" s="13"/>
      <c r="HQ547" s="13"/>
      <c r="HR547" s="13"/>
      <c r="HS547" s="13"/>
      <c r="HT547" s="13"/>
      <c r="HV547" s="18"/>
      <c r="HW547" s="18"/>
      <c r="HX547" s="18"/>
      <c r="HY547" s="18"/>
      <c r="HZ547" s="18"/>
      <c r="IA547" s="18"/>
      <c r="IB547" s="18"/>
      <c r="IC547" s="18"/>
      <c r="ID547" s="18"/>
      <c r="IE547" s="18"/>
      <c r="IF547" s="18"/>
      <c r="IG547" s="18"/>
      <c r="IH547" s="18"/>
      <c r="II547" s="18"/>
      <c r="IJ547" s="18"/>
      <c r="IK547" s="18"/>
      <c r="IL547" s="18"/>
      <c r="IM547" s="18"/>
      <c r="IN547" s="18"/>
      <c r="IO547" s="18"/>
      <c r="IP547" s="18"/>
      <c r="IQ547" s="18"/>
      <c r="IR547" s="18"/>
      <c r="IS547" s="18"/>
      <c r="IT547" s="18"/>
      <c r="IU547" s="18"/>
      <c r="IV547" s="18"/>
      <c r="IW547" s="18"/>
      <c r="IX547" s="18"/>
      <c r="IY547" s="18"/>
      <c r="IZ547" s="18"/>
      <c r="JA547" s="18"/>
      <c r="JB547" s="18"/>
      <c r="JC547" s="18"/>
      <c r="JD547" s="18"/>
      <c r="JE547" s="18"/>
      <c r="JF547" s="18"/>
      <c r="JG547" s="18"/>
      <c r="JH547" s="18"/>
      <c r="JI547" s="18"/>
      <c r="JJ547" s="18"/>
      <c r="JK547" s="18"/>
      <c r="JL547" s="18"/>
      <c r="JM547" s="18"/>
      <c r="JN547" s="18"/>
      <c r="JO547" s="18"/>
      <c r="JP547" s="18"/>
      <c r="JQ547" s="18"/>
      <c r="JR547" s="18"/>
      <c r="JS547" s="18"/>
      <c r="JT547" s="18"/>
      <c r="JU547" s="18"/>
      <c r="JV547" s="18"/>
      <c r="JW547" s="18"/>
      <c r="JX547" s="18"/>
      <c r="JY547" s="18"/>
      <c r="JZ547" s="18"/>
      <c r="KA547" s="18"/>
      <c r="KB547" s="18"/>
      <c r="KC547" s="18"/>
      <c r="KD547" s="18"/>
      <c r="KE547" s="18"/>
      <c r="KF547" s="18"/>
      <c r="KG547" s="18"/>
      <c r="KH547" s="18"/>
      <c r="KI547" s="18"/>
      <c r="KJ547" s="18"/>
      <c r="KK547" s="18"/>
      <c r="KL547" s="18"/>
      <c r="KM547" s="18"/>
      <c r="KN547" s="18"/>
      <c r="KO547" s="18"/>
      <c r="KP547" s="18"/>
    </row>
    <row r="548" spans="1:302" ht="15" customHeight="1">
      <c r="A548" s="1096"/>
      <c r="B548" s="23"/>
      <c r="C548" s="1092"/>
      <c r="D548" s="1092"/>
      <c r="E548" s="1093"/>
      <c r="F548" s="1094"/>
      <c r="G548" s="6"/>
      <c r="H548" s="6"/>
      <c r="I548" s="1095"/>
      <c r="J548" s="1095"/>
      <c r="K548" s="235"/>
      <c r="L548" s="23"/>
      <c r="M548" s="67"/>
      <c r="N548" s="67"/>
      <c r="O548" s="67"/>
      <c r="P548" s="23"/>
      <c r="Q548" s="23"/>
      <c r="R548" s="23"/>
      <c r="S548" s="23"/>
      <c r="T548" s="23"/>
      <c r="U548" s="23"/>
      <c r="V548" s="23"/>
      <c r="W548" s="23"/>
      <c r="X548" s="23"/>
      <c r="Y548" s="71"/>
      <c r="Z548" s="71"/>
      <c r="AA548" s="23"/>
      <c r="AB548" s="9"/>
      <c r="AC548" s="9"/>
      <c r="AD548" s="23"/>
      <c r="AE548" s="23"/>
      <c r="AF548" s="23"/>
      <c r="AG548" s="1099"/>
      <c r="AH548" s="44"/>
      <c r="AI548" s="45"/>
      <c r="AJ548" s="44"/>
      <c r="AK548" s="43"/>
      <c r="AL548" s="23"/>
      <c r="AS548" s="14"/>
      <c r="AU548" s="18"/>
      <c r="AV548" s="18"/>
      <c r="AW548" s="18"/>
      <c r="AX548" s="18"/>
      <c r="AY548" s="18"/>
      <c r="AZ548" s="18"/>
      <c r="BB548" s="18"/>
      <c r="BC548" s="18"/>
      <c r="BD548" s="18"/>
      <c r="BE548" s="18"/>
      <c r="BF548" s="18"/>
      <c r="BH548" s="18"/>
      <c r="BI548" s="18"/>
      <c r="BJ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  <c r="FC548" s="18"/>
      <c r="FD548" s="18"/>
      <c r="FE548" s="18"/>
      <c r="FF548" s="18"/>
      <c r="FG548" s="18"/>
      <c r="FH548" s="18"/>
      <c r="FI548" s="18"/>
      <c r="FJ548" s="18"/>
      <c r="FK548" s="18"/>
      <c r="FL548" s="18"/>
      <c r="FM548" s="18"/>
      <c r="FN548" s="18"/>
      <c r="FO548" s="18"/>
      <c r="FP548" s="18"/>
      <c r="FQ548" s="18"/>
      <c r="FR548" s="18"/>
      <c r="FS548" s="18"/>
      <c r="FT548" s="18"/>
      <c r="FU548" s="18"/>
      <c r="FV548" s="18"/>
      <c r="FW548" s="18"/>
      <c r="FX548" s="18"/>
      <c r="FY548" s="18"/>
      <c r="FZ548" s="18"/>
      <c r="GA548" s="18"/>
      <c r="GB548" s="18"/>
      <c r="GC548" s="18"/>
      <c r="GD548" s="18"/>
      <c r="GE548" s="18"/>
      <c r="GF548" s="18"/>
      <c r="GG548" s="18"/>
      <c r="GH548" s="18"/>
      <c r="GI548" s="18"/>
      <c r="GJ548" s="18"/>
      <c r="GK548" s="18"/>
      <c r="GL548" s="18"/>
      <c r="GM548" s="18"/>
      <c r="GN548" s="18"/>
      <c r="GO548" s="18"/>
      <c r="GP548" s="18"/>
      <c r="GQ548" s="18"/>
      <c r="GR548" s="18"/>
      <c r="GS548" s="18"/>
      <c r="GT548" s="18"/>
      <c r="GU548" s="18"/>
      <c r="GV548" s="18"/>
      <c r="GW548" s="18"/>
      <c r="GX548" s="18"/>
      <c r="GY548" s="18"/>
      <c r="GZ548" s="18"/>
      <c r="HA548" s="18"/>
      <c r="HB548" s="18"/>
      <c r="HC548" s="18"/>
      <c r="HD548" s="18"/>
      <c r="HE548" s="18"/>
      <c r="HF548" s="18"/>
      <c r="HG548" s="13"/>
      <c r="HH548" s="13"/>
      <c r="HI548" s="13"/>
      <c r="HJ548" s="13"/>
      <c r="HK548" s="13"/>
      <c r="HL548" s="13"/>
      <c r="HM548" s="13"/>
      <c r="HN548" s="13"/>
      <c r="HO548" s="13"/>
      <c r="HP548" s="13"/>
      <c r="HQ548" s="13"/>
      <c r="HR548" s="13"/>
      <c r="HS548" s="13"/>
      <c r="HT548" s="13"/>
      <c r="HV548" s="18"/>
      <c r="HW548" s="18"/>
      <c r="HX548" s="18"/>
      <c r="HY548" s="18"/>
      <c r="HZ548" s="18"/>
      <c r="IA548" s="18"/>
      <c r="IB548" s="18"/>
      <c r="IC548" s="18"/>
      <c r="ID548" s="18"/>
      <c r="IE548" s="18"/>
      <c r="IF548" s="18"/>
      <c r="IG548" s="18"/>
      <c r="IH548" s="18"/>
      <c r="II548" s="18"/>
      <c r="IJ548" s="18"/>
      <c r="IK548" s="18"/>
      <c r="IL548" s="18"/>
      <c r="IM548" s="18"/>
      <c r="IN548" s="18"/>
      <c r="IO548" s="18"/>
      <c r="IP548" s="18"/>
      <c r="IQ548" s="18"/>
      <c r="IR548" s="18"/>
      <c r="IS548" s="18"/>
      <c r="IT548" s="18"/>
      <c r="IU548" s="18"/>
      <c r="IV548" s="18"/>
      <c r="IW548" s="18"/>
      <c r="IX548" s="18"/>
      <c r="IY548" s="18"/>
      <c r="IZ548" s="18"/>
      <c r="JA548" s="18"/>
      <c r="JB548" s="18"/>
      <c r="JC548" s="18"/>
      <c r="JD548" s="18"/>
      <c r="JE548" s="18"/>
      <c r="JF548" s="18"/>
      <c r="JG548" s="18"/>
      <c r="JH548" s="18"/>
      <c r="JI548" s="18"/>
      <c r="JJ548" s="18"/>
      <c r="JK548" s="18"/>
      <c r="JL548" s="18"/>
      <c r="JM548" s="18"/>
      <c r="JN548" s="18"/>
      <c r="JO548" s="18"/>
      <c r="JP548" s="18"/>
      <c r="JQ548" s="18"/>
      <c r="JR548" s="18"/>
      <c r="JS548" s="18"/>
      <c r="JT548" s="18"/>
      <c r="JU548" s="18"/>
      <c r="JV548" s="18"/>
      <c r="JW548" s="18"/>
      <c r="JX548" s="18"/>
      <c r="JY548" s="18"/>
      <c r="JZ548" s="18"/>
      <c r="KA548" s="18"/>
      <c r="KB548" s="18"/>
      <c r="KC548" s="18"/>
      <c r="KD548" s="18"/>
      <c r="KE548" s="18"/>
      <c r="KF548" s="18"/>
      <c r="KG548" s="18"/>
      <c r="KH548" s="18"/>
      <c r="KI548" s="18"/>
      <c r="KJ548" s="18"/>
      <c r="KK548" s="18"/>
      <c r="KL548" s="18"/>
      <c r="KM548" s="18"/>
      <c r="KN548" s="18"/>
      <c r="KO548" s="18"/>
      <c r="KP548" s="18"/>
    </row>
    <row r="549" spans="1:302" ht="15" customHeight="1">
      <c r="A549" s="14"/>
      <c r="B549" s="14"/>
      <c r="C549" s="50"/>
      <c r="D549" s="50"/>
      <c r="E549" s="49"/>
      <c r="F549" s="46"/>
      <c r="G549" s="1"/>
      <c r="H549" s="1"/>
      <c r="I549" s="48"/>
      <c r="J549" s="48"/>
      <c r="L549" s="14"/>
      <c r="P549" s="14"/>
      <c r="AG549" s="47"/>
      <c r="AH549" s="44"/>
      <c r="AI549" s="45"/>
      <c r="AJ549" s="44"/>
      <c r="AK549" s="43"/>
      <c r="AS549" s="14"/>
      <c r="AU549" s="18"/>
      <c r="AV549" s="18"/>
      <c r="AW549" s="18"/>
      <c r="AX549" s="18"/>
      <c r="AY549" s="18"/>
      <c r="AZ549" s="18"/>
      <c r="BB549" s="18"/>
      <c r="BC549" s="18"/>
      <c r="BD549" s="18"/>
      <c r="BE549" s="18"/>
      <c r="BF549" s="18"/>
      <c r="BH549" s="18"/>
      <c r="BI549" s="18"/>
      <c r="BJ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  <c r="FC549" s="18"/>
      <c r="FD549" s="18"/>
      <c r="FE549" s="18"/>
      <c r="FF549" s="18"/>
      <c r="FG549" s="18"/>
      <c r="FH549" s="18"/>
      <c r="FI549" s="18"/>
      <c r="FJ549" s="18"/>
      <c r="FK549" s="18"/>
      <c r="FL549" s="18"/>
      <c r="FM549" s="18"/>
      <c r="FN549" s="18"/>
      <c r="FO549" s="18"/>
      <c r="FP549" s="18"/>
      <c r="FQ549" s="18"/>
      <c r="FR549" s="18"/>
      <c r="FS549" s="18"/>
      <c r="FT549" s="18"/>
      <c r="FU549" s="18"/>
      <c r="FV549" s="18"/>
      <c r="FW549" s="18"/>
      <c r="FX549" s="18"/>
      <c r="FY549" s="18"/>
      <c r="FZ549" s="18"/>
      <c r="GA549" s="18"/>
      <c r="GB549" s="18"/>
      <c r="GC549" s="18"/>
      <c r="GD549" s="18"/>
      <c r="GE549" s="18"/>
      <c r="GF549" s="18"/>
      <c r="GG549" s="18"/>
      <c r="GH549" s="18"/>
      <c r="GI549" s="18"/>
      <c r="GJ549" s="18"/>
      <c r="GK549" s="18"/>
      <c r="GL549" s="18"/>
      <c r="GM549" s="18"/>
      <c r="GN549" s="18"/>
      <c r="GO549" s="18"/>
      <c r="GP549" s="18"/>
      <c r="GQ549" s="18"/>
      <c r="GR549" s="18"/>
      <c r="GS549" s="18"/>
      <c r="GT549" s="18"/>
      <c r="GU549" s="18"/>
      <c r="GV549" s="18"/>
      <c r="GW549" s="18"/>
      <c r="GX549" s="18"/>
      <c r="GY549" s="18"/>
      <c r="GZ549" s="18"/>
      <c r="HA549" s="18"/>
      <c r="HB549" s="18"/>
      <c r="HC549" s="18"/>
      <c r="HD549" s="18"/>
      <c r="HE549" s="18"/>
      <c r="HF549" s="18"/>
      <c r="HG549" s="13"/>
      <c r="HH549" s="13"/>
      <c r="HI549" s="13"/>
      <c r="HJ549" s="13"/>
      <c r="HK549" s="13"/>
      <c r="HL549" s="13"/>
      <c r="HM549" s="13"/>
      <c r="HN549" s="13"/>
      <c r="HO549" s="13"/>
      <c r="HP549" s="13"/>
      <c r="HQ549" s="13"/>
      <c r="HR549" s="13"/>
      <c r="HS549" s="13"/>
      <c r="HT549" s="13"/>
      <c r="HV549" s="18"/>
      <c r="HW549" s="18"/>
      <c r="HX549" s="18"/>
      <c r="HY549" s="18"/>
      <c r="HZ549" s="18"/>
      <c r="IA549" s="18"/>
      <c r="IB549" s="18"/>
      <c r="IC549" s="18"/>
      <c r="ID549" s="18"/>
      <c r="IE549" s="18"/>
      <c r="IF549" s="18"/>
      <c r="IG549" s="18"/>
      <c r="IH549" s="18"/>
      <c r="II549" s="18"/>
      <c r="IJ549" s="18"/>
      <c r="IK549" s="18"/>
      <c r="IL549" s="18"/>
      <c r="IM549" s="18"/>
      <c r="IN549" s="18"/>
      <c r="IO549" s="18"/>
      <c r="IP549" s="18"/>
      <c r="IQ549" s="18"/>
      <c r="IR549" s="18"/>
      <c r="IS549" s="18"/>
      <c r="IT549" s="18"/>
      <c r="IU549" s="18"/>
      <c r="IV549" s="18"/>
      <c r="IW549" s="18"/>
      <c r="IX549" s="18"/>
      <c r="IY549" s="18"/>
      <c r="IZ549" s="18"/>
      <c r="JA549" s="18"/>
      <c r="JB549" s="18"/>
      <c r="JC549" s="18"/>
      <c r="JD549" s="18"/>
      <c r="JE549" s="18"/>
      <c r="JF549" s="18"/>
      <c r="JG549" s="18"/>
      <c r="JH549" s="18"/>
      <c r="JI549" s="18"/>
      <c r="JJ549" s="18"/>
      <c r="JK549" s="18"/>
      <c r="JL549" s="18"/>
      <c r="JM549" s="18"/>
      <c r="JN549" s="18"/>
      <c r="JO549" s="18"/>
      <c r="JP549" s="18"/>
      <c r="JQ549" s="18"/>
      <c r="JR549" s="18"/>
      <c r="JS549" s="18"/>
      <c r="JT549" s="18"/>
      <c r="JU549" s="18"/>
      <c r="JV549" s="18"/>
      <c r="JW549" s="18"/>
      <c r="JX549" s="18"/>
      <c r="JY549" s="18"/>
      <c r="JZ549" s="18"/>
      <c r="KA549" s="18"/>
      <c r="KB549" s="18"/>
      <c r="KC549" s="18"/>
      <c r="KD549" s="18"/>
      <c r="KE549" s="18"/>
      <c r="KF549" s="18"/>
      <c r="KG549" s="18"/>
      <c r="KH549" s="18"/>
      <c r="KI549" s="18"/>
      <c r="KJ549" s="18"/>
      <c r="KK549" s="18"/>
      <c r="KL549" s="18"/>
      <c r="KM549" s="18"/>
      <c r="KN549" s="18"/>
      <c r="KO549" s="18"/>
      <c r="KP549" s="18"/>
    </row>
    <row r="550" spans="1:302" ht="15" customHeight="1">
      <c r="A550" s="14"/>
      <c r="B550" s="14"/>
      <c r="C550" s="50"/>
      <c r="D550" s="50"/>
      <c r="E550" s="49"/>
      <c r="F550" s="46"/>
      <c r="G550" s="1"/>
      <c r="H550" s="1"/>
      <c r="I550" s="48"/>
      <c r="J550" s="48"/>
      <c r="L550" s="14"/>
      <c r="P550" s="14"/>
      <c r="AG550" s="47"/>
      <c r="AH550" s="44"/>
      <c r="AI550" s="45"/>
      <c r="AJ550" s="44"/>
      <c r="AK550" s="43"/>
      <c r="AS550" s="14"/>
      <c r="AU550" s="18"/>
      <c r="AV550" s="18"/>
      <c r="AW550" s="18"/>
      <c r="AX550" s="18"/>
      <c r="AY550" s="18"/>
      <c r="AZ550" s="18"/>
      <c r="BB550" s="18"/>
      <c r="BC550" s="18"/>
      <c r="BD550" s="18"/>
      <c r="BE550" s="18"/>
      <c r="BF550" s="18"/>
      <c r="BH550" s="18"/>
      <c r="BI550" s="18"/>
      <c r="BJ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  <c r="FC550" s="18"/>
      <c r="FD550" s="18"/>
      <c r="FE550" s="18"/>
      <c r="FF550" s="18"/>
      <c r="FG550" s="18"/>
      <c r="FH550" s="18"/>
      <c r="FI550" s="18"/>
      <c r="FJ550" s="18"/>
      <c r="FK550" s="18"/>
      <c r="FL550" s="18"/>
      <c r="FM550" s="18"/>
      <c r="FN550" s="18"/>
      <c r="FO550" s="18"/>
      <c r="FP550" s="18"/>
      <c r="FQ550" s="18"/>
      <c r="FR550" s="18"/>
      <c r="FS550" s="18"/>
      <c r="FT550" s="18"/>
      <c r="FU550" s="18"/>
      <c r="FV550" s="18"/>
      <c r="FW550" s="18"/>
      <c r="FX550" s="18"/>
      <c r="FY550" s="18"/>
      <c r="FZ550" s="18"/>
      <c r="GA550" s="18"/>
      <c r="GB550" s="18"/>
      <c r="GC550" s="18"/>
      <c r="GD550" s="18"/>
      <c r="GE550" s="18"/>
      <c r="GF550" s="18"/>
      <c r="GG550" s="18"/>
      <c r="GH550" s="18"/>
      <c r="GI550" s="18"/>
      <c r="GJ550" s="18"/>
      <c r="GK550" s="18"/>
      <c r="GL550" s="18"/>
      <c r="GM550" s="18"/>
      <c r="GN550" s="18"/>
      <c r="GO550" s="18"/>
      <c r="GP550" s="18"/>
      <c r="GQ550" s="18"/>
      <c r="GR550" s="18"/>
      <c r="GS550" s="18"/>
      <c r="GT550" s="18"/>
      <c r="GU550" s="18"/>
      <c r="GV550" s="18"/>
      <c r="GW550" s="18"/>
      <c r="GX550" s="18"/>
      <c r="GY550" s="18"/>
      <c r="GZ550" s="18"/>
      <c r="HA550" s="18"/>
      <c r="HB550" s="18"/>
      <c r="HC550" s="18"/>
      <c r="HD550" s="18"/>
      <c r="HE550" s="18"/>
      <c r="HF550" s="18"/>
      <c r="HG550" s="13"/>
      <c r="HH550" s="13"/>
      <c r="HI550" s="13"/>
      <c r="HJ550" s="13"/>
      <c r="HK550" s="13"/>
      <c r="HL550" s="13"/>
      <c r="HM550" s="13"/>
      <c r="HN550" s="13"/>
      <c r="HO550" s="13"/>
      <c r="HP550" s="13"/>
      <c r="HQ550" s="13"/>
      <c r="HR550" s="13"/>
      <c r="HS550" s="13"/>
      <c r="HT550" s="13"/>
      <c r="HV550" s="18"/>
      <c r="HW550" s="18"/>
      <c r="HX550" s="18"/>
      <c r="HY550" s="18"/>
      <c r="HZ550" s="18"/>
      <c r="IA550" s="18"/>
      <c r="IB550" s="18"/>
      <c r="IC550" s="18"/>
      <c r="ID550" s="18"/>
      <c r="IE550" s="18"/>
      <c r="IF550" s="18"/>
      <c r="IG550" s="18"/>
      <c r="IH550" s="18"/>
      <c r="II550" s="18"/>
      <c r="IJ550" s="18"/>
      <c r="IK550" s="18"/>
      <c r="IL550" s="18"/>
      <c r="IM550" s="18"/>
      <c r="IN550" s="18"/>
      <c r="IO550" s="18"/>
      <c r="IP550" s="18"/>
      <c r="IQ550" s="18"/>
      <c r="IR550" s="18"/>
      <c r="IS550" s="18"/>
      <c r="IT550" s="18"/>
      <c r="IU550" s="18"/>
      <c r="IV550" s="18"/>
      <c r="IW550" s="18"/>
      <c r="IX550" s="18"/>
      <c r="IY550" s="18"/>
      <c r="IZ550" s="18"/>
      <c r="JA550" s="18"/>
      <c r="JB550" s="18"/>
      <c r="JC550" s="18"/>
      <c r="JD550" s="18"/>
      <c r="JE550" s="18"/>
      <c r="JF550" s="18"/>
      <c r="JG550" s="18"/>
      <c r="JH550" s="18"/>
      <c r="JI550" s="18"/>
      <c r="JJ550" s="18"/>
      <c r="JK550" s="18"/>
      <c r="JL550" s="18"/>
      <c r="JM550" s="18"/>
      <c r="JN550" s="18"/>
      <c r="JO550" s="18"/>
      <c r="JP550" s="18"/>
      <c r="JQ550" s="18"/>
      <c r="JR550" s="18"/>
      <c r="JS550" s="18"/>
      <c r="JT550" s="18"/>
      <c r="JU550" s="18"/>
      <c r="JV550" s="18"/>
      <c r="JW550" s="18"/>
      <c r="JX550" s="18"/>
      <c r="JY550" s="18"/>
      <c r="JZ550" s="18"/>
      <c r="KA550" s="18"/>
      <c r="KB550" s="18"/>
      <c r="KC550" s="18"/>
      <c r="KD550" s="18"/>
      <c r="KE550" s="18"/>
      <c r="KF550" s="18"/>
      <c r="KG550" s="18"/>
      <c r="KH550" s="18"/>
      <c r="KI550" s="18"/>
      <c r="KJ550" s="18"/>
      <c r="KK550" s="18"/>
      <c r="KL550" s="18"/>
      <c r="KM550" s="18"/>
      <c r="KN550" s="18"/>
      <c r="KO550" s="18"/>
      <c r="KP550" s="18"/>
    </row>
    <row r="551" spans="1:302" ht="15" customHeight="1">
      <c r="A551" s="14"/>
      <c r="B551" s="14"/>
      <c r="C551" s="50"/>
      <c r="D551" s="50"/>
      <c r="E551" s="49"/>
      <c r="F551" s="46"/>
      <c r="G551" s="1"/>
      <c r="H551" s="1"/>
      <c r="I551" s="48"/>
      <c r="J551" s="48"/>
      <c r="L551" s="14"/>
      <c r="P551" s="14"/>
      <c r="AG551" s="47"/>
      <c r="AH551" s="44"/>
      <c r="AI551" s="45"/>
      <c r="AJ551" s="44"/>
      <c r="AK551" s="43"/>
      <c r="AS551" s="14"/>
      <c r="AU551" s="18"/>
      <c r="AV551" s="18"/>
      <c r="AW551" s="18"/>
      <c r="AX551" s="18"/>
      <c r="AY551" s="18"/>
      <c r="AZ551" s="18"/>
      <c r="BB551" s="18"/>
      <c r="BC551" s="18"/>
      <c r="BD551" s="18"/>
      <c r="BE551" s="18"/>
      <c r="BF551" s="18"/>
      <c r="BH551" s="18"/>
      <c r="BI551" s="18"/>
      <c r="BJ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  <c r="FC551" s="18"/>
      <c r="FD551" s="18"/>
      <c r="FE551" s="18"/>
      <c r="FF551" s="18"/>
      <c r="FG551" s="18"/>
      <c r="FH551" s="18"/>
      <c r="FI551" s="18"/>
      <c r="FJ551" s="18"/>
      <c r="FK551" s="18"/>
      <c r="FL551" s="18"/>
      <c r="FM551" s="18"/>
      <c r="FN551" s="18"/>
      <c r="FO551" s="18"/>
      <c r="FP551" s="18"/>
      <c r="FQ551" s="18"/>
      <c r="FR551" s="18"/>
      <c r="FS551" s="18"/>
      <c r="FT551" s="18"/>
      <c r="FU551" s="18"/>
      <c r="FV551" s="18"/>
      <c r="FW551" s="18"/>
      <c r="FX551" s="18"/>
      <c r="FY551" s="18"/>
      <c r="FZ551" s="18"/>
      <c r="GA551" s="18"/>
      <c r="GB551" s="18"/>
      <c r="GC551" s="18"/>
      <c r="GD551" s="18"/>
      <c r="GE551" s="18"/>
      <c r="GF551" s="18"/>
      <c r="GG551" s="18"/>
      <c r="GH551" s="18"/>
      <c r="GI551" s="18"/>
      <c r="GJ551" s="18"/>
      <c r="GK551" s="18"/>
      <c r="GL551" s="18"/>
      <c r="GM551" s="18"/>
      <c r="GN551" s="18"/>
      <c r="GO551" s="18"/>
      <c r="GP551" s="18"/>
      <c r="GQ551" s="18"/>
      <c r="GR551" s="18"/>
      <c r="GS551" s="18"/>
      <c r="GT551" s="18"/>
      <c r="GU551" s="18"/>
      <c r="GV551" s="18"/>
      <c r="GW551" s="18"/>
      <c r="GX551" s="18"/>
      <c r="GY551" s="18"/>
      <c r="GZ551" s="18"/>
      <c r="HA551" s="18"/>
      <c r="HB551" s="18"/>
      <c r="HC551" s="18"/>
      <c r="HD551" s="18"/>
      <c r="HE551" s="18"/>
      <c r="HF551" s="18"/>
      <c r="HG551" s="13"/>
      <c r="HH551" s="13"/>
      <c r="HI551" s="13"/>
      <c r="HJ551" s="13"/>
      <c r="HK551" s="13"/>
      <c r="HL551" s="13"/>
      <c r="HM551" s="13"/>
      <c r="HN551" s="13"/>
      <c r="HO551" s="13"/>
      <c r="HP551" s="13"/>
      <c r="HQ551" s="13"/>
      <c r="HR551" s="13"/>
      <c r="HS551" s="13"/>
      <c r="HT551" s="13"/>
      <c r="HV551" s="18"/>
      <c r="HW551" s="18"/>
      <c r="HX551" s="18"/>
      <c r="HY551" s="18"/>
      <c r="HZ551" s="18"/>
      <c r="IA551" s="18"/>
      <c r="IB551" s="18"/>
      <c r="IC551" s="18"/>
      <c r="ID551" s="18"/>
      <c r="IE551" s="18"/>
      <c r="IF551" s="18"/>
      <c r="IG551" s="18"/>
      <c r="IH551" s="18"/>
      <c r="II551" s="18"/>
      <c r="IJ551" s="18"/>
      <c r="IK551" s="18"/>
      <c r="IL551" s="18"/>
      <c r="IM551" s="18"/>
      <c r="IN551" s="18"/>
      <c r="IO551" s="18"/>
      <c r="IP551" s="18"/>
      <c r="IQ551" s="18"/>
      <c r="IR551" s="18"/>
      <c r="IS551" s="18"/>
      <c r="IT551" s="18"/>
      <c r="IU551" s="18"/>
      <c r="IV551" s="18"/>
      <c r="IW551" s="18"/>
      <c r="IX551" s="18"/>
      <c r="IY551" s="18"/>
      <c r="IZ551" s="18"/>
      <c r="JA551" s="18"/>
      <c r="JB551" s="18"/>
      <c r="JC551" s="18"/>
      <c r="JD551" s="18"/>
      <c r="JE551" s="18"/>
      <c r="JF551" s="18"/>
      <c r="JG551" s="18"/>
      <c r="JH551" s="18"/>
      <c r="JI551" s="18"/>
      <c r="JJ551" s="18"/>
      <c r="JK551" s="18"/>
      <c r="JL551" s="18"/>
      <c r="JM551" s="18"/>
      <c r="JN551" s="18"/>
      <c r="JO551" s="18"/>
      <c r="JP551" s="18"/>
      <c r="JQ551" s="18"/>
      <c r="JR551" s="18"/>
      <c r="JS551" s="18"/>
      <c r="JT551" s="18"/>
      <c r="JU551" s="18"/>
      <c r="JV551" s="18"/>
      <c r="JW551" s="18"/>
      <c r="JX551" s="18"/>
      <c r="JY551" s="18"/>
      <c r="JZ551" s="18"/>
      <c r="KA551" s="18"/>
      <c r="KB551" s="18"/>
      <c r="KC551" s="18"/>
      <c r="KD551" s="18"/>
      <c r="KE551" s="18"/>
      <c r="KF551" s="18"/>
      <c r="KG551" s="18"/>
      <c r="KH551" s="18"/>
      <c r="KI551" s="18"/>
      <c r="KJ551" s="18"/>
      <c r="KK551" s="18"/>
      <c r="KL551" s="18"/>
      <c r="KM551" s="18"/>
      <c r="KN551" s="18"/>
      <c r="KO551" s="18"/>
      <c r="KP551" s="18"/>
    </row>
    <row r="552" spans="1:302" ht="15" customHeight="1">
      <c r="A552" s="14"/>
      <c r="B552" s="14"/>
      <c r="C552" s="50"/>
      <c r="D552" s="50"/>
      <c r="E552" s="49"/>
      <c r="F552" s="46"/>
      <c r="G552" s="1"/>
      <c r="H552" s="1"/>
      <c r="I552" s="48"/>
      <c r="J552" s="48"/>
      <c r="L552" s="14"/>
      <c r="P552" s="14"/>
      <c r="AG552" s="47"/>
      <c r="AH552" s="44"/>
      <c r="AI552" s="45"/>
      <c r="AJ552" s="44"/>
      <c r="AK552" s="43"/>
      <c r="AS552" s="14"/>
      <c r="AU552" s="18"/>
      <c r="AV552" s="18"/>
      <c r="AW552" s="18"/>
      <c r="AX552" s="18"/>
      <c r="AY552" s="18"/>
      <c r="AZ552" s="18"/>
      <c r="BB552" s="18"/>
      <c r="BC552" s="18"/>
      <c r="BD552" s="18"/>
      <c r="BE552" s="18"/>
      <c r="BF552" s="18"/>
      <c r="BH552" s="18"/>
      <c r="BI552" s="18"/>
      <c r="BJ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  <c r="FC552" s="18"/>
      <c r="FD552" s="18"/>
      <c r="FE552" s="18"/>
      <c r="FF552" s="18"/>
      <c r="FG552" s="18"/>
      <c r="FH552" s="18"/>
      <c r="FI552" s="18"/>
      <c r="FJ552" s="18"/>
      <c r="FK552" s="18"/>
      <c r="FL552" s="18"/>
      <c r="FM552" s="18"/>
      <c r="FN552" s="18"/>
      <c r="FO552" s="18"/>
      <c r="FP552" s="18"/>
      <c r="FQ552" s="18"/>
      <c r="FR552" s="18"/>
      <c r="FS552" s="18"/>
      <c r="FT552" s="18"/>
      <c r="FU552" s="18"/>
      <c r="FV552" s="18"/>
      <c r="FW552" s="18"/>
      <c r="FX552" s="18"/>
      <c r="FY552" s="18"/>
      <c r="FZ552" s="18"/>
      <c r="GA552" s="18"/>
      <c r="GB552" s="18"/>
      <c r="GC552" s="18"/>
      <c r="GD552" s="18"/>
      <c r="GE552" s="18"/>
      <c r="GF552" s="18"/>
      <c r="GG552" s="18"/>
      <c r="GH552" s="18"/>
      <c r="GI552" s="18"/>
      <c r="GJ552" s="18"/>
      <c r="GK552" s="18"/>
      <c r="GL552" s="18"/>
      <c r="GM552" s="18"/>
      <c r="GN552" s="18"/>
      <c r="GO552" s="18"/>
      <c r="GP552" s="18"/>
      <c r="GQ552" s="18"/>
      <c r="GR552" s="18"/>
      <c r="GS552" s="18"/>
      <c r="GT552" s="18"/>
      <c r="GU552" s="18"/>
      <c r="GV552" s="18"/>
      <c r="GW552" s="18"/>
      <c r="GX552" s="18"/>
      <c r="GY552" s="18"/>
      <c r="GZ552" s="18"/>
      <c r="HA552" s="18"/>
      <c r="HB552" s="18"/>
      <c r="HC552" s="18"/>
      <c r="HD552" s="18"/>
      <c r="HE552" s="18"/>
      <c r="HF552" s="18"/>
      <c r="HG552" s="13"/>
      <c r="HH552" s="13"/>
      <c r="HI552" s="13"/>
      <c r="HJ552" s="13"/>
      <c r="HK552" s="13"/>
      <c r="HL552" s="13"/>
      <c r="HM552" s="13"/>
      <c r="HN552" s="13"/>
      <c r="HO552" s="13"/>
      <c r="HP552" s="13"/>
      <c r="HQ552" s="13"/>
      <c r="HR552" s="13"/>
      <c r="HS552" s="13"/>
      <c r="HT552" s="13"/>
      <c r="HV552" s="18"/>
      <c r="HW552" s="18"/>
      <c r="HX552" s="18"/>
      <c r="HY552" s="18"/>
      <c r="HZ552" s="18"/>
      <c r="IA552" s="18"/>
      <c r="IB552" s="18"/>
      <c r="IC552" s="18"/>
      <c r="ID552" s="18"/>
      <c r="IE552" s="18"/>
      <c r="IF552" s="18"/>
      <c r="IG552" s="18"/>
      <c r="IH552" s="18"/>
      <c r="II552" s="18"/>
      <c r="IJ552" s="18"/>
      <c r="IK552" s="18"/>
      <c r="IL552" s="18"/>
      <c r="IM552" s="18"/>
      <c r="IN552" s="18"/>
      <c r="IO552" s="18"/>
      <c r="IP552" s="18"/>
      <c r="IQ552" s="18"/>
      <c r="IR552" s="18"/>
      <c r="IS552" s="18"/>
      <c r="IT552" s="18"/>
      <c r="IU552" s="18"/>
      <c r="IV552" s="18"/>
      <c r="IW552" s="18"/>
      <c r="IX552" s="18"/>
      <c r="IY552" s="18"/>
      <c r="IZ552" s="18"/>
      <c r="JA552" s="18"/>
      <c r="JB552" s="18"/>
      <c r="JC552" s="18"/>
      <c r="JD552" s="18"/>
      <c r="JE552" s="18"/>
      <c r="JF552" s="18"/>
      <c r="JG552" s="18"/>
      <c r="JH552" s="18"/>
      <c r="JI552" s="18"/>
      <c r="JJ552" s="18"/>
      <c r="JK552" s="18"/>
      <c r="JL552" s="18"/>
      <c r="JM552" s="18"/>
      <c r="JN552" s="18"/>
      <c r="JO552" s="18"/>
      <c r="JP552" s="18"/>
      <c r="JQ552" s="18"/>
      <c r="JR552" s="18"/>
      <c r="JS552" s="18"/>
      <c r="JT552" s="18"/>
      <c r="JU552" s="18"/>
      <c r="JV552" s="18"/>
      <c r="JW552" s="18"/>
      <c r="JX552" s="18"/>
      <c r="JY552" s="18"/>
      <c r="JZ552" s="18"/>
      <c r="KA552" s="18"/>
      <c r="KB552" s="18"/>
      <c r="KC552" s="18"/>
      <c r="KD552" s="18"/>
      <c r="KE552" s="18"/>
      <c r="KF552" s="18"/>
      <c r="KG552" s="18"/>
      <c r="KH552" s="18"/>
      <c r="KI552" s="18"/>
      <c r="KJ552" s="18"/>
      <c r="KK552" s="18"/>
      <c r="KL552" s="18"/>
      <c r="KM552" s="18"/>
      <c r="KN552" s="18"/>
      <c r="KO552" s="18"/>
      <c r="KP552" s="18"/>
    </row>
    <row r="553" spans="1:302" ht="15" customHeight="1">
      <c r="A553" s="14"/>
      <c r="B553" s="14"/>
      <c r="C553" s="50"/>
      <c r="D553" s="50"/>
      <c r="E553" s="49"/>
      <c r="F553" s="46"/>
      <c r="G553" s="1"/>
      <c r="H553" s="1"/>
      <c r="I553" s="48"/>
      <c r="J553" s="48"/>
      <c r="L553" s="14"/>
      <c r="P553" s="14"/>
      <c r="AG553" s="47"/>
      <c r="AH553" s="44"/>
      <c r="AI553" s="45"/>
      <c r="AJ553" s="44"/>
      <c r="AK553" s="43"/>
      <c r="AS553" s="14"/>
      <c r="AU553" s="18"/>
      <c r="AV553" s="18"/>
      <c r="AW553" s="18"/>
      <c r="AX553" s="18"/>
      <c r="AY553" s="18"/>
      <c r="AZ553" s="18"/>
      <c r="BB553" s="18"/>
      <c r="BC553" s="18"/>
      <c r="BD553" s="18"/>
      <c r="BE553" s="18"/>
      <c r="BF553" s="18"/>
      <c r="BH553" s="18"/>
      <c r="BI553" s="18"/>
      <c r="BJ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  <c r="FC553" s="18"/>
      <c r="FD553" s="18"/>
      <c r="FE553" s="18"/>
      <c r="FF553" s="18"/>
      <c r="FG553" s="18"/>
      <c r="FH553" s="18"/>
      <c r="FI553" s="18"/>
      <c r="FJ553" s="18"/>
      <c r="FK553" s="18"/>
      <c r="FL553" s="18"/>
      <c r="FM553" s="18"/>
      <c r="FN553" s="18"/>
      <c r="FO553" s="18"/>
      <c r="FP553" s="18"/>
      <c r="FQ553" s="18"/>
      <c r="FR553" s="18"/>
      <c r="FS553" s="18"/>
      <c r="FT553" s="18"/>
      <c r="FU553" s="18"/>
      <c r="FV553" s="18"/>
      <c r="FW553" s="18"/>
      <c r="FX553" s="18"/>
      <c r="FY553" s="18"/>
      <c r="FZ553" s="18"/>
      <c r="GA553" s="18"/>
      <c r="GB553" s="18"/>
      <c r="GC553" s="18"/>
      <c r="GD553" s="18"/>
      <c r="GE553" s="18"/>
      <c r="GF553" s="18"/>
      <c r="GG553" s="18"/>
      <c r="GH553" s="18"/>
      <c r="GI553" s="18"/>
      <c r="GJ553" s="18"/>
      <c r="GK553" s="18"/>
      <c r="GL553" s="18"/>
      <c r="GM553" s="18"/>
      <c r="GN553" s="18"/>
      <c r="GO553" s="18"/>
      <c r="GP553" s="18"/>
      <c r="GQ553" s="18"/>
      <c r="GR553" s="18"/>
      <c r="GS553" s="18"/>
      <c r="GT553" s="18"/>
      <c r="GU553" s="18"/>
      <c r="GV553" s="18"/>
      <c r="GW553" s="18"/>
      <c r="GX553" s="18"/>
      <c r="GY553" s="18"/>
      <c r="GZ553" s="18"/>
      <c r="HA553" s="18"/>
      <c r="HB553" s="18"/>
      <c r="HC553" s="18"/>
      <c r="HD553" s="18"/>
      <c r="HE553" s="18"/>
      <c r="HF553" s="18"/>
      <c r="HG553" s="13"/>
      <c r="HH553" s="13"/>
      <c r="HI553" s="13"/>
      <c r="HJ553" s="13"/>
      <c r="HK553" s="13"/>
      <c r="HL553" s="13"/>
      <c r="HM553" s="13"/>
      <c r="HN553" s="13"/>
      <c r="HO553" s="13"/>
      <c r="HP553" s="13"/>
      <c r="HQ553" s="13"/>
      <c r="HR553" s="13"/>
      <c r="HS553" s="13"/>
      <c r="HT553" s="13"/>
      <c r="HV553" s="18"/>
      <c r="HW553" s="18"/>
      <c r="HX553" s="18"/>
      <c r="HY553" s="18"/>
      <c r="HZ553" s="18"/>
      <c r="IA553" s="18"/>
      <c r="IB553" s="18"/>
      <c r="IC553" s="18"/>
      <c r="ID553" s="18"/>
      <c r="IE553" s="18"/>
      <c r="IF553" s="18"/>
      <c r="IG553" s="18"/>
      <c r="IH553" s="18"/>
      <c r="II553" s="18"/>
      <c r="IJ553" s="18"/>
      <c r="IK553" s="18"/>
      <c r="IL553" s="18"/>
      <c r="IM553" s="18"/>
      <c r="IN553" s="18"/>
      <c r="IO553" s="18"/>
      <c r="IP553" s="18"/>
      <c r="IQ553" s="18"/>
      <c r="IR553" s="18"/>
      <c r="IS553" s="18"/>
      <c r="IT553" s="18"/>
      <c r="IU553" s="18"/>
      <c r="IV553" s="18"/>
      <c r="IW553" s="18"/>
      <c r="IX553" s="18"/>
      <c r="IY553" s="18"/>
      <c r="IZ553" s="18"/>
      <c r="JA553" s="18"/>
      <c r="JB553" s="18"/>
      <c r="JC553" s="18"/>
      <c r="JD553" s="18"/>
      <c r="JE553" s="18"/>
      <c r="JF553" s="18"/>
      <c r="JG553" s="18"/>
      <c r="JH553" s="18"/>
      <c r="JI553" s="18"/>
      <c r="JJ553" s="18"/>
      <c r="JK553" s="18"/>
      <c r="JL553" s="18"/>
      <c r="JM553" s="18"/>
      <c r="JN553" s="18"/>
      <c r="JO553" s="18"/>
      <c r="JP553" s="18"/>
      <c r="JQ553" s="18"/>
      <c r="JR553" s="18"/>
      <c r="JS553" s="18"/>
      <c r="JT553" s="18"/>
      <c r="JU553" s="18"/>
      <c r="JV553" s="18"/>
      <c r="JW553" s="18"/>
      <c r="JX553" s="18"/>
      <c r="JY553" s="18"/>
      <c r="JZ553" s="18"/>
      <c r="KA553" s="18"/>
      <c r="KB553" s="18"/>
      <c r="KC553" s="18"/>
      <c r="KD553" s="18"/>
      <c r="KE553" s="18"/>
      <c r="KF553" s="18"/>
      <c r="KG553" s="18"/>
      <c r="KH553" s="18"/>
      <c r="KI553" s="18"/>
      <c r="KJ553" s="18"/>
      <c r="KK553" s="18"/>
      <c r="KL553" s="18"/>
      <c r="KM553" s="18"/>
      <c r="KN553" s="18"/>
      <c r="KO553" s="18"/>
      <c r="KP553" s="18"/>
    </row>
    <row r="554" spans="1:302" ht="15" customHeight="1">
      <c r="A554" s="14"/>
      <c r="B554" s="14"/>
      <c r="C554" s="50"/>
      <c r="D554" s="50"/>
      <c r="E554" s="49"/>
      <c r="F554" s="46"/>
      <c r="G554" s="1"/>
      <c r="H554" s="1"/>
      <c r="I554" s="48"/>
      <c r="J554" s="48"/>
      <c r="L554" s="14"/>
      <c r="P554" s="14"/>
      <c r="AG554" s="47"/>
      <c r="AH554" s="44"/>
      <c r="AI554" s="45"/>
      <c r="AJ554" s="44"/>
      <c r="AK554" s="43"/>
      <c r="AS554" s="14"/>
      <c r="AU554" s="18"/>
      <c r="AV554" s="18"/>
      <c r="AW554" s="18"/>
      <c r="AX554" s="18"/>
      <c r="AY554" s="18"/>
      <c r="AZ554" s="18"/>
      <c r="BB554" s="18"/>
      <c r="BC554" s="18"/>
      <c r="BD554" s="18"/>
      <c r="BE554" s="18"/>
      <c r="BF554" s="18"/>
      <c r="BH554" s="18"/>
      <c r="BI554" s="18"/>
      <c r="BJ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  <c r="FC554" s="18"/>
      <c r="FD554" s="18"/>
      <c r="FE554" s="18"/>
      <c r="FF554" s="18"/>
      <c r="FG554" s="18"/>
      <c r="FH554" s="18"/>
      <c r="FI554" s="18"/>
      <c r="FJ554" s="18"/>
      <c r="FK554" s="18"/>
      <c r="FL554" s="18"/>
      <c r="FM554" s="18"/>
      <c r="FN554" s="18"/>
      <c r="FO554" s="18"/>
      <c r="FP554" s="18"/>
      <c r="FQ554" s="18"/>
      <c r="FR554" s="18"/>
      <c r="FS554" s="18"/>
      <c r="FT554" s="18"/>
      <c r="FU554" s="18"/>
      <c r="FV554" s="18"/>
      <c r="FW554" s="18"/>
      <c r="FX554" s="18"/>
      <c r="FY554" s="18"/>
      <c r="FZ554" s="18"/>
      <c r="GA554" s="18"/>
      <c r="GB554" s="18"/>
      <c r="GC554" s="18"/>
      <c r="GD554" s="18"/>
      <c r="GE554" s="18"/>
      <c r="GF554" s="18"/>
      <c r="GG554" s="18"/>
      <c r="GH554" s="18"/>
      <c r="GI554" s="18"/>
      <c r="GJ554" s="18"/>
      <c r="GK554" s="18"/>
      <c r="GL554" s="18"/>
      <c r="GM554" s="18"/>
      <c r="GN554" s="18"/>
      <c r="GO554" s="18"/>
      <c r="GP554" s="18"/>
      <c r="GQ554" s="18"/>
      <c r="GR554" s="18"/>
      <c r="GS554" s="18"/>
      <c r="GT554" s="18"/>
      <c r="GU554" s="18"/>
      <c r="GV554" s="18"/>
      <c r="GW554" s="18"/>
      <c r="GX554" s="18"/>
      <c r="GY554" s="18"/>
      <c r="GZ554" s="18"/>
      <c r="HA554" s="18"/>
      <c r="HB554" s="18"/>
      <c r="HC554" s="18"/>
      <c r="HD554" s="18"/>
      <c r="HE554" s="18"/>
      <c r="HF554" s="18"/>
      <c r="HG554" s="13"/>
      <c r="HH554" s="13"/>
      <c r="HI554" s="13"/>
      <c r="HJ554" s="13"/>
      <c r="HK554" s="13"/>
      <c r="HL554" s="13"/>
      <c r="HM554" s="13"/>
      <c r="HN554" s="13"/>
      <c r="HO554" s="13"/>
      <c r="HP554" s="13"/>
      <c r="HQ554" s="13"/>
      <c r="HR554" s="13"/>
      <c r="HS554" s="13"/>
      <c r="HT554" s="13"/>
      <c r="HV554" s="18"/>
      <c r="HW554" s="18"/>
      <c r="HX554" s="18"/>
      <c r="HY554" s="18"/>
      <c r="HZ554" s="18"/>
      <c r="IA554" s="18"/>
      <c r="IB554" s="18"/>
      <c r="IC554" s="18"/>
      <c r="ID554" s="18"/>
      <c r="IE554" s="18"/>
      <c r="IF554" s="18"/>
      <c r="IG554" s="18"/>
      <c r="IH554" s="18"/>
      <c r="II554" s="18"/>
      <c r="IJ554" s="18"/>
      <c r="IK554" s="18"/>
      <c r="IL554" s="18"/>
      <c r="IM554" s="18"/>
      <c r="IN554" s="18"/>
      <c r="IO554" s="18"/>
      <c r="IP554" s="18"/>
      <c r="IQ554" s="18"/>
      <c r="IR554" s="18"/>
      <c r="IS554" s="18"/>
      <c r="IT554" s="18"/>
      <c r="IU554" s="18"/>
      <c r="IV554" s="18"/>
      <c r="IW554" s="18"/>
      <c r="IX554" s="18"/>
      <c r="IY554" s="18"/>
      <c r="IZ554" s="18"/>
      <c r="JA554" s="18"/>
      <c r="JB554" s="18"/>
      <c r="JC554" s="18"/>
      <c r="JD554" s="18"/>
      <c r="JE554" s="18"/>
      <c r="JF554" s="18"/>
      <c r="JG554" s="18"/>
      <c r="JH554" s="18"/>
      <c r="JI554" s="18"/>
      <c r="JJ554" s="18"/>
      <c r="JK554" s="18"/>
      <c r="JL554" s="18"/>
      <c r="JM554" s="18"/>
      <c r="JN554" s="18"/>
      <c r="JO554" s="18"/>
      <c r="JP554" s="18"/>
      <c r="JQ554" s="18"/>
      <c r="JR554" s="18"/>
      <c r="JS554" s="18"/>
      <c r="JT554" s="18"/>
      <c r="JU554" s="18"/>
      <c r="JV554" s="18"/>
      <c r="JW554" s="18"/>
      <c r="JX554" s="18"/>
      <c r="JY554" s="18"/>
      <c r="JZ554" s="18"/>
      <c r="KA554" s="18"/>
      <c r="KB554" s="18"/>
      <c r="KC554" s="18"/>
      <c r="KD554" s="18"/>
      <c r="KE554" s="18"/>
      <c r="KF554" s="18"/>
      <c r="KG554" s="18"/>
      <c r="KH554" s="18"/>
      <c r="KI554" s="18"/>
      <c r="KJ554" s="18"/>
      <c r="KK554" s="18"/>
      <c r="KL554" s="18"/>
      <c r="KM554" s="18"/>
      <c r="KN554" s="18"/>
      <c r="KO554" s="18"/>
      <c r="KP554" s="18"/>
    </row>
    <row r="555" spans="1:302" ht="15" customHeight="1">
      <c r="A555" s="14"/>
      <c r="B555" s="14"/>
      <c r="C555" s="50"/>
      <c r="D555" s="50"/>
      <c r="E555" s="49"/>
      <c r="F555" s="46"/>
      <c r="G555" s="1"/>
      <c r="H555" s="1"/>
      <c r="I555" s="48"/>
      <c r="J555" s="48"/>
      <c r="L555" s="14"/>
      <c r="P555" s="14"/>
      <c r="AG555" s="47"/>
      <c r="AH555" s="44"/>
      <c r="AI555" s="45"/>
      <c r="AJ555" s="44"/>
      <c r="AK555" s="43"/>
      <c r="AS555" s="14"/>
      <c r="AU555" s="18"/>
      <c r="AV555" s="18"/>
      <c r="AW555" s="18"/>
      <c r="AX555" s="18"/>
      <c r="AY555" s="18"/>
      <c r="AZ555" s="18"/>
      <c r="BB555" s="18"/>
      <c r="BC555" s="18"/>
      <c r="BD555" s="18"/>
      <c r="BE555" s="18"/>
      <c r="BF555" s="18"/>
      <c r="BH555" s="18"/>
      <c r="BI555" s="18"/>
      <c r="BJ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  <c r="FC555" s="18"/>
      <c r="FD555" s="18"/>
      <c r="FE555" s="18"/>
      <c r="FF555" s="18"/>
      <c r="FG555" s="18"/>
      <c r="FH555" s="18"/>
      <c r="FI555" s="18"/>
      <c r="FJ555" s="18"/>
      <c r="FK555" s="18"/>
      <c r="FL555" s="18"/>
      <c r="FM555" s="18"/>
      <c r="FN555" s="18"/>
      <c r="FO555" s="18"/>
      <c r="FP555" s="18"/>
      <c r="FQ555" s="18"/>
      <c r="FR555" s="18"/>
      <c r="FS555" s="18"/>
      <c r="FT555" s="18"/>
      <c r="FU555" s="18"/>
      <c r="FV555" s="18"/>
      <c r="FW555" s="18"/>
      <c r="FX555" s="18"/>
      <c r="FY555" s="18"/>
      <c r="FZ555" s="18"/>
      <c r="GA555" s="18"/>
      <c r="GB555" s="18"/>
      <c r="GC555" s="18"/>
      <c r="GD555" s="18"/>
      <c r="GE555" s="18"/>
      <c r="GF555" s="18"/>
      <c r="GG555" s="18"/>
      <c r="GH555" s="18"/>
      <c r="GI555" s="18"/>
      <c r="GJ555" s="18"/>
      <c r="GK555" s="18"/>
      <c r="GL555" s="18"/>
      <c r="GM555" s="18"/>
      <c r="GN555" s="18"/>
      <c r="GO555" s="18"/>
      <c r="GP555" s="18"/>
      <c r="GQ555" s="18"/>
      <c r="GR555" s="18"/>
      <c r="GS555" s="18"/>
      <c r="GT555" s="18"/>
      <c r="GU555" s="18"/>
      <c r="GV555" s="18"/>
      <c r="GW555" s="18"/>
      <c r="GX555" s="18"/>
      <c r="GY555" s="18"/>
      <c r="GZ555" s="18"/>
      <c r="HA555" s="18"/>
      <c r="HB555" s="18"/>
      <c r="HC555" s="18"/>
      <c r="HD555" s="18"/>
      <c r="HE555" s="18"/>
      <c r="HF555" s="18"/>
      <c r="HG555" s="13"/>
      <c r="HH555" s="13"/>
      <c r="HI555" s="13"/>
      <c r="HJ555" s="13"/>
      <c r="HK555" s="13"/>
      <c r="HL555" s="13"/>
      <c r="HM555" s="13"/>
      <c r="HN555" s="13"/>
      <c r="HO555" s="13"/>
      <c r="HP555" s="13"/>
      <c r="HQ555" s="13"/>
      <c r="HR555" s="13"/>
      <c r="HS555" s="13"/>
      <c r="HT555" s="13"/>
      <c r="HV555" s="18"/>
      <c r="HW555" s="18"/>
      <c r="HX555" s="18"/>
      <c r="HY555" s="18"/>
      <c r="HZ555" s="18"/>
      <c r="IA555" s="18"/>
      <c r="IB555" s="18"/>
      <c r="IC555" s="18"/>
      <c r="ID555" s="18"/>
      <c r="IE555" s="18"/>
      <c r="IF555" s="18"/>
      <c r="IG555" s="18"/>
      <c r="IH555" s="18"/>
      <c r="II555" s="18"/>
      <c r="IJ555" s="18"/>
      <c r="IK555" s="18"/>
      <c r="IL555" s="18"/>
      <c r="IM555" s="18"/>
      <c r="IN555" s="18"/>
      <c r="IO555" s="18"/>
      <c r="IP555" s="18"/>
      <c r="IQ555" s="18"/>
      <c r="IR555" s="18"/>
      <c r="IS555" s="18"/>
      <c r="IT555" s="18"/>
      <c r="IU555" s="18"/>
      <c r="IV555" s="18"/>
      <c r="IW555" s="18"/>
      <c r="IX555" s="18"/>
      <c r="IY555" s="18"/>
      <c r="IZ555" s="18"/>
      <c r="JA555" s="18"/>
      <c r="JB555" s="18"/>
      <c r="JC555" s="18"/>
      <c r="JD555" s="18"/>
      <c r="JE555" s="18"/>
      <c r="JF555" s="18"/>
      <c r="JG555" s="18"/>
      <c r="JH555" s="18"/>
      <c r="JI555" s="18"/>
      <c r="JJ555" s="18"/>
      <c r="JK555" s="18"/>
      <c r="JL555" s="18"/>
      <c r="JM555" s="18"/>
      <c r="JN555" s="18"/>
      <c r="JO555" s="18"/>
      <c r="JP555" s="18"/>
      <c r="JQ555" s="18"/>
      <c r="JR555" s="18"/>
      <c r="JS555" s="18"/>
      <c r="JT555" s="18"/>
      <c r="JU555" s="18"/>
      <c r="JV555" s="18"/>
      <c r="JW555" s="18"/>
      <c r="JX555" s="18"/>
      <c r="JY555" s="18"/>
      <c r="JZ555" s="18"/>
      <c r="KA555" s="18"/>
      <c r="KB555" s="18"/>
      <c r="KC555" s="18"/>
      <c r="KD555" s="18"/>
      <c r="KE555" s="18"/>
      <c r="KF555" s="18"/>
      <c r="KG555" s="18"/>
      <c r="KH555" s="18"/>
      <c r="KI555" s="18"/>
      <c r="KJ555" s="18"/>
      <c r="KK555" s="18"/>
      <c r="KL555" s="18"/>
      <c r="KM555" s="18"/>
      <c r="KN555" s="18"/>
      <c r="KO555" s="18"/>
      <c r="KP555" s="18"/>
    </row>
    <row r="556" spans="1:302" ht="15" customHeight="1">
      <c r="A556" s="14"/>
      <c r="B556" s="14"/>
      <c r="C556" s="50"/>
      <c r="D556" s="50"/>
      <c r="E556" s="49"/>
      <c r="F556" s="46"/>
      <c r="G556" s="1"/>
      <c r="H556" s="1"/>
      <c r="I556" s="48"/>
      <c r="J556" s="48"/>
      <c r="L556" s="14"/>
      <c r="P556" s="14"/>
      <c r="AG556" s="47"/>
      <c r="AH556" s="44"/>
      <c r="AI556" s="45"/>
      <c r="AJ556" s="44"/>
      <c r="AK556" s="43"/>
      <c r="AS556" s="14"/>
      <c r="AU556" s="18"/>
      <c r="AV556" s="18"/>
      <c r="AW556" s="18"/>
      <c r="AX556" s="18"/>
      <c r="AY556" s="18"/>
      <c r="AZ556" s="18"/>
      <c r="BB556" s="18"/>
      <c r="BC556" s="18"/>
      <c r="BD556" s="18"/>
      <c r="BE556" s="18"/>
      <c r="BF556" s="18"/>
      <c r="BH556" s="18"/>
      <c r="BI556" s="18"/>
      <c r="BJ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  <c r="EZ556" s="18"/>
      <c r="FA556" s="18"/>
      <c r="FB556" s="18"/>
      <c r="FC556" s="18"/>
      <c r="FD556" s="18"/>
      <c r="FE556" s="18"/>
      <c r="FF556" s="18"/>
      <c r="FG556" s="18"/>
      <c r="FH556" s="18"/>
      <c r="FI556" s="18"/>
      <c r="FJ556" s="18"/>
      <c r="FK556" s="18"/>
      <c r="FL556" s="18"/>
      <c r="FM556" s="18"/>
      <c r="FN556" s="18"/>
      <c r="FO556" s="18"/>
      <c r="FP556" s="18"/>
      <c r="FQ556" s="18"/>
      <c r="FR556" s="18"/>
      <c r="FS556" s="18"/>
      <c r="FT556" s="18"/>
      <c r="FU556" s="18"/>
      <c r="FV556" s="18"/>
      <c r="FW556" s="18"/>
      <c r="FX556" s="18"/>
      <c r="FY556" s="18"/>
      <c r="FZ556" s="18"/>
      <c r="GA556" s="18"/>
      <c r="GB556" s="18"/>
      <c r="GC556" s="18"/>
      <c r="GD556" s="18"/>
      <c r="GE556" s="18"/>
      <c r="GF556" s="18"/>
      <c r="GG556" s="18"/>
      <c r="GH556" s="18"/>
      <c r="GI556" s="18"/>
      <c r="GJ556" s="18"/>
      <c r="GK556" s="18"/>
      <c r="GL556" s="18"/>
      <c r="GM556" s="18"/>
      <c r="GN556" s="18"/>
      <c r="GO556" s="18"/>
      <c r="GP556" s="18"/>
      <c r="GQ556" s="18"/>
      <c r="GR556" s="18"/>
      <c r="GS556" s="18"/>
      <c r="GT556" s="18"/>
      <c r="GU556" s="18"/>
      <c r="GV556" s="18"/>
      <c r="GW556" s="18"/>
      <c r="GX556" s="18"/>
      <c r="GY556" s="18"/>
      <c r="GZ556" s="18"/>
      <c r="HA556" s="18"/>
      <c r="HB556" s="18"/>
      <c r="HC556" s="18"/>
      <c r="HD556" s="18"/>
      <c r="HE556" s="18"/>
      <c r="HF556" s="18"/>
      <c r="HG556" s="13"/>
      <c r="HH556" s="13"/>
      <c r="HI556" s="13"/>
      <c r="HJ556" s="13"/>
      <c r="HK556" s="13"/>
      <c r="HL556" s="13"/>
      <c r="HM556" s="13"/>
      <c r="HN556" s="13"/>
      <c r="HO556" s="13"/>
      <c r="HP556" s="13"/>
      <c r="HQ556" s="13"/>
      <c r="HR556" s="13"/>
      <c r="HS556" s="13"/>
      <c r="HT556" s="13"/>
      <c r="HV556" s="18"/>
      <c r="HW556" s="18"/>
      <c r="HX556" s="18"/>
      <c r="HY556" s="18"/>
      <c r="HZ556" s="18"/>
      <c r="IA556" s="18"/>
      <c r="IB556" s="18"/>
      <c r="IC556" s="18"/>
      <c r="ID556" s="18"/>
      <c r="IE556" s="18"/>
      <c r="IF556" s="18"/>
      <c r="IG556" s="18"/>
      <c r="IH556" s="18"/>
      <c r="II556" s="18"/>
      <c r="IJ556" s="18"/>
      <c r="IK556" s="18"/>
      <c r="IL556" s="18"/>
      <c r="IM556" s="18"/>
      <c r="IN556" s="18"/>
      <c r="IO556" s="18"/>
      <c r="IP556" s="18"/>
      <c r="IQ556" s="18"/>
      <c r="IR556" s="18"/>
      <c r="IS556" s="18"/>
      <c r="IT556" s="18"/>
      <c r="IU556" s="18"/>
      <c r="IV556" s="18"/>
      <c r="IW556" s="18"/>
      <c r="IX556" s="18"/>
      <c r="IY556" s="18"/>
      <c r="IZ556" s="18"/>
      <c r="JA556" s="18"/>
      <c r="JB556" s="18"/>
      <c r="JC556" s="18"/>
      <c r="JD556" s="18"/>
      <c r="JE556" s="18"/>
      <c r="JF556" s="18"/>
      <c r="JG556" s="18"/>
      <c r="JH556" s="18"/>
      <c r="JI556" s="18"/>
      <c r="JJ556" s="18"/>
      <c r="JK556" s="18"/>
      <c r="JL556" s="18"/>
      <c r="JM556" s="18"/>
      <c r="JN556" s="18"/>
      <c r="JO556" s="18"/>
      <c r="JP556" s="18"/>
      <c r="JQ556" s="18"/>
      <c r="JR556" s="18"/>
      <c r="JS556" s="18"/>
      <c r="JT556" s="18"/>
      <c r="JU556" s="18"/>
      <c r="JV556" s="18"/>
      <c r="JW556" s="18"/>
      <c r="JX556" s="18"/>
      <c r="JY556" s="18"/>
      <c r="JZ556" s="18"/>
      <c r="KA556" s="18"/>
      <c r="KB556" s="18"/>
      <c r="KC556" s="18"/>
      <c r="KD556" s="18"/>
      <c r="KE556" s="18"/>
      <c r="KF556" s="18"/>
      <c r="KG556" s="18"/>
      <c r="KH556" s="18"/>
      <c r="KI556" s="18"/>
      <c r="KJ556" s="18"/>
      <c r="KK556" s="18"/>
      <c r="KL556" s="18"/>
      <c r="KM556" s="18"/>
      <c r="KN556" s="18"/>
      <c r="KO556" s="18"/>
      <c r="KP556" s="18"/>
    </row>
    <row r="557" spans="1:302" ht="15" customHeight="1">
      <c r="A557" s="14"/>
      <c r="B557" s="14"/>
      <c r="C557" s="50"/>
      <c r="D557" s="50"/>
      <c r="E557" s="49"/>
      <c r="F557" s="46"/>
      <c r="G557" s="1"/>
      <c r="H557" s="1"/>
      <c r="I557" s="48"/>
      <c r="J557" s="48"/>
      <c r="L557" s="14"/>
      <c r="P557" s="14"/>
      <c r="AG557" s="47"/>
      <c r="AH557" s="44"/>
      <c r="AI557" s="45"/>
      <c r="AJ557" s="44"/>
      <c r="AK557" s="43"/>
      <c r="AS557" s="14"/>
      <c r="AU557" s="18"/>
      <c r="AV557" s="18"/>
      <c r="AW557" s="18"/>
      <c r="AX557" s="18"/>
      <c r="AY557" s="18"/>
      <c r="AZ557" s="18"/>
      <c r="BB557" s="18"/>
      <c r="BC557" s="18"/>
      <c r="BD557" s="18"/>
      <c r="BE557" s="18"/>
      <c r="BF557" s="18"/>
      <c r="BH557" s="18"/>
      <c r="BI557" s="18"/>
      <c r="BJ557" s="18"/>
      <c r="BL557" s="18"/>
      <c r="BM557" s="18"/>
      <c r="BN557" s="18"/>
      <c r="BO557" s="18"/>
      <c r="BP557" s="18"/>
      <c r="BQ557" s="18"/>
      <c r="BR557" s="18"/>
      <c r="BS557" s="18"/>
      <c r="BT557" s="18"/>
      <c r="BU557" s="18"/>
      <c r="BV557" s="18"/>
      <c r="BW557" s="18"/>
      <c r="BY557" s="18"/>
      <c r="BZ557" s="18"/>
      <c r="CA557" s="18"/>
      <c r="CB557" s="18"/>
      <c r="CC557" s="18"/>
      <c r="CD557" s="18"/>
      <c r="CE557" s="18"/>
      <c r="CF557" s="18"/>
      <c r="CG557" s="18"/>
      <c r="CH557" s="18"/>
      <c r="CI557" s="18"/>
      <c r="CJ557" s="18"/>
      <c r="CK557" s="18"/>
      <c r="CL557" s="18"/>
      <c r="CM557" s="18"/>
      <c r="CN557" s="18"/>
      <c r="CO557" s="18"/>
      <c r="CP557" s="18"/>
      <c r="CQ557" s="18"/>
      <c r="CR557" s="18"/>
      <c r="CT557" s="18"/>
      <c r="CU557" s="18"/>
      <c r="CV557" s="18"/>
      <c r="CW557" s="18"/>
      <c r="CX557" s="18"/>
      <c r="CY557" s="18"/>
      <c r="CZ557" s="18"/>
      <c r="DA557" s="18"/>
      <c r="DB557" s="18"/>
      <c r="DC557" s="18"/>
      <c r="DD557" s="18"/>
      <c r="DE557" s="18"/>
      <c r="DF557" s="18"/>
      <c r="DG557" s="18"/>
      <c r="DH557" s="18"/>
      <c r="DI557" s="18"/>
      <c r="DJ557" s="18"/>
      <c r="DK557" s="18"/>
      <c r="DL557" s="18"/>
      <c r="DM557" s="18"/>
      <c r="DN557" s="18"/>
      <c r="DP557" s="18"/>
      <c r="DQ557" s="18"/>
      <c r="DR557" s="18"/>
      <c r="DS557" s="18"/>
      <c r="DT557" s="18"/>
      <c r="DU557" s="18"/>
      <c r="DV557" s="18"/>
      <c r="DW557" s="18"/>
      <c r="DX557" s="18"/>
      <c r="DY557" s="18"/>
      <c r="DZ557" s="18"/>
      <c r="EA557" s="18"/>
      <c r="EB557" s="18"/>
      <c r="EC557" s="18"/>
      <c r="ED557" s="18"/>
      <c r="EE557" s="18"/>
      <c r="EF557" s="18"/>
      <c r="EG557" s="18"/>
      <c r="EH557" s="18"/>
      <c r="EI557" s="18"/>
      <c r="EJ557" s="18"/>
      <c r="EK557" s="18"/>
      <c r="EL557" s="18"/>
      <c r="EM557" s="18"/>
      <c r="EN557" s="18"/>
      <c r="EO557" s="18"/>
      <c r="EP557" s="18"/>
      <c r="EQ557" s="18"/>
      <c r="ER557" s="18"/>
      <c r="ES557" s="18"/>
      <c r="ET557" s="18"/>
      <c r="EU557" s="18"/>
      <c r="EV557" s="18"/>
      <c r="EW557" s="18"/>
      <c r="EX557" s="18"/>
      <c r="EY557" s="18"/>
      <c r="EZ557" s="18"/>
      <c r="FA557" s="18"/>
      <c r="FB557" s="18"/>
      <c r="FC557" s="18"/>
      <c r="FD557" s="18"/>
      <c r="FE557" s="18"/>
      <c r="FF557" s="18"/>
      <c r="FG557" s="18"/>
      <c r="FH557" s="18"/>
      <c r="FI557" s="18"/>
      <c r="FJ557" s="18"/>
      <c r="FK557" s="18"/>
      <c r="FL557" s="18"/>
      <c r="FM557" s="18"/>
      <c r="FN557" s="18"/>
      <c r="FO557" s="18"/>
      <c r="FP557" s="18"/>
      <c r="FQ557" s="18"/>
      <c r="FR557" s="18"/>
      <c r="FS557" s="18"/>
      <c r="FT557" s="18"/>
      <c r="FU557" s="18"/>
      <c r="FV557" s="18"/>
      <c r="FW557" s="18"/>
      <c r="FX557" s="18"/>
      <c r="FY557" s="18"/>
      <c r="FZ557" s="18"/>
      <c r="GA557" s="18"/>
      <c r="GB557" s="18"/>
      <c r="GC557" s="18"/>
      <c r="GD557" s="18"/>
      <c r="GE557" s="18"/>
      <c r="GF557" s="18"/>
      <c r="GG557" s="18"/>
      <c r="GH557" s="18"/>
      <c r="GI557" s="18"/>
      <c r="GJ557" s="18"/>
      <c r="GK557" s="18"/>
      <c r="GL557" s="18"/>
      <c r="GM557" s="18"/>
      <c r="GN557" s="18"/>
      <c r="GO557" s="18"/>
      <c r="GP557" s="18"/>
      <c r="GQ557" s="18"/>
      <c r="GR557" s="18"/>
      <c r="GS557" s="18"/>
      <c r="GT557" s="18"/>
      <c r="GU557" s="18"/>
      <c r="GV557" s="18"/>
      <c r="GW557" s="18"/>
      <c r="GX557" s="18"/>
      <c r="GY557" s="18"/>
      <c r="GZ557" s="18"/>
      <c r="HA557" s="18"/>
      <c r="HB557" s="18"/>
      <c r="HC557" s="18"/>
      <c r="HD557" s="18"/>
      <c r="HE557" s="18"/>
      <c r="HF557" s="18"/>
      <c r="HG557" s="13"/>
      <c r="HH557" s="13"/>
      <c r="HI557" s="13"/>
      <c r="HJ557" s="13"/>
      <c r="HK557" s="13"/>
      <c r="HL557" s="13"/>
      <c r="HM557" s="13"/>
      <c r="HN557" s="13"/>
      <c r="HO557" s="13"/>
      <c r="HP557" s="13"/>
      <c r="HQ557" s="13"/>
      <c r="HR557" s="13"/>
      <c r="HS557" s="13"/>
      <c r="HT557" s="13"/>
      <c r="HV557" s="18"/>
      <c r="HW557" s="18"/>
      <c r="HX557" s="18"/>
      <c r="HY557" s="18"/>
      <c r="HZ557" s="18"/>
      <c r="IA557" s="18"/>
      <c r="IB557" s="18"/>
      <c r="IC557" s="18"/>
      <c r="ID557" s="18"/>
      <c r="IE557" s="18"/>
      <c r="IF557" s="18"/>
      <c r="IG557" s="18"/>
      <c r="IH557" s="18"/>
      <c r="II557" s="18"/>
      <c r="IJ557" s="18"/>
      <c r="IK557" s="18"/>
      <c r="IL557" s="18"/>
      <c r="IM557" s="18"/>
      <c r="IN557" s="18"/>
      <c r="IO557" s="18"/>
      <c r="IP557" s="18"/>
      <c r="IQ557" s="18"/>
      <c r="IR557" s="18"/>
      <c r="IS557" s="18"/>
      <c r="IT557" s="18"/>
      <c r="IU557" s="18"/>
      <c r="IV557" s="18"/>
      <c r="IW557" s="18"/>
      <c r="IX557" s="18"/>
      <c r="IY557" s="18"/>
      <c r="IZ557" s="18"/>
      <c r="JA557" s="18"/>
      <c r="JB557" s="18"/>
      <c r="JC557" s="18"/>
      <c r="JD557" s="18"/>
      <c r="JE557" s="18"/>
      <c r="JF557" s="18"/>
      <c r="JG557" s="18"/>
      <c r="JH557" s="18"/>
      <c r="JI557" s="18"/>
      <c r="JJ557" s="18"/>
      <c r="JK557" s="18"/>
      <c r="JL557" s="18"/>
      <c r="JM557" s="18"/>
      <c r="JN557" s="18"/>
      <c r="JO557" s="18"/>
      <c r="JP557" s="18"/>
      <c r="JQ557" s="18"/>
      <c r="JR557" s="18"/>
      <c r="JS557" s="18"/>
      <c r="JT557" s="18"/>
      <c r="JU557" s="18"/>
      <c r="JV557" s="18"/>
      <c r="JW557" s="18"/>
      <c r="JX557" s="18"/>
      <c r="JY557" s="18"/>
      <c r="JZ557" s="18"/>
      <c r="KA557" s="18"/>
      <c r="KB557" s="18"/>
      <c r="KC557" s="18"/>
      <c r="KD557" s="18"/>
      <c r="KE557" s="18"/>
      <c r="KF557" s="18"/>
      <c r="KG557" s="18"/>
      <c r="KH557" s="18"/>
      <c r="KI557" s="18"/>
      <c r="KJ557" s="18"/>
      <c r="KK557" s="18"/>
      <c r="KL557" s="18"/>
      <c r="KM557" s="18"/>
      <c r="KN557" s="18"/>
      <c r="KO557" s="18"/>
      <c r="KP557" s="18"/>
    </row>
    <row r="558" spans="1:302" ht="15" customHeight="1">
      <c r="A558" s="14"/>
      <c r="B558" s="14"/>
      <c r="C558" s="50"/>
      <c r="D558" s="50"/>
      <c r="E558" s="49"/>
      <c r="F558" s="46"/>
      <c r="G558" s="1"/>
      <c r="H558" s="1"/>
      <c r="I558" s="48"/>
      <c r="J558" s="48"/>
      <c r="L558" s="14"/>
      <c r="P558" s="14"/>
      <c r="AG558" s="47"/>
      <c r="AH558" s="44"/>
      <c r="AI558" s="45"/>
      <c r="AJ558" s="44"/>
      <c r="AK558" s="43"/>
      <c r="AS558" s="14"/>
      <c r="AU558" s="18"/>
      <c r="AV558" s="18"/>
      <c r="AW558" s="18"/>
      <c r="AX558" s="18"/>
      <c r="AY558" s="18"/>
      <c r="AZ558" s="18"/>
      <c r="BB558" s="18"/>
      <c r="BC558" s="18"/>
      <c r="BD558" s="18"/>
      <c r="BE558" s="18"/>
      <c r="BF558" s="18"/>
      <c r="BH558" s="18"/>
      <c r="BI558" s="18"/>
      <c r="BJ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  <c r="EZ558" s="18"/>
      <c r="FA558" s="18"/>
      <c r="FB558" s="18"/>
      <c r="FC558" s="18"/>
      <c r="FD558" s="18"/>
      <c r="FE558" s="18"/>
      <c r="FF558" s="18"/>
      <c r="FG558" s="18"/>
      <c r="FH558" s="18"/>
      <c r="FI558" s="18"/>
      <c r="FJ558" s="18"/>
      <c r="FK558" s="18"/>
      <c r="FL558" s="18"/>
      <c r="FM558" s="18"/>
      <c r="FN558" s="18"/>
      <c r="FO558" s="18"/>
      <c r="FP558" s="18"/>
      <c r="FQ558" s="18"/>
      <c r="FR558" s="18"/>
      <c r="FS558" s="18"/>
      <c r="FT558" s="18"/>
      <c r="FU558" s="18"/>
      <c r="FV558" s="18"/>
      <c r="FW558" s="18"/>
      <c r="FX558" s="18"/>
      <c r="FY558" s="18"/>
      <c r="FZ558" s="18"/>
      <c r="GA558" s="18"/>
      <c r="GB558" s="18"/>
      <c r="GC558" s="18"/>
      <c r="GD558" s="18"/>
      <c r="GE558" s="18"/>
      <c r="GF558" s="18"/>
      <c r="GG558" s="18"/>
      <c r="GH558" s="18"/>
      <c r="GI558" s="18"/>
      <c r="GJ558" s="18"/>
      <c r="GK558" s="18"/>
      <c r="GL558" s="18"/>
      <c r="GM558" s="18"/>
      <c r="GN558" s="18"/>
      <c r="GO558" s="18"/>
      <c r="GP558" s="18"/>
      <c r="GQ558" s="18"/>
      <c r="GR558" s="18"/>
      <c r="GS558" s="18"/>
      <c r="GT558" s="18"/>
      <c r="GU558" s="18"/>
      <c r="GV558" s="18"/>
      <c r="GW558" s="18"/>
      <c r="GX558" s="18"/>
      <c r="GY558" s="18"/>
      <c r="GZ558" s="18"/>
      <c r="HA558" s="18"/>
      <c r="HB558" s="18"/>
      <c r="HC558" s="18"/>
      <c r="HD558" s="18"/>
      <c r="HE558" s="18"/>
      <c r="HF558" s="18"/>
      <c r="HG558" s="13"/>
      <c r="HH558" s="13"/>
      <c r="HI558" s="13"/>
      <c r="HJ558" s="13"/>
      <c r="HK558" s="13"/>
      <c r="HL558" s="13"/>
      <c r="HM558" s="13"/>
      <c r="HN558" s="13"/>
      <c r="HO558" s="13"/>
      <c r="HP558" s="13"/>
      <c r="HQ558" s="13"/>
      <c r="HR558" s="13"/>
      <c r="HS558" s="13"/>
      <c r="HT558" s="13"/>
      <c r="HV558" s="18"/>
      <c r="HW558" s="18"/>
      <c r="HX558" s="18"/>
      <c r="HY558" s="18"/>
      <c r="HZ558" s="18"/>
      <c r="IA558" s="18"/>
      <c r="IB558" s="18"/>
      <c r="IC558" s="18"/>
      <c r="ID558" s="18"/>
      <c r="IE558" s="18"/>
      <c r="IF558" s="18"/>
      <c r="IG558" s="18"/>
      <c r="IH558" s="18"/>
      <c r="II558" s="18"/>
      <c r="IJ558" s="18"/>
      <c r="IK558" s="18"/>
      <c r="IL558" s="18"/>
      <c r="IM558" s="18"/>
      <c r="IN558" s="18"/>
      <c r="IO558" s="18"/>
      <c r="IP558" s="18"/>
      <c r="IQ558" s="18"/>
      <c r="IR558" s="18"/>
      <c r="IS558" s="18"/>
      <c r="IT558" s="18"/>
      <c r="IU558" s="18"/>
      <c r="IV558" s="18"/>
      <c r="IW558" s="18"/>
      <c r="IX558" s="18"/>
      <c r="IY558" s="18"/>
      <c r="IZ558" s="18"/>
      <c r="JA558" s="18"/>
      <c r="JB558" s="18"/>
      <c r="JC558" s="18"/>
      <c r="JD558" s="18"/>
      <c r="JE558" s="18"/>
      <c r="JF558" s="18"/>
      <c r="JG558" s="18"/>
      <c r="JH558" s="18"/>
      <c r="JI558" s="18"/>
      <c r="JJ558" s="18"/>
      <c r="JK558" s="18"/>
      <c r="JL558" s="18"/>
      <c r="JM558" s="18"/>
      <c r="JN558" s="18"/>
      <c r="JO558" s="18"/>
      <c r="JP558" s="18"/>
      <c r="JQ558" s="18"/>
      <c r="JR558" s="18"/>
      <c r="JS558" s="18"/>
      <c r="JT558" s="18"/>
      <c r="JU558" s="18"/>
      <c r="JV558" s="18"/>
      <c r="JW558" s="18"/>
      <c r="JX558" s="18"/>
      <c r="JY558" s="18"/>
      <c r="JZ558" s="18"/>
      <c r="KA558" s="18"/>
      <c r="KB558" s="18"/>
      <c r="KC558" s="18"/>
      <c r="KD558" s="18"/>
      <c r="KE558" s="18"/>
      <c r="KF558" s="18"/>
      <c r="KG558" s="18"/>
      <c r="KH558" s="18"/>
      <c r="KI558" s="18"/>
      <c r="KJ558" s="18"/>
      <c r="KK558" s="18"/>
      <c r="KL558" s="18"/>
      <c r="KM558" s="18"/>
      <c r="KN558" s="18"/>
      <c r="KO558" s="18"/>
      <c r="KP558" s="18"/>
    </row>
    <row r="559" spans="1:302" ht="15" customHeight="1">
      <c r="A559" s="14"/>
      <c r="B559" s="14"/>
      <c r="C559" s="50"/>
      <c r="D559" s="50"/>
      <c r="E559" s="49"/>
      <c r="F559" s="46"/>
      <c r="G559" s="1"/>
      <c r="H559" s="1"/>
      <c r="I559" s="48"/>
      <c r="J559" s="48"/>
      <c r="L559" s="14"/>
      <c r="P559" s="14"/>
      <c r="AG559" s="47"/>
      <c r="AH559" s="44"/>
      <c r="AI559" s="45"/>
      <c r="AJ559" s="44"/>
      <c r="AK559" s="43"/>
      <c r="AS559" s="14"/>
      <c r="AU559" s="18"/>
      <c r="AV559" s="18"/>
      <c r="AW559" s="18"/>
      <c r="AX559" s="18"/>
      <c r="AY559" s="18"/>
      <c r="AZ559" s="18"/>
      <c r="BB559" s="18"/>
      <c r="BC559" s="18"/>
      <c r="BD559" s="18"/>
      <c r="BE559" s="18"/>
      <c r="BF559" s="18"/>
      <c r="BH559" s="18"/>
      <c r="BI559" s="18"/>
      <c r="BJ559" s="18"/>
      <c r="BL559" s="18"/>
      <c r="BM559" s="18"/>
      <c r="BN559" s="18"/>
      <c r="BO559" s="18"/>
      <c r="BP559" s="18"/>
      <c r="BQ559" s="18"/>
      <c r="BR559" s="18"/>
      <c r="BS559" s="18"/>
      <c r="BT559" s="18"/>
      <c r="BU559" s="18"/>
      <c r="BV559" s="18"/>
      <c r="BW559" s="18"/>
      <c r="BY559" s="18"/>
      <c r="BZ559" s="18"/>
      <c r="CA559" s="18"/>
      <c r="CB559" s="18"/>
      <c r="CC559" s="18"/>
      <c r="CD559" s="18"/>
      <c r="CE559" s="18"/>
      <c r="CF559" s="18"/>
      <c r="CG559" s="18"/>
      <c r="CH559" s="18"/>
      <c r="CI559" s="18"/>
      <c r="CJ559" s="18"/>
      <c r="CK559" s="18"/>
      <c r="CL559" s="18"/>
      <c r="CM559" s="18"/>
      <c r="CN559" s="18"/>
      <c r="CO559" s="18"/>
      <c r="CP559" s="18"/>
      <c r="CQ559" s="18"/>
      <c r="CR559" s="18"/>
      <c r="CT559" s="18"/>
      <c r="CU559" s="18"/>
      <c r="CV559" s="18"/>
      <c r="CW559" s="18"/>
      <c r="CX559" s="18"/>
      <c r="CY559" s="18"/>
      <c r="CZ559" s="18"/>
      <c r="DA559" s="18"/>
      <c r="DB559" s="18"/>
      <c r="DC559" s="18"/>
      <c r="DD559" s="18"/>
      <c r="DE559" s="18"/>
      <c r="DF559" s="18"/>
      <c r="DG559" s="18"/>
      <c r="DH559" s="18"/>
      <c r="DI559" s="18"/>
      <c r="DJ559" s="18"/>
      <c r="DK559" s="18"/>
      <c r="DL559" s="18"/>
      <c r="DM559" s="18"/>
      <c r="DN559" s="18"/>
      <c r="DP559" s="18"/>
      <c r="DQ559" s="18"/>
      <c r="DR559" s="18"/>
      <c r="DS559" s="18"/>
      <c r="DT559" s="18"/>
      <c r="DU559" s="18"/>
      <c r="DV559" s="18"/>
      <c r="DW559" s="18"/>
      <c r="DX559" s="18"/>
      <c r="DY559" s="18"/>
      <c r="DZ559" s="18"/>
      <c r="EA559" s="18"/>
      <c r="EB559" s="18"/>
      <c r="EC559" s="18"/>
      <c r="ED559" s="18"/>
      <c r="EE559" s="18"/>
      <c r="EF559" s="18"/>
      <c r="EG559" s="18"/>
      <c r="EH559" s="18"/>
      <c r="EI559" s="18"/>
      <c r="EJ559" s="18"/>
      <c r="EK559" s="18"/>
      <c r="EL559" s="18"/>
      <c r="EM559" s="18"/>
      <c r="EN559" s="18"/>
      <c r="EO559" s="18"/>
      <c r="EP559" s="18"/>
      <c r="EQ559" s="18"/>
      <c r="ER559" s="18"/>
      <c r="ES559" s="18"/>
      <c r="ET559" s="18"/>
      <c r="EU559" s="18"/>
      <c r="EV559" s="18"/>
      <c r="EW559" s="18"/>
      <c r="EX559" s="18"/>
      <c r="EY559" s="18"/>
      <c r="EZ559" s="18"/>
      <c r="FA559" s="18"/>
      <c r="FB559" s="18"/>
      <c r="FC559" s="18"/>
      <c r="FD559" s="18"/>
      <c r="FE559" s="18"/>
      <c r="FF559" s="18"/>
      <c r="FG559" s="18"/>
      <c r="FH559" s="18"/>
      <c r="FI559" s="18"/>
      <c r="FJ559" s="18"/>
      <c r="FK559" s="18"/>
      <c r="FL559" s="18"/>
      <c r="FM559" s="18"/>
      <c r="FN559" s="18"/>
      <c r="FO559" s="18"/>
      <c r="FP559" s="18"/>
      <c r="FQ559" s="18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  <c r="GK559" s="18"/>
      <c r="GL559" s="18"/>
      <c r="GM559" s="18"/>
      <c r="GN559" s="18"/>
      <c r="GO559" s="18"/>
      <c r="GP559" s="18"/>
      <c r="GQ559" s="18"/>
      <c r="GR559" s="18"/>
      <c r="GS559" s="18"/>
      <c r="GT559" s="18"/>
      <c r="GU559" s="18"/>
      <c r="GV559" s="18"/>
      <c r="GW559" s="18"/>
      <c r="GX559" s="18"/>
      <c r="GY559" s="18"/>
      <c r="GZ559" s="18"/>
      <c r="HA559" s="18"/>
      <c r="HB559" s="18"/>
      <c r="HC559" s="18"/>
      <c r="HD559" s="18"/>
      <c r="HE559" s="18"/>
      <c r="HF559" s="18"/>
      <c r="HG559" s="13"/>
      <c r="HH559" s="13"/>
      <c r="HI559" s="13"/>
      <c r="HJ559" s="13"/>
      <c r="HK559" s="13"/>
      <c r="HL559" s="13"/>
      <c r="HM559" s="13"/>
      <c r="HN559" s="13"/>
      <c r="HO559" s="13"/>
      <c r="HP559" s="13"/>
      <c r="HQ559" s="13"/>
      <c r="HR559" s="13"/>
      <c r="HS559" s="13"/>
      <c r="HT559" s="13"/>
      <c r="HV559" s="18"/>
      <c r="HW559" s="18"/>
      <c r="HX559" s="18"/>
      <c r="HY559" s="18"/>
      <c r="HZ559" s="18"/>
      <c r="IA559" s="18"/>
      <c r="IB559" s="18"/>
      <c r="IC559" s="18"/>
      <c r="ID559" s="18"/>
      <c r="IE559" s="18"/>
      <c r="IF559" s="18"/>
      <c r="IG559" s="18"/>
      <c r="IH559" s="18"/>
      <c r="II559" s="18"/>
      <c r="IJ559" s="18"/>
      <c r="IK559" s="18"/>
      <c r="IL559" s="18"/>
      <c r="IM559" s="18"/>
      <c r="IN559" s="18"/>
      <c r="IO559" s="18"/>
      <c r="IP559" s="18"/>
      <c r="IQ559" s="18"/>
      <c r="IR559" s="18"/>
      <c r="IS559" s="18"/>
      <c r="IT559" s="18"/>
      <c r="IU559" s="18"/>
      <c r="IV559" s="18"/>
      <c r="IW559" s="18"/>
      <c r="IX559" s="18"/>
      <c r="IY559" s="18"/>
      <c r="IZ559" s="18"/>
      <c r="JA559" s="18"/>
      <c r="JB559" s="18"/>
      <c r="JC559" s="18"/>
      <c r="JD559" s="18"/>
      <c r="JE559" s="18"/>
      <c r="JF559" s="18"/>
      <c r="JG559" s="18"/>
      <c r="JH559" s="18"/>
      <c r="JI559" s="18"/>
      <c r="JJ559" s="18"/>
      <c r="JK559" s="18"/>
      <c r="JL559" s="18"/>
      <c r="JM559" s="18"/>
      <c r="JN559" s="18"/>
      <c r="JO559" s="18"/>
      <c r="JP559" s="18"/>
      <c r="JQ559" s="18"/>
      <c r="JR559" s="18"/>
      <c r="JS559" s="18"/>
      <c r="JT559" s="18"/>
      <c r="JU559" s="18"/>
      <c r="JV559" s="18"/>
      <c r="JW559" s="18"/>
      <c r="JX559" s="18"/>
      <c r="JY559" s="18"/>
      <c r="JZ559" s="18"/>
      <c r="KA559" s="18"/>
      <c r="KB559" s="18"/>
      <c r="KC559" s="18"/>
      <c r="KD559" s="18"/>
      <c r="KE559" s="18"/>
      <c r="KF559" s="18"/>
      <c r="KG559" s="18"/>
      <c r="KH559" s="18"/>
      <c r="KI559" s="18"/>
      <c r="KJ559" s="18"/>
      <c r="KK559" s="18"/>
      <c r="KL559" s="18"/>
      <c r="KM559" s="18"/>
      <c r="KN559" s="18"/>
      <c r="KO559" s="18"/>
      <c r="KP559" s="18"/>
    </row>
    <row r="560" spans="1:302" ht="15" customHeight="1">
      <c r="A560" s="14"/>
      <c r="B560" s="14"/>
      <c r="C560" s="50"/>
      <c r="D560" s="50"/>
      <c r="E560" s="49"/>
      <c r="F560" s="46"/>
      <c r="G560" s="1"/>
      <c r="H560" s="1"/>
      <c r="I560" s="48"/>
      <c r="J560" s="48"/>
      <c r="L560" s="14"/>
      <c r="P560" s="14"/>
      <c r="AG560" s="47"/>
      <c r="AH560" s="44"/>
      <c r="AI560" s="45"/>
      <c r="AJ560" s="44"/>
      <c r="AK560" s="43"/>
      <c r="AS560" s="14"/>
      <c r="AU560" s="18"/>
      <c r="AV560" s="18"/>
      <c r="AW560" s="18"/>
      <c r="AX560" s="18"/>
      <c r="AY560" s="18"/>
      <c r="AZ560" s="18"/>
      <c r="BB560" s="18"/>
      <c r="BC560" s="18"/>
      <c r="BD560" s="18"/>
      <c r="BE560" s="18"/>
      <c r="BF560" s="18"/>
      <c r="BH560" s="18"/>
      <c r="BI560" s="18"/>
      <c r="BJ560" s="18"/>
      <c r="BL560" s="18"/>
      <c r="BM560" s="18"/>
      <c r="BN560" s="18"/>
      <c r="BO560" s="18"/>
      <c r="BP560" s="18"/>
      <c r="BQ560" s="18"/>
      <c r="BR560" s="18"/>
      <c r="BS560" s="18"/>
      <c r="BT560" s="18"/>
      <c r="BU560" s="18"/>
      <c r="BV560" s="18"/>
      <c r="BW560" s="18"/>
      <c r="BY560" s="18"/>
      <c r="BZ560" s="18"/>
      <c r="CA560" s="18"/>
      <c r="CB560" s="18"/>
      <c r="CC560" s="18"/>
      <c r="CD560" s="18"/>
      <c r="CE560" s="18"/>
      <c r="CF560" s="18"/>
      <c r="CG560" s="18"/>
      <c r="CH560" s="18"/>
      <c r="CI560" s="18"/>
      <c r="CJ560" s="18"/>
      <c r="CK560" s="18"/>
      <c r="CL560" s="18"/>
      <c r="CM560" s="18"/>
      <c r="CN560" s="18"/>
      <c r="CO560" s="18"/>
      <c r="CP560" s="18"/>
      <c r="CQ560" s="18"/>
      <c r="CR560" s="18"/>
      <c r="CT560" s="18"/>
      <c r="CU560" s="18"/>
      <c r="CV560" s="18"/>
      <c r="CW560" s="18"/>
      <c r="CX560" s="18"/>
      <c r="CY560" s="18"/>
      <c r="CZ560" s="18"/>
      <c r="DA560" s="18"/>
      <c r="DB560" s="18"/>
      <c r="DC560" s="18"/>
      <c r="DD560" s="18"/>
      <c r="DE560" s="18"/>
      <c r="DF560" s="18"/>
      <c r="DG560" s="18"/>
      <c r="DH560" s="18"/>
      <c r="DI560" s="18"/>
      <c r="DJ560" s="18"/>
      <c r="DK560" s="18"/>
      <c r="DL560" s="18"/>
      <c r="DM560" s="18"/>
      <c r="DN560" s="18"/>
      <c r="DP560" s="18"/>
      <c r="DQ560" s="18"/>
      <c r="DR560" s="18"/>
      <c r="DS560" s="18"/>
      <c r="DT560" s="18"/>
      <c r="DU560" s="18"/>
      <c r="DV560" s="18"/>
      <c r="DW560" s="18"/>
      <c r="DX560" s="18"/>
      <c r="DY560" s="18"/>
      <c r="DZ560" s="18"/>
      <c r="EA560" s="18"/>
      <c r="EB560" s="18"/>
      <c r="EC560" s="18"/>
      <c r="ED560" s="18"/>
      <c r="EE560" s="18"/>
      <c r="EF560" s="18"/>
      <c r="EG560" s="18"/>
      <c r="EH560" s="18"/>
      <c r="EI560" s="18"/>
      <c r="EJ560" s="18"/>
      <c r="EK560" s="18"/>
      <c r="EL560" s="18"/>
      <c r="EM560" s="18"/>
      <c r="EN560" s="18"/>
      <c r="EO560" s="18"/>
      <c r="EP560" s="18"/>
      <c r="EQ560" s="18"/>
      <c r="ER560" s="18"/>
      <c r="ES560" s="18"/>
      <c r="ET560" s="18"/>
      <c r="EU560" s="18"/>
      <c r="EV560" s="18"/>
      <c r="EW560" s="18"/>
      <c r="EX560" s="18"/>
      <c r="EY560" s="18"/>
      <c r="EZ560" s="18"/>
      <c r="FA560" s="18"/>
      <c r="FB560" s="18"/>
      <c r="FC560" s="18"/>
      <c r="FD560" s="18"/>
      <c r="FE560" s="18"/>
      <c r="FF560" s="18"/>
      <c r="FG560" s="18"/>
      <c r="FH560" s="18"/>
      <c r="FI560" s="18"/>
      <c r="FJ560" s="18"/>
      <c r="FK560" s="18"/>
      <c r="FL560" s="18"/>
      <c r="FM560" s="18"/>
      <c r="FN560" s="18"/>
      <c r="FO560" s="18"/>
      <c r="FP560" s="18"/>
      <c r="FQ560" s="18"/>
      <c r="FR560" s="18"/>
      <c r="FS560" s="18"/>
      <c r="FT560" s="18"/>
      <c r="FU560" s="18"/>
      <c r="FV560" s="18"/>
      <c r="FW560" s="18"/>
      <c r="FX560" s="18"/>
      <c r="FY560" s="18"/>
      <c r="FZ560" s="18"/>
      <c r="GA560" s="18"/>
      <c r="GB560" s="18"/>
      <c r="GC560" s="18"/>
      <c r="GD560" s="18"/>
      <c r="GE560" s="18"/>
      <c r="GF560" s="18"/>
      <c r="GG560" s="18"/>
      <c r="GH560" s="18"/>
      <c r="GI560" s="18"/>
      <c r="GJ560" s="18"/>
      <c r="GK560" s="18"/>
      <c r="GL560" s="18"/>
      <c r="GM560" s="18"/>
      <c r="GN560" s="18"/>
      <c r="GO560" s="18"/>
      <c r="GP560" s="18"/>
      <c r="GQ560" s="18"/>
      <c r="GR560" s="18"/>
      <c r="GS560" s="18"/>
      <c r="GT560" s="18"/>
      <c r="GU560" s="18"/>
      <c r="GV560" s="18"/>
      <c r="GW560" s="18"/>
      <c r="GX560" s="18"/>
      <c r="GY560" s="18"/>
      <c r="GZ560" s="18"/>
      <c r="HA560" s="18"/>
      <c r="HB560" s="18"/>
      <c r="HC560" s="18"/>
      <c r="HD560" s="18"/>
      <c r="HE560" s="18"/>
      <c r="HF560" s="18"/>
      <c r="HG560" s="13"/>
      <c r="HH560" s="13"/>
      <c r="HI560" s="13"/>
      <c r="HJ560" s="13"/>
      <c r="HK560" s="13"/>
      <c r="HL560" s="13"/>
      <c r="HM560" s="13"/>
      <c r="HN560" s="13"/>
      <c r="HO560" s="13"/>
      <c r="HP560" s="13"/>
      <c r="HQ560" s="13"/>
      <c r="HR560" s="13"/>
      <c r="HS560" s="13"/>
      <c r="HT560" s="13"/>
      <c r="HV560" s="18"/>
      <c r="HW560" s="18"/>
      <c r="HX560" s="18"/>
      <c r="HY560" s="18"/>
      <c r="HZ560" s="18"/>
      <c r="IA560" s="18"/>
      <c r="IB560" s="18"/>
      <c r="IC560" s="18"/>
      <c r="ID560" s="18"/>
      <c r="IE560" s="18"/>
      <c r="IF560" s="18"/>
      <c r="IG560" s="18"/>
      <c r="IH560" s="18"/>
      <c r="II560" s="18"/>
      <c r="IJ560" s="18"/>
      <c r="IK560" s="18"/>
      <c r="IL560" s="18"/>
      <c r="IM560" s="18"/>
      <c r="IN560" s="18"/>
      <c r="IO560" s="18"/>
      <c r="IP560" s="18"/>
      <c r="IQ560" s="18"/>
      <c r="IR560" s="18"/>
      <c r="IS560" s="18"/>
      <c r="IT560" s="18"/>
      <c r="IU560" s="18"/>
      <c r="IV560" s="18"/>
      <c r="IW560" s="18"/>
      <c r="IX560" s="18"/>
      <c r="IY560" s="18"/>
      <c r="IZ560" s="18"/>
      <c r="JA560" s="18"/>
      <c r="JB560" s="18"/>
      <c r="JC560" s="18"/>
      <c r="JD560" s="18"/>
      <c r="JE560" s="18"/>
      <c r="JF560" s="18"/>
      <c r="JG560" s="18"/>
      <c r="JH560" s="18"/>
      <c r="JI560" s="18"/>
      <c r="JJ560" s="18"/>
      <c r="JK560" s="18"/>
      <c r="JL560" s="18"/>
      <c r="JM560" s="18"/>
      <c r="JN560" s="18"/>
      <c r="JO560" s="18"/>
      <c r="JP560" s="18"/>
      <c r="JQ560" s="18"/>
      <c r="JR560" s="18"/>
      <c r="JS560" s="18"/>
      <c r="JT560" s="18"/>
      <c r="JU560" s="18"/>
      <c r="JV560" s="18"/>
      <c r="JW560" s="18"/>
      <c r="JX560" s="18"/>
      <c r="JY560" s="18"/>
      <c r="JZ560" s="18"/>
      <c r="KA560" s="18"/>
      <c r="KB560" s="18"/>
      <c r="KC560" s="18"/>
      <c r="KD560" s="18"/>
      <c r="KE560" s="18"/>
      <c r="KF560" s="18"/>
      <c r="KG560" s="18"/>
      <c r="KH560" s="18"/>
      <c r="KI560" s="18"/>
      <c r="KJ560" s="18"/>
      <c r="KK560" s="18"/>
      <c r="KL560" s="18"/>
      <c r="KM560" s="18"/>
      <c r="KN560" s="18"/>
      <c r="KO560" s="18"/>
      <c r="KP560" s="18"/>
    </row>
    <row r="561" spans="1:302" ht="15" customHeight="1">
      <c r="A561" s="14"/>
      <c r="B561" s="14"/>
      <c r="C561" s="50"/>
      <c r="D561" s="50"/>
      <c r="E561" s="49"/>
      <c r="F561" s="46"/>
      <c r="G561" s="1"/>
      <c r="H561" s="1"/>
      <c r="I561" s="48"/>
      <c r="J561" s="48"/>
      <c r="L561" s="14"/>
      <c r="P561" s="14"/>
      <c r="AG561" s="47"/>
      <c r="AH561" s="44"/>
      <c r="AI561" s="45"/>
      <c r="AJ561" s="44"/>
      <c r="AK561" s="43"/>
      <c r="AS561" s="14"/>
      <c r="AU561" s="18"/>
      <c r="AV561" s="18"/>
      <c r="AW561" s="18"/>
      <c r="AX561" s="18"/>
      <c r="AY561" s="18"/>
      <c r="AZ561" s="18"/>
      <c r="BB561" s="18"/>
      <c r="BC561" s="18"/>
      <c r="BD561" s="18"/>
      <c r="BE561" s="18"/>
      <c r="BF561" s="18"/>
      <c r="BH561" s="18"/>
      <c r="BI561" s="18"/>
      <c r="BJ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  <c r="GK561" s="18"/>
      <c r="GL561" s="18"/>
      <c r="GM561" s="18"/>
      <c r="GN561" s="18"/>
      <c r="GO561" s="18"/>
      <c r="GP561" s="18"/>
      <c r="GQ561" s="18"/>
      <c r="GR561" s="18"/>
      <c r="GS561" s="18"/>
      <c r="GT561" s="18"/>
      <c r="GU561" s="18"/>
      <c r="GV561" s="18"/>
      <c r="GW561" s="18"/>
      <c r="GX561" s="18"/>
      <c r="GY561" s="18"/>
      <c r="GZ561" s="18"/>
      <c r="HA561" s="18"/>
      <c r="HB561" s="18"/>
      <c r="HC561" s="18"/>
      <c r="HD561" s="18"/>
      <c r="HE561" s="18"/>
      <c r="HF561" s="18"/>
      <c r="HG561" s="13"/>
      <c r="HH561" s="13"/>
      <c r="HI561" s="13"/>
      <c r="HJ561" s="13"/>
      <c r="HK561" s="13"/>
      <c r="HL561" s="13"/>
      <c r="HM561" s="13"/>
      <c r="HN561" s="13"/>
      <c r="HO561" s="13"/>
      <c r="HP561" s="13"/>
      <c r="HQ561" s="13"/>
      <c r="HR561" s="13"/>
      <c r="HS561" s="13"/>
      <c r="HT561" s="13"/>
      <c r="HV561" s="18"/>
      <c r="HW561" s="18"/>
      <c r="HX561" s="18"/>
      <c r="HY561" s="18"/>
      <c r="HZ561" s="18"/>
      <c r="IA561" s="18"/>
      <c r="IB561" s="18"/>
      <c r="IC561" s="18"/>
      <c r="ID561" s="18"/>
      <c r="IE561" s="18"/>
      <c r="IF561" s="18"/>
      <c r="IG561" s="18"/>
      <c r="IH561" s="18"/>
      <c r="II561" s="18"/>
      <c r="IJ561" s="18"/>
      <c r="IK561" s="18"/>
      <c r="IL561" s="18"/>
      <c r="IM561" s="18"/>
      <c r="IN561" s="18"/>
      <c r="IO561" s="18"/>
      <c r="IP561" s="18"/>
      <c r="IQ561" s="18"/>
      <c r="IR561" s="18"/>
      <c r="IS561" s="18"/>
      <c r="IT561" s="18"/>
      <c r="IU561" s="18"/>
      <c r="IV561" s="18"/>
      <c r="IW561" s="18"/>
      <c r="IX561" s="18"/>
      <c r="IY561" s="18"/>
      <c r="IZ561" s="18"/>
      <c r="JA561" s="18"/>
      <c r="JB561" s="18"/>
      <c r="JC561" s="18"/>
      <c r="JD561" s="18"/>
      <c r="JE561" s="18"/>
      <c r="JF561" s="18"/>
      <c r="JG561" s="18"/>
      <c r="JH561" s="18"/>
      <c r="JI561" s="18"/>
      <c r="JJ561" s="18"/>
      <c r="JK561" s="18"/>
      <c r="JL561" s="18"/>
      <c r="JM561" s="18"/>
      <c r="JN561" s="18"/>
      <c r="JO561" s="18"/>
      <c r="JP561" s="18"/>
      <c r="JQ561" s="18"/>
      <c r="JR561" s="18"/>
      <c r="JS561" s="18"/>
      <c r="JT561" s="18"/>
      <c r="JU561" s="18"/>
      <c r="JV561" s="18"/>
      <c r="JW561" s="18"/>
      <c r="JX561" s="18"/>
      <c r="JY561" s="18"/>
      <c r="JZ561" s="18"/>
      <c r="KA561" s="18"/>
      <c r="KB561" s="18"/>
      <c r="KC561" s="18"/>
      <c r="KD561" s="18"/>
      <c r="KE561" s="18"/>
      <c r="KF561" s="18"/>
      <c r="KG561" s="18"/>
      <c r="KH561" s="18"/>
      <c r="KI561" s="18"/>
      <c r="KJ561" s="18"/>
      <c r="KK561" s="18"/>
      <c r="KL561" s="18"/>
      <c r="KM561" s="18"/>
      <c r="KN561" s="18"/>
      <c r="KO561" s="18"/>
      <c r="KP561" s="18"/>
    </row>
    <row r="562" spans="1:302" ht="15" customHeight="1">
      <c r="A562" s="14"/>
      <c r="B562" s="14"/>
      <c r="C562" s="50"/>
      <c r="D562" s="50"/>
      <c r="E562" s="49"/>
      <c r="F562" s="46"/>
      <c r="I562" s="48"/>
      <c r="J562" s="48"/>
      <c r="L562" s="14"/>
      <c r="P562" s="14"/>
      <c r="AG562" s="47"/>
      <c r="AH562" s="44"/>
      <c r="AI562" s="45"/>
      <c r="AJ562" s="44"/>
      <c r="AK562" s="43"/>
      <c r="AS562" s="14"/>
      <c r="AU562" s="18"/>
      <c r="AV562" s="18"/>
      <c r="AW562" s="18"/>
      <c r="AX562" s="18"/>
      <c r="AY562" s="18"/>
      <c r="AZ562" s="18"/>
      <c r="BB562" s="18"/>
      <c r="BC562" s="18"/>
      <c r="BD562" s="18"/>
      <c r="BE562" s="18"/>
      <c r="BF562" s="18"/>
      <c r="BH562" s="18"/>
      <c r="BI562" s="18"/>
      <c r="BJ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  <c r="GK562" s="18"/>
      <c r="GL562" s="18"/>
      <c r="GM562" s="18"/>
      <c r="GN562" s="18"/>
      <c r="GO562" s="18"/>
      <c r="GP562" s="18"/>
      <c r="GQ562" s="18"/>
      <c r="GR562" s="18"/>
      <c r="GS562" s="18"/>
      <c r="GT562" s="18"/>
      <c r="GU562" s="18"/>
      <c r="GV562" s="18"/>
      <c r="GW562" s="18"/>
      <c r="GX562" s="18"/>
      <c r="GY562" s="18"/>
      <c r="GZ562" s="18"/>
      <c r="HA562" s="18"/>
      <c r="HB562" s="18"/>
      <c r="HC562" s="18"/>
      <c r="HD562" s="18"/>
      <c r="HE562" s="18"/>
      <c r="HF562" s="18"/>
      <c r="HG562" s="13"/>
      <c r="HH562" s="13"/>
      <c r="HI562" s="13"/>
      <c r="HJ562" s="13"/>
      <c r="HK562" s="13"/>
      <c r="HL562" s="13"/>
      <c r="HM562" s="13"/>
      <c r="HN562" s="13"/>
      <c r="HO562" s="13"/>
      <c r="HP562" s="13"/>
      <c r="HQ562" s="13"/>
      <c r="HR562" s="13"/>
      <c r="HS562" s="13"/>
      <c r="HT562" s="13"/>
      <c r="HV562" s="18"/>
      <c r="HW562" s="18"/>
      <c r="HX562" s="18"/>
      <c r="HY562" s="18"/>
      <c r="HZ562" s="18"/>
      <c r="IA562" s="18"/>
      <c r="IB562" s="18"/>
      <c r="IC562" s="18"/>
      <c r="ID562" s="18"/>
      <c r="IE562" s="18"/>
      <c r="IF562" s="18"/>
      <c r="IG562" s="18"/>
      <c r="IH562" s="18"/>
      <c r="II562" s="18"/>
      <c r="IJ562" s="18"/>
      <c r="IK562" s="18"/>
      <c r="IL562" s="18"/>
      <c r="IM562" s="18"/>
      <c r="IN562" s="18"/>
      <c r="IO562" s="18"/>
      <c r="IP562" s="18"/>
      <c r="IQ562" s="18"/>
      <c r="IR562" s="18"/>
      <c r="IS562" s="18"/>
      <c r="IT562" s="18"/>
      <c r="IU562" s="18"/>
      <c r="IV562" s="18"/>
      <c r="IW562" s="18"/>
      <c r="IX562" s="18"/>
      <c r="IY562" s="18"/>
      <c r="IZ562" s="18"/>
      <c r="JA562" s="18"/>
      <c r="JB562" s="18"/>
      <c r="JC562" s="18"/>
      <c r="JD562" s="18"/>
      <c r="JE562" s="18"/>
      <c r="JF562" s="18"/>
      <c r="JG562" s="18"/>
      <c r="JH562" s="18"/>
      <c r="JI562" s="18"/>
      <c r="JJ562" s="18"/>
      <c r="JK562" s="18"/>
      <c r="JL562" s="18"/>
      <c r="JM562" s="18"/>
      <c r="JN562" s="18"/>
      <c r="JO562" s="18"/>
      <c r="JP562" s="18"/>
      <c r="JQ562" s="18"/>
      <c r="JR562" s="18"/>
      <c r="JS562" s="18"/>
      <c r="JT562" s="18"/>
      <c r="JU562" s="18"/>
      <c r="JV562" s="18"/>
      <c r="JW562" s="18"/>
      <c r="JX562" s="18"/>
      <c r="JY562" s="18"/>
      <c r="JZ562" s="18"/>
      <c r="KA562" s="18"/>
      <c r="KB562" s="18"/>
      <c r="KC562" s="18"/>
      <c r="KD562" s="18"/>
      <c r="KE562" s="18"/>
      <c r="KF562" s="18"/>
      <c r="KG562" s="18"/>
      <c r="KH562" s="18"/>
      <c r="KI562" s="18"/>
      <c r="KJ562" s="18"/>
      <c r="KK562" s="18"/>
      <c r="KL562" s="18"/>
      <c r="KM562" s="18"/>
      <c r="KN562" s="18"/>
      <c r="KO562" s="18"/>
      <c r="KP562" s="18"/>
    </row>
    <row r="563" spans="1:302" ht="15" customHeight="1">
      <c r="A563" s="14"/>
      <c r="B563" s="14"/>
      <c r="C563" s="50"/>
      <c r="D563" s="50"/>
      <c r="E563" s="49"/>
      <c r="F563" s="46"/>
      <c r="G563" s="1"/>
      <c r="H563" s="1"/>
      <c r="I563" s="48"/>
      <c r="J563" s="48"/>
      <c r="L563" s="14"/>
      <c r="P563" s="14"/>
      <c r="AG563" s="47"/>
      <c r="AH563" s="44"/>
      <c r="AI563" s="45"/>
      <c r="AJ563" s="44"/>
      <c r="AK563" s="43"/>
      <c r="AS563" s="14"/>
      <c r="AU563" s="18"/>
      <c r="AV563" s="18"/>
      <c r="AW563" s="18"/>
      <c r="AX563" s="18"/>
      <c r="AY563" s="18"/>
      <c r="AZ563" s="18"/>
      <c r="BB563" s="18"/>
      <c r="BC563" s="18"/>
      <c r="BD563" s="18"/>
      <c r="BE563" s="18"/>
      <c r="BF563" s="18"/>
      <c r="BH563" s="18"/>
      <c r="BI563" s="18"/>
      <c r="BJ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  <c r="FC563" s="18"/>
      <c r="FD563" s="18"/>
      <c r="FE563" s="18"/>
      <c r="FF563" s="18"/>
      <c r="FG563" s="18"/>
      <c r="FH563" s="18"/>
      <c r="FI563" s="18"/>
      <c r="FJ563" s="18"/>
      <c r="FK563" s="18"/>
      <c r="FL563" s="18"/>
      <c r="FM563" s="18"/>
      <c r="FN563" s="18"/>
      <c r="FO563" s="18"/>
      <c r="FP563" s="18"/>
      <c r="FQ563" s="18"/>
      <c r="FR563" s="18"/>
      <c r="FS563" s="18"/>
      <c r="FT563" s="18"/>
      <c r="FU563" s="18"/>
      <c r="FV563" s="18"/>
      <c r="FW563" s="18"/>
      <c r="FX563" s="18"/>
      <c r="FY563" s="18"/>
      <c r="FZ563" s="18"/>
      <c r="GA563" s="18"/>
      <c r="GB563" s="18"/>
      <c r="GC563" s="18"/>
      <c r="GD563" s="18"/>
      <c r="GE563" s="18"/>
      <c r="GF563" s="18"/>
      <c r="GG563" s="18"/>
      <c r="GH563" s="18"/>
      <c r="GI563" s="18"/>
      <c r="GJ563" s="18"/>
      <c r="GK563" s="18"/>
      <c r="GL563" s="18"/>
      <c r="GM563" s="18"/>
      <c r="GN563" s="18"/>
      <c r="GO563" s="18"/>
      <c r="GP563" s="18"/>
      <c r="GQ563" s="18"/>
      <c r="GR563" s="18"/>
      <c r="GS563" s="18"/>
      <c r="GT563" s="18"/>
      <c r="GU563" s="18"/>
      <c r="GV563" s="18"/>
      <c r="GW563" s="18"/>
      <c r="GX563" s="18"/>
      <c r="GY563" s="18"/>
      <c r="GZ563" s="18"/>
      <c r="HA563" s="18"/>
      <c r="HB563" s="18"/>
      <c r="HC563" s="18"/>
      <c r="HD563" s="18"/>
      <c r="HE563" s="18"/>
      <c r="HF563" s="18"/>
      <c r="HG563" s="13"/>
      <c r="HH563" s="13"/>
      <c r="HI563" s="13"/>
      <c r="HJ563" s="13"/>
      <c r="HK563" s="13"/>
      <c r="HL563" s="13"/>
      <c r="HM563" s="13"/>
      <c r="HN563" s="13"/>
      <c r="HO563" s="13"/>
      <c r="HP563" s="13"/>
      <c r="HQ563" s="13"/>
      <c r="HR563" s="13"/>
      <c r="HS563" s="13"/>
      <c r="HT563" s="13"/>
      <c r="HV563" s="18"/>
      <c r="HW563" s="18"/>
      <c r="HX563" s="18"/>
      <c r="HY563" s="18"/>
      <c r="HZ563" s="18"/>
      <c r="IA563" s="18"/>
      <c r="IB563" s="18"/>
      <c r="IC563" s="18"/>
      <c r="ID563" s="18"/>
      <c r="IE563" s="18"/>
      <c r="IF563" s="18"/>
      <c r="IG563" s="18"/>
      <c r="IH563" s="18"/>
      <c r="II563" s="18"/>
      <c r="IJ563" s="18"/>
      <c r="IK563" s="18"/>
      <c r="IL563" s="18"/>
      <c r="IM563" s="18"/>
      <c r="IN563" s="18"/>
      <c r="IO563" s="18"/>
      <c r="IP563" s="18"/>
      <c r="IQ563" s="18"/>
      <c r="IR563" s="18"/>
      <c r="IS563" s="18"/>
      <c r="IT563" s="18"/>
      <c r="IU563" s="18"/>
      <c r="IV563" s="18"/>
      <c r="IW563" s="18"/>
      <c r="IX563" s="18"/>
      <c r="IY563" s="18"/>
      <c r="IZ563" s="18"/>
      <c r="JA563" s="18"/>
      <c r="JB563" s="18"/>
      <c r="JC563" s="18"/>
      <c r="JD563" s="18"/>
      <c r="JE563" s="18"/>
      <c r="JF563" s="18"/>
      <c r="JG563" s="18"/>
      <c r="JH563" s="18"/>
      <c r="JI563" s="18"/>
      <c r="JJ563" s="18"/>
      <c r="JK563" s="18"/>
      <c r="JL563" s="18"/>
      <c r="JM563" s="18"/>
      <c r="JN563" s="18"/>
      <c r="JO563" s="18"/>
      <c r="JP563" s="18"/>
      <c r="JQ563" s="18"/>
      <c r="JR563" s="18"/>
      <c r="JS563" s="18"/>
      <c r="JT563" s="18"/>
      <c r="JU563" s="18"/>
      <c r="JV563" s="18"/>
      <c r="JW563" s="18"/>
      <c r="JX563" s="18"/>
      <c r="JY563" s="18"/>
      <c r="JZ563" s="18"/>
      <c r="KA563" s="18"/>
      <c r="KB563" s="18"/>
      <c r="KC563" s="18"/>
      <c r="KD563" s="18"/>
      <c r="KE563" s="18"/>
      <c r="KF563" s="18"/>
      <c r="KG563" s="18"/>
      <c r="KH563" s="18"/>
      <c r="KI563" s="18"/>
      <c r="KJ563" s="18"/>
      <c r="KK563" s="18"/>
      <c r="KL563" s="18"/>
      <c r="KM563" s="18"/>
      <c r="KN563" s="18"/>
      <c r="KO563" s="18"/>
      <c r="KP563" s="18"/>
    </row>
    <row r="564" spans="1:302" ht="15" customHeight="1">
      <c r="A564" s="14"/>
      <c r="B564" s="14"/>
      <c r="C564" s="50"/>
      <c r="D564" s="50"/>
      <c r="E564" s="49"/>
      <c r="F564" s="46"/>
      <c r="G564" s="1"/>
      <c r="H564" s="1"/>
      <c r="I564" s="48"/>
      <c r="J564" s="48"/>
      <c r="L564" s="14"/>
      <c r="P564" s="14"/>
      <c r="AG564" s="47"/>
      <c r="AH564" s="44"/>
      <c r="AI564" s="45"/>
      <c r="AJ564" s="44"/>
      <c r="AK564" s="43"/>
      <c r="AS564" s="14"/>
      <c r="AU564" s="18"/>
      <c r="AV564" s="18"/>
      <c r="AW564" s="18"/>
      <c r="AX564" s="18"/>
      <c r="AY564" s="18"/>
      <c r="AZ564" s="18"/>
      <c r="BB564" s="18"/>
      <c r="BC564" s="18"/>
      <c r="BD564" s="18"/>
      <c r="BE564" s="18"/>
      <c r="BF564" s="18"/>
      <c r="BH564" s="18"/>
      <c r="BI564" s="18"/>
      <c r="BJ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  <c r="FR564" s="18"/>
      <c r="FS564" s="18"/>
      <c r="FT564" s="18"/>
      <c r="FU564" s="18"/>
      <c r="FV564" s="18"/>
      <c r="FW564" s="18"/>
      <c r="FX564" s="18"/>
      <c r="FY564" s="18"/>
      <c r="FZ564" s="18"/>
      <c r="GA564" s="18"/>
      <c r="GB564" s="18"/>
      <c r="GC564" s="18"/>
      <c r="GD564" s="18"/>
      <c r="GE564" s="18"/>
      <c r="GF564" s="18"/>
      <c r="GG564" s="18"/>
      <c r="GH564" s="18"/>
      <c r="GI564" s="18"/>
      <c r="GJ564" s="18"/>
      <c r="GK564" s="18"/>
      <c r="GL564" s="18"/>
      <c r="GM564" s="18"/>
      <c r="GN564" s="18"/>
      <c r="GO564" s="18"/>
      <c r="GP564" s="18"/>
      <c r="GQ564" s="18"/>
      <c r="GR564" s="18"/>
      <c r="GS564" s="18"/>
      <c r="GT564" s="18"/>
      <c r="GU564" s="18"/>
      <c r="GV564" s="18"/>
      <c r="GW564" s="18"/>
      <c r="GX564" s="18"/>
      <c r="GY564" s="18"/>
      <c r="GZ564" s="18"/>
      <c r="HA564" s="18"/>
      <c r="HB564" s="18"/>
      <c r="HC564" s="18"/>
      <c r="HD564" s="18"/>
      <c r="HE564" s="18"/>
      <c r="HF564" s="18"/>
      <c r="HG564" s="13"/>
      <c r="HH564" s="13"/>
      <c r="HI564" s="13"/>
      <c r="HJ564" s="13"/>
      <c r="HK564" s="13"/>
      <c r="HL564" s="13"/>
      <c r="HM564" s="13"/>
      <c r="HN564" s="13"/>
      <c r="HO564" s="13"/>
      <c r="HP564" s="13"/>
      <c r="HQ564" s="13"/>
      <c r="HR564" s="13"/>
      <c r="HS564" s="13"/>
      <c r="HT564" s="13"/>
      <c r="HV564" s="18"/>
      <c r="HW564" s="18"/>
      <c r="HX564" s="18"/>
      <c r="HY564" s="18"/>
      <c r="HZ564" s="18"/>
      <c r="IA564" s="18"/>
      <c r="IB564" s="18"/>
      <c r="IC564" s="18"/>
      <c r="ID564" s="18"/>
      <c r="IE564" s="18"/>
      <c r="IF564" s="18"/>
      <c r="IG564" s="18"/>
      <c r="IH564" s="18"/>
      <c r="II564" s="18"/>
      <c r="IJ564" s="18"/>
      <c r="IK564" s="18"/>
      <c r="IL564" s="18"/>
      <c r="IM564" s="18"/>
      <c r="IN564" s="18"/>
      <c r="IO564" s="18"/>
      <c r="IP564" s="18"/>
      <c r="IQ564" s="18"/>
      <c r="IR564" s="18"/>
      <c r="IS564" s="18"/>
      <c r="IT564" s="18"/>
      <c r="IU564" s="18"/>
      <c r="IV564" s="18"/>
      <c r="IW564" s="18"/>
      <c r="IX564" s="18"/>
      <c r="IY564" s="18"/>
      <c r="IZ564" s="18"/>
      <c r="JA564" s="18"/>
      <c r="JB564" s="18"/>
      <c r="JC564" s="18"/>
      <c r="JD564" s="18"/>
      <c r="JE564" s="18"/>
      <c r="JF564" s="18"/>
      <c r="JG564" s="18"/>
      <c r="JH564" s="18"/>
      <c r="JI564" s="18"/>
      <c r="JJ564" s="18"/>
      <c r="JK564" s="18"/>
      <c r="JL564" s="18"/>
      <c r="JM564" s="18"/>
      <c r="JN564" s="18"/>
      <c r="JO564" s="18"/>
      <c r="JP564" s="18"/>
      <c r="JQ564" s="18"/>
      <c r="JR564" s="18"/>
      <c r="JS564" s="18"/>
      <c r="JT564" s="18"/>
      <c r="JU564" s="18"/>
      <c r="JV564" s="18"/>
      <c r="JW564" s="18"/>
      <c r="JX564" s="18"/>
      <c r="JY564" s="18"/>
      <c r="JZ564" s="18"/>
      <c r="KA564" s="18"/>
      <c r="KB564" s="18"/>
      <c r="KC564" s="18"/>
      <c r="KD564" s="18"/>
      <c r="KE564" s="18"/>
      <c r="KF564" s="18"/>
      <c r="KG564" s="18"/>
      <c r="KH564" s="18"/>
      <c r="KI564" s="18"/>
      <c r="KJ564" s="18"/>
      <c r="KK564" s="18"/>
      <c r="KL564" s="18"/>
      <c r="KM564" s="18"/>
      <c r="KN564" s="18"/>
      <c r="KO564" s="18"/>
      <c r="KP564" s="18"/>
    </row>
    <row r="565" spans="1:302" ht="15" customHeight="1">
      <c r="A565" s="14"/>
      <c r="B565" s="14"/>
      <c r="C565" s="50"/>
      <c r="D565" s="50"/>
      <c r="E565" s="49"/>
      <c r="F565" s="46"/>
      <c r="G565" s="1"/>
      <c r="H565" s="1"/>
      <c r="I565" s="48"/>
      <c r="J565" s="48"/>
      <c r="L565" s="14"/>
      <c r="P565" s="14"/>
      <c r="AG565" s="47"/>
      <c r="AH565" s="44"/>
      <c r="AI565" s="45"/>
      <c r="AJ565" s="44"/>
      <c r="AK565" s="43"/>
      <c r="AS565" s="14"/>
      <c r="AU565" s="18"/>
      <c r="AV565" s="18"/>
      <c r="AW565" s="18"/>
      <c r="AX565" s="18"/>
      <c r="AY565" s="18"/>
      <c r="AZ565" s="18"/>
      <c r="BB565" s="18"/>
      <c r="BC565" s="18"/>
      <c r="BD565" s="18"/>
      <c r="BE565" s="18"/>
      <c r="BF565" s="18"/>
      <c r="BH565" s="18"/>
      <c r="BI565" s="18"/>
      <c r="BJ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  <c r="FC565" s="18"/>
      <c r="FD565" s="18"/>
      <c r="FE565" s="18"/>
      <c r="FF565" s="18"/>
      <c r="FG565" s="18"/>
      <c r="FH565" s="18"/>
      <c r="FI565" s="18"/>
      <c r="FJ565" s="18"/>
      <c r="FK565" s="18"/>
      <c r="FL565" s="18"/>
      <c r="FM565" s="18"/>
      <c r="FN565" s="18"/>
      <c r="FO565" s="18"/>
      <c r="FP565" s="18"/>
      <c r="FQ565" s="18"/>
      <c r="FR565" s="18"/>
      <c r="FS565" s="18"/>
      <c r="FT565" s="18"/>
      <c r="FU565" s="18"/>
      <c r="FV565" s="18"/>
      <c r="FW565" s="18"/>
      <c r="FX565" s="18"/>
      <c r="FY565" s="18"/>
      <c r="FZ565" s="18"/>
      <c r="GA565" s="18"/>
      <c r="GB565" s="18"/>
      <c r="GC565" s="18"/>
      <c r="GD565" s="18"/>
      <c r="GE565" s="18"/>
      <c r="GF565" s="18"/>
      <c r="GG565" s="18"/>
      <c r="GH565" s="18"/>
      <c r="GI565" s="18"/>
      <c r="GJ565" s="18"/>
      <c r="GK565" s="18"/>
      <c r="GL565" s="18"/>
      <c r="GM565" s="18"/>
      <c r="GN565" s="18"/>
      <c r="GO565" s="18"/>
      <c r="GP565" s="18"/>
      <c r="GQ565" s="18"/>
      <c r="GR565" s="18"/>
      <c r="GS565" s="18"/>
      <c r="GT565" s="18"/>
      <c r="GU565" s="18"/>
      <c r="GV565" s="18"/>
      <c r="GW565" s="18"/>
      <c r="GX565" s="18"/>
      <c r="GY565" s="18"/>
      <c r="GZ565" s="18"/>
      <c r="HA565" s="18"/>
      <c r="HB565" s="18"/>
      <c r="HC565" s="18"/>
      <c r="HD565" s="18"/>
      <c r="HE565" s="18"/>
      <c r="HF565" s="18"/>
      <c r="HG565" s="13"/>
      <c r="HH565" s="13"/>
      <c r="HI565" s="13"/>
      <c r="HJ565" s="13"/>
      <c r="HK565" s="13"/>
      <c r="HL565" s="13"/>
      <c r="HM565" s="13"/>
      <c r="HN565" s="13"/>
      <c r="HO565" s="13"/>
      <c r="HP565" s="13"/>
      <c r="HQ565" s="13"/>
      <c r="HR565" s="13"/>
      <c r="HS565" s="13"/>
      <c r="HT565" s="13"/>
      <c r="HV565" s="18"/>
      <c r="HW565" s="18"/>
      <c r="HX565" s="18"/>
      <c r="HY565" s="18"/>
      <c r="HZ565" s="18"/>
      <c r="IA565" s="18"/>
      <c r="IB565" s="18"/>
      <c r="IC565" s="18"/>
      <c r="ID565" s="18"/>
      <c r="IE565" s="18"/>
      <c r="IF565" s="18"/>
      <c r="IG565" s="18"/>
      <c r="IH565" s="18"/>
      <c r="II565" s="18"/>
      <c r="IJ565" s="18"/>
      <c r="IK565" s="18"/>
      <c r="IL565" s="18"/>
      <c r="IM565" s="18"/>
      <c r="IN565" s="18"/>
      <c r="IO565" s="18"/>
      <c r="IP565" s="18"/>
      <c r="IQ565" s="18"/>
      <c r="IR565" s="18"/>
      <c r="IS565" s="18"/>
      <c r="IT565" s="18"/>
      <c r="IU565" s="18"/>
      <c r="IV565" s="18"/>
      <c r="IW565" s="18"/>
      <c r="IX565" s="18"/>
      <c r="IY565" s="18"/>
      <c r="IZ565" s="18"/>
      <c r="JA565" s="18"/>
      <c r="JB565" s="18"/>
      <c r="JC565" s="18"/>
      <c r="JD565" s="18"/>
      <c r="JE565" s="18"/>
      <c r="JF565" s="18"/>
      <c r="JG565" s="18"/>
      <c r="JH565" s="18"/>
      <c r="JI565" s="18"/>
      <c r="JJ565" s="18"/>
      <c r="JK565" s="18"/>
      <c r="JL565" s="18"/>
      <c r="JM565" s="18"/>
      <c r="JN565" s="18"/>
      <c r="JO565" s="18"/>
      <c r="JP565" s="18"/>
      <c r="JQ565" s="18"/>
      <c r="JR565" s="18"/>
      <c r="JS565" s="18"/>
      <c r="JT565" s="18"/>
      <c r="JU565" s="18"/>
      <c r="JV565" s="18"/>
      <c r="JW565" s="18"/>
      <c r="JX565" s="18"/>
      <c r="JY565" s="18"/>
      <c r="JZ565" s="18"/>
      <c r="KA565" s="18"/>
      <c r="KB565" s="18"/>
      <c r="KC565" s="18"/>
      <c r="KD565" s="18"/>
      <c r="KE565" s="18"/>
      <c r="KF565" s="18"/>
      <c r="KG565" s="18"/>
      <c r="KH565" s="18"/>
      <c r="KI565" s="18"/>
      <c r="KJ565" s="18"/>
      <c r="KK565" s="18"/>
      <c r="KL565" s="18"/>
      <c r="KM565" s="18"/>
      <c r="KN565" s="18"/>
      <c r="KO565" s="18"/>
      <c r="KP565" s="18"/>
    </row>
    <row r="566" spans="1:302" ht="15" customHeight="1">
      <c r="A566" s="14"/>
      <c r="B566" s="14"/>
      <c r="C566" s="50"/>
      <c r="D566" s="50"/>
      <c r="E566" s="49"/>
      <c r="F566" s="46"/>
      <c r="I566" s="48"/>
      <c r="J566" s="48"/>
      <c r="L566" s="14"/>
      <c r="P566" s="14"/>
      <c r="AG566" s="47"/>
      <c r="AH566" s="44"/>
      <c r="AI566" s="45"/>
      <c r="AJ566" s="44"/>
      <c r="AK566" s="43"/>
      <c r="AS566" s="14"/>
      <c r="AU566" s="18"/>
      <c r="AV566" s="18"/>
      <c r="AW566" s="18"/>
      <c r="AX566" s="18"/>
      <c r="AY566" s="18"/>
      <c r="AZ566" s="18"/>
      <c r="BB566" s="18"/>
      <c r="BC566" s="18"/>
      <c r="BD566" s="18"/>
      <c r="BE566" s="18"/>
      <c r="BF566" s="18"/>
      <c r="BH566" s="18"/>
      <c r="BI566" s="18"/>
      <c r="BJ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  <c r="FC566" s="18"/>
      <c r="FD566" s="18"/>
      <c r="FE566" s="18"/>
      <c r="FF566" s="18"/>
      <c r="FG566" s="18"/>
      <c r="FH566" s="18"/>
      <c r="FI566" s="18"/>
      <c r="FJ566" s="18"/>
      <c r="FK566" s="18"/>
      <c r="FL566" s="18"/>
      <c r="FM566" s="18"/>
      <c r="FN566" s="18"/>
      <c r="FO566" s="18"/>
      <c r="FP566" s="18"/>
      <c r="FQ566" s="18"/>
      <c r="FR566" s="18"/>
      <c r="FS566" s="18"/>
      <c r="FT566" s="18"/>
      <c r="FU566" s="18"/>
      <c r="FV566" s="18"/>
      <c r="FW566" s="18"/>
      <c r="FX566" s="18"/>
      <c r="FY566" s="18"/>
      <c r="FZ566" s="18"/>
      <c r="GA566" s="18"/>
      <c r="GB566" s="18"/>
      <c r="GC566" s="18"/>
      <c r="GD566" s="18"/>
      <c r="GE566" s="18"/>
      <c r="GF566" s="18"/>
      <c r="GG566" s="18"/>
      <c r="GH566" s="18"/>
      <c r="GI566" s="18"/>
      <c r="GJ566" s="18"/>
      <c r="GK566" s="18"/>
      <c r="GL566" s="18"/>
      <c r="GM566" s="18"/>
      <c r="GN566" s="18"/>
      <c r="GO566" s="18"/>
      <c r="GP566" s="18"/>
      <c r="GQ566" s="18"/>
      <c r="GR566" s="18"/>
      <c r="GS566" s="18"/>
      <c r="GT566" s="18"/>
      <c r="GU566" s="18"/>
      <c r="GV566" s="18"/>
      <c r="GW566" s="18"/>
      <c r="GX566" s="18"/>
      <c r="GY566" s="18"/>
      <c r="GZ566" s="18"/>
      <c r="HA566" s="18"/>
      <c r="HB566" s="18"/>
      <c r="HC566" s="18"/>
      <c r="HD566" s="18"/>
      <c r="HE566" s="18"/>
      <c r="HF566" s="18"/>
      <c r="HG566" s="13"/>
      <c r="HH566" s="13"/>
      <c r="HI566" s="13"/>
      <c r="HJ566" s="13"/>
      <c r="HK566" s="13"/>
      <c r="HL566" s="13"/>
      <c r="HM566" s="13"/>
      <c r="HN566" s="13"/>
      <c r="HO566" s="13"/>
      <c r="HP566" s="13"/>
      <c r="HQ566" s="13"/>
      <c r="HR566" s="13"/>
      <c r="HS566" s="13"/>
      <c r="HT566" s="13"/>
      <c r="HV566" s="18"/>
      <c r="HW566" s="18"/>
      <c r="HX566" s="18"/>
      <c r="HY566" s="18"/>
      <c r="HZ566" s="18"/>
      <c r="IA566" s="18"/>
      <c r="IB566" s="18"/>
      <c r="IC566" s="18"/>
      <c r="ID566" s="18"/>
      <c r="IE566" s="18"/>
      <c r="IF566" s="18"/>
      <c r="IG566" s="18"/>
      <c r="IH566" s="18"/>
      <c r="II566" s="18"/>
      <c r="IJ566" s="18"/>
      <c r="IK566" s="18"/>
      <c r="IL566" s="18"/>
      <c r="IM566" s="18"/>
      <c r="IN566" s="18"/>
      <c r="IO566" s="18"/>
      <c r="IP566" s="18"/>
      <c r="IQ566" s="18"/>
      <c r="IR566" s="18"/>
      <c r="IS566" s="18"/>
      <c r="IT566" s="18"/>
      <c r="IU566" s="18"/>
      <c r="IV566" s="18"/>
      <c r="IW566" s="18"/>
      <c r="IX566" s="18"/>
      <c r="IY566" s="18"/>
      <c r="IZ566" s="18"/>
      <c r="JA566" s="18"/>
      <c r="JB566" s="18"/>
      <c r="JC566" s="18"/>
      <c r="JD566" s="18"/>
      <c r="JE566" s="18"/>
      <c r="JF566" s="18"/>
      <c r="JG566" s="18"/>
      <c r="JH566" s="18"/>
      <c r="JI566" s="18"/>
      <c r="JJ566" s="18"/>
      <c r="JK566" s="18"/>
      <c r="JL566" s="18"/>
      <c r="JM566" s="18"/>
      <c r="JN566" s="18"/>
      <c r="JO566" s="18"/>
      <c r="JP566" s="18"/>
      <c r="JQ566" s="18"/>
      <c r="JR566" s="18"/>
      <c r="JS566" s="18"/>
      <c r="JT566" s="18"/>
      <c r="JU566" s="18"/>
      <c r="JV566" s="18"/>
      <c r="JW566" s="18"/>
      <c r="JX566" s="18"/>
      <c r="JY566" s="18"/>
      <c r="JZ566" s="18"/>
      <c r="KA566" s="18"/>
      <c r="KB566" s="18"/>
      <c r="KC566" s="18"/>
      <c r="KD566" s="18"/>
      <c r="KE566" s="18"/>
      <c r="KF566" s="18"/>
      <c r="KG566" s="18"/>
      <c r="KH566" s="18"/>
      <c r="KI566" s="18"/>
      <c r="KJ566" s="18"/>
      <c r="KK566" s="18"/>
      <c r="KL566" s="18"/>
      <c r="KM566" s="18"/>
      <c r="KN566" s="18"/>
      <c r="KO566" s="18"/>
      <c r="KP566" s="18"/>
    </row>
    <row r="567" spans="1:302" ht="15" customHeight="1">
      <c r="A567" s="14"/>
      <c r="B567" s="14"/>
      <c r="C567" s="50"/>
      <c r="D567" s="50"/>
      <c r="E567" s="49"/>
      <c r="F567" s="46"/>
      <c r="G567" s="1"/>
      <c r="H567" s="1"/>
      <c r="I567" s="48"/>
      <c r="J567" s="48"/>
      <c r="L567" s="14"/>
      <c r="P567" s="14"/>
      <c r="AG567" s="47"/>
      <c r="AH567" s="44"/>
      <c r="AI567" s="45"/>
      <c r="AJ567" s="44"/>
      <c r="AK567" s="43"/>
      <c r="AS567" s="14"/>
      <c r="AU567" s="18"/>
      <c r="AV567" s="18"/>
      <c r="AW567" s="18"/>
      <c r="AX567" s="18"/>
      <c r="AY567" s="18"/>
      <c r="AZ567" s="18"/>
      <c r="BB567" s="18"/>
      <c r="BC567" s="18"/>
      <c r="BD567" s="18"/>
      <c r="BE567" s="18"/>
      <c r="BF567" s="18"/>
      <c r="BH567" s="18"/>
      <c r="BI567" s="18"/>
      <c r="BJ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  <c r="EZ567" s="18"/>
      <c r="FA567" s="18"/>
      <c r="FB567" s="18"/>
      <c r="FC567" s="18"/>
      <c r="FD567" s="18"/>
      <c r="FE567" s="18"/>
      <c r="FF567" s="18"/>
      <c r="FG567" s="18"/>
      <c r="FH567" s="18"/>
      <c r="FI567" s="18"/>
      <c r="FJ567" s="18"/>
      <c r="FK567" s="18"/>
      <c r="FL567" s="18"/>
      <c r="FM567" s="18"/>
      <c r="FN567" s="18"/>
      <c r="FO567" s="18"/>
      <c r="FP567" s="18"/>
      <c r="FQ567" s="18"/>
      <c r="FR567" s="18"/>
      <c r="FS567" s="18"/>
      <c r="FT567" s="18"/>
      <c r="FU567" s="18"/>
      <c r="FV567" s="18"/>
      <c r="FW567" s="18"/>
      <c r="FX567" s="18"/>
      <c r="FY567" s="18"/>
      <c r="FZ567" s="18"/>
      <c r="GA567" s="18"/>
      <c r="GB567" s="18"/>
      <c r="GC567" s="18"/>
      <c r="GD567" s="18"/>
      <c r="GE567" s="18"/>
      <c r="GF567" s="18"/>
      <c r="GG567" s="18"/>
      <c r="GH567" s="18"/>
      <c r="GI567" s="18"/>
      <c r="GJ567" s="18"/>
      <c r="GK567" s="18"/>
      <c r="GL567" s="18"/>
      <c r="GM567" s="18"/>
      <c r="GN567" s="18"/>
      <c r="GO567" s="18"/>
      <c r="GP567" s="18"/>
      <c r="GQ567" s="18"/>
      <c r="GR567" s="18"/>
      <c r="GS567" s="18"/>
      <c r="GT567" s="18"/>
      <c r="GU567" s="18"/>
      <c r="GV567" s="18"/>
      <c r="GW567" s="18"/>
      <c r="GX567" s="18"/>
      <c r="GY567" s="18"/>
      <c r="GZ567" s="18"/>
      <c r="HA567" s="18"/>
      <c r="HB567" s="18"/>
      <c r="HC567" s="18"/>
      <c r="HD567" s="18"/>
      <c r="HE567" s="18"/>
      <c r="HF567" s="18"/>
      <c r="HG567" s="13"/>
      <c r="HH567" s="13"/>
      <c r="HI567" s="13"/>
      <c r="HJ567" s="13"/>
      <c r="HK567" s="13"/>
      <c r="HL567" s="13"/>
      <c r="HM567" s="13"/>
      <c r="HN567" s="13"/>
      <c r="HO567" s="13"/>
      <c r="HP567" s="13"/>
      <c r="HQ567" s="13"/>
      <c r="HR567" s="13"/>
      <c r="HS567" s="13"/>
      <c r="HT567" s="13"/>
      <c r="HV567" s="18"/>
      <c r="HW567" s="18"/>
      <c r="HX567" s="18"/>
      <c r="HY567" s="18"/>
      <c r="HZ567" s="18"/>
      <c r="IA567" s="18"/>
      <c r="IB567" s="18"/>
      <c r="IC567" s="18"/>
      <c r="ID567" s="18"/>
      <c r="IE567" s="18"/>
      <c r="IF567" s="18"/>
      <c r="IG567" s="18"/>
      <c r="IH567" s="18"/>
      <c r="II567" s="18"/>
      <c r="IJ567" s="18"/>
      <c r="IK567" s="18"/>
      <c r="IL567" s="18"/>
      <c r="IM567" s="18"/>
      <c r="IN567" s="18"/>
      <c r="IO567" s="18"/>
      <c r="IP567" s="18"/>
      <c r="IQ567" s="18"/>
      <c r="IR567" s="18"/>
      <c r="IS567" s="18"/>
      <c r="IT567" s="18"/>
      <c r="IU567" s="18"/>
      <c r="IV567" s="18"/>
      <c r="IW567" s="18"/>
      <c r="IX567" s="18"/>
      <c r="IY567" s="18"/>
      <c r="IZ567" s="18"/>
      <c r="JA567" s="18"/>
      <c r="JB567" s="18"/>
      <c r="JC567" s="18"/>
      <c r="JD567" s="18"/>
      <c r="JE567" s="18"/>
      <c r="JF567" s="18"/>
      <c r="JG567" s="18"/>
      <c r="JH567" s="18"/>
      <c r="JI567" s="18"/>
      <c r="JJ567" s="18"/>
      <c r="JK567" s="18"/>
      <c r="JL567" s="18"/>
      <c r="JM567" s="18"/>
      <c r="JN567" s="18"/>
      <c r="JO567" s="18"/>
      <c r="JP567" s="18"/>
      <c r="JQ567" s="18"/>
      <c r="JR567" s="18"/>
      <c r="JS567" s="18"/>
      <c r="JT567" s="18"/>
      <c r="JU567" s="18"/>
      <c r="JV567" s="18"/>
      <c r="JW567" s="18"/>
      <c r="JX567" s="18"/>
      <c r="JY567" s="18"/>
      <c r="JZ567" s="18"/>
      <c r="KA567" s="18"/>
      <c r="KB567" s="18"/>
      <c r="KC567" s="18"/>
      <c r="KD567" s="18"/>
      <c r="KE567" s="18"/>
      <c r="KF567" s="18"/>
      <c r="KG567" s="18"/>
      <c r="KH567" s="18"/>
      <c r="KI567" s="18"/>
      <c r="KJ567" s="18"/>
      <c r="KK567" s="18"/>
      <c r="KL567" s="18"/>
      <c r="KM567" s="18"/>
      <c r="KN567" s="18"/>
      <c r="KO567" s="18"/>
      <c r="KP567" s="18"/>
    </row>
    <row r="568" spans="1:302" ht="15" customHeight="1">
      <c r="A568" s="14"/>
      <c r="B568" s="14"/>
      <c r="C568" s="50"/>
      <c r="D568" s="50"/>
      <c r="E568" s="49"/>
      <c r="F568" s="46"/>
      <c r="I568" s="48"/>
      <c r="J568" s="48"/>
      <c r="L568" s="14"/>
      <c r="P568" s="14"/>
      <c r="AG568" s="47"/>
      <c r="AH568" s="44"/>
      <c r="AI568" s="45"/>
      <c r="AJ568" s="44"/>
      <c r="AK568" s="43"/>
      <c r="AS568" s="14"/>
      <c r="AU568" s="18"/>
      <c r="AV568" s="18"/>
      <c r="AW568" s="18"/>
      <c r="AX568" s="18"/>
      <c r="AY568" s="18"/>
      <c r="AZ568" s="18"/>
      <c r="BB568" s="18"/>
      <c r="BC568" s="18"/>
      <c r="BD568" s="18"/>
      <c r="BE568" s="18"/>
      <c r="BF568" s="18"/>
      <c r="BH568" s="18"/>
      <c r="BI568" s="18"/>
      <c r="BJ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  <c r="EZ568" s="18"/>
      <c r="FA568" s="18"/>
      <c r="FB568" s="18"/>
      <c r="FC568" s="18"/>
      <c r="FD568" s="18"/>
      <c r="FE568" s="18"/>
      <c r="FF568" s="18"/>
      <c r="FG568" s="18"/>
      <c r="FH568" s="18"/>
      <c r="FI568" s="18"/>
      <c r="FJ568" s="18"/>
      <c r="FK568" s="18"/>
      <c r="FL568" s="18"/>
      <c r="FM568" s="18"/>
      <c r="FN568" s="18"/>
      <c r="FO568" s="18"/>
      <c r="FP568" s="18"/>
      <c r="FQ568" s="18"/>
      <c r="FR568" s="18"/>
      <c r="FS568" s="18"/>
      <c r="FT568" s="18"/>
      <c r="FU568" s="18"/>
      <c r="FV568" s="18"/>
      <c r="FW568" s="18"/>
      <c r="FX568" s="18"/>
      <c r="FY568" s="18"/>
      <c r="FZ568" s="18"/>
      <c r="GA568" s="18"/>
      <c r="GB568" s="18"/>
      <c r="GC568" s="18"/>
      <c r="GD568" s="18"/>
      <c r="GE568" s="18"/>
      <c r="GF568" s="18"/>
      <c r="GG568" s="18"/>
      <c r="GH568" s="18"/>
      <c r="GI568" s="18"/>
      <c r="GJ568" s="18"/>
      <c r="GK568" s="18"/>
      <c r="GL568" s="18"/>
      <c r="GM568" s="18"/>
      <c r="GN568" s="18"/>
      <c r="GO568" s="18"/>
      <c r="GP568" s="18"/>
      <c r="GQ568" s="18"/>
      <c r="GR568" s="18"/>
      <c r="GS568" s="18"/>
      <c r="GT568" s="18"/>
      <c r="GU568" s="18"/>
      <c r="GV568" s="18"/>
      <c r="GW568" s="18"/>
      <c r="GX568" s="18"/>
      <c r="GY568" s="18"/>
      <c r="GZ568" s="18"/>
      <c r="HA568" s="18"/>
      <c r="HB568" s="18"/>
      <c r="HC568" s="18"/>
      <c r="HD568" s="18"/>
      <c r="HE568" s="18"/>
      <c r="HF568" s="18"/>
      <c r="HG568" s="13"/>
      <c r="HH568" s="13"/>
      <c r="HI568" s="13"/>
      <c r="HJ568" s="13"/>
      <c r="HK568" s="13"/>
      <c r="HL568" s="13"/>
      <c r="HM568" s="13"/>
      <c r="HN568" s="13"/>
      <c r="HO568" s="13"/>
      <c r="HP568" s="13"/>
      <c r="HQ568" s="13"/>
      <c r="HR568" s="13"/>
      <c r="HS568" s="13"/>
      <c r="HT568" s="13"/>
      <c r="HV568" s="18"/>
      <c r="HW568" s="18"/>
      <c r="HX568" s="18"/>
      <c r="HY568" s="18"/>
      <c r="HZ568" s="18"/>
      <c r="IA568" s="18"/>
      <c r="IB568" s="18"/>
      <c r="IC568" s="18"/>
      <c r="ID568" s="18"/>
      <c r="IE568" s="18"/>
      <c r="IF568" s="18"/>
      <c r="IG568" s="18"/>
      <c r="IH568" s="18"/>
      <c r="II568" s="18"/>
      <c r="IJ568" s="18"/>
      <c r="IK568" s="18"/>
      <c r="IL568" s="18"/>
      <c r="IM568" s="18"/>
      <c r="IN568" s="18"/>
      <c r="IO568" s="18"/>
      <c r="IP568" s="18"/>
      <c r="IQ568" s="18"/>
      <c r="IR568" s="18"/>
      <c r="IS568" s="18"/>
      <c r="IT568" s="18"/>
      <c r="IU568" s="18"/>
      <c r="IV568" s="18"/>
      <c r="IW568" s="18"/>
      <c r="IX568" s="18"/>
      <c r="IY568" s="18"/>
      <c r="IZ568" s="18"/>
      <c r="JA568" s="18"/>
      <c r="JB568" s="18"/>
      <c r="JC568" s="18"/>
      <c r="JD568" s="18"/>
      <c r="JE568" s="18"/>
      <c r="JF568" s="18"/>
      <c r="JG568" s="18"/>
      <c r="JH568" s="18"/>
      <c r="JI568" s="18"/>
      <c r="JJ568" s="18"/>
      <c r="JK568" s="18"/>
      <c r="JL568" s="18"/>
      <c r="JM568" s="18"/>
      <c r="JN568" s="18"/>
      <c r="JO568" s="18"/>
      <c r="JP568" s="18"/>
      <c r="JQ568" s="18"/>
      <c r="JR568" s="18"/>
      <c r="JS568" s="18"/>
      <c r="JT568" s="18"/>
      <c r="JU568" s="18"/>
      <c r="JV568" s="18"/>
      <c r="JW568" s="18"/>
      <c r="JX568" s="18"/>
      <c r="JY568" s="18"/>
      <c r="JZ568" s="18"/>
      <c r="KA568" s="18"/>
      <c r="KB568" s="18"/>
      <c r="KC568" s="18"/>
      <c r="KD568" s="18"/>
      <c r="KE568" s="18"/>
      <c r="KF568" s="18"/>
      <c r="KG568" s="18"/>
      <c r="KH568" s="18"/>
      <c r="KI568" s="18"/>
      <c r="KJ568" s="18"/>
      <c r="KK568" s="18"/>
      <c r="KL568" s="18"/>
      <c r="KM568" s="18"/>
      <c r="KN568" s="18"/>
      <c r="KO568" s="18"/>
      <c r="KP568" s="18"/>
    </row>
    <row r="569" spans="1:302" ht="15" customHeight="1">
      <c r="A569" s="14"/>
      <c r="B569" s="14"/>
      <c r="C569" s="50"/>
      <c r="D569" s="50"/>
      <c r="E569" s="49"/>
      <c r="F569" s="46"/>
      <c r="I569" s="48"/>
      <c r="J569" s="48"/>
      <c r="L569" s="14"/>
      <c r="P569" s="14"/>
      <c r="AG569" s="47"/>
      <c r="AH569" s="44"/>
      <c r="AI569" s="45"/>
      <c r="AJ569" s="44"/>
      <c r="AK569" s="43"/>
      <c r="AS569" s="14"/>
      <c r="AU569" s="18"/>
      <c r="AV569" s="18"/>
      <c r="AW569" s="18"/>
      <c r="AX569" s="18"/>
      <c r="AY569" s="18"/>
      <c r="AZ569" s="18"/>
      <c r="BB569" s="18"/>
      <c r="BC569" s="18"/>
      <c r="BD569" s="18"/>
      <c r="BE569" s="18"/>
      <c r="BF569" s="18"/>
      <c r="BH569" s="18"/>
      <c r="BI569" s="18"/>
      <c r="BJ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  <c r="FC569" s="18"/>
      <c r="FD569" s="18"/>
      <c r="FE569" s="18"/>
      <c r="FF569" s="18"/>
      <c r="FG569" s="18"/>
      <c r="FH569" s="18"/>
      <c r="FI569" s="18"/>
      <c r="FJ569" s="18"/>
      <c r="FK569" s="18"/>
      <c r="FL569" s="18"/>
      <c r="FM569" s="18"/>
      <c r="FN569" s="18"/>
      <c r="FO569" s="18"/>
      <c r="FP569" s="18"/>
      <c r="FQ569" s="18"/>
      <c r="FR569" s="18"/>
      <c r="FS569" s="18"/>
      <c r="FT569" s="18"/>
      <c r="FU569" s="18"/>
      <c r="FV569" s="18"/>
      <c r="FW569" s="18"/>
      <c r="FX569" s="18"/>
      <c r="FY569" s="18"/>
      <c r="FZ569" s="18"/>
      <c r="GA569" s="18"/>
      <c r="GB569" s="18"/>
      <c r="GC569" s="18"/>
      <c r="GD569" s="18"/>
      <c r="GE569" s="18"/>
      <c r="GF569" s="18"/>
      <c r="GG569" s="18"/>
      <c r="GH569" s="18"/>
      <c r="GI569" s="18"/>
      <c r="GJ569" s="18"/>
      <c r="GK569" s="18"/>
      <c r="GL569" s="18"/>
      <c r="GM569" s="18"/>
      <c r="GN569" s="18"/>
      <c r="GO569" s="18"/>
      <c r="GP569" s="18"/>
      <c r="GQ569" s="18"/>
      <c r="GR569" s="18"/>
      <c r="GS569" s="18"/>
      <c r="GT569" s="18"/>
      <c r="GU569" s="18"/>
      <c r="GV569" s="18"/>
      <c r="GW569" s="18"/>
      <c r="GX569" s="18"/>
      <c r="GY569" s="18"/>
      <c r="GZ569" s="18"/>
      <c r="HA569" s="18"/>
      <c r="HB569" s="18"/>
      <c r="HC569" s="18"/>
      <c r="HD569" s="18"/>
      <c r="HE569" s="18"/>
      <c r="HF569" s="18"/>
      <c r="HG569" s="13"/>
      <c r="HH569" s="13"/>
      <c r="HI569" s="13"/>
      <c r="HJ569" s="13"/>
      <c r="HK569" s="13"/>
      <c r="HL569" s="13"/>
      <c r="HM569" s="13"/>
      <c r="HN569" s="13"/>
      <c r="HO569" s="13"/>
      <c r="HP569" s="13"/>
      <c r="HQ569" s="13"/>
      <c r="HR569" s="13"/>
      <c r="HS569" s="13"/>
      <c r="HT569" s="13"/>
      <c r="HV569" s="18"/>
      <c r="HW569" s="18"/>
      <c r="HX569" s="18"/>
      <c r="HY569" s="18"/>
      <c r="HZ569" s="18"/>
      <c r="IA569" s="18"/>
      <c r="IB569" s="18"/>
      <c r="IC569" s="18"/>
      <c r="ID569" s="18"/>
      <c r="IE569" s="18"/>
      <c r="IF569" s="18"/>
      <c r="IG569" s="18"/>
      <c r="IH569" s="18"/>
      <c r="II569" s="18"/>
      <c r="IJ569" s="18"/>
      <c r="IK569" s="18"/>
      <c r="IL569" s="18"/>
      <c r="IM569" s="18"/>
      <c r="IN569" s="18"/>
      <c r="IO569" s="18"/>
      <c r="IP569" s="18"/>
      <c r="IQ569" s="18"/>
      <c r="IR569" s="18"/>
      <c r="IS569" s="18"/>
      <c r="IT569" s="18"/>
      <c r="IU569" s="18"/>
      <c r="IV569" s="18"/>
      <c r="IW569" s="18"/>
      <c r="IX569" s="18"/>
      <c r="IY569" s="18"/>
      <c r="IZ569" s="18"/>
      <c r="JA569" s="18"/>
      <c r="JB569" s="18"/>
      <c r="JC569" s="18"/>
      <c r="JD569" s="18"/>
      <c r="JE569" s="18"/>
      <c r="JF569" s="18"/>
      <c r="JG569" s="18"/>
      <c r="JH569" s="18"/>
      <c r="JI569" s="18"/>
      <c r="JJ569" s="18"/>
      <c r="JK569" s="18"/>
      <c r="JL569" s="18"/>
      <c r="JM569" s="18"/>
      <c r="JN569" s="18"/>
      <c r="JO569" s="18"/>
      <c r="JP569" s="18"/>
      <c r="JQ569" s="18"/>
      <c r="JR569" s="18"/>
      <c r="JS569" s="18"/>
      <c r="JT569" s="18"/>
      <c r="JU569" s="18"/>
      <c r="JV569" s="18"/>
      <c r="JW569" s="18"/>
      <c r="JX569" s="18"/>
      <c r="JY569" s="18"/>
      <c r="JZ569" s="18"/>
      <c r="KA569" s="18"/>
      <c r="KB569" s="18"/>
      <c r="KC569" s="18"/>
      <c r="KD569" s="18"/>
      <c r="KE569" s="18"/>
      <c r="KF569" s="18"/>
      <c r="KG569" s="18"/>
      <c r="KH569" s="18"/>
      <c r="KI569" s="18"/>
      <c r="KJ569" s="18"/>
      <c r="KK569" s="18"/>
      <c r="KL569" s="18"/>
      <c r="KM569" s="18"/>
      <c r="KN569" s="18"/>
      <c r="KO569" s="18"/>
      <c r="KP569" s="18"/>
    </row>
    <row r="570" spans="1:302" ht="15" customHeight="1">
      <c r="A570" s="14"/>
      <c r="B570" s="14"/>
      <c r="C570" s="50"/>
      <c r="D570" s="50"/>
      <c r="E570" s="49"/>
      <c r="F570" s="46"/>
      <c r="G570" s="1"/>
      <c r="H570" s="1"/>
      <c r="I570" s="48"/>
      <c r="J570" s="48"/>
      <c r="L570" s="14"/>
      <c r="P570" s="14"/>
      <c r="AG570" s="47"/>
      <c r="AH570" s="44"/>
      <c r="AI570" s="45"/>
      <c r="AJ570" s="44"/>
      <c r="AK570" s="43"/>
      <c r="AS570" s="14"/>
      <c r="AU570" s="18"/>
      <c r="AV570" s="18"/>
      <c r="AW570" s="18"/>
      <c r="AX570" s="18"/>
      <c r="AY570" s="18"/>
      <c r="AZ570" s="18"/>
      <c r="BB570" s="18"/>
      <c r="BC570" s="18"/>
      <c r="BD570" s="18"/>
      <c r="BE570" s="18"/>
      <c r="BF570" s="18"/>
      <c r="BH570" s="18"/>
      <c r="BI570" s="18"/>
      <c r="BJ570" s="18"/>
      <c r="BL570" s="18"/>
      <c r="BM570" s="18"/>
      <c r="BN570" s="18"/>
      <c r="BO570" s="18"/>
      <c r="BP570" s="18"/>
      <c r="BQ570" s="18"/>
      <c r="BR570" s="18"/>
      <c r="BS570" s="18"/>
      <c r="BT570" s="18"/>
      <c r="BU570" s="18"/>
      <c r="BV570" s="18"/>
      <c r="BW570" s="18"/>
      <c r="BY570" s="18"/>
      <c r="BZ570" s="18"/>
      <c r="CA570" s="18"/>
      <c r="CB570" s="18"/>
      <c r="CC570" s="18"/>
      <c r="CD570" s="18"/>
      <c r="CE570" s="18"/>
      <c r="CF570" s="18"/>
      <c r="CG570" s="18"/>
      <c r="CH570" s="18"/>
      <c r="CI570" s="18"/>
      <c r="CJ570" s="18"/>
      <c r="CK570" s="18"/>
      <c r="CL570" s="18"/>
      <c r="CM570" s="18"/>
      <c r="CN570" s="18"/>
      <c r="CO570" s="18"/>
      <c r="CP570" s="18"/>
      <c r="CQ570" s="18"/>
      <c r="CR570" s="18"/>
      <c r="CT570" s="18"/>
      <c r="CU570" s="18"/>
      <c r="CV570" s="18"/>
      <c r="CW570" s="18"/>
      <c r="CX570" s="18"/>
      <c r="CY570" s="18"/>
      <c r="CZ570" s="18"/>
      <c r="DA570" s="18"/>
      <c r="DB570" s="18"/>
      <c r="DC570" s="18"/>
      <c r="DD570" s="18"/>
      <c r="DE570" s="18"/>
      <c r="DF570" s="18"/>
      <c r="DG570" s="18"/>
      <c r="DH570" s="18"/>
      <c r="DI570" s="18"/>
      <c r="DJ570" s="18"/>
      <c r="DK570" s="18"/>
      <c r="DL570" s="18"/>
      <c r="DM570" s="18"/>
      <c r="DN570" s="18"/>
      <c r="DP570" s="18"/>
      <c r="DQ570" s="18"/>
      <c r="DR570" s="18"/>
      <c r="DS570" s="18"/>
      <c r="DT570" s="18"/>
      <c r="DU570" s="18"/>
      <c r="DV570" s="18"/>
      <c r="DW570" s="18"/>
      <c r="DX570" s="18"/>
      <c r="DY570" s="18"/>
      <c r="DZ570" s="18"/>
      <c r="EA570" s="18"/>
      <c r="EB570" s="18"/>
      <c r="EC570" s="18"/>
      <c r="ED570" s="18"/>
      <c r="EE570" s="18"/>
      <c r="EF570" s="18"/>
      <c r="EG570" s="18"/>
      <c r="EH570" s="18"/>
      <c r="EI570" s="18"/>
      <c r="EJ570" s="18"/>
      <c r="EK570" s="18"/>
      <c r="EL570" s="18"/>
      <c r="EM570" s="18"/>
      <c r="EN570" s="18"/>
      <c r="EO570" s="18"/>
      <c r="EP570" s="18"/>
      <c r="EQ570" s="18"/>
      <c r="ER570" s="18"/>
      <c r="ES570" s="18"/>
      <c r="ET570" s="18"/>
      <c r="EU570" s="18"/>
      <c r="EV570" s="18"/>
      <c r="EW570" s="18"/>
      <c r="EX570" s="18"/>
      <c r="EY570" s="18"/>
      <c r="EZ570" s="18"/>
      <c r="FA570" s="18"/>
      <c r="FB570" s="18"/>
      <c r="FC570" s="18"/>
      <c r="FD570" s="18"/>
      <c r="FE570" s="18"/>
      <c r="FF570" s="18"/>
      <c r="FG570" s="18"/>
      <c r="FH570" s="18"/>
      <c r="FI570" s="18"/>
      <c r="FJ570" s="18"/>
      <c r="FK570" s="18"/>
      <c r="FL570" s="18"/>
      <c r="FM570" s="18"/>
      <c r="FN570" s="18"/>
      <c r="FO570" s="18"/>
      <c r="FP570" s="18"/>
      <c r="FQ570" s="18"/>
      <c r="FR570" s="18"/>
      <c r="FS570" s="18"/>
      <c r="FT570" s="18"/>
      <c r="FU570" s="18"/>
      <c r="FV570" s="18"/>
      <c r="FW570" s="18"/>
      <c r="FX570" s="18"/>
      <c r="FY570" s="18"/>
      <c r="FZ570" s="18"/>
      <c r="GA570" s="18"/>
      <c r="GB570" s="18"/>
      <c r="GC570" s="18"/>
      <c r="GD570" s="18"/>
      <c r="GE570" s="18"/>
      <c r="GF570" s="18"/>
      <c r="GG570" s="18"/>
      <c r="GH570" s="18"/>
      <c r="GI570" s="18"/>
      <c r="GJ570" s="18"/>
      <c r="GK570" s="18"/>
      <c r="GL570" s="18"/>
      <c r="GM570" s="18"/>
      <c r="GN570" s="18"/>
      <c r="GO570" s="18"/>
      <c r="GP570" s="18"/>
      <c r="GQ570" s="18"/>
      <c r="GR570" s="18"/>
      <c r="GS570" s="18"/>
      <c r="GT570" s="18"/>
      <c r="GU570" s="18"/>
      <c r="GV570" s="18"/>
      <c r="GW570" s="18"/>
      <c r="GX570" s="18"/>
      <c r="GY570" s="18"/>
      <c r="GZ570" s="18"/>
      <c r="HA570" s="18"/>
      <c r="HB570" s="18"/>
      <c r="HC570" s="18"/>
      <c r="HD570" s="18"/>
      <c r="HE570" s="18"/>
      <c r="HF570" s="18"/>
      <c r="HG570" s="13"/>
      <c r="HH570" s="13"/>
      <c r="HI570" s="13"/>
      <c r="HJ570" s="13"/>
      <c r="HK570" s="13"/>
      <c r="HL570" s="13"/>
      <c r="HM570" s="13"/>
      <c r="HN570" s="13"/>
      <c r="HO570" s="13"/>
      <c r="HP570" s="13"/>
      <c r="HQ570" s="13"/>
      <c r="HR570" s="13"/>
      <c r="HS570" s="13"/>
      <c r="HT570" s="13"/>
      <c r="HV570" s="18"/>
      <c r="HW570" s="18"/>
      <c r="HX570" s="18"/>
      <c r="HY570" s="18"/>
      <c r="HZ570" s="18"/>
      <c r="IA570" s="18"/>
      <c r="IB570" s="18"/>
      <c r="IC570" s="18"/>
      <c r="ID570" s="18"/>
      <c r="IE570" s="18"/>
      <c r="IF570" s="18"/>
      <c r="IG570" s="18"/>
      <c r="IH570" s="18"/>
      <c r="II570" s="18"/>
      <c r="IJ570" s="18"/>
      <c r="IK570" s="18"/>
      <c r="IL570" s="18"/>
      <c r="IM570" s="18"/>
      <c r="IN570" s="18"/>
      <c r="IO570" s="18"/>
      <c r="IP570" s="18"/>
      <c r="IQ570" s="18"/>
      <c r="IR570" s="18"/>
      <c r="IS570" s="18"/>
      <c r="IT570" s="18"/>
      <c r="IU570" s="18"/>
      <c r="IV570" s="18"/>
      <c r="IW570" s="18"/>
      <c r="IX570" s="18"/>
      <c r="IY570" s="18"/>
      <c r="IZ570" s="18"/>
      <c r="JA570" s="18"/>
      <c r="JB570" s="18"/>
      <c r="JC570" s="18"/>
      <c r="JD570" s="18"/>
      <c r="JE570" s="18"/>
      <c r="JF570" s="18"/>
      <c r="JG570" s="18"/>
      <c r="JH570" s="18"/>
      <c r="JI570" s="18"/>
      <c r="JJ570" s="18"/>
      <c r="JK570" s="18"/>
      <c r="JL570" s="18"/>
      <c r="JM570" s="18"/>
      <c r="JN570" s="18"/>
      <c r="JO570" s="18"/>
      <c r="JP570" s="18"/>
      <c r="JQ570" s="18"/>
      <c r="JR570" s="18"/>
      <c r="JS570" s="18"/>
      <c r="JT570" s="18"/>
      <c r="JU570" s="18"/>
      <c r="JV570" s="18"/>
      <c r="JW570" s="18"/>
      <c r="JX570" s="18"/>
      <c r="JY570" s="18"/>
      <c r="JZ570" s="18"/>
      <c r="KA570" s="18"/>
      <c r="KB570" s="18"/>
      <c r="KC570" s="18"/>
      <c r="KD570" s="18"/>
      <c r="KE570" s="18"/>
      <c r="KF570" s="18"/>
      <c r="KG570" s="18"/>
      <c r="KH570" s="18"/>
      <c r="KI570" s="18"/>
      <c r="KJ570" s="18"/>
      <c r="KK570" s="18"/>
      <c r="KL570" s="18"/>
      <c r="KM570" s="18"/>
      <c r="KN570" s="18"/>
      <c r="KO570" s="18"/>
      <c r="KP570" s="18"/>
    </row>
    <row r="571" spans="1:302" ht="15" customHeight="1">
      <c r="A571" s="14"/>
      <c r="B571" s="14"/>
      <c r="C571" s="50"/>
      <c r="D571" s="50"/>
      <c r="E571" s="49"/>
      <c r="F571" s="46"/>
      <c r="I571" s="48"/>
      <c r="J571" s="48"/>
      <c r="L571" s="14"/>
      <c r="P571" s="14"/>
      <c r="AB571" s="14"/>
      <c r="AC571" s="14"/>
      <c r="AG571" s="47"/>
      <c r="AH571" s="44"/>
      <c r="AI571" s="45"/>
      <c r="AJ571" s="44"/>
      <c r="AK571" s="43"/>
      <c r="AS571" s="14"/>
      <c r="AU571" s="18"/>
      <c r="AV571" s="18"/>
      <c r="AW571" s="18"/>
      <c r="AX571" s="18"/>
      <c r="AY571" s="18"/>
      <c r="AZ571" s="18"/>
      <c r="BB571" s="18"/>
      <c r="BC571" s="18"/>
      <c r="BD571" s="18"/>
      <c r="BE571" s="18"/>
      <c r="BF571" s="18"/>
      <c r="BH571" s="18"/>
      <c r="BI571" s="18"/>
      <c r="BJ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  <c r="FC571" s="18"/>
      <c r="FD571" s="18"/>
      <c r="FE571" s="18"/>
      <c r="FF571" s="18"/>
      <c r="FG571" s="18"/>
      <c r="FH571" s="18"/>
      <c r="FI571" s="18"/>
      <c r="FJ571" s="18"/>
      <c r="FK571" s="18"/>
      <c r="FL571" s="18"/>
      <c r="FM571" s="18"/>
      <c r="FN571" s="18"/>
      <c r="FO571" s="18"/>
      <c r="FP571" s="18"/>
      <c r="FQ571" s="18"/>
      <c r="FR571" s="18"/>
      <c r="FS571" s="18"/>
      <c r="FT571" s="18"/>
      <c r="FU571" s="18"/>
      <c r="FV571" s="18"/>
      <c r="FW571" s="18"/>
      <c r="FX571" s="18"/>
      <c r="FY571" s="18"/>
      <c r="FZ571" s="18"/>
      <c r="GA571" s="18"/>
      <c r="GB571" s="18"/>
      <c r="GC571" s="18"/>
      <c r="GD571" s="18"/>
      <c r="GE571" s="18"/>
      <c r="GF571" s="18"/>
      <c r="GG571" s="18"/>
      <c r="GH571" s="18"/>
      <c r="GI571" s="18"/>
      <c r="GJ571" s="18"/>
      <c r="GK571" s="18"/>
      <c r="GL571" s="18"/>
      <c r="GM571" s="18"/>
      <c r="GN571" s="18"/>
      <c r="GO571" s="18"/>
      <c r="GP571" s="18"/>
      <c r="GQ571" s="18"/>
      <c r="GR571" s="18"/>
      <c r="GS571" s="18"/>
      <c r="GT571" s="18"/>
      <c r="GU571" s="18"/>
      <c r="GV571" s="18"/>
      <c r="GW571" s="18"/>
      <c r="GX571" s="18"/>
      <c r="GY571" s="18"/>
      <c r="GZ571" s="18"/>
      <c r="HA571" s="18"/>
      <c r="HB571" s="18"/>
      <c r="HC571" s="18"/>
      <c r="HD571" s="18"/>
      <c r="HE571" s="18"/>
      <c r="HF571" s="18"/>
      <c r="HG571" s="13"/>
      <c r="HH571" s="13"/>
      <c r="HI571" s="13"/>
      <c r="HJ571" s="13"/>
      <c r="HK571" s="13"/>
      <c r="HL571" s="13"/>
      <c r="HM571" s="13"/>
      <c r="HN571" s="13"/>
      <c r="HO571" s="13"/>
      <c r="HP571" s="13"/>
      <c r="HQ571" s="13"/>
      <c r="HR571" s="13"/>
      <c r="HS571" s="13"/>
      <c r="HT571" s="13"/>
      <c r="HV571" s="18"/>
      <c r="HW571" s="18"/>
      <c r="HX571" s="18"/>
      <c r="HY571" s="18"/>
      <c r="HZ571" s="18"/>
      <c r="IA571" s="18"/>
      <c r="IB571" s="18"/>
      <c r="IC571" s="18"/>
      <c r="ID571" s="18"/>
      <c r="IE571" s="18"/>
      <c r="IF571" s="18"/>
      <c r="IG571" s="18"/>
      <c r="IH571" s="18"/>
      <c r="II571" s="18"/>
      <c r="IJ571" s="18"/>
      <c r="IK571" s="18"/>
      <c r="IL571" s="18"/>
      <c r="IM571" s="18"/>
      <c r="IN571" s="18"/>
      <c r="IO571" s="18"/>
      <c r="IP571" s="18"/>
      <c r="IQ571" s="18"/>
      <c r="IR571" s="18"/>
      <c r="IS571" s="18"/>
      <c r="IT571" s="18"/>
      <c r="IU571" s="18"/>
      <c r="IV571" s="18"/>
      <c r="IW571" s="18"/>
      <c r="IX571" s="18"/>
      <c r="IY571" s="18"/>
      <c r="IZ571" s="18"/>
      <c r="JA571" s="18"/>
      <c r="JB571" s="18"/>
      <c r="JC571" s="18"/>
      <c r="JD571" s="18"/>
      <c r="JE571" s="18"/>
      <c r="JF571" s="18"/>
      <c r="JG571" s="18"/>
      <c r="JH571" s="18"/>
      <c r="JI571" s="18"/>
      <c r="JJ571" s="18"/>
      <c r="JK571" s="18"/>
      <c r="JL571" s="18"/>
      <c r="JM571" s="18"/>
      <c r="JN571" s="18"/>
      <c r="JO571" s="18"/>
      <c r="JP571" s="18"/>
      <c r="JQ571" s="18"/>
      <c r="JR571" s="18"/>
      <c r="JS571" s="18"/>
      <c r="JT571" s="18"/>
      <c r="JU571" s="18"/>
      <c r="JV571" s="18"/>
      <c r="JW571" s="18"/>
      <c r="JX571" s="18"/>
      <c r="JY571" s="18"/>
      <c r="JZ571" s="18"/>
      <c r="KA571" s="18"/>
      <c r="KB571" s="18"/>
      <c r="KC571" s="18"/>
      <c r="KD571" s="18"/>
      <c r="KE571" s="18"/>
      <c r="KF571" s="18"/>
      <c r="KG571" s="18"/>
      <c r="KH571" s="18"/>
      <c r="KI571" s="18"/>
      <c r="KJ571" s="18"/>
      <c r="KK571" s="18"/>
      <c r="KL571" s="18"/>
      <c r="KM571" s="18"/>
      <c r="KN571" s="18"/>
      <c r="KO571" s="18"/>
      <c r="KP571" s="18"/>
    </row>
    <row r="572" spans="1:302" ht="15" customHeight="1">
      <c r="A572" s="14"/>
      <c r="B572" s="14"/>
      <c r="C572" s="50"/>
      <c r="D572" s="50"/>
      <c r="E572" s="49"/>
      <c r="F572" s="46"/>
      <c r="G572" s="1"/>
      <c r="H572" s="1"/>
      <c r="I572" s="48"/>
      <c r="J572" s="48"/>
      <c r="L572" s="14"/>
      <c r="P572" s="14"/>
      <c r="AB572" s="14"/>
      <c r="AC572" s="14"/>
      <c r="AG572" s="47"/>
      <c r="AH572" s="44"/>
      <c r="AI572" s="45"/>
      <c r="AJ572" s="44"/>
      <c r="AK572" s="43"/>
      <c r="AS572" s="14"/>
      <c r="AU572" s="18"/>
      <c r="AV572" s="18"/>
      <c r="AW572" s="18"/>
      <c r="AX572" s="18"/>
      <c r="AY572" s="18"/>
      <c r="AZ572" s="18"/>
      <c r="BB572" s="18"/>
      <c r="BC572" s="18"/>
      <c r="BD572" s="18"/>
      <c r="BE572" s="18"/>
      <c r="BF572" s="18"/>
      <c r="BH572" s="18"/>
      <c r="BI572" s="18"/>
      <c r="BJ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  <c r="FC572" s="18"/>
      <c r="FD572" s="18"/>
      <c r="FE572" s="18"/>
      <c r="FF572" s="18"/>
      <c r="FG572" s="18"/>
      <c r="FH572" s="18"/>
      <c r="FI572" s="18"/>
      <c r="FJ572" s="18"/>
      <c r="FK572" s="18"/>
      <c r="FL572" s="18"/>
      <c r="FM572" s="18"/>
      <c r="FN572" s="18"/>
      <c r="FO572" s="18"/>
      <c r="FP572" s="18"/>
      <c r="FQ572" s="18"/>
      <c r="FR572" s="18"/>
      <c r="FS572" s="18"/>
      <c r="FT572" s="18"/>
      <c r="FU572" s="18"/>
      <c r="FV572" s="18"/>
      <c r="FW572" s="18"/>
      <c r="FX572" s="18"/>
      <c r="FY572" s="18"/>
      <c r="FZ572" s="18"/>
      <c r="GA572" s="18"/>
      <c r="GB572" s="18"/>
      <c r="GC572" s="18"/>
      <c r="GD572" s="18"/>
      <c r="GE572" s="18"/>
      <c r="GF572" s="18"/>
      <c r="GG572" s="18"/>
      <c r="GH572" s="18"/>
      <c r="GI572" s="18"/>
      <c r="GJ572" s="18"/>
      <c r="GK572" s="18"/>
      <c r="GL572" s="18"/>
      <c r="GM572" s="18"/>
      <c r="GN572" s="18"/>
      <c r="GO572" s="18"/>
      <c r="GP572" s="18"/>
      <c r="GQ572" s="18"/>
      <c r="GR572" s="18"/>
      <c r="GS572" s="18"/>
      <c r="GT572" s="18"/>
      <c r="GU572" s="18"/>
      <c r="GV572" s="18"/>
      <c r="GW572" s="18"/>
      <c r="GX572" s="18"/>
      <c r="GY572" s="18"/>
      <c r="GZ572" s="18"/>
      <c r="HA572" s="18"/>
      <c r="HB572" s="18"/>
      <c r="HC572" s="18"/>
      <c r="HD572" s="18"/>
      <c r="HE572" s="18"/>
      <c r="HF572" s="18"/>
      <c r="HG572" s="13"/>
      <c r="HH572" s="13"/>
      <c r="HI572" s="13"/>
      <c r="HJ572" s="13"/>
      <c r="HK572" s="13"/>
      <c r="HL572" s="13"/>
      <c r="HM572" s="13"/>
      <c r="HN572" s="13"/>
      <c r="HO572" s="13"/>
      <c r="HP572" s="13"/>
      <c r="HQ572" s="13"/>
      <c r="HR572" s="13"/>
      <c r="HS572" s="13"/>
      <c r="HT572" s="13"/>
      <c r="HV572" s="18"/>
      <c r="HW572" s="18"/>
      <c r="HX572" s="18"/>
      <c r="HY572" s="18"/>
      <c r="HZ572" s="18"/>
      <c r="IA572" s="18"/>
      <c r="IB572" s="18"/>
      <c r="IC572" s="18"/>
      <c r="ID572" s="18"/>
      <c r="IE572" s="18"/>
      <c r="IF572" s="18"/>
      <c r="IG572" s="18"/>
      <c r="IH572" s="18"/>
      <c r="II572" s="18"/>
      <c r="IJ572" s="18"/>
      <c r="IK572" s="18"/>
      <c r="IL572" s="18"/>
      <c r="IM572" s="18"/>
      <c r="IN572" s="18"/>
      <c r="IO572" s="18"/>
      <c r="IP572" s="18"/>
      <c r="IQ572" s="18"/>
      <c r="IR572" s="18"/>
      <c r="IS572" s="18"/>
      <c r="IT572" s="18"/>
      <c r="IU572" s="18"/>
      <c r="IV572" s="18"/>
      <c r="IW572" s="18"/>
      <c r="IX572" s="18"/>
      <c r="IY572" s="18"/>
      <c r="IZ572" s="18"/>
      <c r="JA572" s="18"/>
      <c r="JB572" s="18"/>
      <c r="JC572" s="18"/>
      <c r="JD572" s="18"/>
      <c r="JE572" s="18"/>
      <c r="JF572" s="18"/>
      <c r="JG572" s="18"/>
      <c r="JH572" s="18"/>
      <c r="JI572" s="18"/>
      <c r="JJ572" s="18"/>
      <c r="JK572" s="18"/>
      <c r="JL572" s="18"/>
      <c r="JM572" s="18"/>
      <c r="JN572" s="18"/>
      <c r="JO572" s="18"/>
      <c r="JP572" s="18"/>
      <c r="JQ572" s="18"/>
      <c r="JR572" s="18"/>
      <c r="JS572" s="18"/>
      <c r="JT572" s="18"/>
      <c r="JU572" s="18"/>
      <c r="JV572" s="18"/>
      <c r="JW572" s="18"/>
      <c r="JX572" s="18"/>
      <c r="JY572" s="18"/>
      <c r="JZ572" s="18"/>
      <c r="KA572" s="18"/>
      <c r="KB572" s="18"/>
      <c r="KC572" s="18"/>
      <c r="KD572" s="18"/>
      <c r="KE572" s="18"/>
      <c r="KF572" s="18"/>
      <c r="KG572" s="18"/>
      <c r="KH572" s="18"/>
      <c r="KI572" s="18"/>
      <c r="KJ572" s="18"/>
      <c r="KK572" s="18"/>
      <c r="KL572" s="18"/>
      <c r="KM572" s="18"/>
      <c r="KN572" s="18"/>
      <c r="KO572" s="18"/>
      <c r="KP572" s="18"/>
    </row>
    <row r="573" spans="1:302" ht="15" customHeight="1">
      <c r="A573" s="14"/>
      <c r="B573" s="14"/>
      <c r="C573" s="50"/>
      <c r="D573" s="50"/>
      <c r="E573" s="49"/>
      <c r="F573" s="46"/>
      <c r="I573" s="48"/>
      <c r="J573" s="48"/>
      <c r="L573" s="14"/>
      <c r="P573" s="14"/>
      <c r="AB573" s="14"/>
      <c r="AC573" s="14"/>
      <c r="AG573" s="47"/>
      <c r="AH573" s="44"/>
      <c r="AI573" s="45"/>
      <c r="AJ573" s="44"/>
      <c r="AK573" s="43"/>
      <c r="AS573" s="14"/>
      <c r="AU573" s="18"/>
      <c r="AV573" s="18"/>
      <c r="AW573" s="18"/>
      <c r="AX573" s="18"/>
      <c r="AY573" s="18"/>
      <c r="AZ573" s="18"/>
      <c r="BB573" s="18"/>
      <c r="BC573" s="18"/>
      <c r="BD573" s="18"/>
      <c r="BE573" s="18"/>
      <c r="BF573" s="18"/>
      <c r="BH573" s="18"/>
      <c r="BI573" s="18"/>
      <c r="BJ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  <c r="FC573" s="18"/>
      <c r="FD573" s="18"/>
      <c r="FE573" s="18"/>
      <c r="FF573" s="18"/>
      <c r="FG573" s="18"/>
      <c r="FH573" s="18"/>
      <c r="FI573" s="18"/>
      <c r="FJ573" s="18"/>
      <c r="FK573" s="18"/>
      <c r="FL573" s="18"/>
      <c r="FM573" s="18"/>
      <c r="FN573" s="18"/>
      <c r="FO573" s="18"/>
      <c r="FP573" s="18"/>
      <c r="FQ573" s="18"/>
      <c r="FR573" s="18"/>
      <c r="FS573" s="18"/>
      <c r="FT573" s="18"/>
      <c r="FU573" s="18"/>
      <c r="FV573" s="18"/>
      <c r="FW573" s="18"/>
      <c r="FX573" s="18"/>
      <c r="FY573" s="18"/>
      <c r="FZ573" s="18"/>
      <c r="GA573" s="18"/>
      <c r="GB573" s="18"/>
      <c r="GC573" s="18"/>
      <c r="GD573" s="18"/>
      <c r="GE573" s="18"/>
      <c r="GF573" s="18"/>
      <c r="GG573" s="18"/>
      <c r="GH573" s="18"/>
      <c r="GI573" s="18"/>
      <c r="GJ573" s="18"/>
      <c r="GK573" s="18"/>
      <c r="GL573" s="18"/>
      <c r="GM573" s="18"/>
      <c r="GN573" s="18"/>
      <c r="GO573" s="18"/>
      <c r="GP573" s="18"/>
      <c r="GQ573" s="18"/>
      <c r="GR573" s="18"/>
      <c r="GS573" s="18"/>
      <c r="GT573" s="18"/>
      <c r="GU573" s="18"/>
      <c r="GV573" s="18"/>
      <c r="GW573" s="18"/>
      <c r="GX573" s="18"/>
      <c r="GY573" s="18"/>
      <c r="GZ573" s="18"/>
      <c r="HA573" s="18"/>
      <c r="HB573" s="18"/>
      <c r="HC573" s="18"/>
      <c r="HD573" s="18"/>
      <c r="HE573" s="18"/>
      <c r="HF573" s="18"/>
      <c r="HG573" s="13"/>
      <c r="HH573" s="13"/>
      <c r="HI573" s="13"/>
      <c r="HJ573" s="13"/>
      <c r="HK573" s="13"/>
      <c r="HL573" s="13"/>
      <c r="HM573" s="13"/>
      <c r="HN573" s="13"/>
      <c r="HO573" s="13"/>
      <c r="HP573" s="13"/>
      <c r="HQ573" s="13"/>
      <c r="HR573" s="13"/>
      <c r="HS573" s="13"/>
      <c r="HT573" s="13"/>
      <c r="HV573" s="18"/>
      <c r="HW573" s="18"/>
      <c r="HX573" s="18"/>
      <c r="HY573" s="18"/>
      <c r="HZ573" s="18"/>
      <c r="IA573" s="18"/>
      <c r="IB573" s="18"/>
      <c r="IC573" s="18"/>
      <c r="ID573" s="18"/>
      <c r="IE573" s="18"/>
      <c r="IF573" s="18"/>
      <c r="IG573" s="18"/>
      <c r="IH573" s="18"/>
      <c r="II573" s="18"/>
      <c r="IJ573" s="18"/>
      <c r="IK573" s="18"/>
      <c r="IL573" s="18"/>
      <c r="IM573" s="18"/>
      <c r="IN573" s="18"/>
      <c r="IO573" s="18"/>
      <c r="IP573" s="18"/>
      <c r="IQ573" s="18"/>
      <c r="IR573" s="18"/>
      <c r="IS573" s="18"/>
      <c r="IT573" s="18"/>
      <c r="IU573" s="18"/>
      <c r="IV573" s="18"/>
      <c r="IW573" s="18"/>
      <c r="IX573" s="18"/>
      <c r="IY573" s="18"/>
      <c r="IZ573" s="18"/>
      <c r="JA573" s="18"/>
      <c r="JB573" s="18"/>
      <c r="JC573" s="18"/>
      <c r="JD573" s="18"/>
      <c r="JE573" s="18"/>
      <c r="JF573" s="18"/>
      <c r="JG573" s="18"/>
      <c r="JH573" s="18"/>
      <c r="JI573" s="18"/>
      <c r="JJ573" s="18"/>
      <c r="JK573" s="18"/>
      <c r="JL573" s="18"/>
      <c r="JM573" s="18"/>
      <c r="JN573" s="18"/>
      <c r="JO573" s="18"/>
      <c r="JP573" s="18"/>
      <c r="JQ573" s="18"/>
      <c r="JR573" s="18"/>
      <c r="JS573" s="18"/>
      <c r="JT573" s="18"/>
      <c r="JU573" s="18"/>
      <c r="JV573" s="18"/>
      <c r="JW573" s="18"/>
      <c r="JX573" s="18"/>
      <c r="JY573" s="18"/>
      <c r="JZ573" s="18"/>
      <c r="KA573" s="18"/>
      <c r="KB573" s="18"/>
      <c r="KC573" s="18"/>
      <c r="KD573" s="18"/>
      <c r="KE573" s="18"/>
      <c r="KF573" s="18"/>
      <c r="KG573" s="18"/>
      <c r="KH573" s="18"/>
      <c r="KI573" s="18"/>
      <c r="KJ573" s="18"/>
      <c r="KK573" s="18"/>
      <c r="KL573" s="18"/>
      <c r="KM573" s="18"/>
      <c r="KN573" s="18"/>
      <c r="KO573" s="18"/>
      <c r="KP573" s="18"/>
    </row>
    <row r="574" spans="1:302" ht="15" customHeight="1">
      <c r="A574" s="14"/>
      <c r="B574" s="14"/>
      <c r="C574" s="50"/>
      <c r="D574" s="50"/>
      <c r="E574" s="49"/>
      <c r="F574" s="46"/>
      <c r="I574" s="48"/>
      <c r="J574" s="48"/>
      <c r="L574" s="14"/>
      <c r="P574" s="14"/>
      <c r="AB574" s="14"/>
      <c r="AC574" s="14"/>
      <c r="AG574" s="47"/>
      <c r="AH574" s="44"/>
      <c r="AI574" s="45"/>
      <c r="AJ574" s="44"/>
      <c r="AK574" s="43"/>
      <c r="AS574" s="14"/>
      <c r="AU574" s="18"/>
      <c r="AV574" s="18"/>
      <c r="AW574" s="18"/>
      <c r="AX574" s="18"/>
      <c r="AY574" s="18"/>
      <c r="AZ574" s="18"/>
      <c r="BB574" s="18"/>
      <c r="BC574" s="18"/>
      <c r="BD574" s="18"/>
      <c r="BE574" s="18"/>
      <c r="BF574" s="18"/>
      <c r="BH574" s="18"/>
      <c r="BI574" s="18"/>
      <c r="BJ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  <c r="FR574" s="18"/>
      <c r="FS574" s="18"/>
      <c r="FT574" s="18"/>
      <c r="FU574" s="18"/>
      <c r="FV574" s="18"/>
      <c r="FW574" s="18"/>
      <c r="FX574" s="18"/>
      <c r="FY574" s="18"/>
      <c r="FZ574" s="18"/>
      <c r="GA574" s="18"/>
      <c r="GB574" s="18"/>
      <c r="GC574" s="18"/>
      <c r="GD574" s="18"/>
      <c r="GE574" s="18"/>
      <c r="GF574" s="18"/>
      <c r="GG574" s="18"/>
      <c r="GH574" s="18"/>
      <c r="GI574" s="18"/>
      <c r="GJ574" s="18"/>
      <c r="GK574" s="18"/>
      <c r="GL574" s="18"/>
      <c r="GM574" s="18"/>
      <c r="GN574" s="18"/>
      <c r="GO574" s="18"/>
      <c r="GP574" s="18"/>
      <c r="GQ574" s="18"/>
      <c r="GR574" s="18"/>
      <c r="GS574" s="18"/>
      <c r="GT574" s="18"/>
      <c r="GU574" s="18"/>
      <c r="GV574" s="18"/>
      <c r="GW574" s="18"/>
      <c r="GX574" s="18"/>
      <c r="GY574" s="18"/>
      <c r="GZ574" s="18"/>
      <c r="HA574" s="18"/>
      <c r="HB574" s="18"/>
      <c r="HC574" s="18"/>
      <c r="HD574" s="18"/>
      <c r="HE574" s="18"/>
      <c r="HF574" s="18"/>
      <c r="HG574" s="13"/>
      <c r="HH574" s="13"/>
      <c r="HI574" s="13"/>
      <c r="HJ574" s="13"/>
      <c r="HK574" s="13"/>
      <c r="HL574" s="13"/>
      <c r="HM574" s="13"/>
      <c r="HN574" s="13"/>
      <c r="HO574" s="13"/>
      <c r="HP574" s="13"/>
      <c r="HQ574" s="13"/>
      <c r="HR574" s="13"/>
      <c r="HS574" s="13"/>
      <c r="HT574" s="13"/>
      <c r="HV574" s="18"/>
      <c r="HW574" s="18"/>
      <c r="HX574" s="18"/>
      <c r="HY574" s="18"/>
      <c r="HZ574" s="18"/>
      <c r="IA574" s="18"/>
      <c r="IB574" s="18"/>
      <c r="IC574" s="18"/>
      <c r="ID574" s="18"/>
      <c r="IE574" s="18"/>
      <c r="IF574" s="18"/>
      <c r="IG574" s="18"/>
      <c r="IH574" s="18"/>
      <c r="II574" s="18"/>
      <c r="IJ574" s="18"/>
      <c r="IK574" s="18"/>
      <c r="IL574" s="18"/>
      <c r="IM574" s="18"/>
      <c r="IN574" s="18"/>
      <c r="IO574" s="18"/>
      <c r="IP574" s="18"/>
      <c r="IQ574" s="18"/>
      <c r="IR574" s="18"/>
      <c r="IS574" s="18"/>
      <c r="IT574" s="18"/>
      <c r="IU574" s="18"/>
      <c r="IV574" s="18"/>
      <c r="IW574" s="18"/>
      <c r="IX574" s="18"/>
      <c r="IY574" s="18"/>
      <c r="IZ574" s="18"/>
      <c r="JA574" s="18"/>
      <c r="JB574" s="18"/>
      <c r="JC574" s="18"/>
      <c r="JD574" s="18"/>
      <c r="JE574" s="18"/>
      <c r="JF574" s="18"/>
      <c r="JG574" s="18"/>
      <c r="JH574" s="18"/>
      <c r="JI574" s="18"/>
      <c r="JJ574" s="18"/>
      <c r="JK574" s="18"/>
      <c r="JL574" s="18"/>
      <c r="JM574" s="18"/>
      <c r="JN574" s="18"/>
      <c r="JO574" s="18"/>
      <c r="JP574" s="18"/>
      <c r="JQ574" s="18"/>
      <c r="JR574" s="18"/>
      <c r="JS574" s="18"/>
      <c r="JT574" s="18"/>
      <c r="JU574" s="18"/>
      <c r="JV574" s="18"/>
      <c r="JW574" s="18"/>
      <c r="JX574" s="18"/>
      <c r="JY574" s="18"/>
      <c r="JZ574" s="18"/>
      <c r="KA574" s="18"/>
      <c r="KB574" s="18"/>
      <c r="KC574" s="18"/>
      <c r="KD574" s="18"/>
      <c r="KE574" s="18"/>
      <c r="KF574" s="18"/>
      <c r="KG574" s="18"/>
      <c r="KH574" s="18"/>
      <c r="KI574" s="18"/>
      <c r="KJ574" s="18"/>
      <c r="KK574" s="18"/>
      <c r="KL574" s="18"/>
      <c r="KM574" s="18"/>
      <c r="KN574" s="18"/>
      <c r="KO574" s="18"/>
      <c r="KP574" s="18"/>
    </row>
    <row r="575" spans="1:302" ht="15" customHeight="1">
      <c r="A575" s="14"/>
      <c r="B575" s="14"/>
      <c r="C575" s="50"/>
      <c r="D575" s="50"/>
      <c r="E575" s="49"/>
      <c r="F575" s="46"/>
      <c r="G575" s="1"/>
      <c r="H575" s="1"/>
      <c r="I575" s="48"/>
      <c r="J575" s="48"/>
      <c r="L575" s="14"/>
      <c r="P575" s="14"/>
      <c r="AB575" s="14"/>
      <c r="AC575" s="14"/>
      <c r="AG575" s="47"/>
      <c r="AH575" s="44"/>
      <c r="AI575" s="45"/>
      <c r="AJ575" s="44"/>
      <c r="AK575" s="43"/>
      <c r="AS575" s="14"/>
      <c r="AU575" s="18"/>
      <c r="AV575" s="18"/>
      <c r="AW575" s="18"/>
      <c r="AX575" s="18"/>
      <c r="AY575" s="18"/>
      <c r="AZ575" s="18"/>
      <c r="BB575" s="18"/>
      <c r="BC575" s="18"/>
      <c r="BD575" s="18"/>
      <c r="BE575" s="18"/>
      <c r="BF575" s="18"/>
      <c r="BH575" s="18"/>
      <c r="BI575" s="18"/>
      <c r="BJ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  <c r="EZ575" s="18"/>
      <c r="FA575" s="18"/>
      <c r="FB575" s="18"/>
      <c r="FC575" s="18"/>
      <c r="FD575" s="18"/>
      <c r="FE575" s="18"/>
      <c r="FF575" s="18"/>
      <c r="FG575" s="18"/>
      <c r="FH575" s="18"/>
      <c r="FI575" s="18"/>
      <c r="FJ575" s="18"/>
      <c r="FK575" s="18"/>
      <c r="FL575" s="18"/>
      <c r="FM575" s="18"/>
      <c r="FN575" s="18"/>
      <c r="FO575" s="18"/>
      <c r="FP575" s="18"/>
      <c r="FQ575" s="18"/>
      <c r="FR575" s="18"/>
      <c r="FS575" s="18"/>
      <c r="FT575" s="18"/>
      <c r="FU575" s="18"/>
      <c r="FV575" s="18"/>
      <c r="FW575" s="18"/>
      <c r="FX575" s="18"/>
      <c r="FY575" s="18"/>
      <c r="FZ575" s="18"/>
      <c r="GA575" s="18"/>
      <c r="GB575" s="18"/>
      <c r="GC575" s="18"/>
      <c r="GD575" s="18"/>
      <c r="GE575" s="18"/>
      <c r="GF575" s="18"/>
      <c r="GG575" s="18"/>
      <c r="GH575" s="18"/>
      <c r="GI575" s="18"/>
      <c r="GJ575" s="18"/>
      <c r="GK575" s="18"/>
      <c r="GL575" s="18"/>
      <c r="GM575" s="18"/>
      <c r="GN575" s="18"/>
      <c r="GO575" s="18"/>
      <c r="GP575" s="18"/>
      <c r="GQ575" s="18"/>
      <c r="GR575" s="18"/>
      <c r="GS575" s="18"/>
      <c r="GT575" s="18"/>
      <c r="GU575" s="18"/>
      <c r="GV575" s="18"/>
      <c r="GW575" s="18"/>
      <c r="GX575" s="18"/>
      <c r="GY575" s="18"/>
      <c r="GZ575" s="18"/>
      <c r="HA575" s="18"/>
      <c r="HB575" s="18"/>
      <c r="HC575" s="18"/>
      <c r="HD575" s="18"/>
      <c r="HE575" s="18"/>
      <c r="HF575" s="18"/>
      <c r="HG575" s="13"/>
      <c r="HH575" s="13"/>
      <c r="HI575" s="13"/>
      <c r="HJ575" s="13"/>
      <c r="HK575" s="13"/>
      <c r="HL575" s="13"/>
      <c r="HM575" s="13"/>
      <c r="HN575" s="13"/>
      <c r="HO575" s="13"/>
      <c r="HP575" s="13"/>
      <c r="HQ575" s="13"/>
      <c r="HR575" s="13"/>
      <c r="HS575" s="13"/>
      <c r="HT575" s="13"/>
      <c r="HV575" s="18"/>
      <c r="HW575" s="18"/>
      <c r="HX575" s="18"/>
      <c r="HY575" s="18"/>
      <c r="HZ575" s="18"/>
      <c r="IA575" s="18"/>
      <c r="IB575" s="18"/>
      <c r="IC575" s="18"/>
      <c r="ID575" s="18"/>
      <c r="IE575" s="18"/>
      <c r="IF575" s="18"/>
      <c r="IG575" s="18"/>
      <c r="IH575" s="18"/>
      <c r="II575" s="18"/>
      <c r="IJ575" s="18"/>
      <c r="IK575" s="18"/>
      <c r="IL575" s="18"/>
      <c r="IM575" s="18"/>
      <c r="IN575" s="18"/>
      <c r="IO575" s="18"/>
      <c r="IP575" s="18"/>
      <c r="IQ575" s="18"/>
      <c r="IR575" s="18"/>
      <c r="IS575" s="18"/>
      <c r="IT575" s="18"/>
      <c r="IU575" s="18"/>
      <c r="IV575" s="18"/>
      <c r="IW575" s="18"/>
      <c r="IX575" s="18"/>
      <c r="IY575" s="18"/>
      <c r="IZ575" s="18"/>
      <c r="JA575" s="18"/>
      <c r="JB575" s="18"/>
      <c r="JC575" s="18"/>
      <c r="JD575" s="18"/>
      <c r="JE575" s="18"/>
      <c r="JF575" s="18"/>
      <c r="JG575" s="18"/>
      <c r="JH575" s="18"/>
      <c r="JI575" s="18"/>
      <c r="JJ575" s="18"/>
      <c r="JK575" s="18"/>
      <c r="JL575" s="18"/>
      <c r="JM575" s="18"/>
      <c r="JN575" s="18"/>
      <c r="JO575" s="18"/>
      <c r="JP575" s="18"/>
      <c r="JQ575" s="18"/>
      <c r="JR575" s="18"/>
      <c r="JS575" s="18"/>
      <c r="JT575" s="18"/>
      <c r="JU575" s="18"/>
      <c r="JV575" s="18"/>
      <c r="JW575" s="18"/>
      <c r="JX575" s="18"/>
      <c r="JY575" s="18"/>
      <c r="JZ575" s="18"/>
      <c r="KA575" s="18"/>
      <c r="KB575" s="18"/>
      <c r="KC575" s="18"/>
      <c r="KD575" s="18"/>
      <c r="KE575" s="18"/>
      <c r="KF575" s="18"/>
      <c r="KG575" s="18"/>
      <c r="KH575" s="18"/>
      <c r="KI575" s="18"/>
      <c r="KJ575" s="18"/>
      <c r="KK575" s="18"/>
      <c r="KL575" s="18"/>
      <c r="KM575" s="18"/>
      <c r="KN575" s="18"/>
      <c r="KO575" s="18"/>
      <c r="KP575" s="18"/>
    </row>
    <row r="576" spans="1:302" ht="15" customHeight="1">
      <c r="A576" s="14"/>
      <c r="B576" s="14"/>
      <c r="C576" s="50"/>
      <c r="D576" s="50"/>
      <c r="E576" s="49"/>
      <c r="F576" s="46"/>
      <c r="I576" s="48"/>
      <c r="J576" s="48"/>
      <c r="L576" s="14"/>
      <c r="P576" s="14"/>
      <c r="AB576" s="14"/>
      <c r="AC576" s="14"/>
      <c r="AG576" s="47"/>
      <c r="AH576" s="44"/>
      <c r="AI576" s="45"/>
      <c r="AJ576" s="44"/>
      <c r="AK576" s="43"/>
      <c r="AS576" s="14"/>
      <c r="AU576" s="18"/>
      <c r="AV576" s="18"/>
      <c r="AW576" s="18"/>
      <c r="AX576" s="18"/>
      <c r="AY576" s="18"/>
      <c r="AZ576" s="18"/>
      <c r="BB576" s="18"/>
      <c r="BC576" s="18"/>
      <c r="BD576" s="18"/>
      <c r="BE576" s="18"/>
      <c r="BF576" s="18"/>
      <c r="BH576" s="18"/>
      <c r="BI576" s="18"/>
      <c r="BJ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  <c r="EZ576" s="18"/>
      <c r="FA576" s="18"/>
      <c r="FB576" s="18"/>
      <c r="FC576" s="18"/>
      <c r="FD576" s="18"/>
      <c r="FE576" s="18"/>
      <c r="FF576" s="18"/>
      <c r="FG576" s="18"/>
      <c r="FH576" s="18"/>
      <c r="FI576" s="18"/>
      <c r="FJ576" s="18"/>
      <c r="FK576" s="18"/>
      <c r="FL576" s="18"/>
      <c r="FM576" s="18"/>
      <c r="FN576" s="18"/>
      <c r="FO576" s="18"/>
      <c r="FP576" s="18"/>
      <c r="FQ576" s="18"/>
      <c r="FR576" s="18"/>
      <c r="FS576" s="18"/>
      <c r="FT576" s="18"/>
      <c r="FU576" s="18"/>
      <c r="FV576" s="18"/>
      <c r="FW576" s="18"/>
      <c r="FX576" s="18"/>
      <c r="FY576" s="18"/>
      <c r="FZ576" s="18"/>
      <c r="GA576" s="18"/>
      <c r="GB576" s="18"/>
      <c r="GC576" s="18"/>
      <c r="GD576" s="18"/>
      <c r="GE576" s="18"/>
      <c r="GF576" s="18"/>
      <c r="GG576" s="18"/>
      <c r="GH576" s="18"/>
      <c r="GI576" s="18"/>
      <c r="GJ576" s="18"/>
      <c r="GK576" s="18"/>
      <c r="GL576" s="18"/>
      <c r="GM576" s="18"/>
      <c r="GN576" s="18"/>
      <c r="GO576" s="18"/>
      <c r="GP576" s="18"/>
      <c r="GQ576" s="18"/>
      <c r="GR576" s="18"/>
      <c r="GS576" s="18"/>
      <c r="GT576" s="18"/>
      <c r="GU576" s="18"/>
      <c r="GV576" s="18"/>
      <c r="GW576" s="18"/>
      <c r="GX576" s="18"/>
      <c r="GY576" s="18"/>
      <c r="GZ576" s="18"/>
      <c r="HA576" s="18"/>
      <c r="HB576" s="18"/>
      <c r="HC576" s="18"/>
      <c r="HD576" s="18"/>
      <c r="HE576" s="18"/>
      <c r="HF576" s="18"/>
      <c r="HG576" s="13"/>
      <c r="HH576" s="13"/>
      <c r="HI576" s="13"/>
      <c r="HJ576" s="13"/>
      <c r="HK576" s="13"/>
      <c r="HL576" s="13"/>
      <c r="HM576" s="13"/>
      <c r="HN576" s="13"/>
      <c r="HO576" s="13"/>
      <c r="HP576" s="13"/>
      <c r="HQ576" s="13"/>
      <c r="HR576" s="13"/>
      <c r="HS576" s="13"/>
      <c r="HT576" s="13"/>
      <c r="HV576" s="18"/>
      <c r="HW576" s="18"/>
      <c r="HX576" s="18"/>
      <c r="HY576" s="18"/>
      <c r="HZ576" s="18"/>
      <c r="IA576" s="18"/>
      <c r="IB576" s="18"/>
      <c r="IC576" s="18"/>
      <c r="ID576" s="18"/>
      <c r="IE576" s="18"/>
      <c r="IF576" s="18"/>
      <c r="IG576" s="18"/>
      <c r="IH576" s="18"/>
      <c r="II576" s="18"/>
      <c r="IJ576" s="18"/>
      <c r="IK576" s="18"/>
      <c r="IL576" s="18"/>
      <c r="IM576" s="18"/>
      <c r="IN576" s="18"/>
      <c r="IO576" s="18"/>
      <c r="IP576" s="18"/>
      <c r="IQ576" s="18"/>
      <c r="IR576" s="18"/>
      <c r="IS576" s="18"/>
      <c r="IT576" s="18"/>
      <c r="IU576" s="18"/>
      <c r="IV576" s="18"/>
      <c r="IW576" s="18"/>
      <c r="IX576" s="18"/>
      <c r="IY576" s="18"/>
      <c r="IZ576" s="18"/>
      <c r="JA576" s="18"/>
      <c r="JB576" s="18"/>
      <c r="JC576" s="18"/>
      <c r="JD576" s="18"/>
      <c r="JE576" s="18"/>
      <c r="JF576" s="18"/>
      <c r="JG576" s="18"/>
      <c r="JH576" s="18"/>
      <c r="JI576" s="18"/>
      <c r="JJ576" s="18"/>
      <c r="JK576" s="18"/>
      <c r="JL576" s="18"/>
      <c r="JM576" s="18"/>
      <c r="JN576" s="18"/>
      <c r="JO576" s="18"/>
      <c r="JP576" s="18"/>
      <c r="JQ576" s="18"/>
      <c r="JR576" s="18"/>
      <c r="JS576" s="18"/>
      <c r="JT576" s="18"/>
      <c r="JU576" s="18"/>
      <c r="JV576" s="18"/>
      <c r="JW576" s="18"/>
      <c r="JX576" s="18"/>
      <c r="JY576" s="18"/>
      <c r="JZ576" s="18"/>
      <c r="KA576" s="18"/>
      <c r="KB576" s="18"/>
      <c r="KC576" s="18"/>
      <c r="KD576" s="18"/>
      <c r="KE576" s="18"/>
      <c r="KF576" s="18"/>
      <c r="KG576" s="18"/>
      <c r="KH576" s="18"/>
      <c r="KI576" s="18"/>
      <c r="KJ576" s="18"/>
      <c r="KK576" s="18"/>
      <c r="KL576" s="18"/>
      <c r="KM576" s="18"/>
      <c r="KN576" s="18"/>
      <c r="KO576" s="18"/>
      <c r="KP576" s="18"/>
    </row>
    <row r="577" spans="1:302" ht="15" customHeight="1">
      <c r="A577" s="14"/>
      <c r="B577" s="14"/>
      <c r="C577" s="50"/>
      <c r="D577" s="50"/>
      <c r="E577" s="49"/>
      <c r="F577" s="46"/>
      <c r="G577" s="1"/>
      <c r="H577" s="1"/>
      <c r="I577" s="48"/>
      <c r="J577" s="48"/>
      <c r="L577" s="14"/>
      <c r="P577" s="14"/>
      <c r="AB577" s="14"/>
      <c r="AC577" s="14"/>
      <c r="AG577" s="47"/>
      <c r="AH577" s="44"/>
      <c r="AI577" s="45"/>
      <c r="AJ577" s="44"/>
      <c r="AK577" s="43"/>
      <c r="AS577" s="14"/>
      <c r="AU577" s="18"/>
      <c r="AV577" s="18"/>
      <c r="AW577" s="18"/>
      <c r="AX577" s="18"/>
      <c r="AY577" s="18"/>
      <c r="AZ577" s="18"/>
      <c r="BB577" s="18"/>
      <c r="BC577" s="18"/>
      <c r="BD577" s="18"/>
      <c r="BE577" s="18"/>
      <c r="BF577" s="18"/>
      <c r="BH577" s="18"/>
      <c r="BI577" s="18"/>
      <c r="BJ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  <c r="FC577" s="18"/>
      <c r="FD577" s="18"/>
      <c r="FE577" s="18"/>
      <c r="FF577" s="18"/>
      <c r="FG577" s="18"/>
      <c r="FH577" s="18"/>
      <c r="FI577" s="18"/>
      <c r="FJ577" s="18"/>
      <c r="FK577" s="18"/>
      <c r="FL577" s="18"/>
      <c r="FM577" s="18"/>
      <c r="FN577" s="18"/>
      <c r="FO577" s="18"/>
      <c r="FP577" s="18"/>
      <c r="FQ577" s="18"/>
      <c r="FR577" s="18"/>
      <c r="FS577" s="18"/>
      <c r="FT577" s="18"/>
      <c r="FU577" s="18"/>
      <c r="FV577" s="18"/>
      <c r="FW577" s="18"/>
      <c r="FX577" s="18"/>
      <c r="FY577" s="18"/>
      <c r="FZ577" s="18"/>
      <c r="GA577" s="18"/>
      <c r="GB577" s="18"/>
      <c r="GC577" s="18"/>
      <c r="GD577" s="18"/>
      <c r="GE577" s="18"/>
      <c r="GF577" s="18"/>
      <c r="GG577" s="18"/>
      <c r="GH577" s="18"/>
      <c r="GI577" s="18"/>
      <c r="GJ577" s="18"/>
      <c r="GK577" s="18"/>
      <c r="GL577" s="18"/>
      <c r="GM577" s="18"/>
      <c r="GN577" s="18"/>
      <c r="GO577" s="18"/>
      <c r="GP577" s="18"/>
      <c r="GQ577" s="18"/>
      <c r="GR577" s="18"/>
      <c r="GS577" s="18"/>
      <c r="GT577" s="18"/>
      <c r="GU577" s="18"/>
      <c r="GV577" s="18"/>
      <c r="GW577" s="18"/>
      <c r="GX577" s="18"/>
      <c r="GY577" s="18"/>
      <c r="GZ577" s="18"/>
      <c r="HA577" s="18"/>
      <c r="HB577" s="18"/>
      <c r="HC577" s="18"/>
      <c r="HD577" s="18"/>
      <c r="HE577" s="18"/>
      <c r="HF577" s="18"/>
      <c r="HG577" s="13"/>
      <c r="HH577" s="13"/>
      <c r="HI577" s="13"/>
      <c r="HJ577" s="13"/>
      <c r="HK577" s="13"/>
      <c r="HL577" s="13"/>
      <c r="HM577" s="13"/>
      <c r="HN577" s="13"/>
      <c r="HO577" s="13"/>
      <c r="HP577" s="13"/>
      <c r="HQ577" s="13"/>
      <c r="HR577" s="13"/>
      <c r="HS577" s="13"/>
      <c r="HT577" s="13"/>
      <c r="HV577" s="18"/>
      <c r="HW577" s="18"/>
      <c r="HX577" s="18"/>
      <c r="HY577" s="18"/>
      <c r="HZ577" s="18"/>
      <c r="IA577" s="18"/>
      <c r="IB577" s="18"/>
      <c r="IC577" s="18"/>
      <c r="ID577" s="18"/>
      <c r="IE577" s="18"/>
      <c r="IF577" s="18"/>
      <c r="IG577" s="18"/>
      <c r="IH577" s="18"/>
      <c r="II577" s="18"/>
      <c r="IJ577" s="18"/>
      <c r="IK577" s="18"/>
      <c r="IL577" s="18"/>
      <c r="IM577" s="18"/>
      <c r="IN577" s="18"/>
      <c r="IO577" s="18"/>
      <c r="IP577" s="18"/>
      <c r="IQ577" s="18"/>
      <c r="IR577" s="18"/>
      <c r="IS577" s="18"/>
      <c r="IT577" s="18"/>
      <c r="IU577" s="18"/>
      <c r="IV577" s="18"/>
      <c r="IW577" s="18"/>
      <c r="IX577" s="18"/>
      <c r="IY577" s="18"/>
      <c r="IZ577" s="18"/>
      <c r="JA577" s="18"/>
      <c r="JB577" s="18"/>
      <c r="JC577" s="18"/>
      <c r="JD577" s="18"/>
      <c r="JE577" s="18"/>
      <c r="JF577" s="18"/>
      <c r="JG577" s="18"/>
      <c r="JH577" s="18"/>
      <c r="JI577" s="18"/>
      <c r="JJ577" s="18"/>
      <c r="JK577" s="18"/>
      <c r="JL577" s="18"/>
      <c r="JM577" s="18"/>
      <c r="JN577" s="18"/>
      <c r="JO577" s="18"/>
      <c r="JP577" s="18"/>
      <c r="JQ577" s="18"/>
      <c r="JR577" s="18"/>
      <c r="JS577" s="18"/>
      <c r="JT577" s="18"/>
      <c r="JU577" s="18"/>
      <c r="JV577" s="18"/>
      <c r="JW577" s="18"/>
      <c r="JX577" s="18"/>
      <c r="JY577" s="18"/>
      <c r="JZ577" s="18"/>
      <c r="KA577" s="18"/>
      <c r="KB577" s="18"/>
      <c r="KC577" s="18"/>
      <c r="KD577" s="18"/>
      <c r="KE577" s="18"/>
      <c r="KF577" s="18"/>
      <c r="KG577" s="18"/>
      <c r="KH577" s="18"/>
      <c r="KI577" s="18"/>
      <c r="KJ577" s="18"/>
      <c r="KK577" s="18"/>
      <c r="KL577" s="18"/>
      <c r="KM577" s="18"/>
      <c r="KN577" s="18"/>
      <c r="KO577" s="18"/>
      <c r="KP577" s="18"/>
    </row>
    <row r="578" spans="1:302" ht="15" customHeight="1">
      <c r="A578" s="14"/>
      <c r="B578" s="14"/>
      <c r="C578" s="50"/>
      <c r="D578" s="50"/>
      <c r="E578" s="49"/>
      <c r="F578" s="46"/>
      <c r="I578" s="48"/>
      <c r="J578" s="48"/>
      <c r="L578" s="14"/>
      <c r="P578" s="14"/>
      <c r="AB578" s="14"/>
      <c r="AC578" s="14"/>
      <c r="AG578" s="47"/>
      <c r="AH578" s="44"/>
      <c r="AI578" s="45"/>
      <c r="AJ578" s="44"/>
      <c r="AK578" s="43"/>
      <c r="AS578" s="14"/>
      <c r="AU578" s="18"/>
      <c r="AV578" s="18"/>
      <c r="AW578" s="18"/>
      <c r="AX578" s="18"/>
      <c r="AY578" s="18"/>
      <c r="AZ578" s="18"/>
      <c r="BB578" s="18"/>
      <c r="BC578" s="18"/>
      <c r="BD578" s="18"/>
      <c r="BE578" s="18"/>
      <c r="BF578" s="18"/>
      <c r="BH578" s="18"/>
      <c r="BI578" s="18"/>
      <c r="BJ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  <c r="FR578" s="18"/>
      <c r="FS578" s="18"/>
      <c r="FT578" s="18"/>
      <c r="FU578" s="18"/>
      <c r="FV578" s="18"/>
      <c r="FW578" s="18"/>
      <c r="FX578" s="18"/>
      <c r="FY578" s="18"/>
      <c r="FZ578" s="18"/>
      <c r="GA578" s="18"/>
      <c r="GB578" s="18"/>
      <c r="GC578" s="18"/>
      <c r="GD578" s="18"/>
      <c r="GE578" s="18"/>
      <c r="GF578" s="18"/>
      <c r="GG578" s="18"/>
      <c r="GH578" s="18"/>
      <c r="GI578" s="18"/>
      <c r="GJ578" s="18"/>
      <c r="GK578" s="18"/>
      <c r="GL578" s="18"/>
      <c r="GM578" s="18"/>
      <c r="GN578" s="18"/>
      <c r="GO578" s="18"/>
      <c r="GP578" s="18"/>
      <c r="GQ578" s="18"/>
      <c r="GR578" s="18"/>
      <c r="GS578" s="18"/>
      <c r="GT578" s="18"/>
      <c r="GU578" s="18"/>
      <c r="GV578" s="18"/>
      <c r="GW578" s="18"/>
      <c r="GX578" s="18"/>
      <c r="GY578" s="18"/>
      <c r="GZ578" s="18"/>
      <c r="HA578" s="18"/>
      <c r="HB578" s="18"/>
      <c r="HC578" s="18"/>
      <c r="HD578" s="18"/>
      <c r="HE578" s="18"/>
      <c r="HF578" s="18"/>
      <c r="HG578" s="13"/>
      <c r="HH578" s="13"/>
      <c r="HI578" s="13"/>
      <c r="HJ578" s="13"/>
      <c r="HK578" s="13"/>
      <c r="HL578" s="13"/>
      <c r="HM578" s="13"/>
      <c r="HN578" s="13"/>
      <c r="HO578" s="13"/>
      <c r="HP578" s="13"/>
      <c r="HQ578" s="13"/>
      <c r="HR578" s="13"/>
      <c r="HS578" s="13"/>
      <c r="HT578" s="13"/>
      <c r="HV578" s="18"/>
      <c r="HW578" s="18"/>
      <c r="HX578" s="18"/>
      <c r="HY578" s="18"/>
      <c r="HZ578" s="18"/>
      <c r="IA578" s="18"/>
      <c r="IB578" s="18"/>
      <c r="IC578" s="18"/>
      <c r="ID578" s="18"/>
      <c r="IE578" s="18"/>
      <c r="IF578" s="18"/>
      <c r="IG578" s="18"/>
      <c r="IH578" s="18"/>
      <c r="II578" s="18"/>
      <c r="IJ578" s="18"/>
      <c r="IK578" s="18"/>
      <c r="IL578" s="18"/>
      <c r="IM578" s="18"/>
      <c r="IN578" s="18"/>
      <c r="IO578" s="18"/>
      <c r="IP578" s="18"/>
      <c r="IQ578" s="18"/>
      <c r="IR578" s="18"/>
      <c r="IS578" s="18"/>
      <c r="IT578" s="18"/>
      <c r="IU578" s="18"/>
      <c r="IV578" s="18"/>
      <c r="IW578" s="18"/>
      <c r="IX578" s="18"/>
      <c r="IY578" s="18"/>
      <c r="IZ578" s="18"/>
      <c r="JA578" s="18"/>
      <c r="JB578" s="18"/>
      <c r="JC578" s="18"/>
      <c r="JD578" s="18"/>
      <c r="JE578" s="18"/>
      <c r="JF578" s="18"/>
      <c r="JG578" s="18"/>
      <c r="JH578" s="18"/>
      <c r="JI578" s="18"/>
      <c r="JJ578" s="18"/>
      <c r="JK578" s="18"/>
      <c r="JL578" s="18"/>
      <c r="JM578" s="18"/>
      <c r="JN578" s="18"/>
      <c r="JO578" s="18"/>
      <c r="JP578" s="18"/>
      <c r="JQ578" s="18"/>
      <c r="JR578" s="18"/>
      <c r="JS578" s="18"/>
      <c r="JT578" s="18"/>
      <c r="JU578" s="18"/>
      <c r="JV578" s="18"/>
      <c r="JW578" s="18"/>
      <c r="JX578" s="18"/>
      <c r="JY578" s="18"/>
      <c r="JZ578" s="18"/>
      <c r="KA578" s="18"/>
      <c r="KB578" s="18"/>
      <c r="KC578" s="18"/>
      <c r="KD578" s="18"/>
      <c r="KE578" s="18"/>
      <c r="KF578" s="18"/>
      <c r="KG578" s="18"/>
      <c r="KH578" s="18"/>
      <c r="KI578" s="18"/>
      <c r="KJ578" s="18"/>
      <c r="KK578" s="18"/>
      <c r="KL578" s="18"/>
      <c r="KM578" s="18"/>
      <c r="KN578" s="18"/>
      <c r="KO578" s="18"/>
      <c r="KP578" s="18"/>
    </row>
    <row r="579" spans="1:302" ht="15" customHeight="1">
      <c r="A579" s="14"/>
      <c r="B579" s="14"/>
      <c r="C579" s="50"/>
      <c r="D579" s="50"/>
      <c r="E579" s="49"/>
      <c r="F579" s="46"/>
      <c r="I579" s="48"/>
      <c r="J579" s="48"/>
      <c r="L579" s="14"/>
      <c r="P579" s="14"/>
      <c r="AB579" s="14"/>
      <c r="AC579" s="14"/>
      <c r="AG579" s="47"/>
      <c r="AH579" s="44"/>
      <c r="AI579" s="45"/>
      <c r="AJ579" s="44"/>
      <c r="AK579" s="43"/>
      <c r="AS579" s="14"/>
      <c r="AU579" s="18"/>
      <c r="AV579" s="18"/>
      <c r="AW579" s="18"/>
      <c r="AX579" s="18"/>
      <c r="AY579" s="18"/>
      <c r="AZ579" s="18"/>
      <c r="BB579" s="18"/>
      <c r="BC579" s="18"/>
      <c r="BD579" s="18"/>
      <c r="BE579" s="18"/>
      <c r="BF579" s="18"/>
      <c r="BH579" s="18"/>
      <c r="BI579" s="18"/>
      <c r="BJ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  <c r="FC579" s="18"/>
      <c r="FD579" s="18"/>
      <c r="FE579" s="18"/>
      <c r="FF579" s="18"/>
      <c r="FG579" s="18"/>
      <c r="FH579" s="18"/>
      <c r="FI579" s="18"/>
      <c r="FJ579" s="18"/>
      <c r="FK579" s="18"/>
      <c r="FL579" s="18"/>
      <c r="FM579" s="18"/>
      <c r="FN579" s="18"/>
      <c r="FO579" s="18"/>
      <c r="FP579" s="18"/>
      <c r="FQ579" s="18"/>
      <c r="FR579" s="18"/>
      <c r="FS579" s="18"/>
      <c r="FT579" s="18"/>
      <c r="FU579" s="18"/>
      <c r="FV579" s="18"/>
      <c r="FW579" s="18"/>
      <c r="FX579" s="18"/>
      <c r="FY579" s="18"/>
      <c r="FZ579" s="18"/>
      <c r="GA579" s="18"/>
      <c r="GB579" s="18"/>
      <c r="GC579" s="18"/>
      <c r="GD579" s="18"/>
      <c r="GE579" s="18"/>
      <c r="GF579" s="18"/>
      <c r="GG579" s="18"/>
      <c r="GH579" s="18"/>
      <c r="GI579" s="18"/>
      <c r="GJ579" s="18"/>
      <c r="GK579" s="18"/>
      <c r="GL579" s="18"/>
      <c r="GM579" s="18"/>
      <c r="GN579" s="18"/>
      <c r="GO579" s="18"/>
      <c r="GP579" s="18"/>
      <c r="GQ579" s="18"/>
      <c r="GR579" s="18"/>
      <c r="GS579" s="18"/>
      <c r="GT579" s="18"/>
      <c r="GU579" s="18"/>
      <c r="GV579" s="18"/>
      <c r="GW579" s="18"/>
      <c r="GX579" s="18"/>
      <c r="GY579" s="18"/>
      <c r="GZ579" s="18"/>
      <c r="HA579" s="18"/>
      <c r="HB579" s="18"/>
      <c r="HC579" s="18"/>
      <c r="HD579" s="18"/>
      <c r="HE579" s="18"/>
      <c r="HF579" s="18"/>
      <c r="HG579" s="13"/>
      <c r="HH579" s="13"/>
      <c r="HI579" s="13"/>
      <c r="HJ579" s="13"/>
      <c r="HK579" s="13"/>
      <c r="HL579" s="13"/>
      <c r="HM579" s="13"/>
      <c r="HN579" s="13"/>
      <c r="HO579" s="13"/>
      <c r="HP579" s="13"/>
      <c r="HQ579" s="13"/>
      <c r="HR579" s="13"/>
      <c r="HS579" s="13"/>
      <c r="HT579" s="13"/>
      <c r="HV579" s="18"/>
      <c r="HW579" s="18"/>
      <c r="HX579" s="18"/>
      <c r="HY579" s="18"/>
      <c r="HZ579" s="18"/>
      <c r="IA579" s="18"/>
      <c r="IB579" s="18"/>
      <c r="IC579" s="18"/>
      <c r="ID579" s="18"/>
      <c r="IE579" s="18"/>
      <c r="IF579" s="18"/>
      <c r="IG579" s="18"/>
      <c r="IH579" s="18"/>
      <c r="II579" s="18"/>
      <c r="IJ579" s="18"/>
      <c r="IK579" s="18"/>
      <c r="IL579" s="18"/>
      <c r="IM579" s="18"/>
      <c r="IN579" s="18"/>
      <c r="IO579" s="18"/>
      <c r="IP579" s="18"/>
      <c r="IQ579" s="18"/>
      <c r="IR579" s="18"/>
      <c r="IS579" s="18"/>
      <c r="IT579" s="18"/>
      <c r="IU579" s="18"/>
      <c r="IV579" s="18"/>
      <c r="IW579" s="18"/>
      <c r="IX579" s="18"/>
      <c r="IY579" s="18"/>
      <c r="IZ579" s="18"/>
      <c r="JA579" s="18"/>
      <c r="JB579" s="18"/>
      <c r="JC579" s="18"/>
      <c r="JD579" s="18"/>
      <c r="JE579" s="18"/>
      <c r="JF579" s="18"/>
      <c r="JG579" s="18"/>
      <c r="JH579" s="18"/>
      <c r="JI579" s="18"/>
      <c r="JJ579" s="18"/>
      <c r="JK579" s="18"/>
      <c r="JL579" s="18"/>
      <c r="JM579" s="18"/>
      <c r="JN579" s="18"/>
      <c r="JO579" s="18"/>
      <c r="JP579" s="18"/>
      <c r="JQ579" s="18"/>
      <c r="JR579" s="18"/>
      <c r="JS579" s="18"/>
      <c r="JT579" s="18"/>
      <c r="JU579" s="18"/>
      <c r="JV579" s="18"/>
      <c r="JW579" s="18"/>
      <c r="JX579" s="18"/>
      <c r="JY579" s="18"/>
      <c r="JZ579" s="18"/>
      <c r="KA579" s="18"/>
      <c r="KB579" s="18"/>
      <c r="KC579" s="18"/>
      <c r="KD579" s="18"/>
      <c r="KE579" s="18"/>
      <c r="KF579" s="18"/>
      <c r="KG579" s="18"/>
      <c r="KH579" s="18"/>
      <c r="KI579" s="18"/>
      <c r="KJ579" s="18"/>
      <c r="KK579" s="18"/>
      <c r="KL579" s="18"/>
      <c r="KM579" s="18"/>
      <c r="KN579" s="18"/>
      <c r="KO579" s="18"/>
      <c r="KP579" s="18"/>
    </row>
    <row r="580" spans="1:302" ht="15" customHeight="1">
      <c r="A580" s="14"/>
      <c r="B580" s="14"/>
      <c r="C580" s="50"/>
      <c r="D580" s="50"/>
      <c r="E580" s="49"/>
      <c r="F580" s="46"/>
      <c r="G580" s="1"/>
      <c r="H580" s="1"/>
      <c r="I580" s="48"/>
      <c r="J580" s="48"/>
      <c r="L580" s="14"/>
      <c r="P580" s="14"/>
      <c r="AB580" s="14"/>
      <c r="AC580" s="14"/>
      <c r="AG580" s="47"/>
      <c r="AH580" s="44"/>
      <c r="AI580" s="45"/>
      <c r="AJ580" s="44"/>
      <c r="AK580" s="43"/>
      <c r="AS580" s="14"/>
      <c r="AU580" s="18"/>
      <c r="AV580" s="18"/>
      <c r="AW580" s="18"/>
      <c r="AX580" s="18"/>
      <c r="AY580" s="18"/>
      <c r="AZ580" s="18"/>
      <c r="BB580" s="18"/>
      <c r="BC580" s="18"/>
      <c r="BD580" s="18"/>
      <c r="BE580" s="18"/>
      <c r="BF580" s="18"/>
      <c r="BH580" s="18"/>
      <c r="BI580" s="18"/>
      <c r="BJ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  <c r="FC580" s="18"/>
      <c r="FD580" s="18"/>
      <c r="FE580" s="18"/>
      <c r="FF580" s="18"/>
      <c r="FG580" s="18"/>
      <c r="FH580" s="18"/>
      <c r="FI580" s="18"/>
      <c r="FJ580" s="18"/>
      <c r="FK580" s="18"/>
      <c r="FL580" s="18"/>
      <c r="FM580" s="18"/>
      <c r="FN580" s="18"/>
      <c r="FO580" s="18"/>
      <c r="FP580" s="18"/>
      <c r="FQ580" s="18"/>
      <c r="FR580" s="18"/>
      <c r="FS580" s="18"/>
      <c r="FT580" s="18"/>
      <c r="FU580" s="18"/>
      <c r="FV580" s="18"/>
      <c r="FW580" s="18"/>
      <c r="FX580" s="18"/>
      <c r="FY580" s="18"/>
      <c r="FZ580" s="18"/>
      <c r="GA580" s="18"/>
      <c r="GB580" s="18"/>
      <c r="GC580" s="18"/>
      <c r="GD580" s="18"/>
      <c r="GE580" s="18"/>
      <c r="GF580" s="18"/>
      <c r="GG580" s="18"/>
      <c r="GH580" s="18"/>
      <c r="GI580" s="18"/>
      <c r="GJ580" s="18"/>
      <c r="GK580" s="18"/>
      <c r="GL580" s="18"/>
      <c r="GM580" s="18"/>
      <c r="GN580" s="18"/>
      <c r="GO580" s="18"/>
      <c r="GP580" s="18"/>
      <c r="GQ580" s="18"/>
      <c r="GR580" s="18"/>
      <c r="GS580" s="18"/>
      <c r="GT580" s="18"/>
      <c r="GU580" s="18"/>
      <c r="GV580" s="18"/>
      <c r="GW580" s="18"/>
      <c r="GX580" s="18"/>
      <c r="GY580" s="18"/>
      <c r="GZ580" s="18"/>
      <c r="HA580" s="18"/>
      <c r="HB580" s="18"/>
      <c r="HC580" s="18"/>
      <c r="HD580" s="18"/>
      <c r="HE580" s="18"/>
      <c r="HF580" s="18"/>
      <c r="HG580" s="13"/>
      <c r="HH580" s="13"/>
      <c r="HI580" s="13"/>
      <c r="HJ580" s="13"/>
      <c r="HK580" s="13"/>
      <c r="HL580" s="13"/>
      <c r="HM580" s="13"/>
      <c r="HN580" s="13"/>
      <c r="HO580" s="13"/>
      <c r="HP580" s="13"/>
      <c r="HQ580" s="13"/>
      <c r="HR580" s="13"/>
      <c r="HS580" s="13"/>
      <c r="HT580" s="13"/>
      <c r="HV580" s="18"/>
      <c r="HW580" s="18"/>
      <c r="HX580" s="18"/>
      <c r="HY580" s="18"/>
      <c r="HZ580" s="18"/>
      <c r="IA580" s="18"/>
      <c r="IB580" s="18"/>
      <c r="IC580" s="18"/>
      <c r="ID580" s="18"/>
      <c r="IE580" s="18"/>
      <c r="IF580" s="18"/>
      <c r="IG580" s="18"/>
      <c r="IH580" s="18"/>
      <c r="II580" s="18"/>
      <c r="IJ580" s="18"/>
      <c r="IK580" s="18"/>
      <c r="IL580" s="18"/>
      <c r="IM580" s="18"/>
      <c r="IN580" s="18"/>
      <c r="IO580" s="18"/>
      <c r="IP580" s="18"/>
      <c r="IQ580" s="18"/>
      <c r="IR580" s="18"/>
      <c r="IS580" s="18"/>
      <c r="IT580" s="18"/>
      <c r="IU580" s="18"/>
      <c r="IV580" s="18"/>
      <c r="IW580" s="18"/>
      <c r="IX580" s="18"/>
      <c r="IY580" s="18"/>
      <c r="IZ580" s="18"/>
      <c r="JA580" s="18"/>
      <c r="JB580" s="18"/>
      <c r="JC580" s="18"/>
      <c r="JD580" s="18"/>
      <c r="JE580" s="18"/>
      <c r="JF580" s="18"/>
      <c r="JG580" s="18"/>
      <c r="JH580" s="18"/>
      <c r="JI580" s="18"/>
      <c r="JJ580" s="18"/>
      <c r="JK580" s="18"/>
      <c r="JL580" s="18"/>
      <c r="JM580" s="18"/>
      <c r="JN580" s="18"/>
      <c r="JO580" s="18"/>
      <c r="JP580" s="18"/>
      <c r="JQ580" s="18"/>
      <c r="JR580" s="18"/>
      <c r="JS580" s="18"/>
      <c r="JT580" s="18"/>
      <c r="JU580" s="18"/>
      <c r="JV580" s="18"/>
      <c r="JW580" s="18"/>
      <c r="JX580" s="18"/>
      <c r="JY580" s="18"/>
      <c r="JZ580" s="18"/>
      <c r="KA580" s="18"/>
      <c r="KB580" s="18"/>
      <c r="KC580" s="18"/>
      <c r="KD580" s="18"/>
      <c r="KE580" s="18"/>
      <c r="KF580" s="18"/>
      <c r="KG580" s="18"/>
      <c r="KH580" s="18"/>
      <c r="KI580" s="18"/>
      <c r="KJ580" s="18"/>
      <c r="KK580" s="18"/>
      <c r="KL580" s="18"/>
      <c r="KM580" s="18"/>
      <c r="KN580" s="18"/>
      <c r="KO580" s="18"/>
      <c r="KP580" s="18"/>
    </row>
    <row r="581" spans="1:302" ht="15" customHeight="1">
      <c r="A581" s="14"/>
      <c r="B581" s="14"/>
      <c r="C581" s="50"/>
      <c r="D581" s="50"/>
      <c r="E581" s="49"/>
      <c r="F581" s="46"/>
      <c r="G581" s="1"/>
      <c r="H581" s="1"/>
      <c r="I581" s="48"/>
      <c r="J581" s="48"/>
      <c r="L581" s="14"/>
      <c r="P581" s="14"/>
      <c r="AB581" s="14"/>
      <c r="AC581" s="14"/>
      <c r="AG581" s="47"/>
      <c r="AH581" s="44"/>
      <c r="AI581" s="45"/>
      <c r="AJ581" s="44"/>
      <c r="AK581" s="43"/>
      <c r="AS581" s="14"/>
      <c r="AU581" s="18"/>
      <c r="AV581" s="18"/>
      <c r="AW581" s="18"/>
      <c r="AX581" s="18"/>
      <c r="AY581" s="18"/>
      <c r="AZ581" s="18"/>
      <c r="BB581" s="18"/>
      <c r="BC581" s="18"/>
      <c r="BD581" s="18"/>
      <c r="BE581" s="18"/>
      <c r="BF581" s="18"/>
      <c r="BH581" s="18"/>
      <c r="BI581" s="18"/>
      <c r="BJ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  <c r="FC581" s="18"/>
      <c r="FD581" s="18"/>
      <c r="FE581" s="18"/>
      <c r="FF581" s="18"/>
      <c r="FG581" s="18"/>
      <c r="FH581" s="18"/>
      <c r="FI581" s="18"/>
      <c r="FJ581" s="18"/>
      <c r="FK581" s="18"/>
      <c r="FL581" s="18"/>
      <c r="FM581" s="18"/>
      <c r="FN581" s="18"/>
      <c r="FO581" s="18"/>
      <c r="FP581" s="18"/>
      <c r="FQ581" s="18"/>
      <c r="FR581" s="18"/>
      <c r="FS581" s="18"/>
      <c r="FT581" s="18"/>
      <c r="FU581" s="18"/>
      <c r="FV581" s="18"/>
      <c r="FW581" s="18"/>
      <c r="FX581" s="18"/>
      <c r="FY581" s="18"/>
      <c r="FZ581" s="18"/>
      <c r="GA581" s="18"/>
      <c r="GB581" s="18"/>
      <c r="GC581" s="18"/>
      <c r="GD581" s="18"/>
      <c r="GE581" s="18"/>
      <c r="GF581" s="18"/>
      <c r="GG581" s="18"/>
      <c r="GH581" s="18"/>
      <c r="GI581" s="18"/>
      <c r="GJ581" s="18"/>
      <c r="GK581" s="18"/>
      <c r="GL581" s="18"/>
      <c r="GM581" s="18"/>
      <c r="GN581" s="18"/>
      <c r="GO581" s="18"/>
      <c r="GP581" s="18"/>
      <c r="GQ581" s="18"/>
      <c r="GR581" s="18"/>
      <c r="GS581" s="18"/>
      <c r="GT581" s="18"/>
      <c r="GU581" s="18"/>
      <c r="GV581" s="18"/>
      <c r="GW581" s="18"/>
      <c r="GX581" s="18"/>
      <c r="GY581" s="18"/>
      <c r="GZ581" s="18"/>
      <c r="HA581" s="18"/>
      <c r="HB581" s="18"/>
      <c r="HC581" s="18"/>
      <c r="HD581" s="18"/>
      <c r="HE581" s="18"/>
      <c r="HF581" s="18"/>
      <c r="HG581" s="13"/>
      <c r="HH581" s="13"/>
      <c r="HI581" s="13"/>
      <c r="HJ581" s="13"/>
      <c r="HK581" s="13"/>
      <c r="HL581" s="13"/>
      <c r="HM581" s="13"/>
      <c r="HN581" s="13"/>
      <c r="HO581" s="13"/>
      <c r="HP581" s="13"/>
      <c r="HQ581" s="13"/>
      <c r="HR581" s="13"/>
      <c r="HS581" s="13"/>
      <c r="HT581" s="13"/>
      <c r="HV581" s="18"/>
      <c r="HW581" s="18"/>
      <c r="HX581" s="18"/>
      <c r="HY581" s="18"/>
      <c r="HZ581" s="18"/>
      <c r="IA581" s="18"/>
      <c r="IB581" s="18"/>
      <c r="IC581" s="18"/>
      <c r="ID581" s="18"/>
      <c r="IE581" s="18"/>
      <c r="IF581" s="18"/>
      <c r="IG581" s="18"/>
      <c r="IH581" s="18"/>
      <c r="II581" s="18"/>
      <c r="IJ581" s="18"/>
      <c r="IK581" s="18"/>
      <c r="IL581" s="18"/>
      <c r="IM581" s="18"/>
      <c r="IN581" s="18"/>
      <c r="IO581" s="18"/>
      <c r="IP581" s="18"/>
      <c r="IQ581" s="18"/>
      <c r="IR581" s="18"/>
      <c r="IS581" s="18"/>
      <c r="IT581" s="18"/>
      <c r="IU581" s="18"/>
      <c r="IV581" s="18"/>
      <c r="IW581" s="18"/>
      <c r="IX581" s="18"/>
      <c r="IY581" s="18"/>
      <c r="IZ581" s="18"/>
      <c r="JA581" s="18"/>
      <c r="JB581" s="18"/>
      <c r="JC581" s="18"/>
      <c r="JD581" s="18"/>
      <c r="JE581" s="18"/>
      <c r="JF581" s="18"/>
      <c r="JG581" s="18"/>
      <c r="JH581" s="18"/>
      <c r="JI581" s="18"/>
      <c r="JJ581" s="18"/>
      <c r="JK581" s="18"/>
      <c r="JL581" s="18"/>
      <c r="JM581" s="18"/>
      <c r="JN581" s="18"/>
      <c r="JO581" s="18"/>
      <c r="JP581" s="18"/>
      <c r="JQ581" s="18"/>
      <c r="JR581" s="18"/>
      <c r="JS581" s="18"/>
      <c r="JT581" s="18"/>
      <c r="JU581" s="18"/>
      <c r="JV581" s="18"/>
      <c r="JW581" s="18"/>
      <c r="JX581" s="18"/>
      <c r="JY581" s="18"/>
      <c r="JZ581" s="18"/>
      <c r="KA581" s="18"/>
      <c r="KB581" s="18"/>
      <c r="KC581" s="18"/>
      <c r="KD581" s="18"/>
      <c r="KE581" s="18"/>
      <c r="KF581" s="18"/>
      <c r="KG581" s="18"/>
      <c r="KH581" s="18"/>
      <c r="KI581" s="18"/>
      <c r="KJ581" s="18"/>
      <c r="KK581" s="18"/>
      <c r="KL581" s="18"/>
      <c r="KM581" s="18"/>
      <c r="KN581" s="18"/>
      <c r="KO581" s="18"/>
      <c r="KP581" s="18"/>
    </row>
    <row r="582" spans="1:302" ht="15" customHeight="1">
      <c r="A582" s="14"/>
      <c r="B582" s="14"/>
      <c r="C582" s="50"/>
      <c r="D582" s="50"/>
      <c r="E582" s="49"/>
      <c r="F582" s="46"/>
      <c r="I582" s="48"/>
      <c r="J582" s="48"/>
      <c r="L582" s="14"/>
      <c r="P582" s="14"/>
      <c r="AB582" s="14"/>
      <c r="AC582" s="14"/>
      <c r="AG582" s="47"/>
      <c r="AH582" s="44"/>
      <c r="AI582" s="45"/>
      <c r="AJ582" s="44"/>
      <c r="AK582" s="43"/>
      <c r="AS582" s="14"/>
      <c r="AU582" s="18"/>
      <c r="AV582" s="18"/>
      <c r="AW582" s="18"/>
      <c r="AX582" s="18"/>
      <c r="AY582" s="18"/>
      <c r="AZ582" s="18"/>
      <c r="BB582" s="18"/>
      <c r="BC582" s="18"/>
      <c r="BD582" s="18"/>
      <c r="BE582" s="18"/>
      <c r="BF582" s="18"/>
      <c r="BH582" s="18"/>
      <c r="BI582" s="18"/>
      <c r="BJ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  <c r="FR582" s="18"/>
      <c r="FS582" s="18"/>
      <c r="FT582" s="18"/>
      <c r="FU582" s="18"/>
      <c r="FV582" s="18"/>
      <c r="FW582" s="18"/>
      <c r="FX582" s="18"/>
      <c r="FY582" s="18"/>
      <c r="FZ582" s="18"/>
      <c r="GA582" s="18"/>
      <c r="GB582" s="18"/>
      <c r="GC582" s="18"/>
      <c r="GD582" s="18"/>
      <c r="GE582" s="18"/>
      <c r="GF582" s="18"/>
      <c r="GG582" s="18"/>
      <c r="GH582" s="18"/>
      <c r="GI582" s="18"/>
      <c r="GJ582" s="18"/>
      <c r="GK582" s="18"/>
      <c r="GL582" s="18"/>
      <c r="GM582" s="18"/>
      <c r="GN582" s="18"/>
      <c r="GO582" s="18"/>
      <c r="GP582" s="18"/>
      <c r="GQ582" s="18"/>
      <c r="GR582" s="18"/>
      <c r="GS582" s="18"/>
      <c r="GT582" s="18"/>
      <c r="GU582" s="18"/>
      <c r="GV582" s="18"/>
      <c r="GW582" s="18"/>
      <c r="GX582" s="18"/>
      <c r="GY582" s="18"/>
      <c r="GZ582" s="18"/>
      <c r="HA582" s="18"/>
      <c r="HB582" s="18"/>
      <c r="HC582" s="18"/>
      <c r="HD582" s="18"/>
      <c r="HE582" s="18"/>
      <c r="HF582" s="18"/>
      <c r="HG582" s="13"/>
      <c r="HH582" s="13"/>
      <c r="HI582" s="13"/>
      <c r="HJ582" s="13"/>
      <c r="HK582" s="13"/>
      <c r="HL582" s="13"/>
      <c r="HM582" s="13"/>
      <c r="HN582" s="13"/>
      <c r="HO582" s="13"/>
      <c r="HP582" s="13"/>
      <c r="HQ582" s="13"/>
      <c r="HR582" s="13"/>
      <c r="HS582" s="13"/>
      <c r="HT582" s="13"/>
      <c r="HV582" s="18"/>
      <c r="HW582" s="18"/>
      <c r="HX582" s="18"/>
      <c r="HY582" s="18"/>
      <c r="HZ582" s="18"/>
      <c r="IA582" s="18"/>
      <c r="IB582" s="18"/>
      <c r="IC582" s="18"/>
      <c r="ID582" s="18"/>
      <c r="IE582" s="18"/>
      <c r="IF582" s="18"/>
      <c r="IG582" s="18"/>
      <c r="IH582" s="18"/>
      <c r="II582" s="18"/>
      <c r="IJ582" s="18"/>
      <c r="IK582" s="18"/>
      <c r="IL582" s="18"/>
      <c r="IM582" s="18"/>
      <c r="IN582" s="18"/>
      <c r="IO582" s="18"/>
      <c r="IP582" s="18"/>
      <c r="IQ582" s="18"/>
      <c r="IR582" s="18"/>
      <c r="IS582" s="18"/>
      <c r="IT582" s="18"/>
      <c r="IU582" s="18"/>
      <c r="IV582" s="18"/>
      <c r="IW582" s="18"/>
      <c r="IX582" s="18"/>
      <c r="IY582" s="18"/>
      <c r="IZ582" s="18"/>
      <c r="JA582" s="18"/>
      <c r="JB582" s="18"/>
      <c r="JC582" s="18"/>
      <c r="JD582" s="18"/>
      <c r="JE582" s="18"/>
      <c r="JF582" s="18"/>
      <c r="JG582" s="18"/>
      <c r="JH582" s="18"/>
      <c r="JI582" s="18"/>
      <c r="JJ582" s="18"/>
      <c r="JK582" s="18"/>
      <c r="JL582" s="18"/>
      <c r="JM582" s="18"/>
      <c r="JN582" s="18"/>
      <c r="JO582" s="18"/>
      <c r="JP582" s="18"/>
      <c r="JQ582" s="18"/>
      <c r="JR582" s="18"/>
      <c r="JS582" s="18"/>
      <c r="JT582" s="18"/>
      <c r="JU582" s="18"/>
      <c r="JV582" s="18"/>
      <c r="JW582" s="18"/>
      <c r="JX582" s="18"/>
      <c r="JY582" s="18"/>
      <c r="JZ582" s="18"/>
      <c r="KA582" s="18"/>
      <c r="KB582" s="18"/>
      <c r="KC582" s="18"/>
      <c r="KD582" s="18"/>
      <c r="KE582" s="18"/>
      <c r="KF582" s="18"/>
      <c r="KG582" s="18"/>
      <c r="KH582" s="18"/>
      <c r="KI582" s="18"/>
      <c r="KJ582" s="18"/>
      <c r="KK582" s="18"/>
      <c r="KL582" s="18"/>
      <c r="KM582" s="18"/>
      <c r="KN582" s="18"/>
      <c r="KO582" s="18"/>
      <c r="KP582" s="18"/>
    </row>
    <row r="583" spans="1:302" ht="15" customHeight="1">
      <c r="A583" s="14"/>
      <c r="B583" s="14"/>
      <c r="C583" s="50"/>
      <c r="D583" s="50"/>
      <c r="E583" s="49"/>
      <c r="F583" s="46"/>
      <c r="G583" s="1"/>
      <c r="H583" s="1"/>
      <c r="I583" s="48"/>
      <c r="J583" s="48"/>
      <c r="L583" s="14"/>
      <c r="P583" s="14"/>
      <c r="AB583" s="14"/>
      <c r="AC583" s="14"/>
      <c r="AG583" s="47"/>
      <c r="AH583" s="44"/>
      <c r="AI583" s="45"/>
      <c r="AJ583" s="44"/>
      <c r="AK583" s="43"/>
      <c r="AS583" s="14"/>
      <c r="AU583" s="18"/>
      <c r="AV583" s="18"/>
      <c r="AW583" s="18"/>
      <c r="AX583" s="18"/>
      <c r="AY583" s="18"/>
      <c r="AZ583" s="18"/>
      <c r="BB583" s="18"/>
      <c r="BC583" s="18"/>
      <c r="BD583" s="18"/>
      <c r="BE583" s="18"/>
      <c r="BF583" s="18"/>
      <c r="BH583" s="18"/>
      <c r="BI583" s="18"/>
      <c r="BJ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  <c r="FC583" s="18"/>
      <c r="FD583" s="18"/>
      <c r="FE583" s="18"/>
      <c r="FF583" s="18"/>
      <c r="FG583" s="18"/>
      <c r="FH583" s="18"/>
      <c r="FI583" s="18"/>
      <c r="FJ583" s="18"/>
      <c r="FK583" s="18"/>
      <c r="FL583" s="18"/>
      <c r="FM583" s="18"/>
      <c r="FN583" s="18"/>
      <c r="FO583" s="18"/>
      <c r="FP583" s="18"/>
      <c r="FQ583" s="18"/>
      <c r="FR583" s="18"/>
      <c r="FS583" s="18"/>
      <c r="FT583" s="18"/>
      <c r="FU583" s="18"/>
      <c r="FV583" s="18"/>
      <c r="FW583" s="18"/>
      <c r="FX583" s="18"/>
      <c r="FY583" s="18"/>
      <c r="FZ583" s="18"/>
      <c r="GA583" s="18"/>
      <c r="GB583" s="18"/>
      <c r="GC583" s="18"/>
      <c r="GD583" s="18"/>
      <c r="GE583" s="18"/>
      <c r="GF583" s="18"/>
      <c r="GG583" s="18"/>
      <c r="GH583" s="18"/>
      <c r="GI583" s="18"/>
      <c r="GJ583" s="18"/>
      <c r="GK583" s="18"/>
      <c r="GL583" s="18"/>
      <c r="GM583" s="18"/>
      <c r="GN583" s="18"/>
      <c r="GO583" s="18"/>
      <c r="GP583" s="18"/>
      <c r="GQ583" s="18"/>
      <c r="GR583" s="18"/>
      <c r="GS583" s="18"/>
      <c r="GT583" s="18"/>
      <c r="GU583" s="18"/>
      <c r="GV583" s="18"/>
      <c r="GW583" s="18"/>
      <c r="GX583" s="18"/>
      <c r="GY583" s="18"/>
      <c r="GZ583" s="18"/>
      <c r="HA583" s="18"/>
      <c r="HB583" s="18"/>
      <c r="HC583" s="18"/>
      <c r="HD583" s="18"/>
      <c r="HE583" s="18"/>
      <c r="HF583" s="18"/>
      <c r="HG583" s="13"/>
      <c r="HH583" s="13"/>
      <c r="HI583" s="13"/>
      <c r="HJ583" s="13"/>
      <c r="HK583" s="13"/>
      <c r="HL583" s="13"/>
      <c r="HM583" s="13"/>
      <c r="HN583" s="13"/>
      <c r="HO583" s="13"/>
      <c r="HP583" s="13"/>
      <c r="HQ583" s="13"/>
      <c r="HR583" s="13"/>
      <c r="HS583" s="13"/>
      <c r="HT583" s="13"/>
      <c r="HV583" s="18"/>
      <c r="HW583" s="18"/>
      <c r="HX583" s="18"/>
      <c r="HY583" s="18"/>
      <c r="HZ583" s="18"/>
      <c r="IA583" s="18"/>
      <c r="IB583" s="18"/>
      <c r="IC583" s="18"/>
      <c r="ID583" s="18"/>
      <c r="IE583" s="18"/>
      <c r="IF583" s="18"/>
      <c r="IG583" s="18"/>
      <c r="IH583" s="18"/>
      <c r="II583" s="18"/>
      <c r="IJ583" s="18"/>
      <c r="IK583" s="18"/>
      <c r="IL583" s="18"/>
      <c r="IM583" s="18"/>
      <c r="IN583" s="18"/>
      <c r="IO583" s="18"/>
      <c r="IP583" s="18"/>
      <c r="IQ583" s="18"/>
      <c r="IR583" s="18"/>
      <c r="IS583" s="18"/>
      <c r="IT583" s="18"/>
      <c r="IU583" s="18"/>
      <c r="IV583" s="18"/>
      <c r="IW583" s="18"/>
      <c r="IX583" s="18"/>
      <c r="IY583" s="18"/>
      <c r="IZ583" s="18"/>
      <c r="JA583" s="18"/>
      <c r="JB583" s="18"/>
      <c r="JC583" s="18"/>
      <c r="JD583" s="18"/>
      <c r="JE583" s="18"/>
      <c r="JF583" s="18"/>
      <c r="JG583" s="18"/>
      <c r="JH583" s="18"/>
      <c r="JI583" s="18"/>
      <c r="JJ583" s="18"/>
      <c r="JK583" s="18"/>
      <c r="JL583" s="18"/>
      <c r="JM583" s="18"/>
      <c r="JN583" s="18"/>
      <c r="JO583" s="18"/>
      <c r="JP583" s="18"/>
      <c r="JQ583" s="18"/>
      <c r="JR583" s="18"/>
      <c r="JS583" s="18"/>
      <c r="JT583" s="18"/>
      <c r="JU583" s="18"/>
      <c r="JV583" s="18"/>
      <c r="JW583" s="18"/>
      <c r="JX583" s="18"/>
      <c r="JY583" s="18"/>
      <c r="JZ583" s="18"/>
      <c r="KA583" s="18"/>
      <c r="KB583" s="18"/>
      <c r="KC583" s="18"/>
      <c r="KD583" s="18"/>
      <c r="KE583" s="18"/>
      <c r="KF583" s="18"/>
      <c r="KG583" s="18"/>
      <c r="KH583" s="18"/>
      <c r="KI583" s="18"/>
      <c r="KJ583" s="18"/>
      <c r="KK583" s="18"/>
      <c r="KL583" s="18"/>
      <c r="KM583" s="18"/>
      <c r="KN583" s="18"/>
      <c r="KO583" s="18"/>
      <c r="KP583" s="18"/>
    </row>
    <row r="584" spans="1:302" ht="15" customHeight="1">
      <c r="A584" s="14"/>
      <c r="B584" s="14"/>
      <c r="C584" s="50"/>
      <c r="D584" s="50"/>
      <c r="E584" s="49"/>
      <c r="F584" s="46"/>
      <c r="G584" s="46"/>
      <c r="H584" s="46"/>
      <c r="I584" s="48"/>
      <c r="J584" s="48"/>
      <c r="L584" s="14"/>
      <c r="P584" s="14"/>
      <c r="AB584" s="14"/>
      <c r="AC584" s="14"/>
      <c r="AG584" s="47"/>
      <c r="AH584" s="44"/>
      <c r="AI584" s="45"/>
      <c r="AJ584" s="44"/>
      <c r="AK584" s="43"/>
      <c r="AS584" s="14"/>
      <c r="AU584" s="18"/>
      <c r="AV584" s="18"/>
      <c r="AW584" s="18"/>
      <c r="AX584" s="18"/>
      <c r="AY584" s="18"/>
      <c r="AZ584" s="18"/>
      <c r="BB584" s="18"/>
      <c r="BC584" s="18"/>
      <c r="BD584" s="18"/>
      <c r="BE584" s="18"/>
      <c r="BF584" s="18"/>
      <c r="BH584" s="18"/>
      <c r="BI584" s="18"/>
      <c r="BJ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  <c r="FR584" s="18"/>
      <c r="FS584" s="18"/>
      <c r="FT584" s="18"/>
      <c r="FU584" s="18"/>
      <c r="FV584" s="18"/>
      <c r="FW584" s="18"/>
      <c r="FX584" s="18"/>
      <c r="FY584" s="18"/>
      <c r="FZ584" s="18"/>
      <c r="GA584" s="18"/>
      <c r="GB584" s="18"/>
      <c r="GC584" s="18"/>
      <c r="GD584" s="18"/>
      <c r="GE584" s="18"/>
      <c r="GF584" s="18"/>
      <c r="GG584" s="18"/>
      <c r="GH584" s="18"/>
      <c r="GI584" s="18"/>
      <c r="GJ584" s="18"/>
      <c r="GK584" s="18"/>
      <c r="GL584" s="18"/>
      <c r="GM584" s="18"/>
      <c r="GN584" s="18"/>
      <c r="GO584" s="18"/>
      <c r="GP584" s="18"/>
      <c r="GQ584" s="18"/>
      <c r="GR584" s="18"/>
      <c r="GS584" s="18"/>
      <c r="GT584" s="18"/>
      <c r="GU584" s="18"/>
      <c r="GV584" s="18"/>
      <c r="GW584" s="18"/>
      <c r="GX584" s="18"/>
      <c r="GY584" s="18"/>
      <c r="GZ584" s="18"/>
      <c r="HA584" s="18"/>
      <c r="HB584" s="18"/>
      <c r="HC584" s="18"/>
      <c r="HD584" s="18"/>
      <c r="HE584" s="18"/>
      <c r="HF584" s="18"/>
      <c r="HG584" s="13"/>
      <c r="HH584" s="13"/>
      <c r="HI584" s="13"/>
      <c r="HJ584" s="13"/>
      <c r="HK584" s="13"/>
      <c r="HL584" s="13"/>
      <c r="HM584" s="13"/>
      <c r="HN584" s="13"/>
      <c r="HO584" s="13"/>
      <c r="HP584" s="13"/>
      <c r="HQ584" s="13"/>
      <c r="HR584" s="13"/>
      <c r="HS584" s="13"/>
      <c r="HT584" s="13"/>
      <c r="HV584" s="18"/>
      <c r="HW584" s="18"/>
      <c r="HX584" s="18"/>
      <c r="HY584" s="18"/>
      <c r="HZ584" s="18"/>
      <c r="IA584" s="18"/>
      <c r="IB584" s="18"/>
      <c r="IC584" s="18"/>
      <c r="ID584" s="18"/>
      <c r="IE584" s="18"/>
      <c r="IF584" s="18"/>
      <c r="IG584" s="18"/>
      <c r="IH584" s="18"/>
      <c r="II584" s="18"/>
      <c r="IJ584" s="18"/>
      <c r="IK584" s="18"/>
      <c r="IL584" s="18"/>
      <c r="IM584" s="18"/>
      <c r="IN584" s="18"/>
      <c r="IO584" s="18"/>
      <c r="IP584" s="18"/>
      <c r="IQ584" s="18"/>
      <c r="IR584" s="18"/>
      <c r="IS584" s="18"/>
      <c r="IT584" s="18"/>
      <c r="IU584" s="18"/>
      <c r="IV584" s="18"/>
      <c r="IW584" s="18"/>
      <c r="IX584" s="18"/>
      <c r="IY584" s="18"/>
      <c r="IZ584" s="18"/>
      <c r="JA584" s="18"/>
      <c r="JB584" s="18"/>
      <c r="JC584" s="18"/>
      <c r="JD584" s="18"/>
      <c r="JE584" s="18"/>
      <c r="JF584" s="18"/>
      <c r="JG584" s="18"/>
      <c r="JH584" s="18"/>
      <c r="JI584" s="18"/>
      <c r="JJ584" s="18"/>
      <c r="JK584" s="18"/>
      <c r="JL584" s="18"/>
      <c r="JM584" s="18"/>
      <c r="JN584" s="18"/>
      <c r="JO584" s="18"/>
      <c r="JP584" s="18"/>
      <c r="JQ584" s="18"/>
      <c r="JR584" s="18"/>
      <c r="JS584" s="18"/>
      <c r="JT584" s="18"/>
      <c r="JU584" s="18"/>
      <c r="JV584" s="18"/>
      <c r="JW584" s="18"/>
      <c r="JX584" s="18"/>
      <c r="JY584" s="18"/>
      <c r="JZ584" s="18"/>
      <c r="KA584" s="18"/>
      <c r="KB584" s="18"/>
      <c r="KC584" s="18"/>
      <c r="KD584" s="18"/>
      <c r="KE584" s="18"/>
      <c r="KF584" s="18"/>
      <c r="KG584" s="18"/>
      <c r="KH584" s="18"/>
      <c r="KI584" s="18"/>
      <c r="KJ584" s="18"/>
      <c r="KK584" s="18"/>
      <c r="KL584" s="18"/>
      <c r="KM584" s="18"/>
      <c r="KN584" s="18"/>
      <c r="KO584" s="18"/>
      <c r="KP584" s="18"/>
    </row>
    <row r="585" spans="1:302" ht="15" customHeight="1">
      <c r="A585" s="14"/>
      <c r="B585" s="14"/>
      <c r="C585" s="50"/>
      <c r="D585" s="50"/>
      <c r="E585" s="49"/>
      <c r="F585" s="46"/>
      <c r="G585" s="46"/>
      <c r="H585" s="46"/>
      <c r="I585" s="48"/>
      <c r="J585" s="48"/>
      <c r="L585" s="14"/>
      <c r="P585" s="14"/>
      <c r="AB585" s="14"/>
      <c r="AC585" s="14"/>
      <c r="AG585" s="47"/>
      <c r="AH585" s="44"/>
      <c r="AI585" s="45"/>
      <c r="AJ585" s="44"/>
      <c r="AK585" s="43"/>
      <c r="AS585" s="14"/>
      <c r="AU585" s="18"/>
      <c r="AV585" s="18"/>
      <c r="AW585" s="18"/>
      <c r="AX585" s="18"/>
      <c r="AY585" s="18"/>
      <c r="AZ585" s="18"/>
      <c r="BB585" s="18"/>
      <c r="BC585" s="18"/>
      <c r="BD585" s="18"/>
      <c r="BE585" s="18"/>
      <c r="BF585" s="18"/>
      <c r="BH585" s="18"/>
      <c r="BI585" s="18"/>
      <c r="BJ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  <c r="FR585" s="18"/>
      <c r="FS585" s="18"/>
      <c r="FT585" s="18"/>
      <c r="FU585" s="18"/>
      <c r="FV585" s="18"/>
      <c r="FW585" s="18"/>
      <c r="FX585" s="18"/>
      <c r="FY585" s="18"/>
      <c r="FZ585" s="18"/>
      <c r="GA585" s="18"/>
      <c r="GB585" s="18"/>
      <c r="GC585" s="18"/>
      <c r="GD585" s="18"/>
      <c r="GE585" s="18"/>
      <c r="GF585" s="18"/>
      <c r="GG585" s="18"/>
      <c r="GH585" s="18"/>
      <c r="GI585" s="18"/>
      <c r="GJ585" s="18"/>
      <c r="GK585" s="18"/>
      <c r="GL585" s="18"/>
      <c r="GM585" s="18"/>
      <c r="GN585" s="18"/>
      <c r="GO585" s="18"/>
      <c r="GP585" s="18"/>
      <c r="GQ585" s="18"/>
      <c r="GR585" s="18"/>
      <c r="GS585" s="18"/>
      <c r="GT585" s="18"/>
      <c r="GU585" s="18"/>
      <c r="GV585" s="18"/>
      <c r="GW585" s="18"/>
      <c r="GX585" s="18"/>
      <c r="GY585" s="18"/>
      <c r="GZ585" s="18"/>
      <c r="HA585" s="18"/>
      <c r="HB585" s="18"/>
      <c r="HC585" s="18"/>
      <c r="HD585" s="18"/>
      <c r="HE585" s="18"/>
      <c r="HF585" s="18"/>
      <c r="HG585" s="13"/>
      <c r="HH585" s="13"/>
      <c r="HI585" s="13"/>
      <c r="HJ585" s="13"/>
      <c r="HK585" s="13"/>
      <c r="HL585" s="13"/>
      <c r="HM585" s="13"/>
      <c r="HN585" s="13"/>
      <c r="HO585" s="13"/>
      <c r="HP585" s="13"/>
      <c r="HQ585" s="13"/>
      <c r="HR585" s="13"/>
      <c r="HS585" s="13"/>
      <c r="HT585" s="13"/>
      <c r="HV585" s="18"/>
      <c r="HW585" s="18"/>
      <c r="HX585" s="18"/>
      <c r="HY585" s="18"/>
      <c r="HZ585" s="18"/>
      <c r="IA585" s="18"/>
      <c r="IB585" s="18"/>
      <c r="IC585" s="18"/>
      <c r="ID585" s="18"/>
      <c r="IE585" s="18"/>
      <c r="IF585" s="18"/>
      <c r="IG585" s="18"/>
      <c r="IH585" s="18"/>
      <c r="II585" s="18"/>
      <c r="IJ585" s="18"/>
      <c r="IK585" s="18"/>
      <c r="IL585" s="18"/>
      <c r="IM585" s="18"/>
      <c r="IN585" s="18"/>
      <c r="IO585" s="18"/>
      <c r="IP585" s="18"/>
      <c r="IQ585" s="18"/>
      <c r="IR585" s="18"/>
      <c r="IS585" s="18"/>
      <c r="IT585" s="18"/>
      <c r="IU585" s="18"/>
      <c r="IV585" s="18"/>
      <c r="IW585" s="18"/>
      <c r="IX585" s="18"/>
      <c r="IY585" s="18"/>
      <c r="IZ585" s="18"/>
      <c r="JA585" s="18"/>
      <c r="JB585" s="18"/>
      <c r="JC585" s="18"/>
      <c r="JD585" s="18"/>
      <c r="JE585" s="18"/>
      <c r="JF585" s="18"/>
      <c r="JG585" s="18"/>
      <c r="JH585" s="18"/>
      <c r="JI585" s="18"/>
      <c r="JJ585" s="18"/>
      <c r="JK585" s="18"/>
      <c r="JL585" s="18"/>
      <c r="JM585" s="18"/>
      <c r="JN585" s="18"/>
      <c r="JO585" s="18"/>
      <c r="JP585" s="18"/>
      <c r="JQ585" s="18"/>
      <c r="JR585" s="18"/>
      <c r="JS585" s="18"/>
      <c r="JT585" s="18"/>
      <c r="JU585" s="18"/>
      <c r="JV585" s="18"/>
      <c r="JW585" s="18"/>
      <c r="JX585" s="18"/>
      <c r="JY585" s="18"/>
      <c r="JZ585" s="18"/>
      <c r="KA585" s="18"/>
      <c r="KB585" s="18"/>
      <c r="KC585" s="18"/>
      <c r="KD585" s="18"/>
      <c r="KE585" s="18"/>
      <c r="KF585" s="18"/>
      <c r="KG585" s="18"/>
      <c r="KH585" s="18"/>
      <c r="KI585" s="18"/>
      <c r="KJ585" s="18"/>
      <c r="KK585" s="18"/>
      <c r="KL585" s="18"/>
      <c r="KM585" s="18"/>
      <c r="KN585" s="18"/>
      <c r="KO585" s="18"/>
      <c r="KP585" s="18"/>
    </row>
    <row r="586" spans="1:302" ht="15" customHeight="1">
      <c r="A586" s="14"/>
      <c r="B586" s="14"/>
      <c r="C586" s="50"/>
      <c r="D586" s="50"/>
      <c r="E586" s="49"/>
      <c r="F586" s="46"/>
      <c r="G586" s="46"/>
      <c r="H586" s="46"/>
      <c r="I586" s="48"/>
      <c r="J586" s="48"/>
      <c r="L586" s="14"/>
      <c r="P586" s="14"/>
      <c r="AB586" s="14"/>
      <c r="AC586" s="14"/>
      <c r="AG586" s="47"/>
      <c r="AH586" s="44"/>
      <c r="AI586" s="45"/>
      <c r="AJ586" s="44"/>
      <c r="AK586" s="43"/>
      <c r="AS586" s="14"/>
      <c r="AU586" s="18"/>
      <c r="AV586" s="18"/>
      <c r="AW586" s="18"/>
      <c r="AX586" s="18"/>
      <c r="AY586" s="18"/>
      <c r="AZ586" s="18"/>
      <c r="BB586" s="18"/>
      <c r="BC586" s="18"/>
      <c r="BD586" s="18"/>
      <c r="BE586" s="18"/>
      <c r="BF586" s="18"/>
      <c r="BH586" s="18"/>
      <c r="BI586" s="18"/>
      <c r="BJ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  <c r="FC586" s="18"/>
      <c r="FD586" s="18"/>
      <c r="FE586" s="18"/>
      <c r="FF586" s="18"/>
      <c r="FG586" s="18"/>
      <c r="FH586" s="18"/>
      <c r="FI586" s="18"/>
      <c r="FJ586" s="18"/>
      <c r="FK586" s="18"/>
      <c r="FL586" s="18"/>
      <c r="FM586" s="18"/>
      <c r="FN586" s="18"/>
      <c r="FO586" s="18"/>
      <c r="FP586" s="18"/>
      <c r="FQ586" s="18"/>
      <c r="FR586" s="18"/>
      <c r="FS586" s="18"/>
      <c r="FT586" s="18"/>
      <c r="FU586" s="18"/>
      <c r="FV586" s="18"/>
      <c r="FW586" s="18"/>
      <c r="FX586" s="18"/>
      <c r="FY586" s="18"/>
      <c r="FZ586" s="18"/>
      <c r="GA586" s="18"/>
      <c r="GB586" s="18"/>
      <c r="GC586" s="18"/>
      <c r="GD586" s="18"/>
      <c r="GE586" s="18"/>
      <c r="GF586" s="18"/>
      <c r="GG586" s="18"/>
      <c r="GH586" s="18"/>
      <c r="GI586" s="18"/>
      <c r="GJ586" s="18"/>
      <c r="GK586" s="18"/>
      <c r="GL586" s="18"/>
      <c r="GM586" s="18"/>
      <c r="GN586" s="18"/>
      <c r="GO586" s="18"/>
      <c r="GP586" s="18"/>
      <c r="GQ586" s="18"/>
      <c r="GR586" s="18"/>
      <c r="GS586" s="18"/>
      <c r="GT586" s="18"/>
      <c r="GU586" s="18"/>
      <c r="GV586" s="18"/>
      <c r="GW586" s="18"/>
      <c r="GX586" s="18"/>
      <c r="GY586" s="18"/>
      <c r="GZ586" s="18"/>
      <c r="HA586" s="18"/>
      <c r="HB586" s="18"/>
      <c r="HC586" s="18"/>
      <c r="HD586" s="18"/>
      <c r="HE586" s="18"/>
      <c r="HF586" s="18"/>
      <c r="HG586" s="13"/>
      <c r="HH586" s="13"/>
      <c r="HI586" s="13"/>
      <c r="HJ586" s="13"/>
      <c r="HK586" s="13"/>
      <c r="HL586" s="13"/>
      <c r="HM586" s="13"/>
      <c r="HN586" s="13"/>
      <c r="HO586" s="13"/>
      <c r="HP586" s="13"/>
      <c r="HQ586" s="13"/>
      <c r="HR586" s="13"/>
      <c r="HS586" s="13"/>
      <c r="HT586" s="13"/>
      <c r="HV586" s="18"/>
      <c r="HW586" s="18"/>
      <c r="HX586" s="18"/>
      <c r="HY586" s="18"/>
      <c r="HZ586" s="18"/>
      <c r="IA586" s="18"/>
      <c r="IB586" s="18"/>
      <c r="IC586" s="18"/>
      <c r="ID586" s="18"/>
      <c r="IE586" s="18"/>
      <c r="IF586" s="18"/>
      <c r="IG586" s="18"/>
      <c r="IH586" s="18"/>
      <c r="II586" s="18"/>
      <c r="IJ586" s="18"/>
      <c r="IK586" s="18"/>
      <c r="IL586" s="18"/>
      <c r="IM586" s="18"/>
      <c r="IN586" s="18"/>
      <c r="IO586" s="18"/>
      <c r="IP586" s="18"/>
      <c r="IQ586" s="18"/>
      <c r="IR586" s="18"/>
      <c r="IS586" s="18"/>
      <c r="IT586" s="18"/>
      <c r="IU586" s="18"/>
      <c r="IV586" s="18"/>
      <c r="IW586" s="18"/>
      <c r="IX586" s="18"/>
      <c r="IY586" s="18"/>
      <c r="IZ586" s="18"/>
      <c r="JA586" s="18"/>
      <c r="JB586" s="18"/>
      <c r="JC586" s="18"/>
      <c r="JD586" s="18"/>
      <c r="JE586" s="18"/>
      <c r="JF586" s="18"/>
      <c r="JG586" s="18"/>
      <c r="JH586" s="18"/>
      <c r="JI586" s="18"/>
      <c r="JJ586" s="18"/>
      <c r="JK586" s="18"/>
      <c r="JL586" s="18"/>
      <c r="JM586" s="18"/>
      <c r="JN586" s="18"/>
      <c r="JO586" s="18"/>
      <c r="JP586" s="18"/>
      <c r="JQ586" s="18"/>
      <c r="JR586" s="18"/>
      <c r="JS586" s="18"/>
      <c r="JT586" s="18"/>
      <c r="JU586" s="18"/>
      <c r="JV586" s="18"/>
      <c r="JW586" s="18"/>
      <c r="JX586" s="18"/>
      <c r="JY586" s="18"/>
      <c r="JZ586" s="18"/>
      <c r="KA586" s="18"/>
      <c r="KB586" s="18"/>
      <c r="KC586" s="18"/>
      <c r="KD586" s="18"/>
      <c r="KE586" s="18"/>
      <c r="KF586" s="18"/>
      <c r="KG586" s="18"/>
      <c r="KH586" s="18"/>
      <c r="KI586" s="18"/>
      <c r="KJ586" s="18"/>
      <c r="KK586" s="18"/>
      <c r="KL586" s="18"/>
      <c r="KM586" s="18"/>
      <c r="KN586" s="18"/>
      <c r="KO586" s="18"/>
      <c r="KP586" s="18"/>
    </row>
    <row r="587" spans="1:302" ht="15" customHeight="1">
      <c r="A587" s="14"/>
      <c r="B587" s="14"/>
      <c r="C587" s="50"/>
      <c r="D587" s="50"/>
      <c r="E587" s="49"/>
      <c r="F587" s="46"/>
      <c r="G587" s="46"/>
      <c r="H587" s="46"/>
      <c r="I587" s="48"/>
      <c r="J587" s="48"/>
      <c r="K587" s="14"/>
      <c r="L587" s="14"/>
      <c r="P587" s="14"/>
      <c r="AB587" s="14"/>
      <c r="AC587" s="14"/>
      <c r="AG587" s="47"/>
      <c r="AH587" s="44"/>
      <c r="AI587" s="45"/>
      <c r="AJ587" s="44"/>
      <c r="AK587" s="43"/>
      <c r="AS587" s="14"/>
      <c r="AU587" s="18"/>
      <c r="AV587" s="18"/>
      <c r="AW587" s="18"/>
      <c r="AX587" s="18"/>
      <c r="AY587" s="18"/>
      <c r="AZ587" s="18"/>
      <c r="BB587" s="18"/>
      <c r="BC587" s="18"/>
      <c r="BD587" s="18"/>
      <c r="BE587" s="18"/>
      <c r="BF587" s="18"/>
      <c r="BH587" s="18"/>
      <c r="BI587" s="18"/>
      <c r="BJ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  <c r="FC587" s="18"/>
      <c r="FD587" s="18"/>
      <c r="FE587" s="18"/>
      <c r="FF587" s="18"/>
      <c r="FG587" s="18"/>
      <c r="FH587" s="18"/>
      <c r="FI587" s="18"/>
      <c r="FJ587" s="18"/>
      <c r="FK587" s="18"/>
      <c r="FL587" s="18"/>
      <c r="FM587" s="18"/>
      <c r="FN587" s="18"/>
      <c r="FO587" s="18"/>
      <c r="FP587" s="18"/>
      <c r="FQ587" s="18"/>
      <c r="FR587" s="18"/>
      <c r="FS587" s="18"/>
      <c r="FT587" s="18"/>
      <c r="FU587" s="18"/>
      <c r="FV587" s="18"/>
      <c r="FW587" s="18"/>
      <c r="FX587" s="18"/>
      <c r="FY587" s="18"/>
      <c r="FZ587" s="18"/>
      <c r="GA587" s="18"/>
      <c r="GB587" s="18"/>
      <c r="GC587" s="18"/>
      <c r="GD587" s="18"/>
      <c r="GE587" s="18"/>
      <c r="GF587" s="18"/>
      <c r="GG587" s="18"/>
      <c r="GH587" s="18"/>
      <c r="GI587" s="18"/>
      <c r="GJ587" s="18"/>
      <c r="GK587" s="18"/>
      <c r="GL587" s="18"/>
      <c r="GM587" s="18"/>
      <c r="GN587" s="18"/>
      <c r="GO587" s="18"/>
      <c r="GP587" s="18"/>
      <c r="GQ587" s="18"/>
      <c r="GR587" s="18"/>
      <c r="GS587" s="18"/>
      <c r="GT587" s="18"/>
      <c r="GU587" s="18"/>
      <c r="GV587" s="18"/>
      <c r="GW587" s="18"/>
      <c r="GX587" s="18"/>
      <c r="GY587" s="18"/>
      <c r="GZ587" s="18"/>
      <c r="HA587" s="18"/>
      <c r="HB587" s="18"/>
      <c r="HC587" s="18"/>
      <c r="HD587" s="18"/>
      <c r="HE587" s="18"/>
      <c r="HF587" s="18"/>
      <c r="HG587" s="13"/>
      <c r="HH587" s="13"/>
      <c r="HI587" s="13"/>
      <c r="HJ587" s="13"/>
      <c r="HK587" s="13"/>
      <c r="HL587" s="13"/>
      <c r="HM587" s="13"/>
      <c r="HN587" s="13"/>
      <c r="HO587" s="13"/>
      <c r="HP587" s="13"/>
      <c r="HQ587" s="13"/>
      <c r="HR587" s="13"/>
      <c r="HS587" s="13"/>
      <c r="HT587" s="13"/>
      <c r="HV587" s="18"/>
      <c r="HW587" s="18"/>
      <c r="HX587" s="18"/>
      <c r="HY587" s="18"/>
      <c r="HZ587" s="18"/>
      <c r="IA587" s="18"/>
      <c r="IB587" s="18"/>
      <c r="IC587" s="18"/>
      <c r="ID587" s="18"/>
      <c r="IE587" s="18"/>
      <c r="IF587" s="18"/>
      <c r="IG587" s="18"/>
      <c r="IH587" s="18"/>
      <c r="II587" s="18"/>
      <c r="IJ587" s="18"/>
      <c r="IK587" s="18"/>
      <c r="IL587" s="18"/>
      <c r="IM587" s="18"/>
      <c r="IN587" s="18"/>
      <c r="IO587" s="18"/>
      <c r="IP587" s="18"/>
      <c r="IQ587" s="18"/>
      <c r="IR587" s="18"/>
      <c r="IS587" s="18"/>
      <c r="IT587" s="18"/>
      <c r="IU587" s="18"/>
      <c r="IV587" s="18"/>
      <c r="IW587" s="18"/>
      <c r="IX587" s="18"/>
      <c r="IY587" s="18"/>
      <c r="IZ587" s="18"/>
      <c r="JA587" s="18"/>
      <c r="JB587" s="18"/>
      <c r="JC587" s="18"/>
      <c r="JD587" s="18"/>
      <c r="JE587" s="18"/>
      <c r="JF587" s="18"/>
      <c r="JG587" s="18"/>
      <c r="JH587" s="18"/>
      <c r="JI587" s="18"/>
      <c r="JJ587" s="18"/>
      <c r="JK587" s="18"/>
      <c r="JL587" s="18"/>
      <c r="JM587" s="18"/>
      <c r="JN587" s="18"/>
      <c r="JO587" s="18"/>
      <c r="JP587" s="18"/>
      <c r="JQ587" s="18"/>
      <c r="JR587" s="18"/>
      <c r="JS587" s="18"/>
      <c r="JT587" s="18"/>
      <c r="JU587" s="18"/>
      <c r="JV587" s="18"/>
      <c r="JW587" s="18"/>
      <c r="JX587" s="18"/>
      <c r="JY587" s="18"/>
      <c r="JZ587" s="18"/>
      <c r="KA587" s="18"/>
      <c r="KB587" s="18"/>
      <c r="KC587" s="18"/>
      <c r="KD587" s="18"/>
      <c r="KE587" s="18"/>
      <c r="KF587" s="18"/>
      <c r="KG587" s="18"/>
      <c r="KH587" s="18"/>
      <c r="KI587" s="18"/>
      <c r="KJ587" s="18"/>
      <c r="KK587" s="18"/>
      <c r="KL587" s="18"/>
      <c r="KM587" s="18"/>
      <c r="KN587" s="18"/>
      <c r="KO587" s="18"/>
      <c r="KP587" s="18"/>
    </row>
    <row r="588" spans="1:302" ht="15" customHeight="1">
      <c r="A588" s="14"/>
      <c r="B588" s="14"/>
      <c r="C588" s="50"/>
      <c r="D588" s="50"/>
      <c r="E588" s="49"/>
      <c r="F588" s="46"/>
      <c r="G588" s="1"/>
      <c r="H588" s="1"/>
      <c r="I588" s="48"/>
      <c r="J588" s="48"/>
      <c r="K588" s="14"/>
      <c r="L588" s="14"/>
      <c r="P588" s="14"/>
      <c r="AB588" s="14"/>
      <c r="AC588" s="14"/>
      <c r="AG588" s="47"/>
      <c r="AH588" s="44"/>
      <c r="AI588" s="45"/>
      <c r="AJ588" s="44"/>
      <c r="AK588" s="43"/>
      <c r="AS588" s="14"/>
      <c r="AU588" s="18"/>
      <c r="AV588" s="18"/>
      <c r="AW588" s="18"/>
      <c r="AX588" s="18"/>
      <c r="AY588" s="18"/>
      <c r="AZ588" s="18"/>
      <c r="BB588" s="18"/>
      <c r="BC588" s="18"/>
      <c r="BD588" s="18"/>
      <c r="BE588" s="18"/>
      <c r="BF588" s="18"/>
      <c r="BH588" s="18"/>
      <c r="BI588" s="18"/>
      <c r="BJ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  <c r="FC588" s="18"/>
      <c r="FD588" s="18"/>
      <c r="FE588" s="18"/>
      <c r="FF588" s="18"/>
      <c r="FG588" s="18"/>
      <c r="FH588" s="18"/>
      <c r="FI588" s="18"/>
      <c r="FJ588" s="18"/>
      <c r="FK588" s="18"/>
      <c r="FL588" s="18"/>
      <c r="FM588" s="18"/>
      <c r="FN588" s="18"/>
      <c r="FO588" s="18"/>
      <c r="FP588" s="18"/>
      <c r="FQ588" s="18"/>
      <c r="FR588" s="18"/>
      <c r="FS588" s="18"/>
      <c r="FT588" s="18"/>
      <c r="FU588" s="18"/>
      <c r="FV588" s="18"/>
      <c r="FW588" s="18"/>
      <c r="FX588" s="18"/>
      <c r="FY588" s="18"/>
      <c r="FZ588" s="18"/>
      <c r="GA588" s="18"/>
      <c r="GB588" s="18"/>
      <c r="GC588" s="18"/>
      <c r="GD588" s="18"/>
      <c r="GE588" s="18"/>
      <c r="GF588" s="18"/>
      <c r="GG588" s="18"/>
      <c r="GH588" s="18"/>
      <c r="GI588" s="18"/>
      <c r="GJ588" s="18"/>
      <c r="GK588" s="18"/>
      <c r="GL588" s="18"/>
      <c r="GM588" s="18"/>
      <c r="GN588" s="18"/>
      <c r="GO588" s="18"/>
      <c r="GP588" s="18"/>
      <c r="GQ588" s="18"/>
      <c r="GR588" s="18"/>
      <c r="GS588" s="18"/>
      <c r="GT588" s="18"/>
      <c r="GU588" s="18"/>
      <c r="GV588" s="18"/>
      <c r="GW588" s="18"/>
      <c r="GX588" s="18"/>
      <c r="GY588" s="18"/>
      <c r="GZ588" s="18"/>
      <c r="HA588" s="18"/>
      <c r="HB588" s="18"/>
      <c r="HC588" s="18"/>
      <c r="HD588" s="18"/>
      <c r="HE588" s="18"/>
      <c r="HF588" s="18"/>
      <c r="HG588" s="13"/>
      <c r="HH588" s="13"/>
      <c r="HI588" s="13"/>
      <c r="HJ588" s="13"/>
      <c r="HK588" s="13"/>
      <c r="HL588" s="13"/>
      <c r="HM588" s="13"/>
      <c r="HN588" s="13"/>
      <c r="HO588" s="13"/>
      <c r="HP588" s="13"/>
      <c r="HQ588" s="13"/>
      <c r="HR588" s="13"/>
      <c r="HS588" s="13"/>
      <c r="HT588" s="13"/>
      <c r="HV588" s="18"/>
      <c r="HW588" s="18"/>
      <c r="HX588" s="18"/>
      <c r="HY588" s="18"/>
      <c r="HZ588" s="18"/>
      <c r="IA588" s="18"/>
      <c r="IB588" s="18"/>
      <c r="IC588" s="18"/>
      <c r="ID588" s="18"/>
      <c r="IE588" s="18"/>
      <c r="IF588" s="18"/>
      <c r="IG588" s="18"/>
      <c r="IH588" s="18"/>
      <c r="II588" s="18"/>
      <c r="IJ588" s="18"/>
      <c r="IK588" s="18"/>
      <c r="IL588" s="18"/>
      <c r="IM588" s="18"/>
      <c r="IN588" s="18"/>
      <c r="IO588" s="18"/>
      <c r="IP588" s="18"/>
      <c r="IQ588" s="18"/>
      <c r="IR588" s="18"/>
      <c r="IS588" s="18"/>
      <c r="IT588" s="18"/>
      <c r="IU588" s="18"/>
      <c r="IV588" s="18"/>
      <c r="IW588" s="18"/>
      <c r="IX588" s="18"/>
      <c r="IY588" s="18"/>
      <c r="IZ588" s="18"/>
      <c r="JA588" s="18"/>
      <c r="JB588" s="18"/>
      <c r="JC588" s="18"/>
      <c r="JD588" s="18"/>
      <c r="JE588" s="18"/>
      <c r="JF588" s="18"/>
      <c r="JG588" s="18"/>
      <c r="JH588" s="18"/>
      <c r="JI588" s="18"/>
      <c r="JJ588" s="18"/>
      <c r="JK588" s="18"/>
      <c r="JL588" s="18"/>
      <c r="JM588" s="18"/>
      <c r="JN588" s="18"/>
      <c r="JO588" s="18"/>
      <c r="JP588" s="18"/>
      <c r="JQ588" s="18"/>
      <c r="JR588" s="18"/>
      <c r="JS588" s="18"/>
      <c r="JT588" s="18"/>
      <c r="JU588" s="18"/>
      <c r="JV588" s="18"/>
      <c r="JW588" s="18"/>
      <c r="JX588" s="18"/>
      <c r="JY588" s="18"/>
      <c r="JZ588" s="18"/>
      <c r="KA588" s="18"/>
      <c r="KB588" s="18"/>
      <c r="KC588" s="18"/>
      <c r="KD588" s="18"/>
      <c r="KE588" s="18"/>
      <c r="KF588" s="18"/>
      <c r="KG588" s="18"/>
      <c r="KH588" s="18"/>
      <c r="KI588" s="18"/>
      <c r="KJ588" s="18"/>
      <c r="KK588" s="18"/>
      <c r="KL588" s="18"/>
      <c r="KM588" s="18"/>
      <c r="KN588" s="18"/>
      <c r="KO588" s="18"/>
      <c r="KP588" s="18"/>
    </row>
    <row r="589" spans="1:302" ht="15" customHeight="1">
      <c r="A589" s="14"/>
      <c r="B589" s="14"/>
      <c r="C589" s="50"/>
      <c r="D589" s="50"/>
      <c r="E589" s="49"/>
      <c r="F589" s="46"/>
      <c r="G589" s="1"/>
      <c r="H589" s="1"/>
      <c r="I589" s="48"/>
      <c r="J589" s="48"/>
      <c r="K589" s="14"/>
      <c r="L589" s="14"/>
      <c r="P589" s="14"/>
      <c r="AG589" s="47"/>
      <c r="AH589" s="44"/>
      <c r="AI589" s="45"/>
      <c r="AJ589" s="44"/>
      <c r="AK589" s="43"/>
      <c r="AS589" s="14"/>
      <c r="AU589" s="18"/>
      <c r="AV589" s="18"/>
      <c r="AW589" s="18"/>
      <c r="AX589" s="18"/>
      <c r="AY589" s="18"/>
      <c r="AZ589" s="18"/>
      <c r="BB589" s="18"/>
      <c r="BC589" s="18"/>
      <c r="BD589" s="18"/>
      <c r="BE589" s="18"/>
      <c r="BF589" s="18"/>
      <c r="BH589" s="18"/>
      <c r="BI589" s="18"/>
      <c r="BJ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  <c r="FC589" s="18"/>
      <c r="FD589" s="18"/>
      <c r="FE589" s="18"/>
      <c r="FF589" s="18"/>
      <c r="FG589" s="18"/>
      <c r="FH589" s="18"/>
      <c r="FI589" s="18"/>
      <c r="FJ589" s="18"/>
      <c r="FK589" s="18"/>
      <c r="FL589" s="18"/>
      <c r="FM589" s="18"/>
      <c r="FN589" s="18"/>
      <c r="FO589" s="18"/>
      <c r="FP589" s="18"/>
      <c r="FQ589" s="18"/>
      <c r="FR589" s="18"/>
      <c r="FS589" s="18"/>
      <c r="FT589" s="18"/>
      <c r="FU589" s="18"/>
      <c r="FV589" s="18"/>
      <c r="FW589" s="18"/>
      <c r="FX589" s="18"/>
      <c r="FY589" s="18"/>
      <c r="FZ589" s="18"/>
      <c r="GA589" s="18"/>
      <c r="GB589" s="18"/>
      <c r="GC589" s="18"/>
      <c r="GD589" s="18"/>
      <c r="GE589" s="18"/>
      <c r="GF589" s="18"/>
      <c r="GG589" s="18"/>
      <c r="GH589" s="18"/>
      <c r="GI589" s="18"/>
      <c r="GJ589" s="18"/>
      <c r="GK589" s="18"/>
      <c r="GL589" s="18"/>
      <c r="GM589" s="18"/>
      <c r="GN589" s="18"/>
      <c r="GO589" s="18"/>
      <c r="GP589" s="18"/>
      <c r="GQ589" s="18"/>
      <c r="GR589" s="18"/>
      <c r="GS589" s="18"/>
      <c r="GT589" s="18"/>
      <c r="GU589" s="18"/>
      <c r="GV589" s="18"/>
      <c r="GW589" s="18"/>
      <c r="GX589" s="18"/>
      <c r="GY589" s="18"/>
      <c r="GZ589" s="18"/>
      <c r="HA589" s="18"/>
      <c r="HB589" s="18"/>
      <c r="HC589" s="18"/>
      <c r="HD589" s="18"/>
      <c r="HE589" s="18"/>
      <c r="HF589" s="18"/>
      <c r="HG589" s="13"/>
      <c r="HH589" s="13"/>
      <c r="HI589" s="13"/>
      <c r="HJ589" s="13"/>
      <c r="HK589" s="13"/>
      <c r="HL589" s="13"/>
      <c r="HM589" s="13"/>
      <c r="HN589" s="13"/>
      <c r="HO589" s="13"/>
      <c r="HP589" s="13"/>
      <c r="HQ589" s="13"/>
      <c r="HR589" s="13"/>
      <c r="HS589" s="13"/>
      <c r="HT589" s="13"/>
      <c r="HV589" s="18"/>
      <c r="HW589" s="18"/>
      <c r="HX589" s="18"/>
      <c r="HY589" s="18"/>
      <c r="HZ589" s="18"/>
      <c r="IA589" s="18"/>
      <c r="IB589" s="18"/>
      <c r="IC589" s="18"/>
      <c r="ID589" s="18"/>
      <c r="IE589" s="18"/>
      <c r="IF589" s="18"/>
      <c r="IG589" s="18"/>
      <c r="IH589" s="18"/>
      <c r="II589" s="18"/>
      <c r="IJ589" s="18"/>
      <c r="IK589" s="18"/>
      <c r="IL589" s="18"/>
      <c r="IM589" s="18"/>
      <c r="IN589" s="18"/>
      <c r="IO589" s="18"/>
      <c r="IP589" s="18"/>
      <c r="IQ589" s="18"/>
      <c r="IR589" s="18"/>
      <c r="IS589" s="18"/>
      <c r="IT589" s="18"/>
      <c r="IU589" s="18"/>
      <c r="IV589" s="18"/>
      <c r="IW589" s="18"/>
      <c r="IX589" s="18"/>
      <c r="IY589" s="18"/>
      <c r="IZ589" s="18"/>
      <c r="JA589" s="18"/>
      <c r="JB589" s="18"/>
      <c r="JC589" s="18"/>
      <c r="JD589" s="18"/>
      <c r="JE589" s="18"/>
      <c r="JF589" s="18"/>
      <c r="JG589" s="18"/>
      <c r="JH589" s="18"/>
      <c r="JI589" s="18"/>
      <c r="JJ589" s="18"/>
      <c r="JK589" s="18"/>
      <c r="JL589" s="18"/>
      <c r="JM589" s="18"/>
      <c r="JN589" s="18"/>
      <c r="JO589" s="18"/>
      <c r="JP589" s="18"/>
      <c r="JQ589" s="18"/>
      <c r="JR589" s="18"/>
      <c r="JS589" s="18"/>
      <c r="JT589" s="18"/>
      <c r="JU589" s="18"/>
      <c r="JV589" s="18"/>
      <c r="JW589" s="18"/>
      <c r="JX589" s="18"/>
      <c r="JY589" s="18"/>
      <c r="JZ589" s="18"/>
      <c r="KA589" s="18"/>
      <c r="KB589" s="18"/>
      <c r="KC589" s="18"/>
      <c r="KD589" s="18"/>
      <c r="KE589" s="18"/>
      <c r="KF589" s="18"/>
      <c r="KG589" s="18"/>
      <c r="KH589" s="18"/>
      <c r="KI589" s="18"/>
      <c r="KJ589" s="18"/>
      <c r="KK589" s="18"/>
      <c r="KL589" s="18"/>
      <c r="KM589" s="18"/>
      <c r="KN589" s="18"/>
      <c r="KO589" s="18"/>
      <c r="KP589" s="18"/>
    </row>
    <row r="590" spans="1:302" ht="15" customHeight="1">
      <c r="A590" s="14"/>
      <c r="B590" s="14"/>
      <c r="C590" s="50"/>
      <c r="D590" s="50"/>
      <c r="E590" s="49"/>
      <c r="F590" s="46"/>
      <c r="G590" s="46"/>
      <c r="H590" s="46"/>
      <c r="I590" s="48"/>
      <c r="J590" s="48"/>
      <c r="K590" s="14"/>
      <c r="L590" s="14"/>
      <c r="P590" s="14"/>
      <c r="AG590" s="47"/>
      <c r="AH590" s="44"/>
      <c r="AI590" s="45"/>
      <c r="AJ590" s="44"/>
      <c r="AK590" s="43"/>
      <c r="AS590" s="14"/>
      <c r="AU590" s="18"/>
      <c r="AV590" s="18"/>
      <c r="AW590" s="18"/>
      <c r="AX590" s="18"/>
      <c r="AY590" s="18"/>
      <c r="AZ590" s="18"/>
      <c r="BB590" s="18"/>
      <c r="BC590" s="18"/>
      <c r="BD590" s="18"/>
      <c r="BE590" s="18"/>
      <c r="BF590" s="18"/>
      <c r="BH590" s="18"/>
      <c r="BI590" s="18"/>
      <c r="BJ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  <c r="FC590" s="18"/>
      <c r="FD590" s="18"/>
      <c r="FE590" s="18"/>
      <c r="FF590" s="18"/>
      <c r="FG590" s="18"/>
      <c r="FH590" s="18"/>
      <c r="FI590" s="18"/>
      <c r="FJ590" s="18"/>
      <c r="FK590" s="18"/>
      <c r="FL590" s="18"/>
      <c r="FM590" s="18"/>
      <c r="FN590" s="18"/>
      <c r="FO590" s="18"/>
      <c r="FP590" s="18"/>
      <c r="FQ590" s="18"/>
      <c r="FR590" s="18"/>
      <c r="FS590" s="18"/>
      <c r="FT590" s="18"/>
      <c r="FU590" s="18"/>
      <c r="FV590" s="18"/>
      <c r="FW590" s="18"/>
      <c r="FX590" s="18"/>
      <c r="FY590" s="18"/>
      <c r="FZ590" s="18"/>
      <c r="GA590" s="18"/>
      <c r="GB590" s="18"/>
      <c r="GC590" s="18"/>
      <c r="GD590" s="18"/>
      <c r="GE590" s="18"/>
      <c r="GF590" s="18"/>
      <c r="GG590" s="18"/>
      <c r="GH590" s="18"/>
      <c r="GI590" s="18"/>
      <c r="GJ590" s="18"/>
      <c r="GK590" s="18"/>
      <c r="GL590" s="18"/>
      <c r="GM590" s="18"/>
      <c r="GN590" s="18"/>
      <c r="GO590" s="18"/>
      <c r="GP590" s="18"/>
      <c r="GQ590" s="18"/>
      <c r="GR590" s="18"/>
      <c r="GS590" s="18"/>
      <c r="GT590" s="18"/>
      <c r="GU590" s="18"/>
      <c r="GV590" s="18"/>
      <c r="GW590" s="18"/>
      <c r="GX590" s="18"/>
      <c r="GY590" s="18"/>
      <c r="GZ590" s="18"/>
      <c r="HA590" s="18"/>
      <c r="HB590" s="18"/>
      <c r="HC590" s="18"/>
      <c r="HD590" s="18"/>
      <c r="HE590" s="18"/>
      <c r="HF590" s="18"/>
      <c r="HG590" s="13"/>
      <c r="HH590" s="13"/>
      <c r="HI590" s="13"/>
      <c r="HJ590" s="13"/>
      <c r="HK590" s="13"/>
      <c r="HL590" s="13"/>
      <c r="HM590" s="13"/>
      <c r="HN590" s="13"/>
      <c r="HO590" s="13"/>
      <c r="HP590" s="13"/>
      <c r="HQ590" s="13"/>
      <c r="HR590" s="13"/>
      <c r="HS590" s="13"/>
      <c r="HT590" s="13"/>
      <c r="HV590" s="18"/>
      <c r="HW590" s="18"/>
      <c r="HX590" s="18"/>
      <c r="HY590" s="18"/>
      <c r="HZ590" s="18"/>
      <c r="IA590" s="18"/>
      <c r="IB590" s="18"/>
      <c r="IC590" s="18"/>
      <c r="ID590" s="18"/>
      <c r="IE590" s="18"/>
      <c r="IF590" s="18"/>
      <c r="IG590" s="18"/>
      <c r="IH590" s="18"/>
      <c r="II590" s="18"/>
      <c r="IJ590" s="18"/>
      <c r="IK590" s="18"/>
      <c r="IL590" s="18"/>
      <c r="IM590" s="18"/>
      <c r="IN590" s="18"/>
      <c r="IO590" s="18"/>
      <c r="IP590" s="18"/>
      <c r="IQ590" s="18"/>
      <c r="IR590" s="18"/>
      <c r="IS590" s="18"/>
      <c r="IT590" s="18"/>
      <c r="IU590" s="18"/>
      <c r="IV590" s="18"/>
      <c r="IW590" s="18"/>
      <c r="IX590" s="18"/>
      <c r="IY590" s="18"/>
      <c r="IZ590" s="18"/>
      <c r="JA590" s="18"/>
      <c r="JB590" s="18"/>
      <c r="JC590" s="18"/>
      <c r="JD590" s="18"/>
      <c r="JE590" s="18"/>
      <c r="JF590" s="18"/>
      <c r="JG590" s="18"/>
      <c r="JH590" s="18"/>
      <c r="JI590" s="18"/>
      <c r="JJ590" s="18"/>
      <c r="JK590" s="18"/>
      <c r="JL590" s="18"/>
      <c r="JM590" s="18"/>
      <c r="JN590" s="18"/>
      <c r="JO590" s="18"/>
      <c r="JP590" s="18"/>
      <c r="JQ590" s="18"/>
      <c r="JR590" s="18"/>
      <c r="JS590" s="18"/>
      <c r="JT590" s="18"/>
      <c r="JU590" s="18"/>
      <c r="JV590" s="18"/>
      <c r="JW590" s="18"/>
      <c r="JX590" s="18"/>
      <c r="JY590" s="18"/>
      <c r="JZ590" s="18"/>
      <c r="KA590" s="18"/>
      <c r="KB590" s="18"/>
      <c r="KC590" s="18"/>
      <c r="KD590" s="18"/>
      <c r="KE590" s="18"/>
      <c r="KF590" s="18"/>
      <c r="KG590" s="18"/>
      <c r="KH590" s="18"/>
      <c r="KI590" s="18"/>
      <c r="KJ590" s="18"/>
      <c r="KK590" s="18"/>
      <c r="KL590" s="18"/>
      <c r="KM590" s="18"/>
      <c r="KN590" s="18"/>
      <c r="KO590" s="18"/>
      <c r="KP590" s="18"/>
    </row>
    <row r="591" spans="1:302" ht="15" customHeight="1">
      <c r="A591" s="14"/>
      <c r="B591" s="14"/>
      <c r="C591" s="50"/>
      <c r="D591" s="50"/>
      <c r="E591" s="49"/>
      <c r="F591" s="46"/>
      <c r="G591" s="1"/>
      <c r="H591" s="1"/>
      <c r="I591" s="48"/>
      <c r="J591" s="48"/>
      <c r="K591" s="14"/>
      <c r="L591" s="14"/>
      <c r="P591" s="14"/>
      <c r="AG591" s="47"/>
      <c r="AH591" s="44"/>
      <c r="AI591" s="45"/>
      <c r="AJ591" s="44"/>
      <c r="AK591" s="43"/>
      <c r="AS591" s="14"/>
      <c r="AU591" s="18"/>
      <c r="AV591" s="18"/>
      <c r="AW591" s="18"/>
      <c r="AX591" s="18"/>
      <c r="AY591" s="18"/>
      <c r="AZ591" s="18"/>
      <c r="BB591" s="18"/>
      <c r="BC591" s="18"/>
      <c r="BD591" s="18"/>
      <c r="BE591" s="18"/>
      <c r="BF591" s="18"/>
      <c r="BH591" s="18"/>
      <c r="BI591" s="18"/>
      <c r="BJ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  <c r="FR591" s="18"/>
      <c r="FS591" s="18"/>
      <c r="FT591" s="18"/>
      <c r="FU591" s="18"/>
      <c r="FV591" s="18"/>
      <c r="FW591" s="18"/>
      <c r="FX591" s="18"/>
      <c r="FY591" s="18"/>
      <c r="FZ591" s="18"/>
      <c r="GA591" s="18"/>
      <c r="GB591" s="18"/>
      <c r="GC591" s="18"/>
      <c r="GD591" s="18"/>
      <c r="GE591" s="18"/>
      <c r="GF591" s="18"/>
      <c r="GG591" s="18"/>
      <c r="GH591" s="18"/>
      <c r="GI591" s="18"/>
      <c r="GJ591" s="18"/>
      <c r="GK591" s="18"/>
      <c r="GL591" s="18"/>
      <c r="GM591" s="18"/>
      <c r="GN591" s="18"/>
      <c r="GO591" s="18"/>
      <c r="GP591" s="18"/>
      <c r="GQ591" s="18"/>
      <c r="GR591" s="18"/>
      <c r="GS591" s="18"/>
      <c r="GT591" s="18"/>
      <c r="GU591" s="18"/>
      <c r="GV591" s="18"/>
      <c r="GW591" s="18"/>
      <c r="GX591" s="18"/>
      <c r="GY591" s="18"/>
      <c r="GZ591" s="18"/>
      <c r="HA591" s="18"/>
      <c r="HB591" s="18"/>
      <c r="HC591" s="18"/>
      <c r="HD591" s="18"/>
      <c r="HE591" s="18"/>
      <c r="HF591" s="18"/>
      <c r="HG591" s="13"/>
      <c r="HH591" s="13"/>
      <c r="HI591" s="13"/>
      <c r="HJ591" s="13"/>
      <c r="HK591" s="13"/>
      <c r="HL591" s="13"/>
      <c r="HM591" s="13"/>
      <c r="HN591" s="13"/>
      <c r="HO591" s="13"/>
      <c r="HP591" s="13"/>
      <c r="HQ591" s="13"/>
      <c r="HR591" s="13"/>
      <c r="HS591" s="13"/>
      <c r="HT591" s="13"/>
      <c r="HV591" s="18"/>
      <c r="HW591" s="18"/>
      <c r="HX591" s="18"/>
      <c r="HY591" s="18"/>
      <c r="HZ591" s="18"/>
      <c r="IA591" s="18"/>
      <c r="IB591" s="18"/>
      <c r="IC591" s="18"/>
      <c r="ID591" s="18"/>
      <c r="IE591" s="18"/>
      <c r="IF591" s="18"/>
      <c r="IG591" s="18"/>
      <c r="IH591" s="18"/>
      <c r="II591" s="18"/>
      <c r="IJ591" s="18"/>
      <c r="IK591" s="18"/>
      <c r="IL591" s="18"/>
      <c r="IM591" s="18"/>
      <c r="IN591" s="18"/>
      <c r="IO591" s="18"/>
      <c r="IP591" s="18"/>
      <c r="IQ591" s="18"/>
      <c r="IR591" s="18"/>
      <c r="IS591" s="18"/>
      <c r="IT591" s="18"/>
      <c r="IU591" s="18"/>
      <c r="IV591" s="18"/>
      <c r="IW591" s="18"/>
      <c r="IX591" s="18"/>
      <c r="IY591" s="18"/>
      <c r="IZ591" s="18"/>
      <c r="JA591" s="18"/>
      <c r="JB591" s="18"/>
      <c r="JC591" s="18"/>
      <c r="JD591" s="18"/>
      <c r="JE591" s="18"/>
      <c r="JF591" s="18"/>
      <c r="JG591" s="18"/>
      <c r="JH591" s="18"/>
      <c r="JI591" s="18"/>
      <c r="JJ591" s="18"/>
      <c r="JK591" s="18"/>
      <c r="JL591" s="18"/>
      <c r="JM591" s="18"/>
      <c r="JN591" s="18"/>
      <c r="JO591" s="18"/>
      <c r="JP591" s="18"/>
      <c r="JQ591" s="18"/>
      <c r="JR591" s="18"/>
      <c r="JS591" s="18"/>
      <c r="JT591" s="18"/>
      <c r="JU591" s="18"/>
      <c r="JV591" s="18"/>
      <c r="JW591" s="18"/>
      <c r="JX591" s="18"/>
      <c r="JY591" s="18"/>
      <c r="JZ591" s="18"/>
      <c r="KA591" s="18"/>
      <c r="KB591" s="18"/>
      <c r="KC591" s="18"/>
      <c r="KD591" s="18"/>
      <c r="KE591" s="18"/>
      <c r="KF591" s="18"/>
      <c r="KG591" s="18"/>
      <c r="KH591" s="18"/>
      <c r="KI591" s="18"/>
      <c r="KJ591" s="18"/>
      <c r="KK591" s="18"/>
      <c r="KL591" s="18"/>
      <c r="KM591" s="18"/>
      <c r="KN591" s="18"/>
      <c r="KO591" s="18"/>
      <c r="KP591" s="18"/>
    </row>
    <row r="592" spans="1:302" ht="15" customHeight="1">
      <c r="A592" s="14"/>
      <c r="B592" s="14"/>
      <c r="C592" s="50"/>
      <c r="D592" s="50"/>
      <c r="E592" s="49"/>
      <c r="F592" s="46"/>
      <c r="G592" s="46"/>
      <c r="H592" s="46"/>
      <c r="I592" s="48"/>
      <c r="J592" s="48"/>
      <c r="K592" s="14"/>
      <c r="L592" s="14"/>
      <c r="P592" s="14"/>
      <c r="AG592" s="47"/>
      <c r="AJ592" s="44"/>
      <c r="AK592" s="43"/>
      <c r="AS592" s="14"/>
      <c r="AU592" s="18"/>
      <c r="AV592" s="18"/>
      <c r="AW592" s="18"/>
      <c r="AX592" s="18"/>
      <c r="AY592" s="18"/>
      <c r="AZ592" s="18"/>
      <c r="BB592" s="18"/>
      <c r="BC592" s="18"/>
      <c r="BD592" s="18"/>
      <c r="BE592" s="18"/>
      <c r="BF592" s="18"/>
      <c r="BH592" s="18"/>
      <c r="BI592" s="18"/>
      <c r="BJ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  <c r="FC592" s="18"/>
      <c r="FD592" s="18"/>
      <c r="FE592" s="18"/>
      <c r="FF592" s="18"/>
      <c r="FG592" s="18"/>
      <c r="FH592" s="18"/>
      <c r="FI592" s="18"/>
      <c r="FJ592" s="18"/>
      <c r="FK592" s="18"/>
      <c r="FL592" s="18"/>
      <c r="FM592" s="18"/>
      <c r="FN592" s="18"/>
      <c r="FO592" s="18"/>
      <c r="FP592" s="18"/>
      <c r="FQ592" s="18"/>
      <c r="FR592" s="18"/>
      <c r="FS592" s="18"/>
      <c r="FT592" s="18"/>
      <c r="FU592" s="18"/>
      <c r="FV592" s="18"/>
      <c r="FW592" s="18"/>
      <c r="FX592" s="18"/>
      <c r="FY592" s="18"/>
      <c r="FZ592" s="18"/>
      <c r="GA592" s="18"/>
      <c r="GB592" s="18"/>
      <c r="GC592" s="18"/>
      <c r="GD592" s="18"/>
      <c r="GE592" s="18"/>
      <c r="GF592" s="18"/>
      <c r="GG592" s="18"/>
      <c r="GH592" s="18"/>
      <c r="GI592" s="18"/>
      <c r="GJ592" s="18"/>
      <c r="GK592" s="18"/>
      <c r="GL592" s="18"/>
      <c r="GM592" s="18"/>
      <c r="GN592" s="18"/>
      <c r="GO592" s="18"/>
      <c r="GP592" s="18"/>
      <c r="GQ592" s="18"/>
      <c r="GR592" s="18"/>
      <c r="GS592" s="18"/>
      <c r="GT592" s="18"/>
      <c r="GU592" s="18"/>
      <c r="GV592" s="18"/>
      <c r="GW592" s="18"/>
      <c r="GX592" s="18"/>
      <c r="GY592" s="18"/>
      <c r="GZ592" s="18"/>
      <c r="HA592" s="18"/>
      <c r="HB592" s="18"/>
      <c r="HC592" s="18"/>
      <c r="HD592" s="18"/>
      <c r="HE592" s="18"/>
      <c r="HF592" s="18"/>
      <c r="HG592" s="13"/>
      <c r="HH592" s="13"/>
      <c r="HI592" s="13"/>
      <c r="HJ592" s="13"/>
      <c r="HK592" s="13"/>
      <c r="HL592" s="13"/>
      <c r="HM592" s="13"/>
      <c r="HN592" s="13"/>
      <c r="HO592" s="13"/>
      <c r="HP592" s="13"/>
      <c r="HQ592" s="13"/>
      <c r="HR592" s="13"/>
      <c r="HS592" s="13"/>
      <c r="HT592" s="13"/>
      <c r="HV592" s="18"/>
      <c r="HW592" s="18"/>
      <c r="HX592" s="18"/>
      <c r="HY592" s="18"/>
      <c r="HZ592" s="18"/>
      <c r="IA592" s="18"/>
      <c r="IB592" s="18"/>
      <c r="IC592" s="18"/>
      <c r="ID592" s="18"/>
      <c r="IE592" s="18"/>
      <c r="IF592" s="18"/>
      <c r="IG592" s="18"/>
      <c r="IH592" s="18"/>
      <c r="II592" s="18"/>
      <c r="IJ592" s="18"/>
      <c r="IK592" s="18"/>
      <c r="IL592" s="18"/>
      <c r="IM592" s="18"/>
      <c r="IN592" s="18"/>
      <c r="IO592" s="18"/>
      <c r="IP592" s="18"/>
      <c r="IQ592" s="18"/>
      <c r="IR592" s="18"/>
      <c r="IS592" s="18"/>
      <c r="IT592" s="18"/>
      <c r="IU592" s="18"/>
      <c r="IV592" s="18"/>
      <c r="IW592" s="18"/>
      <c r="IX592" s="18"/>
      <c r="IY592" s="18"/>
      <c r="IZ592" s="18"/>
      <c r="JA592" s="18"/>
      <c r="JB592" s="18"/>
      <c r="JC592" s="18"/>
      <c r="JD592" s="18"/>
      <c r="JE592" s="18"/>
      <c r="JF592" s="18"/>
      <c r="JG592" s="18"/>
      <c r="JH592" s="18"/>
      <c r="JI592" s="18"/>
      <c r="JJ592" s="18"/>
      <c r="JK592" s="18"/>
      <c r="JL592" s="18"/>
      <c r="JM592" s="18"/>
      <c r="JN592" s="18"/>
      <c r="JO592" s="18"/>
      <c r="JP592" s="18"/>
      <c r="JQ592" s="18"/>
      <c r="JR592" s="18"/>
      <c r="JS592" s="18"/>
      <c r="JT592" s="18"/>
      <c r="JU592" s="18"/>
      <c r="JV592" s="18"/>
      <c r="JW592" s="18"/>
      <c r="JX592" s="18"/>
      <c r="JY592" s="18"/>
      <c r="JZ592" s="18"/>
      <c r="KA592" s="18"/>
      <c r="KB592" s="18"/>
      <c r="KC592" s="18"/>
      <c r="KD592" s="18"/>
      <c r="KE592" s="18"/>
      <c r="KF592" s="18"/>
      <c r="KG592" s="18"/>
      <c r="KH592" s="18"/>
      <c r="KI592" s="18"/>
      <c r="KJ592" s="18"/>
      <c r="KK592" s="18"/>
      <c r="KL592" s="18"/>
      <c r="KM592" s="18"/>
      <c r="KN592" s="18"/>
      <c r="KO592" s="18"/>
      <c r="KP592" s="18"/>
    </row>
    <row r="593" spans="1:302" ht="15" customHeight="1">
      <c r="A593" s="14"/>
      <c r="B593" s="14"/>
      <c r="C593" s="50"/>
      <c r="D593" s="50"/>
      <c r="E593" s="49"/>
      <c r="F593" s="46"/>
      <c r="G593" s="1"/>
      <c r="H593" s="1"/>
      <c r="I593" s="48"/>
      <c r="J593" s="48"/>
      <c r="K593" s="14"/>
      <c r="L593" s="14"/>
      <c r="P593" s="14"/>
      <c r="AG593" s="47"/>
      <c r="AH593" s="44"/>
      <c r="AI593" s="45"/>
      <c r="AJ593" s="44"/>
      <c r="AK593" s="43"/>
      <c r="AS593" s="14"/>
      <c r="AU593" s="18"/>
      <c r="AV593" s="18"/>
      <c r="AW593" s="18"/>
      <c r="AX593" s="18"/>
      <c r="AY593" s="18"/>
      <c r="AZ593" s="18"/>
      <c r="BB593" s="18"/>
      <c r="BC593" s="18"/>
      <c r="BD593" s="18"/>
      <c r="BE593" s="18"/>
      <c r="BF593" s="18"/>
      <c r="BH593" s="18"/>
      <c r="BI593" s="18"/>
      <c r="BJ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  <c r="FC593" s="18"/>
      <c r="FD593" s="18"/>
      <c r="FE593" s="18"/>
      <c r="FF593" s="18"/>
      <c r="FG593" s="18"/>
      <c r="FH593" s="18"/>
      <c r="FI593" s="18"/>
      <c r="FJ593" s="18"/>
      <c r="FK593" s="18"/>
      <c r="FL593" s="18"/>
      <c r="FM593" s="18"/>
      <c r="FN593" s="18"/>
      <c r="FO593" s="18"/>
      <c r="FP593" s="18"/>
      <c r="FQ593" s="18"/>
      <c r="FR593" s="18"/>
      <c r="FS593" s="18"/>
      <c r="FT593" s="18"/>
      <c r="FU593" s="18"/>
      <c r="FV593" s="18"/>
      <c r="FW593" s="18"/>
      <c r="FX593" s="18"/>
      <c r="FY593" s="18"/>
      <c r="FZ593" s="18"/>
      <c r="GA593" s="18"/>
      <c r="GB593" s="18"/>
      <c r="GC593" s="18"/>
      <c r="GD593" s="18"/>
      <c r="GE593" s="18"/>
      <c r="GF593" s="18"/>
      <c r="GG593" s="18"/>
      <c r="GH593" s="18"/>
      <c r="GI593" s="18"/>
      <c r="GJ593" s="18"/>
      <c r="GK593" s="18"/>
      <c r="GL593" s="18"/>
      <c r="GM593" s="18"/>
      <c r="GN593" s="18"/>
      <c r="GO593" s="18"/>
      <c r="GP593" s="18"/>
      <c r="GQ593" s="18"/>
      <c r="GR593" s="18"/>
      <c r="GS593" s="18"/>
      <c r="GT593" s="18"/>
      <c r="GU593" s="18"/>
      <c r="GV593" s="18"/>
      <c r="GW593" s="18"/>
      <c r="GX593" s="18"/>
      <c r="GY593" s="18"/>
      <c r="GZ593" s="18"/>
      <c r="HA593" s="18"/>
      <c r="HB593" s="18"/>
      <c r="HC593" s="18"/>
      <c r="HD593" s="18"/>
      <c r="HE593" s="18"/>
      <c r="HF593" s="18"/>
      <c r="HG593" s="13"/>
      <c r="HH593" s="13"/>
      <c r="HI593" s="13"/>
      <c r="HJ593" s="13"/>
      <c r="HK593" s="13"/>
      <c r="HL593" s="13"/>
      <c r="HM593" s="13"/>
      <c r="HN593" s="13"/>
      <c r="HO593" s="13"/>
      <c r="HP593" s="13"/>
      <c r="HQ593" s="13"/>
      <c r="HR593" s="13"/>
      <c r="HS593" s="13"/>
      <c r="HT593" s="13"/>
      <c r="HV593" s="18"/>
      <c r="HW593" s="18"/>
      <c r="HX593" s="18"/>
      <c r="HY593" s="18"/>
      <c r="HZ593" s="18"/>
      <c r="IA593" s="18"/>
      <c r="IB593" s="18"/>
      <c r="IC593" s="18"/>
      <c r="ID593" s="18"/>
      <c r="IE593" s="18"/>
      <c r="IF593" s="18"/>
      <c r="IG593" s="18"/>
      <c r="IH593" s="18"/>
      <c r="II593" s="18"/>
      <c r="IJ593" s="18"/>
      <c r="IK593" s="18"/>
      <c r="IL593" s="18"/>
      <c r="IM593" s="18"/>
      <c r="IN593" s="18"/>
      <c r="IO593" s="18"/>
      <c r="IP593" s="18"/>
      <c r="IQ593" s="18"/>
      <c r="IR593" s="18"/>
      <c r="IS593" s="18"/>
      <c r="IT593" s="18"/>
      <c r="IU593" s="18"/>
      <c r="IV593" s="18"/>
      <c r="IW593" s="18"/>
      <c r="IX593" s="18"/>
      <c r="IY593" s="18"/>
      <c r="IZ593" s="18"/>
      <c r="JA593" s="18"/>
      <c r="JB593" s="18"/>
      <c r="JC593" s="18"/>
      <c r="JD593" s="18"/>
      <c r="JE593" s="18"/>
      <c r="JF593" s="18"/>
      <c r="JG593" s="18"/>
      <c r="JH593" s="18"/>
      <c r="JI593" s="18"/>
      <c r="JJ593" s="18"/>
      <c r="JK593" s="18"/>
      <c r="JL593" s="18"/>
      <c r="JM593" s="18"/>
      <c r="JN593" s="18"/>
      <c r="JO593" s="18"/>
      <c r="JP593" s="18"/>
      <c r="JQ593" s="18"/>
      <c r="JR593" s="18"/>
      <c r="JS593" s="18"/>
      <c r="JT593" s="18"/>
      <c r="JU593" s="18"/>
      <c r="JV593" s="18"/>
      <c r="JW593" s="18"/>
      <c r="JX593" s="18"/>
      <c r="JY593" s="18"/>
      <c r="JZ593" s="18"/>
      <c r="KA593" s="18"/>
      <c r="KB593" s="18"/>
      <c r="KC593" s="18"/>
      <c r="KD593" s="18"/>
      <c r="KE593" s="18"/>
      <c r="KF593" s="18"/>
      <c r="KG593" s="18"/>
      <c r="KH593" s="18"/>
      <c r="KI593" s="18"/>
      <c r="KJ593" s="18"/>
      <c r="KK593" s="18"/>
      <c r="KL593" s="18"/>
      <c r="KM593" s="18"/>
      <c r="KN593" s="18"/>
      <c r="KO593" s="18"/>
      <c r="KP593" s="18"/>
    </row>
    <row r="594" spans="1:302" ht="15" customHeight="1">
      <c r="A594" s="14"/>
      <c r="B594" s="14"/>
      <c r="C594" s="50"/>
      <c r="D594" s="50"/>
      <c r="E594" s="49"/>
      <c r="F594" s="46"/>
      <c r="G594" s="46"/>
      <c r="H594" s="46"/>
      <c r="I594" s="48"/>
      <c r="J594" s="48"/>
      <c r="K594" s="14"/>
      <c r="L594" s="14"/>
      <c r="P594" s="14"/>
      <c r="AG594" s="47"/>
      <c r="AH594" s="44"/>
      <c r="AI594" s="45"/>
      <c r="AJ594" s="44"/>
      <c r="AK594" s="43"/>
      <c r="AS594" s="14"/>
      <c r="AU594" s="18"/>
      <c r="AV594" s="18"/>
      <c r="AW594" s="18"/>
      <c r="AX594" s="18"/>
      <c r="AY594" s="18"/>
      <c r="AZ594" s="18"/>
      <c r="BB594" s="18"/>
      <c r="BC594" s="18"/>
      <c r="BD594" s="18"/>
      <c r="BE594" s="18"/>
      <c r="BF594" s="18"/>
      <c r="BH594" s="18"/>
      <c r="BI594" s="18"/>
      <c r="BJ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  <c r="FC594" s="18"/>
      <c r="FD594" s="18"/>
      <c r="FE594" s="18"/>
      <c r="FF594" s="18"/>
      <c r="FG594" s="18"/>
      <c r="FH594" s="18"/>
      <c r="FI594" s="18"/>
      <c r="FJ594" s="18"/>
      <c r="FK594" s="18"/>
      <c r="FL594" s="18"/>
      <c r="FM594" s="18"/>
      <c r="FN594" s="18"/>
      <c r="FO594" s="18"/>
      <c r="FP594" s="18"/>
      <c r="FQ594" s="18"/>
      <c r="FR594" s="18"/>
      <c r="FS594" s="18"/>
      <c r="FT594" s="18"/>
      <c r="FU594" s="18"/>
      <c r="FV594" s="18"/>
      <c r="FW594" s="18"/>
      <c r="FX594" s="18"/>
      <c r="FY594" s="18"/>
      <c r="FZ594" s="18"/>
      <c r="GA594" s="18"/>
      <c r="GB594" s="18"/>
      <c r="GC594" s="18"/>
      <c r="GD594" s="18"/>
      <c r="GE594" s="18"/>
      <c r="GF594" s="18"/>
      <c r="GG594" s="18"/>
      <c r="GH594" s="18"/>
      <c r="GI594" s="18"/>
      <c r="GJ594" s="18"/>
      <c r="GK594" s="18"/>
      <c r="GL594" s="18"/>
      <c r="GM594" s="18"/>
      <c r="GN594" s="18"/>
      <c r="GO594" s="18"/>
      <c r="GP594" s="18"/>
      <c r="GQ594" s="18"/>
      <c r="GR594" s="18"/>
      <c r="GS594" s="18"/>
      <c r="GT594" s="18"/>
      <c r="GU594" s="18"/>
      <c r="GV594" s="18"/>
      <c r="GW594" s="18"/>
      <c r="GX594" s="18"/>
      <c r="GY594" s="18"/>
      <c r="GZ594" s="18"/>
      <c r="HA594" s="18"/>
      <c r="HB594" s="18"/>
      <c r="HC594" s="18"/>
      <c r="HD594" s="18"/>
      <c r="HE594" s="18"/>
      <c r="HF594" s="18"/>
      <c r="HG594" s="13"/>
      <c r="HH594" s="13"/>
      <c r="HI594" s="13"/>
      <c r="HJ594" s="13"/>
      <c r="HK594" s="13"/>
      <c r="HL594" s="13"/>
      <c r="HM594" s="13"/>
      <c r="HN594" s="13"/>
      <c r="HO594" s="13"/>
      <c r="HP594" s="13"/>
      <c r="HQ594" s="13"/>
      <c r="HR594" s="13"/>
      <c r="HS594" s="13"/>
      <c r="HT594" s="13"/>
      <c r="HV594" s="18"/>
      <c r="HW594" s="18"/>
      <c r="HX594" s="18"/>
      <c r="HY594" s="18"/>
      <c r="HZ594" s="18"/>
      <c r="IA594" s="18"/>
      <c r="IB594" s="18"/>
      <c r="IC594" s="18"/>
      <c r="ID594" s="18"/>
      <c r="IE594" s="18"/>
      <c r="IF594" s="18"/>
      <c r="IG594" s="18"/>
      <c r="IH594" s="18"/>
      <c r="II594" s="18"/>
      <c r="IJ594" s="18"/>
      <c r="IK594" s="18"/>
      <c r="IL594" s="18"/>
      <c r="IM594" s="18"/>
      <c r="IN594" s="18"/>
      <c r="IO594" s="18"/>
      <c r="IP594" s="18"/>
      <c r="IQ594" s="18"/>
      <c r="IR594" s="18"/>
      <c r="IS594" s="18"/>
      <c r="IT594" s="18"/>
      <c r="IU594" s="18"/>
      <c r="IV594" s="18"/>
      <c r="IW594" s="18"/>
      <c r="IX594" s="18"/>
      <c r="IY594" s="18"/>
      <c r="IZ594" s="18"/>
      <c r="JA594" s="18"/>
      <c r="JB594" s="18"/>
      <c r="JC594" s="18"/>
      <c r="JD594" s="18"/>
      <c r="JE594" s="18"/>
      <c r="JF594" s="18"/>
      <c r="JG594" s="18"/>
      <c r="JH594" s="18"/>
      <c r="JI594" s="18"/>
      <c r="JJ594" s="18"/>
      <c r="JK594" s="18"/>
      <c r="JL594" s="18"/>
      <c r="JM594" s="18"/>
      <c r="JN594" s="18"/>
      <c r="JO594" s="18"/>
      <c r="JP594" s="18"/>
      <c r="JQ594" s="18"/>
      <c r="JR594" s="18"/>
      <c r="JS594" s="18"/>
      <c r="JT594" s="18"/>
      <c r="JU594" s="18"/>
      <c r="JV594" s="18"/>
      <c r="JW594" s="18"/>
      <c r="JX594" s="18"/>
      <c r="JY594" s="18"/>
      <c r="JZ594" s="18"/>
      <c r="KA594" s="18"/>
      <c r="KB594" s="18"/>
      <c r="KC594" s="18"/>
      <c r="KD594" s="18"/>
      <c r="KE594" s="18"/>
      <c r="KF594" s="18"/>
      <c r="KG594" s="18"/>
      <c r="KH594" s="18"/>
      <c r="KI594" s="18"/>
      <c r="KJ594" s="18"/>
      <c r="KK594" s="18"/>
      <c r="KL594" s="18"/>
      <c r="KM594" s="18"/>
      <c r="KN594" s="18"/>
      <c r="KO594" s="18"/>
      <c r="KP594" s="18"/>
    </row>
    <row r="595" spans="1:302" ht="15" customHeight="1">
      <c r="A595" s="14"/>
      <c r="B595" s="14"/>
      <c r="C595" s="50"/>
      <c r="D595" s="50"/>
      <c r="E595" s="49"/>
      <c r="F595" s="46"/>
      <c r="G595" s="46"/>
      <c r="H595" s="46"/>
      <c r="I595" s="48"/>
      <c r="J595" s="48"/>
      <c r="K595" s="14"/>
      <c r="L595" s="14"/>
      <c r="P595" s="14"/>
      <c r="AG595" s="47"/>
      <c r="AH595" s="44"/>
      <c r="AI595" s="45"/>
      <c r="AJ595" s="44"/>
      <c r="AK595" s="43"/>
      <c r="AS595" s="14"/>
      <c r="AU595" s="18"/>
      <c r="AV595" s="18"/>
      <c r="AW595" s="18"/>
      <c r="AX595" s="18"/>
      <c r="AY595" s="18"/>
      <c r="AZ595" s="18"/>
      <c r="BB595" s="18"/>
      <c r="BC595" s="18"/>
      <c r="BD595" s="18"/>
      <c r="BE595" s="18"/>
      <c r="BF595" s="18"/>
      <c r="BH595" s="18"/>
      <c r="BI595" s="18"/>
      <c r="BJ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  <c r="FC595" s="18"/>
      <c r="FD595" s="18"/>
      <c r="FE595" s="18"/>
      <c r="FF595" s="18"/>
      <c r="FG595" s="18"/>
      <c r="FH595" s="18"/>
      <c r="FI595" s="18"/>
      <c r="FJ595" s="18"/>
      <c r="FK595" s="18"/>
      <c r="FL595" s="18"/>
      <c r="FM595" s="18"/>
      <c r="FN595" s="18"/>
      <c r="FO595" s="18"/>
      <c r="FP595" s="18"/>
      <c r="FQ595" s="18"/>
      <c r="FR595" s="18"/>
      <c r="FS595" s="18"/>
      <c r="FT595" s="18"/>
      <c r="FU595" s="18"/>
      <c r="FV595" s="18"/>
      <c r="FW595" s="18"/>
      <c r="FX595" s="18"/>
      <c r="FY595" s="18"/>
      <c r="FZ595" s="18"/>
      <c r="GA595" s="18"/>
      <c r="GB595" s="18"/>
      <c r="GC595" s="18"/>
      <c r="GD595" s="18"/>
      <c r="GE595" s="18"/>
      <c r="GF595" s="18"/>
      <c r="GG595" s="18"/>
      <c r="GH595" s="18"/>
      <c r="GI595" s="18"/>
      <c r="GJ595" s="18"/>
      <c r="GK595" s="18"/>
      <c r="GL595" s="18"/>
      <c r="GM595" s="18"/>
      <c r="GN595" s="18"/>
      <c r="GO595" s="18"/>
      <c r="GP595" s="18"/>
      <c r="GQ595" s="18"/>
      <c r="GR595" s="18"/>
      <c r="GS595" s="18"/>
      <c r="GT595" s="18"/>
      <c r="GU595" s="18"/>
      <c r="GV595" s="18"/>
      <c r="GW595" s="18"/>
      <c r="GX595" s="18"/>
      <c r="GY595" s="18"/>
      <c r="GZ595" s="18"/>
      <c r="HA595" s="18"/>
      <c r="HB595" s="18"/>
      <c r="HC595" s="18"/>
      <c r="HD595" s="18"/>
      <c r="HE595" s="18"/>
      <c r="HF595" s="18"/>
      <c r="HG595" s="13"/>
      <c r="HH595" s="13"/>
      <c r="HI595" s="13"/>
      <c r="HJ595" s="13"/>
      <c r="HK595" s="13"/>
      <c r="HL595" s="13"/>
      <c r="HM595" s="13"/>
      <c r="HN595" s="13"/>
      <c r="HO595" s="13"/>
      <c r="HP595" s="13"/>
      <c r="HQ595" s="13"/>
      <c r="HR595" s="13"/>
      <c r="HS595" s="13"/>
      <c r="HT595" s="13"/>
      <c r="HV595" s="18"/>
      <c r="HW595" s="18"/>
      <c r="HX595" s="18"/>
      <c r="HY595" s="18"/>
      <c r="HZ595" s="18"/>
      <c r="IA595" s="18"/>
      <c r="IB595" s="18"/>
      <c r="IC595" s="18"/>
      <c r="ID595" s="18"/>
      <c r="IE595" s="18"/>
      <c r="IF595" s="18"/>
      <c r="IG595" s="18"/>
      <c r="IH595" s="18"/>
      <c r="II595" s="18"/>
      <c r="IJ595" s="18"/>
      <c r="IK595" s="18"/>
      <c r="IL595" s="18"/>
      <c r="IM595" s="18"/>
      <c r="IN595" s="18"/>
      <c r="IO595" s="18"/>
      <c r="IP595" s="18"/>
      <c r="IQ595" s="18"/>
      <c r="IR595" s="18"/>
      <c r="IS595" s="18"/>
      <c r="IT595" s="18"/>
      <c r="IU595" s="18"/>
      <c r="IV595" s="18"/>
      <c r="IW595" s="18"/>
      <c r="IX595" s="18"/>
      <c r="IY595" s="18"/>
      <c r="IZ595" s="18"/>
      <c r="JA595" s="18"/>
      <c r="JB595" s="18"/>
      <c r="JC595" s="18"/>
      <c r="JD595" s="18"/>
      <c r="JE595" s="18"/>
      <c r="JF595" s="18"/>
      <c r="JG595" s="18"/>
      <c r="JH595" s="18"/>
      <c r="JI595" s="18"/>
      <c r="JJ595" s="18"/>
      <c r="JK595" s="18"/>
      <c r="JL595" s="18"/>
      <c r="JM595" s="18"/>
      <c r="JN595" s="18"/>
      <c r="JO595" s="18"/>
      <c r="JP595" s="18"/>
      <c r="JQ595" s="18"/>
      <c r="JR595" s="18"/>
      <c r="JS595" s="18"/>
      <c r="JT595" s="18"/>
      <c r="JU595" s="18"/>
      <c r="JV595" s="18"/>
      <c r="JW595" s="18"/>
      <c r="JX595" s="18"/>
      <c r="JY595" s="18"/>
      <c r="JZ595" s="18"/>
      <c r="KA595" s="18"/>
      <c r="KB595" s="18"/>
      <c r="KC595" s="18"/>
      <c r="KD595" s="18"/>
      <c r="KE595" s="18"/>
      <c r="KF595" s="18"/>
      <c r="KG595" s="18"/>
      <c r="KH595" s="18"/>
      <c r="KI595" s="18"/>
      <c r="KJ595" s="18"/>
      <c r="KK595" s="18"/>
      <c r="KL595" s="18"/>
      <c r="KM595" s="18"/>
      <c r="KN595" s="18"/>
      <c r="KO595" s="18"/>
      <c r="KP595" s="18"/>
    </row>
    <row r="596" spans="1:302" ht="15" customHeight="1">
      <c r="A596" s="14"/>
      <c r="B596" s="14"/>
      <c r="C596" s="50"/>
      <c r="D596" s="50"/>
      <c r="E596" s="49"/>
      <c r="F596" s="46"/>
      <c r="G596" s="46"/>
      <c r="H596" s="46"/>
      <c r="I596" s="48"/>
      <c r="J596" s="48"/>
      <c r="K596" s="14"/>
      <c r="L596" s="14"/>
      <c r="P596" s="14"/>
      <c r="AG596" s="47"/>
      <c r="AH596" s="44"/>
      <c r="AI596" s="45"/>
      <c r="AJ596" s="44"/>
      <c r="AK596" s="43"/>
      <c r="AS596" s="14"/>
      <c r="AU596" s="18"/>
      <c r="AV596" s="18"/>
      <c r="AW596" s="18"/>
      <c r="AX596" s="18"/>
      <c r="AY596" s="18"/>
      <c r="AZ596" s="18"/>
      <c r="BB596" s="18"/>
      <c r="BC596" s="18"/>
      <c r="BD596" s="18"/>
      <c r="BE596" s="18"/>
      <c r="BF596" s="18"/>
      <c r="BH596" s="18"/>
      <c r="BI596" s="18"/>
      <c r="BJ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  <c r="FC596" s="18"/>
      <c r="FD596" s="18"/>
      <c r="FE596" s="18"/>
      <c r="FF596" s="18"/>
      <c r="FG596" s="18"/>
      <c r="FH596" s="18"/>
      <c r="FI596" s="18"/>
      <c r="FJ596" s="18"/>
      <c r="FK596" s="18"/>
      <c r="FL596" s="18"/>
      <c r="FM596" s="18"/>
      <c r="FN596" s="18"/>
      <c r="FO596" s="18"/>
      <c r="FP596" s="18"/>
      <c r="FQ596" s="18"/>
      <c r="FR596" s="18"/>
      <c r="FS596" s="18"/>
      <c r="FT596" s="18"/>
      <c r="FU596" s="18"/>
      <c r="FV596" s="18"/>
      <c r="FW596" s="18"/>
      <c r="FX596" s="18"/>
      <c r="FY596" s="18"/>
      <c r="FZ596" s="18"/>
      <c r="GA596" s="18"/>
      <c r="GB596" s="18"/>
      <c r="GC596" s="18"/>
      <c r="GD596" s="18"/>
      <c r="GE596" s="18"/>
      <c r="GF596" s="18"/>
      <c r="GG596" s="18"/>
      <c r="GH596" s="18"/>
      <c r="GI596" s="18"/>
      <c r="GJ596" s="18"/>
      <c r="GK596" s="18"/>
      <c r="GL596" s="18"/>
      <c r="GM596" s="18"/>
      <c r="GN596" s="18"/>
      <c r="GO596" s="18"/>
      <c r="GP596" s="18"/>
      <c r="GQ596" s="18"/>
      <c r="GR596" s="18"/>
      <c r="GS596" s="18"/>
      <c r="GT596" s="18"/>
      <c r="GU596" s="18"/>
      <c r="GV596" s="18"/>
      <c r="GW596" s="18"/>
      <c r="GX596" s="18"/>
      <c r="GY596" s="18"/>
      <c r="GZ596" s="18"/>
      <c r="HA596" s="18"/>
      <c r="HB596" s="18"/>
      <c r="HC596" s="18"/>
      <c r="HD596" s="18"/>
      <c r="HE596" s="18"/>
      <c r="HF596" s="18"/>
      <c r="HG596" s="13"/>
      <c r="HH596" s="13"/>
      <c r="HI596" s="13"/>
      <c r="HJ596" s="13"/>
      <c r="HK596" s="13"/>
      <c r="HL596" s="13"/>
      <c r="HM596" s="13"/>
      <c r="HN596" s="13"/>
      <c r="HO596" s="13"/>
      <c r="HP596" s="13"/>
      <c r="HQ596" s="13"/>
      <c r="HR596" s="13"/>
      <c r="HS596" s="13"/>
      <c r="HT596" s="13"/>
      <c r="HV596" s="18"/>
      <c r="HW596" s="18"/>
      <c r="HX596" s="18"/>
      <c r="HY596" s="18"/>
      <c r="HZ596" s="18"/>
      <c r="IA596" s="18"/>
      <c r="IB596" s="18"/>
      <c r="IC596" s="18"/>
      <c r="ID596" s="18"/>
      <c r="IE596" s="18"/>
      <c r="IF596" s="18"/>
      <c r="IG596" s="18"/>
      <c r="IH596" s="18"/>
      <c r="II596" s="18"/>
      <c r="IJ596" s="18"/>
      <c r="IK596" s="18"/>
      <c r="IL596" s="18"/>
      <c r="IM596" s="18"/>
      <c r="IN596" s="18"/>
      <c r="IO596" s="18"/>
      <c r="IP596" s="18"/>
      <c r="IQ596" s="18"/>
      <c r="IR596" s="18"/>
      <c r="IS596" s="18"/>
      <c r="IT596" s="18"/>
      <c r="IU596" s="18"/>
      <c r="IV596" s="18"/>
      <c r="IW596" s="18"/>
      <c r="IX596" s="18"/>
      <c r="IY596" s="18"/>
      <c r="IZ596" s="18"/>
      <c r="JA596" s="18"/>
      <c r="JB596" s="18"/>
      <c r="JC596" s="18"/>
      <c r="JD596" s="18"/>
      <c r="JE596" s="18"/>
      <c r="JF596" s="18"/>
      <c r="JG596" s="18"/>
      <c r="JH596" s="18"/>
      <c r="JI596" s="18"/>
      <c r="JJ596" s="18"/>
      <c r="JK596" s="18"/>
      <c r="JL596" s="18"/>
      <c r="JM596" s="18"/>
      <c r="JN596" s="18"/>
      <c r="JO596" s="18"/>
      <c r="JP596" s="18"/>
      <c r="JQ596" s="18"/>
      <c r="JR596" s="18"/>
      <c r="JS596" s="18"/>
      <c r="JT596" s="18"/>
      <c r="JU596" s="18"/>
      <c r="JV596" s="18"/>
      <c r="JW596" s="18"/>
      <c r="JX596" s="18"/>
      <c r="JY596" s="18"/>
      <c r="JZ596" s="18"/>
      <c r="KA596" s="18"/>
      <c r="KB596" s="18"/>
      <c r="KC596" s="18"/>
      <c r="KD596" s="18"/>
      <c r="KE596" s="18"/>
      <c r="KF596" s="18"/>
      <c r="KG596" s="18"/>
      <c r="KH596" s="18"/>
      <c r="KI596" s="18"/>
      <c r="KJ596" s="18"/>
      <c r="KK596" s="18"/>
      <c r="KL596" s="18"/>
      <c r="KM596" s="18"/>
      <c r="KN596" s="18"/>
      <c r="KO596" s="18"/>
      <c r="KP596" s="18"/>
    </row>
    <row r="597" spans="1:302" ht="15" customHeight="1">
      <c r="A597" s="14"/>
      <c r="B597" s="14"/>
      <c r="C597" s="50"/>
      <c r="D597" s="50"/>
      <c r="E597" s="49"/>
      <c r="F597" s="46"/>
      <c r="G597" s="1"/>
      <c r="H597" s="1"/>
      <c r="I597" s="48"/>
      <c r="J597" s="48"/>
      <c r="K597" s="14"/>
      <c r="L597" s="14"/>
      <c r="P597" s="14"/>
      <c r="AG597" s="47"/>
      <c r="AH597" s="44"/>
      <c r="AI597" s="45"/>
      <c r="AJ597" s="44"/>
      <c r="AK597" s="43"/>
      <c r="AS597" s="14"/>
      <c r="AU597" s="18"/>
      <c r="AV597" s="18"/>
      <c r="AW597" s="18"/>
      <c r="AX597" s="18"/>
      <c r="AY597" s="18"/>
      <c r="AZ597" s="18"/>
      <c r="BB597" s="18"/>
      <c r="BC597" s="18"/>
      <c r="BD597" s="18"/>
      <c r="BE597" s="18"/>
      <c r="BF597" s="18"/>
      <c r="BH597" s="18"/>
      <c r="BI597" s="18"/>
      <c r="BJ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  <c r="FC597" s="18"/>
      <c r="FD597" s="18"/>
      <c r="FE597" s="18"/>
      <c r="FF597" s="18"/>
      <c r="FG597" s="18"/>
      <c r="FH597" s="18"/>
      <c r="FI597" s="18"/>
      <c r="FJ597" s="18"/>
      <c r="FK597" s="18"/>
      <c r="FL597" s="18"/>
      <c r="FM597" s="18"/>
      <c r="FN597" s="18"/>
      <c r="FO597" s="18"/>
      <c r="FP597" s="18"/>
      <c r="FQ597" s="18"/>
      <c r="FR597" s="18"/>
      <c r="FS597" s="18"/>
      <c r="FT597" s="18"/>
      <c r="FU597" s="18"/>
      <c r="FV597" s="18"/>
      <c r="FW597" s="18"/>
      <c r="FX597" s="18"/>
      <c r="FY597" s="18"/>
      <c r="FZ597" s="18"/>
      <c r="GA597" s="18"/>
      <c r="GB597" s="18"/>
      <c r="GC597" s="18"/>
      <c r="GD597" s="18"/>
      <c r="GE597" s="18"/>
      <c r="GF597" s="18"/>
      <c r="GG597" s="18"/>
      <c r="GH597" s="18"/>
      <c r="GI597" s="18"/>
      <c r="GJ597" s="18"/>
      <c r="GK597" s="18"/>
      <c r="GL597" s="18"/>
      <c r="GM597" s="18"/>
      <c r="GN597" s="18"/>
      <c r="GO597" s="18"/>
      <c r="GP597" s="18"/>
      <c r="GQ597" s="18"/>
      <c r="GR597" s="18"/>
      <c r="GS597" s="18"/>
      <c r="GT597" s="18"/>
      <c r="GU597" s="18"/>
      <c r="GV597" s="18"/>
      <c r="GW597" s="18"/>
      <c r="GX597" s="18"/>
      <c r="GY597" s="18"/>
      <c r="GZ597" s="18"/>
      <c r="HA597" s="18"/>
      <c r="HB597" s="18"/>
      <c r="HC597" s="18"/>
      <c r="HD597" s="18"/>
      <c r="HE597" s="18"/>
      <c r="HF597" s="18"/>
      <c r="HG597" s="13"/>
      <c r="HH597" s="13"/>
      <c r="HI597" s="13"/>
      <c r="HJ597" s="13"/>
      <c r="HK597" s="13"/>
      <c r="HL597" s="13"/>
      <c r="HM597" s="13"/>
      <c r="HN597" s="13"/>
      <c r="HO597" s="13"/>
      <c r="HP597" s="13"/>
      <c r="HQ597" s="13"/>
      <c r="HR597" s="13"/>
      <c r="HS597" s="13"/>
      <c r="HT597" s="13"/>
      <c r="HV597" s="18"/>
      <c r="HW597" s="18"/>
      <c r="HX597" s="18"/>
      <c r="HY597" s="18"/>
      <c r="HZ597" s="18"/>
      <c r="IA597" s="18"/>
      <c r="IB597" s="18"/>
      <c r="IC597" s="18"/>
      <c r="ID597" s="18"/>
      <c r="IE597" s="18"/>
      <c r="IF597" s="18"/>
      <c r="IG597" s="18"/>
      <c r="IH597" s="18"/>
      <c r="II597" s="18"/>
      <c r="IJ597" s="18"/>
      <c r="IK597" s="18"/>
      <c r="IL597" s="18"/>
      <c r="IM597" s="18"/>
      <c r="IN597" s="18"/>
      <c r="IO597" s="18"/>
      <c r="IP597" s="18"/>
      <c r="IQ597" s="18"/>
      <c r="IR597" s="18"/>
      <c r="IS597" s="18"/>
      <c r="IT597" s="18"/>
      <c r="IU597" s="18"/>
      <c r="IV597" s="18"/>
      <c r="IW597" s="18"/>
      <c r="IX597" s="18"/>
      <c r="IY597" s="18"/>
      <c r="IZ597" s="18"/>
      <c r="JA597" s="18"/>
      <c r="JB597" s="18"/>
      <c r="JC597" s="18"/>
      <c r="JD597" s="18"/>
      <c r="JE597" s="18"/>
      <c r="JF597" s="18"/>
      <c r="JG597" s="18"/>
      <c r="JH597" s="18"/>
      <c r="JI597" s="18"/>
      <c r="JJ597" s="18"/>
      <c r="JK597" s="18"/>
      <c r="JL597" s="18"/>
      <c r="JM597" s="18"/>
      <c r="JN597" s="18"/>
      <c r="JO597" s="18"/>
      <c r="JP597" s="18"/>
      <c r="JQ597" s="18"/>
      <c r="JR597" s="18"/>
      <c r="JS597" s="18"/>
      <c r="JT597" s="18"/>
      <c r="JU597" s="18"/>
      <c r="JV597" s="18"/>
      <c r="JW597" s="18"/>
      <c r="JX597" s="18"/>
      <c r="JY597" s="18"/>
      <c r="JZ597" s="18"/>
      <c r="KA597" s="18"/>
      <c r="KB597" s="18"/>
      <c r="KC597" s="18"/>
      <c r="KD597" s="18"/>
      <c r="KE597" s="18"/>
      <c r="KF597" s="18"/>
      <c r="KG597" s="18"/>
      <c r="KH597" s="18"/>
      <c r="KI597" s="18"/>
      <c r="KJ597" s="18"/>
      <c r="KK597" s="18"/>
      <c r="KL597" s="18"/>
      <c r="KM597" s="18"/>
      <c r="KN597" s="18"/>
      <c r="KO597" s="18"/>
      <c r="KP597" s="18"/>
    </row>
    <row r="598" spans="1:302" ht="15" customHeight="1">
      <c r="A598" s="14"/>
      <c r="B598" s="14"/>
      <c r="C598" s="50"/>
      <c r="D598" s="50"/>
      <c r="E598" s="49"/>
      <c r="F598" s="46"/>
      <c r="G598" s="1"/>
      <c r="H598" s="1"/>
      <c r="I598" s="48"/>
      <c r="J598" s="48"/>
      <c r="K598" s="14"/>
      <c r="L598" s="14"/>
      <c r="P598" s="14"/>
      <c r="AG598" s="47"/>
      <c r="AH598" s="44"/>
      <c r="AI598" s="45"/>
      <c r="AJ598" s="44"/>
      <c r="AK598" s="43"/>
      <c r="AS598" s="14"/>
      <c r="AU598" s="18"/>
      <c r="AV598" s="18"/>
      <c r="AW598" s="18"/>
      <c r="AX598" s="18"/>
      <c r="AY598" s="18"/>
      <c r="AZ598" s="18"/>
      <c r="BB598" s="18"/>
      <c r="BC598" s="18"/>
      <c r="BD598" s="18"/>
      <c r="BE598" s="18"/>
      <c r="BF598" s="18"/>
      <c r="BH598" s="18"/>
      <c r="BI598" s="18"/>
      <c r="BJ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  <c r="FC598" s="18"/>
      <c r="FD598" s="18"/>
      <c r="FE598" s="18"/>
      <c r="FF598" s="18"/>
      <c r="FG598" s="18"/>
      <c r="FH598" s="18"/>
      <c r="FI598" s="18"/>
      <c r="FJ598" s="18"/>
      <c r="FK598" s="18"/>
      <c r="FL598" s="18"/>
      <c r="FM598" s="18"/>
      <c r="FN598" s="18"/>
      <c r="FO598" s="18"/>
      <c r="FP598" s="18"/>
      <c r="FQ598" s="18"/>
      <c r="FR598" s="18"/>
      <c r="FS598" s="18"/>
      <c r="FT598" s="18"/>
      <c r="FU598" s="18"/>
      <c r="FV598" s="18"/>
      <c r="FW598" s="18"/>
      <c r="FX598" s="18"/>
      <c r="FY598" s="18"/>
      <c r="FZ598" s="18"/>
      <c r="GA598" s="18"/>
      <c r="GB598" s="18"/>
      <c r="GC598" s="18"/>
      <c r="GD598" s="18"/>
      <c r="GE598" s="18"/>
      <c r="GF598" s="18"/>
      <c r="GG598" s="18"/>
      <c r="GH598" s="18"/>
      <c r="GI598" s="18"/>
      <c r="GJ598" s="18"/>
      <c r="GK598" s="18"/>
      <c r="GL598" s="18"/>
      <c r="GM598" s="18"/>
      <c r="GN598" s="18"/>
      <c r="GO598" s="18"/>
      <c r="GP598" s="18"/>
      <c r="GQ598" s="18"/>
      <c r="GR598" s="18"/>
      <c r="GS598" s="18"/>
      <c r="GT598" s="18"/>
      <c r="GU598" s="18"/>
      <c r="GV598" s="18"/>
      <c r="GW598" s="18"/>
      <c r="GX598" s="18"/>
      <c r="GY598" s="18"/>
      <c r="GZ598" s="18"/>
      <c r="HA598" s="18"/>
      <c r="HB598" s="18"/>
      <c r="HC598" s="18"/>
      <c r="HD598" s="18"/>
      <c r="HE598" s="18"/>
      <c r="HF598" s="18"/>
      <c r="HG598" s="13"/>
      <c r="HH598" s="13"/>
      <c r="HI598" s="13"/>
      <c r="HJ598" s="13"/>
      <c r="HK598" s="13"/>
      <c r="HL598" s="13"/>
      <c r="HM598" s="13"/>
      <c r="HN598" s="13"/>
      <c r="HO598" s="13"/>
      <c r="HP598" s="13"/>
      <c r="HQ598" s="13"/>
      <c r="HR598" s="13"/>
      <c r="HS598" s="13"/>
      <c r="HT598" s="13"/>
      <c r="HV598" s="18"/>
      <c r="HW598" s="18"/>
      <c r="HX598" s="18"/>
      <c r="HY598" s="18"/>
      <c r="HZ598" s="18"/>
      <c r="IA598" s="18"/>
      <c r="IB598" s="18"/>
      <c r="IC598" s="18"/>
      <c r="ID598" s="18"/>
      <c r="IE598" s="18"/>
      <c r="IF598" s="18"/>
      <c r="IG598" s="18"/>
      <c r="IH598" s="18"/>
      <c r="II598" s="18"/>
      <c r="IJ598" s="18"/>
      <c r="IK598" s="18"/>
      <c r="IL598" s="18"/>
      <c r="IM598" s="18"/>
      <c r="IN598" s="18"/>
      <c r="IO598" s="18"/>
      <c r="IP598" s="18"/>
      <c r="IQ598" s="18"/>
      <c r="IR598" s="18"/>
      <c r="IS598" s="18"/>
      <c r="IT598" s="18"/>
      <c r="IU598" s="18"/>
      <c r="IV598" s="18"/>
      <c r="IW598" s="18"/>
      <c r="IX598" s="18"/>
      <c r="IY598" s="18"/>
      <c r="IZ598" s="18"/>
      <c r="JA598" s="18"/>
      <c r="JB598" s="18"/>
      <c r="JC598" s="18"/>
      <c r="JD598" s="18"/>
      <c r="JE598" s="18"/>
      <c r="JF598" s="18"/>
      <c r="JG598" s="18"/>
      <c r="JH598" s="18"/>
      <c r="JI598" s="18"/>
      <c r="JJ598" s="18"/>
      <c r="JK598" s="18"/>
      <c r="JL598" s="18"/>
      <c r="JM598" s="18"/>
      <c r="JN598" s="18"/>
      <c r="JO598" s="18"/>
      <c r="JP598" s="18"/>
      <c r="JQ598" s="18"/>
      <c r="JR598" s="18"/>
      <c r="JS598" s="18"/>
      <c r="JT598" s="18"/>
      <c r="JU598" s="18"/>
      <c r="JV598" s="18"/>
      <c r="JW598" s="18"/>
      <c r="JX598" s="18"/>
      <c r="JY598" s="18"/>
      <c r="JZ598" s="18"/>
      <c r="KA598" s="18"/>
      <c r="KB598" s="18"/>
      <c r="KC598" s="18"/>
      <c r="KD598" s="18"/>
      <c r="KE598" s="18"/>
      <c r="KF598" s="18"/>
      <c r="KG598" s="18"/>
      <c r="KH598" s="18"/>
      <c r="KI598" s="18"/>
      <c r="KJ598" s="18"/>
      <c r="KK598" s="18"/>
      <c r="KL598" s="18"/>
      <c r="KM598" s="18"/>
      <c r="KN598" s="18"/>
      <c r="KO598" s="18"/>
      <c r="KP598" s="18"/>
    </row>
    <row r="599" spans="1:302" ht="15" customHeight="1">
      <c r="A599" s="14"/>
      <c r="B599" s="14"/>
      <c r="C599" s="50"/>
      <c r="D599" s="50"/>
      <c r="E599" s="49"/>
      <c r="F599" s="46"/>
      <c r="G599" s="46"/>
      <c r="H599" s="46"/>
      <c r="I599" s="48"/>
      <c r="J599" s="48"/>
      <c r="K599" s="14"/>
      <c r="L599" s="14"/>
      <c r="P599" s="14"/>
      <c r="AG599" s="47"/>
      <c r="AH599" s="44"/>
      <c r="AI599" s="45"/>
      <c r="AJ599" s="44"/>
      <c r="AK599" s="43"/>
      <c r="AS599" s="14"/>
      <c r="AU599" s="18"/>
      <c r="AV599" s="18"/>
      <c r="AW599" s="18"/>
      <c r="AX599" s="18"/>
      <c r="AY599" s="18"/>
      <c r="AZ599" s="18"/>
      <c r="BB599" s="18"/>
      <c r="BC599" s="18"/>
      <c r="BD599" s="18"/>
      <c r="BE599" s="18"/>
      <c r="BF599" s="18"/>
      <c r="BH599" s="18"/>
      <c r="BI599" s="18"/>
      <c r="BJ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  <c r="FC599" s="18"/>
      <c r="FD599" s="18"/>
      <c r="FE599" s="18"/>
      <c r="FF599" s="18"/>
      <c r="FG599" s="18"/>
      <c r="FH599" s="18"/>
      <c r="FI599" s="18"/>
      <c r="FJ599" s="18"/>
      <c r="FK599" s="18"/>
      <c r="FL599" s="18"/>
      <c r="FM599" s="18"/>
      <c r="FN599" s="18"/>
      <c r="FO599" s="18"/>
      <c r="FP599" s="18"/>
      <c r="FQ599" s="18"/>
      <c r="FR599" s="18"/>
      <c r="FS599" s="18"/>
      <c r="FT599" s="18"/>
      <c r="FU599" s="18"/>
      <c r="FV599" s="18"/>
      <c r="FW599" s="18"/>
      <c r="FX599" s="18"/>
      <c r="FY599" s="18"/>
      <c r="FZ599" s="18"/>
      <c r="GA599" s="18"/>
      <c r="GB599" s="18"/>
      <c r="GC599" s="18"/>
      <c r="GD599" s="18"/>
      <c r="GE599" s="18"/>
      <c r="GF599" s="18"/>
      <c r="GG599" s="18"/>
      <c r="GH599" s="18"/>
      <c r="GI599" s="18"/>
      <c r="GJ599" s="18"/>
      <c r="GK599" s="18"/>
      <c r="GL599" s="18"/>
      <c r="GM599" s="18"/>
      <c r="GN599" s="18"/>
      <c r="GO599" s="18"/>
      <c r="GP599" s="18"/>
      <c r="GQ599" s="18"/>
      <c r="GR599" s="18"/>
      <c r="GS599" s="18"/>
      <c r="GT599" s="18"/>
      <c r="GU599" s="18"/>
      <c r="GV599" s="18"/>
      <c r="GW599" s="18"/>
      <c r="GX599" s="18"/>
      <c r="GY599" s="18"/>
      <c r="GZ599" s="18"/>
      <c r="HA599" s="18"/>
      <c r="HB599" s="18"/>
      <c r="HC599" s="18"/>
      <c r="HD599" s="18"/>
      <c r="HE599" s="18"/>
      <c r="HF599" s="18"/>
      <c r="HG599" s="13"/>
      <c r="HH599" s="13"/>
      <c r="HI599" s="13"/>
      <c r="HJ599" s="13"/>
      <c r="HK599" s="13"/>
      <c r="HL599" s="13"/>
      <c r="HM599" s="13"/>
      <c r="HN599" s="13"/>
      <c r="HO599" s="13"/>
      <c r="HP599" s="13"/>
      <c r="HQ599" s="13"/>
      <c r="HR599" s="13"/>
      <c r="HS599" s="13"/>
      <c r="HT599" s="13"/>
      <c r="HV599" s="18"/>
      <c r="HW599" s="18"/>
      <c r="HX599" s="18"/>
      <c r="HY599" s="18"/>
      <c r="HZ599" s="18"/>
      <c r="IA599" s="18"/>
      <c r="IB599" s="18"/>
      <c r="IC599" s="18"/>
      <c r="ID599" s="18"/>
      <c r="IE599" s="18"/>
      <c r="IF599" s="18"/>
      <c r="IG599" s="18"/>
      <c r="IH599" s="18"/>
      <c r="II599" s="18"/>
      <c r="IJ599" s="18"/>
      <c r="IK599" s="18"/>
      <c r="IL599" s="18"/>
      <c r="IM599" s="18"/>
      <c r="IN599" s="18"/>
      <c r="IO599" s="18"/>
      <c r="IP599" s="18"/>
      <c r="IQ599" s="18"/>
      <c r="IR599" s="18"/>
      <c r="IS599" s="18"/>
      <c r="IT599" s="18"/>
      <c r="IU599" s="18"/>
      <c r="IV599" s="18"/>
      <c r="IW599" s="18"/>
      <c r="IX599" s="18"/>
      <c r="IY599" s="18"/>
      <c r="IZ599" s="18"/>
      <c r="JA599" s="18"/>
      <c r="JB599" s="18"/>
      <c r="JC599" s="18"/>
      <c r="JD599" s="18"/>
      <c r="JE599" s="18"/>
      <c r="JF599" s="18"/>
      <c r="JG599" s="18"/>
      <c r="JH599" s="18"/>
      <c r="JI599" s="18"/>
      <c r="JJ599" s="18"/>
      <c r="JK599" s="18"/>
      <c r="JL599" s="18"/>
      <c r="JM599" s="18"/>
      <c r="JN599" s="18"/>
      <c r="JO599" s="18"/>
      <c r="JP599" s="18"/>
      <c r="JQ599" s="18"/>
      <c r="JR599" s="18"/>
      <c r="JS599" s="18"/>
      <c r="JT599" s="18"/>
      <c r="JU599" s="18"/>
      <c r="JV599" s="18"/>
      <c r="JW599" s="18"/>
      <c r="JX599" s="18"/>
      <c r="JY599" s="18"/>
      <c r="JZ599" s="18"/>
      <c r="KA599" s="18"/>
      <c r="KB599" s="18"/>
      <c r="KC599" s="18"/>
      <c r="KD599" s="18"/>
      <c r="KE599" s="18"/>
      <c r="KF599" s="18"/>
      <c r="KG599" s="18"/>
      <c r="KH599" s="18"/>
      <c r="KI599" s="18"/>
      <c r="KJ599" s="18"/>
      <c r="KK599" s="18"/>
      <c r="KL599" s="18"/>
      <c r="KM599" s="18"/>
      <c r="KN599" s="18"/>
      <c r="KO599" s="18"/>
      <c r="KP599" s="18"/>
    </row>
    <row r="600" spans="1:302" ht="15" customHeight="1">
      <c r="A600" s="14"/>
      <c r="B600" s="14"/>
      <c r="C600" s="50"/>
      <c r="D600" s="50"/>
      <c r="E600" s="49"/>
      <c r="F600" s="46"/>
      <c r="G600" s="46"/>
      <c r="H600" s="46"/>
      <c r="I600" s="48"/>
      <c r="J600" s="48"/>
      <c r="K600" s="14"/>
      <c r="L600" s="14"/>
      <c r="P600" s="14"/>
      <c r="AG600" s="47"/>
      <c r="AH600" s="44"/>
      <c r="AI600" s="45"/>
      <c r="AJ600" s="44"/>
      <c r="AK600" s="43"/>
      <c r="AS600" s="14"/>
      <c r="AU600" s="18"/>
      <c r="AV600" s="18"/>
      <c r="AW600" s="18"/>
      <c r="AX600" s="18"/>
      <c r="AY600" s="18"/>
      <c r="AZ600" s="18"/>
      <c r="BB600" s="18"/>
      <c r="BC600" s="18"/>
      <c r="BD600" s="18"/>
      <c r="BE600" s="18"/>
      <c r="BF600" s="18"/>
      <c r="BH600" s="18"/>
      <c r="BI600" s="18"/>
      <c r="BJ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  <c r="FC600" s="18"/>
      <c r="FD600" s="18"/>
      <c r="FE600" s="18"/>
      <c r="FF600" s="18"/>
      <c r="FG600" s="18"/>
      <c r="FH600" s="18"/>
      <c r="FI600" s="18"/>
      <c r="FJ600" s="18"/>
      <c r="FK600" s="18"/>
      <c r="FL600" s="18"/>
      <c r="FM600" s="18"/>
      <c r="FN600" s="18"/>
      <c r="FO600" s="18"/>
      <c r="FP600" s="18"/>
      <c r="FQ600" s="18"/>
      <c r="FR600" s="18"/>
      <c r="FS600" s="18"/>
      <c r="FT600" s="18"/>
      <c r="FU600" s="18"/>
      <c r="FV600" s="18"/>
      <c r="FW600" s="18"/>
      <c r="FX600" s="18"/>
      <c r="FY600" s="18"/>
      <c r="FZ600" s="18"/>
      <c r="GA600" s="18"/>
      <c r="GB600" s="18"/>
      <c r="GC600" s="18"/>
      <c r="GD600" s="18"/>
      <c r="GE600" s="18"/>
      <c r="GF600" s="18"/>
      <c r="GG600" s="18"/>
      <c r="GH600" s="18"/>
      <c r="GI600" s="18"/>
      <c r="GJ600" s="18"/>
      <c r="GK600" s="18"/>
      <c r="GL600" s="18"/>
      <c r="GM600" s="18"/>
      <c r="GN600" s="18"/>
      <c r="GO600" s="18"/>
      <c r="GP600" s="18"/>
      <c r="GQ600" s="18"/>
      <c r="GR600" s="18"/>
      <c r="GS600" s="18"/>
      <c r="GT600" s="18"/>
      <c r="GU600" s="18"/>
      <c r="GV600" s="18"/>
      <c r="GW600" s="18"/>
      <c r="GX600" s="18"/>
      <c r="GY600" s="18"/>
      <c r="GZ600" s="18"/>
      <c r="HA600" s="18"/>
      <c r="HB600" s="18"/>
      <c r="HC600" s="18"/>
      <c r="HD600" s="18"/>
      <c r="HE600" s="18"/>
      <c r="HF600" s="18"/>
      <c r="HG600" s="13"/>
      <c r="HH600" s="13"/>
      <c r="HI600" s="13"/>
      <c r="HJ600" s="13"/>
      <c r="HK600" s="13"/>
      <c r="HL600" s="13"/>
      <c r="HM600" s="13"/>
      <c r="HN600" s="13"/>
      <c r="HO600" s="13"/>
      <c r="HP600" s="13"/>
      <c r="HQ600" s="13"/>
      <c r="HR600" s="13"/>
      <c r="HS600" s="13"/>
      <c r="HT600" s="13"/>
      <c r="HV600" s="18"/>
      <c r="HW600" s="18"/>
      <c r="HX600" s="18"/>
      <c r="HY600" s="18"/>
      <c r="HZ600" s="18"/>
      <c r="IA600" s="18"/>
      <c r="IB600" s="18"/>
      <c r="IC600" s="18"/>
      <c r="ID600" s="18"/>
      <c r="IE600" s="18"/>
      <c r="IF600" s="18"/>
      <c r="IG600" s="18"/>
      <c r="IH600" s="18"/>
      <c r="II600" s="18"/>
      <c r="IJ600" s="18"/>
      <c r="IK600" s="18"/>
      <c r="IL600" s="18"/>
      <c r="IM600" s="18"/>
      <c r="IN600" s="18"/>
      <c r="IO600" s="18"/>
      <c r="IP600" s="18"/>
      <c r="IQ600" s="18"/>
      <c r="IR600" s="18"/>
      <c r="IS600" s="18"/>
      <c r="IT600" s="18"/>
      <c r="IU600" s="18"/>
      <c r="IV600" s="18"/>
      <c r="IW600" s="18"/>
      <c r="IX600" s="18"/>
      <c r="IY600" s="18"/>
      <c r="IZ600" s="18"/>
      <c r="JA600" s="18"/>
      <c r="JB600" s="18"/>
      <c r="JC600" s="18"/>
      <c r="JD600" s="18"/>
      <c r="JE600" s="18"/>
      <c r="JF600" s="18"/>
      <c r="JG600" s="18"/>
      <c r="JH600" s="18"/>
      <c r="JI600" s="18"/>
      <c r="JJ600" s="18"/>
      <c r="JK600" s="18"/>
      <c r="JL600" s="18"/>
      <c r="JM600" s="18"/>
      <c r="JN600" s="18"/>
      <c r="JO600" s="18"/>
      <c r="JP600" s="18"/>
      <c r="JQ600" s="18"/>
      <c r="JR600" s="18"/>
      <c r="JS600" s="18"/>
      <c r="JT600" s="18"/>
      <c r="JU600" s="18"/>
      <c r="JV600" s="18"/>
      <c r="JW600" s="18"/>
      <c r="JX600" s="18"/>
      <c r="JY600" s="18"/>
      <c r="JZ600" s="18"/>
      <c r="KA600" s="18"/>
      <c r="KB600" s="18"/>
      <c r="KC600" s="18"/>
      <c r="KD600" s="18"/>
      <c r="KE600" s="18"/>
      <c r="KF600" s="18"/>
      <c r="KG600" s="18"/>
      <c r="KH600" s="18"/>
      <c r="KI600" s="18"/>
      <c r="KJ600" s="18"/>
      <c r="KK600" s="18"/>
      <c r="KL600" s="18"/>
      <c r="KM600" s="18"/>
      <c r="KN600" s="18"/>
      <c r="KO600" s="18"/>
      <c r="KP600" s="18"/>
    </row>
    <row r="601" spans="1:302" ht="15" customHeight="1">
      <c r="A601" s="14"/>
      <c r="B601" s="14"/>
      <c r="C601" s="50"/>
      <c r="D601" s="50"/>
      <c r="E601" s="49"/>
      <c r="F601" s="46"/>
      <c r="G601" s="1"/>
      <c r="H601" s="1"/>
      <c r="I601" s="48"/>
      <c r="J601" s="48"/>
      <c r="K601" s="14"/>
      <c r="L601" s="14"/>
      <c r="P601" s="14"/>
      <c r="AG601" s="47"/>
      <c r="AH601" s="44"/>
      <c r="AI601" s="45"/>
      <c r="AJ601" s="44"/>
      <c r="AK601" s="43"/>
      <c r="AS601" s="14"/>
      <c r="AU601" s="18"/>
      <c r="AV601" s="18"/>
      <c r="AW601" s="18"/>
      <c r="AX601" s="18"/>
      <c r="AY601" s="18"/>
      <c r="AZ601" s="18"/>
      <c r="BB601" s="18"/>
      <c r="BC601" s="18"/>
      <c r="BD601" s="18"/>
      <c r="BE601" s="18"/>
      <c r="BF601" s="18"/>
      <c r="BH601" s="18"/>
      <c r="BI601" s="18"/>
      <c r="BJ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  <c r="FC601" s="18"/>
      <c r="FD601" s="18"/>
      <c r="FE601" s="18"/>
      <c r="FF601" s="18"/>
      <c r="FG601" s="18"/>
      <c r="FH601" s="18"/>
      <c r="FI601" s="18"/>
      <c r="FJ601" s="18"/>
      <c r="FK601" s="18"/>
      <c r="FL601" s="18"/>
      <c r="FM601" s="18"/>
      <c r="FN601" s="18"/>
      <c r="FO601" s="18"/>
      <c r="FP601" s="18"/>
      <c r="FQ601" s="18"/>
      <c r="FR601" s="18"/>
      <c r="FS601" s="18"/>
      <c r="FT601" s="18"/>
      <c r="FU601" s="18"/>
      <c r="FV601" s="18"/>
      <c r="FW601" s="18"/>
      <c r="FX601" s="18"/>
      <c r="FY601" s="18"/>
      <c r="FZ601" s="18"/>
      <c r="GA601" s="18"/>
      <c r="GB601" s="18"/>
      <c r="GC601" s="18"/>
      <c r="GD601" s="18"/>
      <c r="GE601" s="18"/>
      <c r="GF601" s="18"/>
      <c r="GG601" s="18"/>
      <c r="GH601" s="18"/>
      <c r="GI601" s="18"/>
      <c r="GJ601" s="18"/>
      <c r="GK601" s="18"/>
      <c r="GL601" s="18"/>
      <c r="GM601" s="18"/>
      <c r="GN601" s="18"/>
      <c r="GO601" s="18"/>
      <c r="GP601" s="18"/>
      <c r="GQ601" s="18"/>
      <c r="GR601" s="18"/>
      <c r="GS601" s="18"/>
      <c r="GT601" s="18"/>
      <c r="GU601" s="18"/>
      <c r="GV601" s="18"/>
      <c r="GW601" s="18"/>
      <c r="GX601" s="18"/>
      <c r="GY601" s="18"/>
      <c r="GZ601" s="18"/>
      <c r="HA601" s="18"/>
      <c r="HB601" s="18"/>
      <c r="HC601" s="18"/>
      <c r="HD601" s="18"/>
      <c r="HE601" s="18"/>
      <c r="HF601" s="18"/>
      <c r="HG601" s="13"/>
      <c r="HH601" s="13"/>
      <c r="HI601" s="13"/>
      <c r="HJ601" s="13"/>
      <c r="HK601" s="13"/>
      <c r="HL601" s="13"/>
      <c r="HM601" s="13"/>
      <c r="HN601" s="13"/>
      <c r="HO601" s="13"/>
      <c r="HP601" s="13"/>
      <c r="HQ601" s="13"/>
      <c r="HR601" s="13"/>
      <c r="HS601" s="13"/>
      <c r="HT601" s="13"/>
      <c r="HV601" s="18"/>
      <c r="HW601" s="18"/>
      <c r="HX601" s="18"/>
      <c r="HY601" s="18"/>
      <c r="HZ601" s="18"/>
      <c r="IA601" s="18"/>
      <c r="IB601" s="18"/>
      <c r="IC601" s="18"/>
      <c r="ID601" s="18"/>
      <c r="IE601" s="18"/>
      <c r="IF601" s="18"/>
      <c r="IG601" s="18"/>
      <c r="IH601" s="18"/>
      <c r="II601" s="18"/>
      <c r="IJ601" s="18"/>
      <c r="IK601" s="18"/>
      <c r="IL601" s="18"/>
      <c r="IM601" s="18"/>
      <c r="IN601" s="18"/>
      <c r="IO601" s="18"/>
      <c r="IP601" s="18"/>
      <c r="IQ601" s="18"/>
      <c r="IR601" s="18"/>
      <c r="IS601" s="18"/>
      <c r="IT601" s="18"/>
      <c r="IU601" s="18"/>
      <c r="IV601" s="18"/>
      <c r="IW601" s="18"/>
      <c r="IX601" s="18"/>
      <c r="IY601" s="18"/>
      <c r="IZ601" s="18"/>
      <c r="JA601" s="18"/>
      <c r="JB601" s="18"/>
      <c r="JC601" s="18"/>
      <c r="JD601" s="18"/>
      <c r="JE601" s="18"/>
      <c r="JF601" s="18"/>
      <c r="JG601" s="18"/>
      <c r="JH601" s="18"/>
      <c r="JI601" s="18"/>
      <c r="JJ601" s="18"/>
      <c r="JK601" s="18"/>
      <c r="JL601" s="18"/>
      <c r="JM601" s="18"/>
      <c r="JN601" s="18"/>
      <c r="JO601" s="18"/>
      <c r="JP601" s="18"/>
      <c r="JQ601" s="18"/>
      <c r="JR601" s="18"/>
      <c r="JS601" s="18"/>
      <c r="JT601" s="18"/>
      <c r="JU601" s="18"/>
      <c r="JV601" s="18"/>
      <c r="JW601" s="18"/>
      <c r="JX601" s="18"/>
      <c r="JY601" s="18"/>
      <c r="JZ601" s="18"/>
      <c r="KA601" s="18"/>
      <c r="KB601" s="18"/>
      <c r="KC601" s="18"/>
      <c r="KD601" s="18"/>
      <c r="KE601" s="18"/>
      <c r="KF601" s="18"/>
      <c r="KG601" s="18"/>
      <c r="KH601" s="18"/>
      <c r="KI601" s="18"/>
      <c r="KJ601" s="18"/>
      <c r="KK601" s="18"/>
      <c r="KL601" s="18"/>
      <c r="KM601" s="18"/>
      <c r="KN601" s="18"/>
      <c r="KO601" s="18"/>
      <c r="KP601" s="18"/>
    </row>
    <row r="602" spans="1:302" ht="15" customHeight="1">
      <c r="A602" s="14"/>
      <c r="B602" s="14"/>
      <c r="C602" s="50"/>
      <c r="D602" s="50"/>
      <c r="E602" s="49"/>
      <c r="F602" s="46"/>
      <c r="G602" s="46"/>
      <c r="H602" s="46"/>
      <c r="I602" s="48"/>
      <c r="J602" s="48"/>
      <c r="K602" s="14"/>
      <c r="L602" s="14"/>
      <c r="P602" s="14"/>
      <c r="AG602" s="47"/>
      <c r="AH602" s="44"/>
      <c r="AI602" s="45"/>
      <c r="AJ602" s="44"/>
      <c r="AK602" s="43"/>
      <c r="AS602" s="14"/>
      <c r="AU602" s="18"/>
      <c r="AV602" s="18"/>
      <c r="AW602" s="18"/>
      <c r="AX602" s="18"/>
      <c r="AY602" s="18"/>
      <c r="AZ602" s="18"/>
      <c r="BB602" s="18"/>
      <c r="BC602" s="18"/>
      <c r="BD602" s="18"/>
      <c r="BE602" s="18"/>
      <c r="BF602" s="18"/>
      <c r="BH602" s="18"/>
      <c r="BI602" s="18"/>
      <c r="BJ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  <c r="FC602" s="18"/>
      <c r="FD602" s="18"/>
      <c r="FE602" s="18"/>
      <c r="FF602" s="18"/>
      <c r="FG602" s="18"/>
      <c r="FH602" s="18"/>
      <c r="FI602" s="18"/>
      <c r="FJ602" s="18"/>
      <c r="FK602" s="18"/>
      <c r="FL602" s="18"/>
      <c r="FM602" s="18"/>
      <c r="FN602" s="18"/>
      <c r="FO602" s="18"/>
      <c r="FP602" s="18"/>
      <c r="FQ602" s="18"/>
      <c r="FR602" s="18"/>
      <c r="FS602" s="18"/>
      <c r="FT602" s="18"/>
      <c r="FU602" s="18"/>
      <c r="FV602" s="18"/>
      <c r="FW602" s="18"/>
      <c r="FX602" s="18"/>
      <c r="FY602" s="18"/>
      <c r="FZ602" s="18"/>
      <c r="GA602" s="18"/>
      <c r="GB602" s="18"/>
      <c r="GC602" s="18"/>
      <c r="GD602" s="18"/>
      <c r="GE602" s="18"/>
      <c r="GF602" s="18"/>
      <c r="GG602" s="18"/>
      <c r="GH602" s="18"/>
      <c r="GI602" s="18"/>
      <c r="GJ602" s="18"/>
      <c r="GK602" s="18"/>
      <c r="GL602" s="18"/>
      <c r="GM602" s="18"/>
      <c r="GN602" s="18"/>
      <c r="GO602" s="18"/>
      <c r="GP602" s="18"/>
      <c r="GQ602" s="18"/>
      <c r="GR602" s="18"/>
      <c r="GS602" s="18"/>
      <c r="GT602" s="18"/>
      <c r="GU602" s="18"/>
      <c r="GV602" s="18"/>
      <c r="GW602" s="18"/>
      <c r="GX602" s="18"/>
      <c r="GY602" s="18"/>
      <c r="GZ602" s="18"/>
      <c r="HA602" s="18"/>
      <c r="HB602" s="18"/>
      <c r="HC602" s="18"/>
      <c r="HD602" s="18"/>
      <c r="HE602" s="18"/>
      <c r="HF602" s="18"/>
      <c r="HG602" s="13"/>
      <c r="HH602" s="13"/>
      <c r="HI602" s="13"/>
      <c r="HJ602" s="13"/>
      <c r="HK602" s="13"/>
      <c r="HL602" s="13"/>
      <c r="HM602" s="13"/>
      <c r="HN602" s="13"/>
      <c r="HO602" s="13"/>
      <c r="HP602" s="13"/>
      <c r="HQ602" s="13"/>
      <c r="HR602" s="13"/>
      <c r="HS602" s="13"/>
      <c r="HT602" s="13"/>
      <c r="HV602" s="18"/>
      <c r="HW602" s="18"/>
      <c r="HX602" s="18"/>
      <c r="HY602" s="18"/>
      <c r="HZ602" s="18"/>
      <c r="IA602" s="18"/>
      <c r="IB602" s="18"/>
      <c r="IC602" s="18"/>
      <c r="ID602" s="18"/>
      <c r="IE602" s="18"/>
      <c r="IF602" s="18"/>
      <c r="IG602" s="18"/>
      <c r="IH602" s="18"/>
      <c r="II602" s="18"/>
      <c r="IJ602" s="18"/>
      <c r="IK602" s="18"/>
      <c r="IL602" s="18"/>
      <c r="IM602" s="18"/>
      <c r="IN602" s="18"/>
      <c r="IO602" s="18"/>
      <c r="IP602" s="18"/>
      <c r="IQ602" s="18"/>
      <c r="IR602" s="18"/>
      <c r="IS602" s="18"/>
      <c r="IT602" s="18"/>
      <c r="IU602" s="18"/>
      <c r="IV602" s="18"/>
      <c r="IW602" s="18"/>
      <c r="IX602" s="18"/>
      <c r="IY602" s="18"/>
      <c r="IZ602" s="18"/>
      <c r="JA602" s="18"/>
      <c r="JB602" s="18"/>
      <c r="JC602" s="18"/>
      <c r="JD602" s="18"/>
      <c r="JE602" s="18"/>
      <c r="JF602" s="18"/>
      <c r="JG602" s="18"/>
      <c r="JH602" s="18"/>
      <c r="JI602" s="18"/>
      <c r="JJ602" s="18"/>
      <c r="JK602" s="18"/>
      <c r="JL602" s="18"/>
      <c r="JM602" s="18"/>
      <c r="JN602" s="18"/>
      <c r="JO602" s="18"/>
      <c r="JP602" s="18"/>
      <c r="JQ602" s="18"/>
      <c r="JR602" s="18"/>
      <c r="JS602" s="18"/>
      <c r="JT602" s="18"/>
      <c r="JU602" s="18"/>
      <c r="JV602" s="18"/>
      <c r="JW602" s="18"/>
      <c r="JX602" s="18"/>
      <c r="JY602" s="18"/>
      <c r="JZ602" s="18"/>
      <c r="KA602" s="18"/>
      <c r="KB602" s="18"/>
      <c r="KC602" s="18"/>
      <c r="KD602" s="18"/>
      <c r="KE602" s="18"/>
      <c r="KF602" s="18"/>
      <c r="KG602" s="18"/>
      <c r="KH602" s="18"/>
      <c r="KI602" s="18"/>
      <c r="KJ602" s="18"/>
      <c r="KK602" s="18"/>
      <c r="KL602" s="18"/>
      <c r="KM602" s="18"/>
      <c r="KN602" s="18"/>
      <c r="KO602" s="18"/>
      <c r="KP602" s="18"/>
    </row>
    <row r="603" spans="1:302" ht="15" customHeight="1">
      <c r="A603" s="14"/>
      <c r="B603" s="14"/>
      <c r="C603" s="50"/>
      <c r="D603" s="50"/>
      <c r="E603" s="49"/>
      <c r="F603" s="46"/>
      <c r="G603" s="46"/>
      <c r="H603" s="46"/>
      <c r="I603" s="48"/>
      <c r="J603" s="48"/>
      <c r="K603" s="14"/>
      <c r="L603" s="14"/>
      <c r="P603" s="14"/>
      <c r="AG603" s="47"/>
      <c r="AH603" s="44"/>
      <c r="AI603" s="45"/>
      <c r="AJ603" s="44"/>
      <c r="AK603" s="43"/>
      <c r="AS603" s="14"/>
      <c r="AU603" s="18"/>
      <c r="AV603" s="18"/>
      <c r="AW603" s="18"/>
      <c r="AX603" s="18"/>
      <c r="AY603" s="18"/>
      <c r="AZ603" s="18"/>
      <c r="BB603" s="18"/>
      <c r="BC603" s="18"/>
      <c r="BD603" s="18"/>
      <c r="BE603" s="18"/>
      <c r="BF603" s="18"/>
      <c r="BH603" s="18"/>
      <c r="BI603" s="18"/>
      <c r="BJ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  <c r="FC603" s="18"/>
      <c r="FD603" s="18"/>
      <c r="FE603" s="18"/>
      <c r="FF603" s="18"/>
      <c r="FG603" s="18"/>
      <c r="FH603" s="18"/>
      <c r="FI603" s="18"/>
      <c r="FJ603" s="18"/>
      <c r="FK603" s="18"/>
      <c r="FL603" s="18"/>
      <c r="FM603" s="18"/>
      <c r="FN603" s="18"/>
      <c r="FO603" s="18"/>
      <c r="FP603" s="18"/>
      <c r="FQ603" s="18"/>
      <c r="FR603" s="18"/>
      <c r="FS603" s="18"/>
      <c r="FT603" s="18"/>
      <c r="FU603" s="18"/>
      <c r="FV603" s="18"/>
      <c r="FW603" s="18"/>
      <c r="FX603" s="18"/>
      <c r="FY603" s="18"/>
      <c r="FZ603" s="18"/>
      <c r="GA603" s="18"/>
      <c r="GB603" s="18"/>
      <c r="GC603" s="18"/>
      <c r="GD603" s="18"/>
      <c r="GE603" s="18"/>
      <c r="GF603" s="18"/>
      <c r="GG603" s="18"/>
      <c r="GH603" s="18"/>
      <c r="GI603" s="18"/>
      <c r="GJ603" s="18"/>
      <c r="GK603" s="18"/>
      <c r="GL603" s="18"/>
      <c r="GM603" s="18"/>
      <c r="GN603" s="18"/>
      <c r="GO603" s="18"/>
      <c r="GP603" s="18"/>
      <c r="GQ603" s="18"/>
      <c r="GR603" s="18"/>
      <c r="GS603" s="18"/>
      <c r="GT603" s="18"/>
      <c r="GU603" s="18"/>
      <c r="GV603" s="18"/>
      <c r="GW603" s="18"/>
      <c r="GX603" s="18"/>
      <c r="GY603" s="18"/>
      <c r="GZ603" s="18"/>
      <c r="HA603" s="18"/>
      <c r="HB603" s="18"/>
      <c r="HC603" s="18"/>
      <c r="HD603" s="18"/>
      <c r="HE603" s="18"/>
      <c r="HF603" s="18"/>
      <c r="HG603" s="13"/>
      <c r="HH603" s="13"/>
      <c r="HI603" s="13"/>
      <c r="HJ603" s="13"/>
      <c r="HK603" s="13"/>
      <c r="HL603" s="13"/>
      <c r="HM603" s="13"/>
      <c r="HN603" s="13"/>
      <c r="HO603" s="13"/>
      <c r="HP603" s="13"/>
      <c r="HQ603" s="13"/>
      <c r="HR603" s="13"/>
      <c r="HS603" s="13"/>
      <c r="HT603" s="13"/>
      <c r="HV603" s="18"/>
      <c r="HW603" s="18"/>
      <c r="HX603" s="18"/>
      <c r="HY603" s="18"/>
      <c r="HZ603" s="18"/>
      <c r="IA603" s="18"/>
      <c r="IB603" s="18"/>
      <c r="IC603" s="18"/>
      <c r="ID603" s="18"/>
      <c r="IE603" s="18"/>
      <c r="IF603" s="18"/>
      <c r="IG603" s="18"/>
      <c r="IH603" s="18"/>
      <c r="II603" s="18"/>
      <c r="IJ603" s="18"/>
      <c r="IK603" s="18"/>
      <c r="IL603" s="18"/>
      <c r="IM603" s="18"/>
      <c r="IN603" s="18"/>
      <c r="IO603" s="18"/>
      <c r="IP603" s="18"/>
      <c r="IQ603" s="18"/>
      <c r="IR603" s="18"/>
      <c r="IS603" s="18"/>
      <c r="IT603" s="18"/>
      <c r="IU603" s="18"/>
      <c r="IV603" s="18"/>
      <c r="IW603" s="18"/>
      <c r="IX603" s="18"/>
      <c r="IY603" s="18"/>
      <c r="IZ603" s="18"/>
      <c r="JA603" s="18"/>
      <c r="JB603" s="18"/>
      <c r="JC603" s="18"/>
      <c r="JD603" s="18"/>
      <c r="JE603" s="18"/>
      <c r="JF603" s="18"/>
      <c r="JG603" s="18"/>
      <c r="JH603" s="18"/>
      <c r="JI603" s="18"/>
      <c r="JJ603" s="18"/>
      <c r="JK603" s="18"/>
      <c r="JL603" s="18"/>
      <c r="JM603" s="18"/>
      <c r="JN603" s="18"/>
      <c r="JO603" s="18"/>
      <c r="JP603" s="18"/>
      <c r="JQ603" s="18"/>
      <c r="JR603" s="18"/>
      <c r="JS603" s="18"/>
      <c r="JT603" s="18"/>
      <c r="JU603" s="18"/>
      <c r="JV603" s="18"/>
      <c r="JW603" s="18"/>
      <c r="JX603" s="18"/>
      <c r="JY603" s="18"/>
      <c r="JZ603" s="18"/>
      <c r="KA603" s="18"/>
      <c r="KB603" s="18"/>
      <c r="KC603" s="18"/>
      <c r="KD603" s="18"/>
      <c r="KE603" s="18"/>
      <c r="KF603" s="18"/>
      <c r="KG603" s="18"/>
      <c r="KH603" s="18"/>
      <c r="KI603" s="18"/>
      <c r="KJ603" s="18"/>
      <c r="KK603" s="18"/>
      <c r="KL603" s="18"/>
      <c r="KM603" s="18"/>
      <c r="KN603" s="18"/>
      <c r="KO603" s="18"/>
      <c r="KP603" s="18"/>
    </row>
    <row r="604" spans="1:302" ht="15" customHeight="1">
      <c r="A604" s="14"/>
      <c r="B604" s="14"/>
      <c r="C604" s="50"/>
      <c r="D604" s="50"/>
      <c r="E604" s="49"/>
      <c r="F604" s="46"/>
      <c r="G604" s="46"/>
      <c r="H604" s="46"/>
      <c r="I604" s="48"/>
      <c r="J604" s="48"/>
      <c r="K604" s="14"/>
      <c r="L604" s="14"/>
      <c r="P604" s="14"/>
      <c r="AG604" s="47"/>
      <c r="AH604" s="44"/>
      <c r="AI604" s="45"/>
      <c r="AJ604" s="44"/>
      <c r="AK604" s="43"/>
      <c r="AS604" s="14"/>
      <c r="AU604" s="18"/>
      <c r="AV604" s="18"/>
      <c r="AW604" s="18"/>
      <c r="AX604" s="18"/>
      <c r="AY604" s="18"/>
      <c r="AZ604" s="18"/>
      <c r="BB604" s="18"/>
      <c r="BC604" s="18"/>
      <c r="BD604" s="18"/>
      <c r="BE604" s="18"/>
      <c r="BF604" s="18"/>
      <c r="BH604" s="18"/>
      <c r="BI604" s="18"/>
      <c r="BJ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  <c r="FC604" s="18"/>
      <c r="FD604" s="18"/>
      <c r="FE604" s="18"/>
      <c r="FF604" s="18"/>
      <c r="FG604" s="18"/>
      <c r="FH604" s="18"/>
      <c r="FI604" s="18"/>
      <c r="FJ604" s="18"/>
      <c r="FK604" s="18"/>
      <c r="FL604" s="18"/>
      <c r="FM604" s="18"/>
      <c r="FN604" s="18"/>
      <c r="FO604" s="18"/>
      <c r="FP604" s="18"/>
      <c r="FQ604" s="18"/>
      <c r="FR604" s="18"/>
      <c r="FS604" s="18"/>
      <c r="FT604" s="18"/>
      <c r="FU604" s="18"/>
      <c r="FV604" s="18"/>
      <c r="FW604" s="18"/>
      <c r="FX604" s="18"/>
      <c r="FY604" s="18"/>
      <c r="FZ604" s="18"/>
      <c r="GA604" s="18"/>
      <c r="GB604" s="18"/>
      <c r="GC604" s="18"/>
      <c r="GD604" s="18"/>
      <c r="GE604" s="18"/>
      <c r="GF604" s="18"/>
      <c r="GG604" s="18"/>
      <c r="GH604" s="18"/>
      <c r="GI604" s="18"/>
      <c r="GJ604" s="18"/>
      <c r="GK604" s="18"/>
      <c r="GL604" s="18"/>
      <c r="GM604" s="18"/>
      <c r="GN604" s="18"/>
      <c r="GO604" s="18"/>
      <c r="GP604" s="18"/>
      <c r="GQ604" s="18"/>
      <c r="GR604" s="18"/>
      <c r="GS604" s="18"/>
      <c r="GT604" s="18"/>
      <c r="GU604" s="18"/>
      <c r="GV604" s="18"/>
      <c r="GW604" s="18"/>
      <c r="GX604" s="18"/>
      <c r="GY604" s="18"/>
      <c r="GZ604" s="18"/>
      <c r="HA604" s="18"/>
      <c r="HB604" s="18"/>
      <c r="HC604" s="18"/>
      <c r="HD604" s="18"/>
      <c r="HE604" s="18"/>
      <c r="HF604" s="18"/>
      <c r="HG604" s="13"/>
      <c r="HH604" s="13"/>
      <c r="HI604" s="13"/>
      <c r="HJ604" s="13"/>
      <c r="HK604" s="13"/>
      <c r="HL604" s="13"/>
      <c r="HM604" s="13"/>
      <c r="HN604" s="13"/>
      <c r="HO604" s="13"/>
      <c r="HP604" s="13"/>
      <c r="HQ604" s="13"/>
      <c r="HR604" s="13"/>
      <c r="HS604" s="13"/>
      <c r="HT604" s="13"/>
      <c r="HV604" s="18"/>
      <c r="HW604" s="18"/>
      <c r="HX604" s="18"/>
      <c r="HY604" s="18"/>
      <c r="HZ604" s="18"/>
      <c r="IA604" s="18"/>
      <c r="IB604" s="18"/>
      <c r="IC604" s="18"/>
      <c r="ID604" s="18"/>
      <c r="IE604" s="18"/>
      <c r="IF604" s="18"/>
      <c r="IG604" s="18"/>
      <c r="IH604" s="18"/>
      <c r="II604" s="18"/>
      <c r="IJ604" s="18"/>
      <c r="IK604" s="18"/>
      <c r="IL604" s="18"/>
      <c r="IM604" s="18"/>
      <c r="IN604" s="18"/>
      <c r="IO604" s="18"/>
      <c r="IP604" s="18"/>
      <c r="IQ604" s="18"/>
      <c r="IR604" s="18"/>
      <c r="IS604" s="18"/>
      <c r="IT604" s="18"/>
      <c r="IU604" s="18"/>
      <c r="IV604" s="18"/>
      <c r="IW604" s="18"/>
      <c r="IX604" s="18"/>
      <c r="IY604" s="18"/>
      <c r="IZ604" s="18"/>
      <c r="JA604" s="18"/>
      <c r="JB604" s="18"/>
      <c r="JC604" s="18"/>
      <c r="JD604" s="18"/>
      <c r="JE604" s="18"/>
      <c r="JF604" s="18"/>
      <c r="JG604" s="18"/>
      <c r="JH604" s="18"/>
      <c r="JI604" s="18"/>
      <c r="JJ604" s="18"/>
      <c r="JK604" s="18"/>
      <c r="JL604" s="18"/>
      <c r="JM604" s="18"/>
      <c r="JN604" s="18"/>
      <c r="JO604" s="18"/>
      <c r="JP604" s="18"/>
      <c r="JQ604" s="18"/>
      <c r="JR604" s="18"/>
      <c r="JS604" s="18"/>
      <c r="JT604" s="18"/>
      <c r="JU604" s="18"/>
      <c r="JV604" s="18"/>
      <c r="JW604" s="18"/>
      <c r="JX604" s="18"/>
      <c r="JY604" s="18"/>
      <c r="JZ604" s="18"/>
      <c r="KA604" s="18"/>
      <c r="KB604" s="18"/>
      <c r="KC604" s="18"/>
      <c r="KD604" s="18"/>
      <c r="KE604" s="18"/>
      <c r="KF604" s="18"/>
      <c r="KG604" s="18"/>
      <c r="KH604" s="18"/>
      <c r="KI604" s="18"/>
      <c r="KJ604" s="18"/>
      <c r="KK604" s="18"/>
      <c r="KL604" s="18"/>
      <c r="KM604" s="18"/>
      <c r="KN604" s="18"/>
      <c r="KO604" s="18"/>
      <c r="KP604" s="18"/>
    </row>
    <row r="605" spans="1:302" ht="15" customHeight="1">
      <c r="A605" s="14"/>
      <c r="B605" s="14"/>
      <c r="C605" s="50"/>
      <c r="D605" s="50"/>
      <c r="E605" s="49"/>
      <c r="F605" s="46"/>
      <c r="G605" s="46"/>
      <c r="H605" s="46"/>
      <c r="I605" s="48"/>
      <c r="J605" s="48"/>
      <c r="K605" s="14"/>
      <c r="L605" s="14"/>
      <c r="P605" s="14"/>
      <c r="AG605" s="47"/>
      <c r="AH605" s="44"/>
      <c r="AI605" s="45"/>
      <c r="AJ605" s="44"/>
      <c r="AK605" s="43"/>
      <c r="AS605" s="14"/>
      <c r="AU605" s="18"/>
      <c r="AV605" s="18"/>
      <c r="AW605" s="18"/>
      <c r="AX605" s="18"/>
      <c r="AY605" s="18"/>
      <c r="AZ605" s="18"/>
      <c r="BB605" s="18"/>
      <c r="BC605" s="18"/>
      <c r="BD605" s="18"/>
      <c r="BE605" s="18"/>
      <c r="BF605" s="18"/>
      <c r="BH605" s="18"/>
      <c r="BI605" s="18"/>
      <c r="BJ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  <c r="FC605" s="18"/>
      <c r="FD605" s="18"/>
      <c r="FE605" s="18"/>
      <c r="FF605" s="18"/>
      <c r="FG605" s="18"/>
      <c r="FH605" s="18"/>
      <c r="FI605" s="18"/>
      <c r="FJ605" s="18"/>
      <c r="FK605" s="18"/>
      <c r="FL605" s="18"/>
      <c r="FM605" s="18"/>
      <c r="FN605" s="18"/>
      <c r="FO605" s="18"/>
      <c r="FP605" s="18"/>
      <c r="FQ605" s="18"/>
      <c r="FR605" s="18"/>
      <c r="FS605" s="18"/>
      <c r="FT605" s="18"/>
      <c r="FU605" s="18"/>
      <c r="FV605" s="18"/>
      <c r="FW605" s="18"/>
      <c r="FX605" s="18"/>
      <c r="FY605" s="18"/>
      <c r="FZ605" s="18"/>
      <c r="GA605" s="18"/>
      <c r="GB605" s="18"/>
      <c r="GC605" s="18"/>
      <c r="GD605" s="18"/>
      <c r="GE605" s="18"/>
      <c r="GF605" s="18"/>
      <c r="GG605" s="18"/>
      <c r="GH605" s="18"/>
      <c r="GI605" s="18"/>
      <c r="GJ605" s="18"/>
      <c r="GK605" s="18"/>
      <c r="GL605" s="18"/>
      <c r="GM605" s="18"/>
      <c r="GN605" s="18"/>
      <c r="GO605" s="18"/>
      <c r="GP605" s="18"/>
      <c r="GQ605" s="18"/>
      <c r="GR605" s="18"/>
      <c r="GS605" s="18"/>
      <c r="GT605" s="18"/>
      <c r="GU605" s="18"/>
      <c r="GV605" s="18"/>
      <c r="GW605" s="18"/>
      <c r="GX605" s="18"/>
      <c r="GY605" s="18"/>
      <c r="GZ605" s="18"/>
      <c r="HA605" s="18"/>
      <c r="HB605" s="18"/>
      <c r="HC605" s="18"/>
      <c r="HD605" s="18"/>
      <c r="HE605" s="18"/>
      <c r="HF605" s="18"/>
      <c r="HG605" s="13"/>
      <c r="HH605" s="13"/>
      <c r="HI605" s="13"/>
      <c r="HJ605" s="13"/>
      <c r="HK605" s="13"/>
      <c r="HL605" s="13"/>
      <c r="HM605" s="13"/>
      <c r="HN605" s="13"/>
      <c r="HO605" s="13"/>
      <c r="HP605" s="13"/>
      <c r="HQ605" s="13"/>
      <c r="HR605" s="13"/>
      <c r="HS605" s="13"/>
      <c r="HT605" s="13"/>
      <c r="HV605" s="18"/>
      <c r="HW605" s="18"/>
      <c r="HX605" s="18"/>
      <c r="HY605" s="18"/>
      <c r="HZ605" s="18"/>
      <c r="IA605" s="18"/>
      <c r="IB605" s="18"/>
      <c r="IC605" s="18"/>
      <c r="ID605" s="18"/>
      <c r="IE605" s="18"/>
      <c r="IF605" s="18"/>
      <c r="IG605" s="18"/>
      <c r="IH605" s="18"/>
      <c r="II605" s="18"/>
      <c r="IJ605" s="18"/>
      <c r="IK605" s="18"/>
      <c r="IL605" s="18"/>
      <c r="IM605" s="18"/>
      <c r="IN605" s="18"/>
      <c r="IO605" s="18"/>
      <c r="IP605" s="18"/>
      <c r="IQ605" s="18"/>
      <c r="IR605" s="18"/>
      <c r="IS605" s="18"/>
      <c r="IT605" s="18"/>
      <c r="IU605" s="18"/>
      <c r="IV605" s="18"/>
      <c r="IW605" s="18"/>
      <c r="IX605" s="18"/>
      <c r="IY605" s="18"/>
      <c r="IZ605" s="18"/>
      <c r="JA605" s="18"/>
      <c r="JB605" s="18"/>
      <c r="JC605" s="18"/>
      <c r="JD605" s="18"/>
      <c r="JE605" s="18"/>
      <c r="JF605" s="18"/>
      <c r="JG605" s="18"/>
      <c r="JH605" s="18"/>
      <c r="JI605" s="18"/>
      <c r="JJ605" s="18"/>
      <c r="JK605" s="18"/>
      <c r="JL605" s="18"/>
      <c r="JM605" s="18"/>
      <c r="JN605" s="18"/>
      <c r="JO605" s="18"/>
      <c r="JP605" s="18"/>
      <c r="JQ605" s="18"/>
      <c r="JR605" s="18"/>
      <c r="JS605" s="18"/>
      <c r="JT605" s="18"/>
      <c r="JU605" s="18"/>
      <c r="JV605" s="18"/>
      <c r="JW605" s="18"/>
      <c r="JX605" s="18"/>
      <c r="JY605" s="18"/>
      <c r="JZ605" s="18"/>
      <c r="KA605" s="18"/>
      <c r="KB605" s="18"/>
      <c r="KC605" s="18"/>
      <c r="KD605" s="18"/>
      <c r="KE605" s="18"/>
      <c r="KF605" s="18"/>
      <c r="KG605" s="18"/>
      <c r="KH605" s="18"/>
      <c r="KI605" s="18"/>
      <c r="KJ605" s="18"/>
      <c r="KK605" s="18"/>
      <c r="KL605" s="18"/>
      <c r="KM605" s="18"/>
      <c r="KN605" s="18"/>
      <c r="KO605" s="18"/>
      <c r="KP605" s="18"/>
    </row>
    <row r="606" spans="1:302" ht="15" customHeight="1">
      <c r="A606" s="14"/>
      <c r="B606" s="14"/>
      <c r="C606" s="50"/>
      <c r="D606" s="50"/>
      <c r="E606" s="49"/>
      <c r="F606" s="46"/>
      <c r="G606" s="46"/>
      <c r="H606" s="46"/>
      <c r="I606" s="48"/>
      <c r="J606" s="48"/>
      <c r="K606" s="14"/>
      <c r="L606" s="14"/>
      <c r="P606" s="14"/>
      <c r="AG606" s="47"/>
      <c r="AH606" s="44"/>
      <c r="AI606" s="45"/>
      <c r="AJ606" s="44"/>
      <c r="AK606" s="43"/>
      <c r="AS606" s="14"/>
      <c r="AU606" s="18"/>
      <c r="AV606" s="18"/>
      <c r="AW606" s="18"/>
      <c r="AX606" s="18"/>
      <c r="AY606" s="18"/>
      <c r="AZ606" s="18"/>
      <c r="BB606" s="18"/>
      <c r="BC606" s="18"/>
      <c r="BD606" s="18"/>
      <c r="BE606" s="18"/>
      <c r="BF606" s="18"/>
      <c r="BH606" s="18"/>
      <c r="BI606" s="18"/>
      <c r="BJ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  <c r="FC606" s="18"/>
      <c r="FD606" s="18"/>
      <c r="FE606" s="18"/>
      <c r="FF606" s="18"/>
      <c r="FG606" s="18"/>
      <c r="FH606" s="18"/>
      <c r="FI606" s="18"/>
      <c r="FJ606" s="18"/>
      <c r="FK606" s="18"/>
      <c r="FL606" s="18"/>
      <c r="FM606" s="18"/>
      <c r="FN606" s="18"/>
      <c r="FO606" s="18"/>
      <c r="FP606" s="18"/>
      <c r="FQ606" s="18"/>
      <c r="FR606" s="18"/>
      <c r="FS606" s="18"/>
      <c r="FT606" s="18"/>
      <c r="FU606" s="18"/>
      <c r="FV606" s="18"/>
      <c r="FW606" s="18"/>
      <c r="FX606" s="18"/>
      <c r="FY606" s="18"/>
      <c r="FZ606" s="18"/>
      <c r="GA606" s="18"/>
      <c r="GB606" s="18"/>
      <c r="GC606" s="18"/>
      <c r="GD606" s="18"/>
      <c r="GE606" s="18"/>
      <c r="GF606" s="18"/>
      <c r="GG606" s="18"/>
      <c r="GH606" s="18"/>
      <c r="GI606" s="18"/>
      <c r="GJ606" s="18"/>
      <c r="GK606" s="18"/>
      <c r="GL606" s="18"/>
      <c r="GM606" s="18"/>
      <c r="GN606" s="18"/>
      <c r="GO606" s="18"/>
      <c r="GP606" s="18"/>
      <c r="GQ606" s="18"/>
      <c r="GR606" s="18"/>
      <c r="GS606" s="18"/>
      <c r="GT606" s="18"/>
      <c r="GU606" s="18"/>
      <c r="GV606" s="18"/>
      <c r="GW606" s="18"/>
      <c r="GX606" s="18"/>
      <c r="GY606" s="18"/>
      <c r="GZ606" s="18"/>
      <c r="HA606" s="18"/>
      <c r="HB606" s="18"/>
      <c r="HC606" s="18"/>
      <c r="HD606" s="18"/>
      <c r="HE606" s="18"/>
      <c r="HF606" s="18"/>
      <c r="HG606" s="13"/>
      <c r="HH606" s="13"/>
      <c r="HI606" s="13"/>
      <c r="HJ606" s="13"/>
      <c r="HK606" s="13"/>
      <c r="HL606" s="13"/>
      <c r="HM606" s="13"/>
      <c r="HN606" s="13"/>
      <c r="HO606" s="13"/>
      <c r="HP606" s="13"/>
      <c r="HQ606" s="13"/>
      <c r="HR606" s="13"/>
      <c r="HS606" s="13"/>
      <c r="HT606" s="13"/>
      <c r="HV606" s="18"/>
      <c r="HW606" s="18"/>
      <c r="HX606" s="18"/>
      <c r="HY606" s="18"/>
      <c r="HZ606" s="18"/>
      <c r="IA606" s="18"/>
      <c r="IB606" s="18"/>
      <c r="IC606" s="18"/>
      <c r="ID606" s="18"/>
      <c r="IE606" s="18"/>
      <c r="IF606" s="18"/>
      <c r="IG606" s="18"/>
      <c r="IH606" s="18"/>
      <c r="II606" s="18"/>
      <c r="IJ606" s="18"/>
      <c r="IK606" s="18"/>
      <c r="IL606" s="18"/>
      <c r="IM606" s="18"/>
      <c r="IN606" s="18"/>
      <c r="IO606" s="18"/>
      <c r="IP606" s="18"/>
      <c r="IQ606" s="18"/>
      <c r="IR606" s="18"/>
      <c r="IS606" s="18"/>
      <c r="IT606" s="18"/>
      <c r="IU606" s="18"/>
      <c r="IV606" s="18"/>
      <c r="IW606" s="18"/>
      <c r="IX606" s="18"/>
      <c r="IY606" s="18"/>
      <c r="IZ606" s="18"/>
      <c r="JA606" s="18"/>
      <c r="JB606" s="18"/>
      <c r="JC606" s="18"/>
      <c r="JD606" s="18"/>
      <c r="JE606" s="18"/>
      <c r="JF606" s="18"/>
      <c r="JG606" s="18"/>
      <c r="JH606" s="18"/>
      <c r="JI606" s="18"/>
      <c r="JJ606" s="18"/>
      <c r="JK606" s="18"/>
      <c r="JL606" s="18"/>
      <c r="JM606" s="18"/>
      <c r="JN606" s="18"/>
      <c r="JO606" s="18"/>
      <c r="JP606" s="18"/>
      <c r="JQ606" s="18"/>
      <c r="JR606" s="18"/>
      <c r="JS606" s="18"/>
      <c r="JT606" s="18"/>
      <c r="JU606" s="18"/>
      <c r="JV606" s="18"/>
      <c r="JW606" s="18"/>
      <c r="JX606" s="18"/>
      <c r="JY606" s="18"/>
      <c r="JZ606" s="18"/>
      <c r="KA606" s="18"/>
      <c r="KB606" s="18"/>
      <c r="KC606" s="18"/>
      <c r="KD606" s="18"/>
      <c r="KE606" s="18"/>
      <c r="KF606" s="18"/>
      <c r="KG606" s="18"/>
      <c r="KH606" s="18"/>
      <c r="KI606" s="18"/>
      <c r="KJ606" s="18"/>
      <c r="KK606" s="18"/>
      <c r="KL606" s="18"/>
      <c r="KM606" s="18"/>
      <c r="KN606" s="18"/>
      <c r="KO606" s="18"/>
      <c r="KP606" s="18"/>
    </row>
    <row r="607" spans="1:302" ht="15" customHeight="1">
      <c r="A607" s="14"/>
      <c r="B607" s="14"/>
      <c r="C607" s="50"/>
      <c r="D607" s="50"/>
      <c r="E607" s="49"/>
      <c r="F607" s="46"/>
      <c r="G607" s="1"/>
      <c r="H607" s="1"/>
      <c r="I607" s="48"/>
      <c r="J607" s="48"/>
      <c r="K607" s="14"/>
      <c r="L607" s="14"/>
      <c r="P607" s="14"/>
      <c r="AG607" s="47"/>
      <c r="AH607" s="44"/>
      <c r="AI607" s="45"/>
      <c r="AJ607" s="44"/>
      <c r="AK607" s="43"/>
      <c r="AS607" s="14"/>
      <c r="AU607" s="18"/>
      <c r="AV607" s="18"/>
      <c r="AW607" s="18"/>
      <c r="AX607" s="18"/>
      <c r="AY607" s="18"/>
      <c r="AZ607" s="18"/>
      <c r="BB607" s="18"/>
      <c r="BC607" s="18"/>
      <c r="BD607" s="18"/>
      <c r="BE607" s="18"/>
      <c r="BF607" s="18"/>
      <c r="BH607" s="18"/>
      <c r="BI607" s="18"/>
      <c r="BJ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  <c r="FC607" s="18"/>
      <c r="FD607" s="18"/>
      <c r="FE607" s="18"/>
      <c r="FF607" s="18"/>
      <c r="FG607" s="18"/>
      <c r="FH607" s="18"/>
      <c r="FI607" s="18"/>
      <c r="FJ607" s="18"/>
      <c r="FK607" s="18"/>
      <c r="FL607" s="18"/>
      <c r="FM607" s="18"/>
      <c r="FN607" s="18"/>
      <c r="FO607" s="18"/>
      <c r="FP607" s="18"/>
      <c r="FQ607" s="18"/>
      <c r="FR607" s="18"/>
      <c r="FS607" s="18"/>
      <c r="FT607" s="18"/>
      <c r="FU607" s="18"/>
      <c r="FV607" s="18"/>
      <c r="FW607" s="18"/>
      <c r="FX607" s="18"/>
      <c r="FY607" s="18"/>
      <c r="FZ607" s="18"/>
      <c r="GA607" s="18"/>
      <c r="GB607" s="18"/>
      <c r="GC607" s="18"/>
      <c r="GD607" s="18"/>
      <c r="GE607" s="18"/>
      <c r="GF607" s="18"/>
      <c r="GG607" s="18"/>
      <c r="GH607" s="18"/>
      <c r="GI607" s="18"/>
      <c r="GJ607" s="18"/>
      <c r="GK607" s="18"/>
      <c r="GL607" s="18"/>
      <c r="GM607" s="18"/>
      <c r="GN607" s="18"/>
      <c r="GO607" s="18"/>
      <c r="GP607" s="18"/>
      <c r="GQ607" s="18"/>
      <c r="GR607" s="18"/>
      <c r="GS607" s="18"/>
      <c r="GT607" s="18"/>
      <c r="GU607" s="18"/>
      <c r="GV607" s="18"/>
      <c r="GW607" s="18"/>
      <c r="GX607" s="18"/>
      <c r="GY607" s="18"/>
      <c r="GZ607" s="18"/>
      <c r="HA607" s="18"/>
      <c r="HB607" s="18"/>
      <c r="HC607" s="18"/>
      <c r="HD607" s="18"/>
      <c r="HE607" s="18"/>
      <c r="HF607" s="18"/>
      <c r="HG607" s="13"/>
      <c r="HH607" s="13"/>
      <c r="HI607" s="13"/>
      <c r="HJ607" s="13"/>
      <c r="HK607" s="13"/>
      <c r="HL607" s="13"/>
      <c r="HM607" s="13"/>
      <c r="HN607" s="13"/>
      <c r="HO607" s="13"/>
      <c r="HP607" s="13"/>
      <c r="HQ607" s="13"/>
      <c r="HR607" s="13"/>
      <c r="HS607" s="13"/>
      <c r="HT607" s="13"/>
      <c r="HV607" s="18"/>
      <c r="HW607" s="18"/>
      <c r="HX607" s="18"/>
      <c r="HY607" s="18"/>
      <c r="HZ607" s="18"/>
      <c r="IA607" s="18"/>
      <c r="IB607" s="18"/>
      <c r="IC607" s="18"/>
      <c r="ID607" s="18"/>
      <c r="IE607" s="18"/>
      <c r="IF607" s="18"/>
      <c r="IG607" s="18"/>
      <c r="IH607" s="18"/>
      <c r="II607" s="18"/>
      <c r="IJ607" s="18"/>
      <c r="IK607" s="18"/>
      <c r="IL607" s="18"/>
      <c r="IM607" s="18"/>
      <c r="IN607" s="18"/>
      <c r="IO607" s="18"/>
      <c r="IP607" s="18"/>
      <c r="IQ607" s="18"/>
      <c r="IR607" s="18"/>
      <c r="IS607" s="18"/>
      <c r="IT607" s="18"/>
      <c r="IU607" s="18"/>
      <c r="IV607" s="18"/>
      <c r="IW607" s="18"/>
      <c r="IX607" s="18"/>
      <c r="IY607" s="18"/>
      <c r="IZ607" s="18"/>
      <c r="JA607" s="18"/>
      <c r="JB607" s="18"/>
      <c r="JC607" s="18"/>
      <c r="JD607" s="18"/>
      <c r="JE607" s="18"/>
      <c r="JF607" s="18"/>
      <c r="JG607" s="18"/>
      <c r="JH607" s="18"/>
      <c r="JI607" s="18"/>
      <c r="JJ607" s="18"/>
      <c r="JK607" s="18"/>
      <c r="JL607" s="18"/>
      <c r="JM607" s="18"/>
      <c r="JN607" s="18"/>
      <c r="JO607" s="18"/>
      <c r="JP607" s="18"/>
      <c r="JQ607" s="18"/>
      <c r="JR607" s="18"/>
      <c r="JS607" s="18"/>
      <c r="JT607" s="18"/>
      <c r="JU607" s="18"/>
      <c r="JV607" s="18"/>
      <c r="JW607" s="18"/>
      <c r="JX607" s="18"/>
      <c r="JY607" s="18"/>
      <c r="JZ607" s="18"/>
      <c r="KA607" s="18"/>
      <c r="KB607" s="18"/>
      <c r="KC607" s="18"/>
      <c r="KD607" s="18"/>
      <c r="KE607" s="18"/>
      <c r="KF607" s="18"/>
      <c r="KG607" s="18"/>
      <c r="KH607" s="18"/>
      <c r="KI607" s="18"/>
      <c r="KJ607" s="18"/>
      <c r="KK607" s="18"/>
      <c r="KL607" s="18"/>
      <c r="KM607" s="18"/>
      <c r="KN607" s="18"/>
      <c r="KO607" s="18"/>
      <c r="KP607" s="18"/>
    </row>
    <row r="608" spans="1:302" ht="15" customHeight="1">
      <c r="A608" s="14"/>
      <c r="B608" s="14"/>
      <c r="C608" s="50"/>
      <c r="D608" s="50"/>
      <c r="E608" s="49"/>
      <c r="F608" s="46"/>
      <c r="G608" s="46"/>
      <c r="H608" s="46"/>
      <c r="I608" s="48"/>
      <c r="J608" s="48"/>
      <c r="K608" s="14"/>
      <c r="L608" s="14"/>
      <c r="P608" s="14"/>
      <c r="AG608" s="47"/>
      <c r="AH608" s="44"/>
      <c r="AI608" s="45"/>
      <c r="AJ608" s="44"/>
      <c r="AK608" s="43"/>
      <c r="AS608" s="14"/>
      <c r="AU608" s="18"/>
      <c r="AV608" s="18"/>
      <c r="AW608" s="18"/>
      <c r="AX608" s="18"/>
      <c r="AY608" s="18"/>
      <c r="AZ608" s="18"/>
      <c r="BB608" s="18"/>
      <c r="BC608" s="18"/>
      <c r="BD608" s="18"/>
      <c r="BE608" s="18"/>
      <c r="BF608" s="18"/>
      <c r="BH608" s="18"/>
      <c r="BI608" s="18"/>
      <c r="BJ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  <c r="FC608" s="18"/>
      <c r="FD608" s="18"/>
      <c r="FE608" s="18"/>
      <c r="FF608" s="18"/>
      <c r="FG608" s="18"/>
      <c r="FH608" s="18"/>
      <c r="FI608" s="18"/>
      <c r="FJ608" s="18"/>
      <c r="FK608" s="18"/>
      <c r="FL608" s="18"/>
      <c r="FM608" s="18"/>
      <c r="FN608" s="18"/>
      <c r="FO608" s="18"/>
      <c r="FP608" s="18"/>
      <c r="FQ608" s="18"/>
      <c r="FR608" s="18"/>
      <c r="FS608" s="18"/>
      <c r="FT608" s="18"/>
      <c r="FU608" s="18"/>
      <c r="FV608" s="18"/>
      <c r="FW608" s="18"/>
      <c r="FX608" s="18"/>
      <c r="FY608" s="18"/>
      <c r="FZ608" s="18"/>
      <c r="GA608" s="18"/>
      <c r="GB608" s="18"/>
      <c r="GC608" s="18"/>
      <c r="GD608" s="18"/>
      <c r="GE608" s="18"/>
      <c r="GF608" s="18"/>
      <c r="GG608" s="18"/>
      <c r="GH608" s="18"/>
      <c r="GI608" s="18"/>
      <c r="GJ608" s="18"/>
      <c r="GK608" s="18"/>
      <c r="GL608" s="18"/>
      <c r="GM608" s="18"/>
      <c r="GN608" s="18"/>
      <c r="GO608" s="18"/>
      <c r="GP608" s="18"/>
      <c r="GQ608" s="18"/>
      <c r="GR608" s="18"/>
      <c r="GS608" s="18"/>
      <c r="GT608" s="18"/>
      <c r="GU608" s="18"/>
      <c r="GV608" s="18"/>
      <c r="GW608" s="18"/>
      <c r="GX608" s="18"/>
      <c r="GY608" s="18"/>
      <c r="GZ608" s="18"/>
      <c r="HA608" s="18"/>
      <c r="HB608" s="18"/>
      <c r="HC608" s="18"/>
      <c r="HD608" s="18"/>
      <c r="HE608" s="18"/>
      <c r="HF608" s="18"/>
      <c r="HG608" s="13"/>
      <c r="HH608" s="13"/>
      <c r="HI608" s="13"/>
      <c r="HJ608" s="13"/>
      <c r="HK608" s="13"/>
      <c r="HL608" s="13"/>
      <c r="HM608" s="13"/>
      <c r="HN608" s="13"/>
      <c r="HO608" s="13"/>
      <c r="HP608" s="13"/>
      <c r="HQ608" s="13"/>
      <c r="HR608" s="13"/>
      <c r="HS608" s="13"/>
      <c r="HT608" s="13"/>
      <c r="HV608" s="18"/>
      <c r="HW608" s="18"/>
      <c r="HX608" s="18"/>
      <c r="HY608" s="18"/>
      <c r="HZ608" s="18"/>
      <c r="IA608" s="18"/>
      <c r="IB608" s="18"/>
      <c r="IC608" s="18"/>
      <c r="ID608" s="18"/>
      <c r="IE608" s="18"/>
      <c r="IF608" s="18"/>
      <c r="IG608" s="18"/>
      <c r="IH608" s="18"/>
      <c r="II608" s="18"/>
      <c r="IJ608" s="18"/>
      <c r="IK608" s="18"/>
      <c r="IL608" s="18"/>
      <c r="IM608" s="18"/>
      <c r="IN608" s="18"/>
      <c r="IO608" s="18"/>
      <c r="IP608" s="18"/>
      <c r="IQ608" s="18"/>
      <c r="IR608" s="18"/>
      <c r="IS608" s="18"/>
      <c r="IT608" s="18"/>
      <c r="IU608" s="18"/>
      <c r="IV608" s="18"/>
      <c r="IW608" s="18"/>
      <c r="IX608" s="18"/>
      <c r="IY608" s="18"/>
      <c r="IZ608" s="18"/>
      <c r="JA608" s="18"/>
      <c r="JB608" s="18"/>
      <c r="JC608" s="18"/>
      <c r="JD608" s="18"/>
      <c r="JE608" s="18"/>
      <c r="JF608" s="18"/>
      <c r="JG608" s="18"/>
      <c r="JH608" s="18"/>
      <c r="JI608" s="18"/>
      <c r="JJ608" s="18"/>
      <c r="JK608" s="18"/>
      <c r="JL608" s="18"/>
      <c r="JM608" s="18"/>
      <c r="JN608" s="18"/>
      <c r="JO608" s="18"/>
      <c r="JP608" s="18"/>
      <c r="JQ608" s="18"/>
      <c r="JR608" s="18"/>
      <c r="JS608" s="18"/>
      <c r="JT608" s="18"/>
      <c r="JU608" s="18"/>
      <c r="JV608" s="18"/>
      <c r="JW608" s="18"/>
      <c r="JX608" s="18"/>
      <c r="JY608" s="18"/>
      <c r="JZ608" s="18"/>
      <c r="KA608" s="18"/>
      <c r="KB608" s="18"/>
      <c r="KC608" s="18"/>
      <c r="KD608" s="18"/>
      <c r="KE608" s="18"/>
      <c r="KF608" s="18"/>
      <c r="KG608" s="18"/>
      <c r="KH608" s="18"/>
      <c r="KI608" s="18"/>
      <c r="KJ608" s="18"/>
      <c r="KK608" s="18"/>
      <c r="KL608" s="18"/>
      <c r="KM608" s="18"/>
      <c r="KN608" s="18"/>
      <c r="KO608" s="18"/>
      <c r="KP608" s="18"/>
    </row>
    <row r="609" spans="1:302" ht="15" customHeight="1">
      <c r="A609" s="14"/>
      <c r="B609" s="14"/>
      <c r="C609" s="50"/>
      <c r="D609" s="50"/>
      <c r="E609" s="49"/>
      <c r="F609" s="46"/>
      <c r="G609" s="1"/>
      <c r="H609" s="1"/>
      <c r="I609" s="48"/>
      <c r="J609" s="48"/>
      <c r="K609" s="14"/>
      <c r="L609" s="14"/>
      <c r="P609" s="14"/>
      <c r="AG609" s="47"/>
      <c r="AH609" s="44"/>
      <c r="AI609" s="45"/>
      <c r="AJ609" s="44"/>
      <c r="AK609" s="43"/>
      <c r="AS609" s="14"/>
      <c r="AU609" s="18"/>
      <c r="AV609" s="18"/>
      <c r="AW609" s="18"/>
      <c r="AX609" s="18"/>
      <c r="AY609" s="18"/>
      <c r="AZ609" s="18"/>
      <c r="BB609" s="18"/>
      <c r="BC609" s="18"/>
      <c r="BD609" s="18"/>
      <c r="BE609" s="18"/>
      <c r="BF609" s="18"/>
      <c r="BH609" s="18"/>
      <c r="BI609" s="18"/>
      <c r="BJ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  <c r="FR609" s="18"/>
      <c r="FS609" s="18"/>
      <c r="FT609" s="18"/>
      <c r="FU609" s="18"/>
      <c r="FV609" s="18"/>
      <c r="FW609" s="18"/>
      <c r="FX609" s="18"/>
      <c r="FY609" s="18"/>
      <c r="FZ609" s="18"/>
      <c r="GA609" s="18"/>
      <c r="GB609" s="18"/>
      <c r="GC609" s="18"/>
      <c r="GD609" s="18"/>
      <c r="GE609" s="18"/>
      <c r="GF609" s="18"/>
      <c r="GG609" s="18"/>
      <c r="GH609" s="18"/>
      <c r="GI609" s="18"/>
      <c r="GJ609" s="18"/>
      <c r="GK609" s="18"/>
      <c r="GL609" s="18"/>
      <c r="GM609" s="18"/>
      <c r="GN609" s="18"/>
      <c r="GO609" s="18"/>
      <c r="GP609" s="18"/>
      <c r="GQ609" s="18"/>
      <c r="GR609" s="18"/>
      <c r="GS609" s="18"/>
      <c r="GT609" s="18"/>
      <c r="GU609" s="18"/>
      <c r="GV609" s="18"/>
      <c r="GW609" s="18"/>
      <c r="GX609" s="18"/>
      <c r="GY609" s="18"/>
      <c r="GZ609" s="18"/>
      <c r="HA609" s="18"/>
      <c r="HB609" s="18"/>
      <c r="HC609" s="18"/>
      <c r="HD609" s="18"/>
      <c r="HE609" s="18"/>
      <c r="HF609" s="18"/>
      <c r="HG609" s="13"/>
      <c r="HH609" s="13"/>
      <c r="HI609" s="13"/>
      <c r="HJ609" s="13"/>
      <c r="HK609" s="13"/>
      <c r="HL609" s="13"/>
      <c r="HM609" s="13"/>
      <c r="HN609" s="13"/>
      <c r="HO609" s="13"/>
      <c r="HP609" s="13"/>
      <c r="HQ609" s="13"/>
      <c r="HR609" s="13"/>
      <c r="HS609" s="13"/>
      <c r="HT609" s="13"/>
      <c r="HV609" s="18"/>
      <c r="HW609" s="18"/>
      <c r="HX609" s="18"/>
      <c r="HY609" s="18"/>
      <c r="HZ609" s="18"/>
      <c r="IA609" s="18"/>
      <c r="IB609" s="18"/>
      <c r="IC609" s="18"/>
      <c r="ID609" s="18"/>
      <c r="IE609" s="18"/>
      <c r="IF609" s="18"/>
      <c r="IG609" s="18"/>
      <c r="IH609" s="18"/>
      <c r="II609" s="18"/>
      <c r="IJ609" s="18"/>
      <c r="IK609" s="18"/>
      <c r="IL609" s="18"/>
      <c r="IM609" s="18"/>
      <c r="IN609" s="18"/>
      <c r="IO609" s="18"/>
      <c r="IP609" s="18"/>
      <c r="IQ609" s="18"/>
      <c r="IR609" s="18"/>
      <c r="IS609" s="18"/>
      <c r="IT609" s="18"/>
      <c r="IU609" s="18"/>
      <c r="IV609" s="18"/>
      <c r="IW609" s="18"/>
      <c r="IX609" s="18"/>
      <c r="IY609" s="18"/>
      <c r="IZ609" s="18"/>
      <c r="JA609" s="18"/>
      <c r="JB609" s="18"/>
      <c r="JC609" s="18"/>
      <c r="JD609" s="18"/>
      <c r="JE609" s="18"/>
      <c r="JF609" s="18"/>
      <c r="JG609" s="18"/>
      <c r="JH609" s="18"/>
      <c r="JI609" s="18"/>
      <c r="JJ609" s="18"/>
      <c r="JK609" s="18"/>
      <c r="JL609" s="18"/>
      <c r="JM609" s="18"/>
      <c r="JN609" s="18"/>
      <c r="JO609" s="18"/>
      <c r="JP609" s="18"/>
      <c r="JQ609" s="18"/>
      <c r="JR609" s="18"/>
      <c r="JS609" s="18"/>
      <c r="JT609" s="18"/>
      <c r="JU609" s="18"/>
      <c r="JV609" s="18"/>
      <c r="JW609" s="18"/>
      <c r="JX609" s="18"/>
      <c r="JY609" s="18"/>
      <c r="JZ609" s="18"/>
      <c r="KA609" s="18"/>
      <c r="KB609" s="18"/>
      <c r="KC609" s="18"/>
      <c r="KD609" s="18"/>
      <c r="KE609" s="18"/>
      <c r="KF609" s="18"/>
      <c r="KG609" s="18"/>
      <c r="KH609" s="18"/>
      <c r="KI609" s="18"/>
      <c r="KJ609" s="18"/>
      <c r="KK609" s="18"/>
      <c r="KL609" s="18"/>
      <c r="KM609" s="18"/>
      <c r="KN609" s="18"/>
      <c r="KO609" s="18"/>
      <c r="KP609" s="18"/>
    </row>
    <row r="610" spans="1:302" ht="15" customHeight="1">
      <c r="A610" s="14"/>
      <c r="B610" s="14"/>
      <c r="C610" s="50"/>
      <c r="D610" s="50"/>
      <c r="E610" s="49"/>
      <c r="F610" s="46"/>
      <c r="G610" s="1"/>
      <c r="H610" s="1"/>
      <c r="I610" s="48"/>
      <c r="J610" s="48"/>
      <c r="K610" s="14"/>
      <c r="L610" s="14"/>
      <c r="P610" s="14"/>
      <c r="AG610" s="47"/>
      <c r="AH610" s="44"/>
      <c r="AI610" s="45"/>
      <c r="AJ610" s="44"/>
      <c r="AK610" s="43"/>
      <c r="AS610" s="14"/>
      <c r="AU610" s="18"/>
      <c r="AV610" s="18"/>
      <c r="AW610" s="18"/>
      <c r="AX610" s="18"/>
      <c r="AY610" s="18"/>
      <c r="AZ610" s="18"/>
      <c r="BB610" s="18"/>
      <c r="BC610" s="18"/>
      <c r="BD610" s="18"/>
      <c r="BE610" s="18"/>
      <c r="BF610" s="18"/>
      <c r="BH610" s="18"/>
      <c r="BI610" s="18"/>
      <c r="BJ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  <c r="FC610" s="18"/>
      <c r="FD610" s="18"/>
      <c r="FE610" s="18"/>
      <c r="FF610" s="18"/>
      <c r="FG610" s="18"/>
      <c r="FH610" s="18"/>
      <c r="FI610" s="18"/>
      <c r="FJ610" s="18"/>
      <c r="FK610" s="18"/>
      <c r="FL610" s="18"/>
      <c r="FM610" s="18"/>
      <c r="FN610" s="18"/>
      <c r="FO610" s="18"/>
      <c r="FP610" s="18"/>
      <c r="FQ610" s="18"/>
      <c r="FR610" s="18"/>
      <c r="FS610" s="18"/>
      <c r="FT610" s="18"/>
      <c r="FU610" s="18"/>
      <c r="FV610" s="18"/>
      <c r="FW610" s="18"/>
      <c r="FX610" s="18"/>
      <c r="FY610" s="18"/>
      <c r="FZ610" s="18"/>
      <c r="GA610" s="18"/>
      <c r="GB610" s="18"/>
      <c r="GC610" s="18"/>
      <c r="GD610" s="18"/>
      <c r="GE610" s="18"/>
      <c r="GF610" s="18"/>
      <c r="GG610" s="18"/>
      <c r="GH610" s="18"/>
      <c r="GI610" s="18"/>
      <c r="GJ610" s="18"/>
      <c r="GK610" s="18"/>
      <c r="GL610" s="18"/>
      <c r="GM610" s="18"/>
      <c r="GN610" s="18"/>
      <c r="GO610" s="18"/>
      <c r="GP610" s="18"/>
      <c r="GQ610" s="18"/>
      <c r="GR610" s="18"/>
      <c r="GS610" s="18"/>
      <c r="GT610" s="18"/>
      <c r="GU610" s="18"/>
      <c r="GV610" s="18"/>
      <c r="GW610" s="18"/>
      <c r="GX610" s="18"/>
      <c r="GY610" s="18"/>
      <c r="GZ610" s="18"/>
      <c r="HA610" s="18"/>
      <c r="HB610" s="18"/>
      <c r="HC610" s="18"/>
      <c r="HD610" s="18"/>
      <c r="HE610" s="18"/>
      <c r="HF610" s="18"/>
      <c r="HG610" s="13"/>
      <c r="HH610" s="13"/>
      <c r="HI610" s="13"/>
      <c r="HJ610" s="13"/>
      <c r="HK610" s="13"/>
      <c r="HL610" s="13"/>
      <c r="HM610" s="13"/>
      <c r="HN610" s="13"/>
      <c r="HO610" s="13"/>
      <c r="HP610" s="13"/>
      <c r="HQ610" s="13"/>
      <c r="HR610" s="13"/>
      <c r="HS610" s="13"/>
      <c r="HT610" s="13"/>
      <c r="HV610" s="18"/>
      <c r="HW610" s="18"/>
      <c r="HX610" s="18"/>
      <c r="HY610" s="18"/>
      <c r="HZ610" s="18"/>
      <c r="IA610" s="18"/>
      <c r="IB610" s="18"/>
      <c r="IC610" s="18"/>
      <c r="ID610" s="18"/>
      <c r="IE610" s="18"/>
      <c r="IF610" s="18"/>
      <c r="IG610" s="18"/>
      <c r="IH610" s="18"/>
      <c r="II610" s="18"/>
      <c r="IJ610" s="18"/>
      <c r="IK610" s="18"/>
      <c r="IL610" s="18"/>
      <c r="IM610" s="18"/>
      <c r="IN610" s="18"/>
      <c r="IO610" s="18"/>
      <c r="IP610" s="18"/>
      <c r="IQ610" s="18"/>
      <c r="IR610" s="18"/>
      <c r="IS610" s="18"/>
      <c r="IT610" s="18"/>
      <c r="IU610" s="18"/>
      <c r="IV610" s="18"/>
      <c r="IW610" s="18"/>
      <c r="IX610" s="18"/>
      <c r="IY610" s="18"/>
      <c r="IZ610" s="18"/>
      <c r="JA610" s="18"/>
      <c r="JB610" s="18"/>
      <c r="JC610" s="18"/>
      <c r="JD610" s="18"/>
      <c r="JE610" s="18"/>
      <c r="JF610" s="18"/>
      <c r="JG610" s="18"/>
      <c r="JH610" s="18"/>
      <c r="JI610" s="18"/>
      <c r="JJ610" s="18"/>
      <c r="JK610" s="18"/>
      <c r="JL610" s="18"/>
      <c r="JM610" s="18"/>
      <c r="JN610" s="18"/>
      <c r="JO610" s="18"/>
      <c r="JP610" s="18"/>
      <c r="JQ610" s="18"/>
      <c r="JR610" s="18"/>
      <c r="JS610" s="18"/>
      <c r="JT610" s="18"/>
      <c r="JU610" s="18"/>
      <c r="JV610" s="18"/>
      <c r="JW610" s="18"/>
      <c r="JX610" s="18"/>
      <c r="JY610" s="18"/>
      <c r="JZ610" s="18"/>
      <c r="KA610" s="18"/>
      <c r="KB610" s="18"/>
      <c r="KC610" s="18"/>
      <c r="KD610" s="18"/>
      <c r="KE610" s="18"/>
      <c r="KF610" s="18"/>
      <c r="KG610" s="18"/>
      <c r="KH610" s="18"/>
      <c r="KI610" s="18"/>
      <c r="KJ610" s="18"/>
      <c r="KK610" s="18"/>
      <c r="KL610" s="18"/>
      <c r="KM610" s="18"/>
      <c r="KN610" s="18"/>
      <c r="KO610" s="18"/>
      <c r="KP610" s="18"/>
    </row>
    <row r="611" spans="1:302" ht="15" customHeight="1">
      <c r="A611" s="14"/>
      <c r="B611" s="14"/>
      <c r="C611" s="50"/>
      <c r="D611" s="50"/>
      <c r="E611" s="49"/>
      <c r="F611" s="46"/>
      <c r="G611" s="46"/>
      <c r="H611" s="46"/>
      <c r="I611" s="48"/>
      <c r="J611" s="48"/>
      <c r="K611" s="14"/>
      <c r="L611" s="14"/>
      <c r="P611" s="14"/>
      <c r="AG611" s="47"/>
      <c r="AH611" s="44"/>
      <c r="AI611" s="45"/>
      <c r="AJ611" s="44"/>
      <c r="AK611" s="43"/>
      <c r="AS611" s="14"/>
      <c r="AU611" s="18"/>
      <c r="AV611" s="18"/>
      <c r="AW611" s="18"/>
      <c r="AX611" s="18"/>
      <c r="AY611" s="18"/>
      <c r="AZ611" s="18"/>
      <c r="BB611" s="18"/>
      <c r="BC611" s="18"/>
      <c r="BD611" s="18"/>
      <c r="BE611" s="18"/>
      <c r="BF611" s="18"/>
      <c r="BH611" s="18"/>
      <c r="BI611" s="18"/>
      <c r="BJ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  <c r="FC611" s="18"/>
      <c r="FD611" s="18"/>
      <c r="FE611" s="18"/>
      <c r="FF611" s="18"/>
      <c r="FG611" s="18"/>
      <c r="FH611" s="18"/>
      <c r="FI611" s="18"/>
      <c r="FJ611" s="18"/>
      <c r="FK611" s="18"/>
      <c r="FL611" s="18"/>
      <c r="FM611" s="18"/>
      <c r="FN611" s="18"/>
      <c r="FO611" s="18"/>
      <c r="FP611" s="18"/>
      <c r="FQ611" s="18"/>
      <c r="FR611" s="18"/>
      <c r="FS611" s="18"/>
      <c r="FT611" s="18"/>
      <c r="FU611" s="18"/>
      <c r="FV611" s="18"/>
      <c r="FW611" s="18"/>
      <c r="FX611" s="18"/>
      <c r="FY611" s="18"/>
      <c r="FZ611" s="18"/>
      <c r="GA611" s="18"/>
      <c r="GB611" s="18"/>
      <c r="GC611" s="18"/>
      <c r="GD611" s="18"/>
      <c r="GE611" s="18"/>
      <c r="GF611" s="18"/>
      <c r="GG611" s="18"/>
      <c r="GH611" s="18"/>
      <c r="GI611" s="18"/>
      <c r="GJ611" s="18"/>
      <c r="GK611" s="18"/>
      <c r="GL611" s="18"/>
      <c r="GM611" s="18"/>
      <c r="GN611" s="18"/>
      <c r="GO611" s="18"/>
      <c r="GP611" s="18"/>
      <c r="GQ611" s="18"/>
      <c r="GR611" s="18"/>
      <c r="GS611" s="18"/>
      <c r="GT611" s="18"/>
      <c r="GU611" s="18"/>
      <c r="GV611" s="18"/>
      <c r="GW611" s="18"/>
      <c r="GX611" s="18"/>
      <c r="GY611" s="18"/>
      <c r="GZ611" s="18"/>
      <c r="HA611" s="18"/>
      <c r="HB611" s="18"/>
      <c r="HC611" s="18"/>
      <c r="HD611" s="18"/>
      <c r="HE611" s="18"/>
      <c r="HF611" s="18"/>
      <c r="HG611" s="13"/>
      <c r="HH611" s="13"/>
      <c r="HI611" s="13"/>
      <c r="HJ611" s="13"/>
      <c r="HK611" s="13"/>
      <c r="HL611" s="13"/>
      <c r="HM611" s="13"/>
      <c r="HN611" s="13"/>
      <c r="HO611" s="13"/>
      <c r="HP611" s="13"/>
      <c r="HQ611" s="13"/>
      <c r="HR611" s="13"/>
      <c r="HS611" s="13"/>
      <c r="HT611" s="13"/>
      <c r="HV611" s="18"/>
      <c r="HW611" s="18"/>
      <c r="HX611" s="18"/>
      <c r="HY611" s="18"/>
      <c r="HZ611" s="18"/>
      <c r="IA611" s="18"/>
      <c r="IB611" s="18"/>
      <c r="IC611" s="18"/>
      <c r="ID611" s="18"/>
      <c r="IE611" s="18"/>
      <c r="IF611" s="18"/>
      <c r="IG611" s="18"/>
      <c r="IH611" s="18"/>
      <c r="II611" s="18"/>
      <c r="IJ611" s="18"/>
      <c r="IK611" s="18"/>
      <c r="IL611" s="18"/>
      <c r="IM611" s="18"/>
      <c r="IN611" s="18"/>
      <c r="IO611" s="18"/>
      <c r="IP611" s="18"/>
      <c r="IQ611" s="18"/>
      <c r="IR611" s="18"/>
      <c r="IS611" s="18"/>
      <c r="IT611" s="18"/>
      <c r="IU611" s="18"/>
      <c r="IV611" s="18"/>
      <c r="IW611" s="18"/>
      <c r="IX611" s="18"/>
      <c r="IY611" s="18"/>
      <c r="IZ611" s="18"/>
      <c r="JA611" s="18"/>
      <c r="JB611" s="18"/>
      <c r="JC611" s="18"/>
      <c r="JD611" s="18"/>
      <c r="JE611" s="18"/>
      <c r="JF611" s="18"/>
      <c r="JG611" s="18"/>
      <c r="JH611" s="18"/>
      <c r="JI611" s="18"/>
      <c r="JJ611" s="18"/>
      <c r="JK611" s="18"/>
      <c r="JL611" s="18"/>
      <c r="JM611" s="18"/>
      <c r="JN611" s="18"/>
      <c r="JO611" s="18"/>
      <c r="JP611" s="18"/>
      <c r="JQ611" s="18"/>
      <c r="JR611" s="18"/>
      <c r="JS611" s="18"/>
      <c r="JT611" s="18"/>
      <c r="JU611" s="18"/>
      <c r="JV611" s="18"/>
      <c r="JW611" s="18"/>
      <c r="JX611" s="18"/>
      <c r="JY611" s="18"/>
      <c r="JZ611" s="18"/>
      <c r="KA611" s="18"/>
      <c r="KB611" s="18"/>
      <c r="KC611" s="18"/>
      <c r="KD611" s="18"/>
      <c r="KE611" s="18"/>
      <c r="KF611" s="18"/>
      <c r="KG611" s="18"/>
      <c r="KH611" s="18"/>
      <c r="KI611" s="18"/>
      <c r="KJ611" s="18"/>
      <c r="KK611" s="18"/>
      <c r="KL611" s="18"/>
      <c r="KM611" s="18"/>
      <c r="KN611" s="18"/>
      <c r="KO611" s="18"/>
      <c r="KP611" s="18"/>
    </row>
    <row r="612" spans="1:302" ht="15" customHeight="1">
      <c r="A612" s="14"/>
      <c r="B612" s="14"/>
      <c r="C612" s="50"/>
      <c r="D612" s="50"/>
      <c r="E612" s="49"/>
      <c r="F612" s="46"/>
      <c r="G612" s="1"/>
      <c r="H612" s="1"/>
      <c r="I612" s="48"/>
      <c r="J612" s="48"/>
      <c r="K612" s="14"/>
      <c r="L612" s="14"/>
      <c r="P612" s="14"/>
      <c r="AG612" s="47"/>
      <c r="AJ612" s="44"/>
      <c r="AK612" s="43"/>
      <c r="AS612" s="14"/>
      <c r="AU612" s="18"/>
      <c r="AV612" s="18"/>
      <c r="AW612" s="18"/>
      <c r="AX612" s="18"/>
      <c r="AY612" s="18"/>
      <c r="AZ612" s="18"/>
      <c r="BB612" s="18"/>
      <c r="BC612" s="18"/>
      <c r="BD612" s="18"/>
      <c r="BE612" s="18"/>
      <c r="BF612" s="18"/>
      <c r="BH612" s="18"/>
      <c r="BI612" s="18"/>
      <c r="BJ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  <c r="FC612" s="18"/>
      <c r="FD612" s="18"/>
      <c r="FE612" s="18"/>
      <c r="FF612" s="18"/>
      <c r="FG612" s="18"/>
      <c r="FH612" s="18"/>
      <c r="FI612" s="18"/>
      <c r="FJ612" s="18"/>
      <c r="FK612" s="18"/>
      <c r="FL612" s="18"/>
      <c r="FM612" s="18"/>
      <c r="FN612" s="18"/>
      <c r="FO612" s="18"/>
      <c r="FP612" s="18"/>
      <c r="FQ612" s="18"/>
      <c r="FR612" s="18"/>
      <c r="FS612" s="18"/>
      <c r="FT612" s="18"/>
      <c r="FU612" s="18"/>
      <c r="FV612" s="18"/>
      <c r="FW612" s="18"/>
      <c r="FX612" s="18"/>
      <c r="FY612" s="18"/>
      <c r="FZ612" s="18"/>
      <c r="GA612" s="18"/>
      <c r="GB612" s="18"/>
      <c r="GC612" s="18"/>
      <c r="GD612" s="18"/>
      <c r="GE612" s="18"/>
      <c r="GF612" s="18"/>
      <c r="GG612" s="18"/>
      <c r="GH612" s="18"/>
      <c r="GI612" s="18"/>
      <c r="GJ612" s="18"/>
      <c r="GK612" s="18"/>
      <c r="GL612" s="18"/>
      <c r="GM612" s="18"/>
      <c r="GN612" s="18"/>
      <c r="GO612" s="18"/>
      <c r="GP612" s="18"/>
      <c r="GQ612" s="18"/>
      <c r="GR612" s="18"/>
      <c r="GS612" s="18"/>
      <c r="GT612" s="18"/>
      <c r="GU612" s="18"/>
      <c r="GV612" s="18"/>
      <c r="GW612" s="18"/>
      <c r="GX612" s="18"/>
      <c r="GY612" s="18"/>
      <c r="GZ612" s="18"/>
      <c r="HA612" s="18"/>
      <c r="HB612" s="18"/>
      <c r="HC612" s="18"/>
      <c r="HD612" s="18"/>
      <c r="HE612" s="18"/>
      <c r="HF612" s="18"/>
      <c r="HG612" s="13"/>
      <c r="HH612" s="13"/>
      <c r="HI612" s="13"/>
      <c r="HJ612" s="13"/>
      <c r="HK612" s="13"/>
      <c r="HL612" s="13"/>
      <c r="HM612" s="13"/>
      <c r="HN612" s="13"/>
      <c r="HO612" s="13"/>
      <c r="HP612" s="13"/>
      <c r="HQ612" s="13"/>
      <c r="HR612" s="13"/>
      <c r="HS612" s="13"/>
      <c r="HT612" s="13"/>
      <c r="HV612" s="18"/>
      <c r="HW612" s="18"/>
      <c r="HX612" s="18"/>
      <c r="HY612" s="18"/>
      <c r="HZ612" s="18"/>
      <c r="IA612" s="18"/>
      <c r="IB612" s="18"/>
      <c r="IC612" s="18"/>
      <c r="ID612" s="18"/>
      <c r="IE612" s="18"/>
      <c r="IF612" s="18"/>
      <c r="IG612" s="18"/>
      <c r="IH612" s="18"/>
      <c r="II612" s="18"/>
      <c r="IJ612" s="18"/>
      <c r="IK612" s="18"/>
      <c r="IL612" s="18"/>
      <c r="IM612" s="18"/>
      <c r="IN612" s="18"/>
      <c r="IO612" s="18"/>
      <c r="IP612" s="18"/>
      <c r="IQ612" s="18"/>
      <c r="IR612" s="18"/>
      <c r="IS612" s="18"/>
      <c r="IT612" s="18"/>
      <c r="IU612" s="18"/>
      <c r="IV612" s="18"/>
      <c r="IW612" s="18"/>
      <c r="IX612" s="18"/>
      <c r="IY612" s="18"/>
      <c r="IZ612" s="18"/>
      <c r="JA612" s="18"/>
      <c r="JB612" s="18"/>
      <c r="JC612" s="18"/>
      <c r="JD612" s="18"/>
      <c r="JE612" s="18"/>
      <c r="JF612" s="18"/>
      <c r="JG612" s="18"/>
      <c r="JH612" s="18"/>
      <c r="JI612" s="18"/>
      <c r="JJ612" s="18"/>
      <c r="JK612" s="18"/>
      <c r="JL612" s="18"/>
      <c r="JM612" s="18"/>
      <c r="JN612" s="18"/>
      <c r="JO612" s="18"/>
      <c r="JP612" s="18"/>
      <c r="JQ612" s="18"/>
      <c r="JR612" s="18"/>
      <c r="JS612" s="18"/>
      <c r="JT612" s="18"/>
      <c r="JU612" s="18"/>
      <c r="JV612" s="18"/>
      <c r="JW612" s="18"/>
      <c r="JX612" s="18"/>
      <c r="JY612" s="18"/>
      <c r="JZ612" s="18"/>
      <c r="KA612" s="18"/>
      <c r="KB612" s="18"/>
      <c r="KC612" s="18"/>
      <c r="KD612" s="18"/>
      <c r="KE612" s="18"/>
      <c r="KF612" s="18"/>
      <c r="KG612" s="18"/>
      <c r="KH612" s="18"/>
      <c r="KI612" s="18"/>
      <c r="KJ612" s="18"/>
      <c r="KK612" s="18"/>
      <c r="KL612" s="18"/>
      <c r="KM612" s="18"/>
      <c r="KN612" s="18"/>
      <c r="KO612" s="18"/>
      <c r="KP612" s="18"/>
    </row>
    <row r="613" spans="1:302" ht="15" customHeight="1">
      <c r="A613" s="14"/>
      <c r="B613" s="14"/>
      <c r="C613" s="50"/>
      <c r="D613" s="50"/>
      <c r="E613" s="49"/>
      <c r="F613" s="46"/>
      <c r="G613" s="46"/>
      <c r="H613" s="46"/>
      <c r="I613" s="48"/>
      <c r="J613" s="48"/>
      <c r="K613" s="14"/>
      <c r="L613" s="14"/>
      <c r="P613" s="14"/>
      <c r="AG613" s="47"/>
      <c r="AH613" s="44"/>
      <c r="AI613" s="45"/>
      <c r="AJ613" s="44"/>
      <c r="AK613" s="43"/>
      <c r="AS613" s="14"/>
      <c r="AU613" s="18"/>
      <c r="AV613" s="18"/>
      <c r="AW613" s="18"/>
      <c r="AX613" s="18"/>
      <c r="AY613" s="18"/>
      <c r="AZ613" s="18"/>
      <c r="BB613" s="18"/>
      <c r="BC613" s="18"/>
      <c r="BD613" s="18"/>
      <c r="BE613" s="18"/>
      <c r="BF613" s="18"/>
      <c r="BH613" s="18"/>
      <c r="BI613" s="18"/>
      <c r="BJ613" s="18"/>
      <c r="BL613" s="18"/>
      <c r="BM613" s="18"/>
      <c r="BN613" s="18"/>
      <c r="BO613" s="18"/>
      <c r="BP613" s="18"/>
      <c r="BQ613" s="18"/>
      <c r="BR613" s="18"/>
      <c r="BS613" s="18"/>
      <c r="BT613" s="18"/>
      <c r="BU613" s="18"/>
      <c r="BV613" s="18"/>
      <c r="BW613" s="18"/>
      <c r="BY613" s="18"/>
      <c r="BZ613" s="18"/>
      <c r="CA613" s="18"/>
      <c r="CB613" s="18"/>
      <c r="CC613" s="18"/>
      <c r="CD613" s="18"/>
      <c r="CE613" s="18"/>
      <c r="CF613" s="18"/>
      <c r="CG613" s="18"/>
      <c r="CH613" s="18"/>
      <c r="CI613" s="18"/>
      <c r="CJ613" s="18"/>
      <c r="CK613" s="18"/>
      <c r="CL613" s="18"/>
      <c r="CM613" s="18"/>
      <c r="CN613" s="18"/>
      <c r="CO613" s="18"/>
      <c r="CP613" s="18"/>
      <c r="CQ613" s="18"/>
      <c r="CR613" s="18"/>
      <c r="CT613" s="18"/>
      <c r="CU613" s="18"/>
      <c r="CV613" s="18"/>
      <c r="CW613" s="18"/>
      <c r="CX613" s="18"/>
      <c r="CY613" s="18"/>
      <c r="CZ613" s="18"/>
      <c r="DA613" s="18"/>
      <c r="DB613" s="18"/>
      <c r="DC613" s="18"/>
      <c r="DD613" s="18"/>
      <c r="DE613" s="18"/>
      <c r="DF613" s="18"/>
      <c r="DG613" s="18"/>
      <c r="DH613" s="18"/>
      <c r="DI613" s="18"/>
      <c r="DJ613" s="18"/>
      <c r="DK613" s="18"/>
      <c r="DL613" s="18"/>
      <c r="DM613" s="18"/>
      <c r="DN613" s="18"/>
      <c r="DP613" s="18"/>
      <c r="DQ613" s="18"/>
      <c r="DR613" s="18"/>
      <c r="DS613" s="18"/>
      <c r="DT613" s="18"/>
      <c r="DU613" s="18"/>
      <c r="DV613" s="18"/>
      <c r="DW613" s="18"/>
      <c r="DX613" s="18"/>
      <c r="DY613" s="18"/>
      <c r="DZ613" s="18"/>
      <c r="EA613" s="18"/>
      <c r="EB613" s="18"/>
      <c r="EC613" s="18"/>
      <c r="ED613" s="18"/>
      <c r="EE613" s="18"/>
      <c r="EF613" s="18"/>
      <c r="EG613" s="18"/>
      <c r="EH613" s="18"/>
      <c r="EI613" s="18"/>
      <c r="EJ613" s="18"/>
      <c r="EK613" s="18"/>
      <c r="EL613" s="18"/>
      <c r="EM613" s="18"/>
      <c r="EN613" s="18"/>
      <c r="EO613" s="18"/>
      <c r="EP613" s="18"/>
      <c r="EQ613" s="18"/>
      <c r="ER613" s="18"/>
      <c r="ES613" s="18"/>
      <c r="ET613" s="18"/>
      <c r="EU613" s="18"/>
      <c r="EV613" s="18"/>
      <c r="EW613" s="18"/>
      <c r="EX613" s="18"/>
      <c r="EY613" s="18"/>
      <c r="EZ613" s="18"/>
      <c r="FA613" s="18"/>
      <c r="FB613" s="18"/>
      <c r="FC613" s="18"/>
      <c r="FD613" s="18"/>
      <c r="FE613" s="18"/>
      <c r="FF613" s="18"/>
      <c r="FG613" s="18"/>
      <c r="FH613" s="18"/>
      <c r="FI613" s="18"/>
      <c r="FJ613" s="18"/>
      <c r="FK613" s="18"/>
      <c r="FL613" s="18"/>
      <c r="FM613" s="18"/>
      <c r="FN613" s="18"/>
      <c r="FO613" s="18"/>
      <c r="FP613" s="18"/>
      <c r="FQ613" s="18"/>
      <c r="FR613" s="18"/>
      <c r="FS613" s="18"/>
      <c r="FT613" s="18"/>
      <c r="FU613" s="18"/>
      <c r="FV613" s="18"/>
      <c r="FW613" s="18"/>
      <c r="FX613" s="18"/>
      <c r="FY613" s="18"/>
      <c r="FZ613" s="18"/>
      <c r="GA613" s="18"/>
      <c r="GB613" s="18"/>
      <c r="GC613" s="18"/>
      <c r="GD613" s="18"/>
      <c r="GE613" s="18"/>
      <c r="GF613" s="18"/>
      <c r="GG613" s="18"/>
      <c r="GH613" s="18"/>
      <c r="GI613" s="18"/>
      <c r="GJ613" s="18"/>
      <c r="GK613" s="18"/>
      <c r="GL613" s="18"/>
      <c r="GM613" s="18"/>
      <c r="GN613" s="18"/>
      <c r="GO613" s="18"/>
      <c r="GP613" s="18"/>
      <c r="GQ613" s="18"/>
      <c r="GR613" s="18"/>
      <c r="GS613" s="18"/>
      <c r="GT613" s="18"/>
      <c r="GU613" s="18"/>
      <c r="GV613" s="18"/>
      <c r="GW613" s="18"/>
      <c r="GX613" s="18"/>
      <c r="GY613" s="18"/>
      <c r="GZ613" s="18"/>
      <c r="HA613" s="18"/>
      <c r="HB613" s="18"/>
      <c r="HC613" s="18"/>
      <c r="HD613" s="18"/>
      <c r="HE613" s="18"/>
      <c r="HF613" s="18"/>
      <c r="HG613" s="13"/>
      <c r="HH613" s="13"/>
      <c r="HI613" s="13"/>
      <c r="HJ613" s="13"/>
      <c r="HK613" s="13"/>
      <c r="HL613" s="13"/>
      <c r="HM613" s="13"/>
      <c r="HN613" s="13"/>
      <c r="HO613" s="13"/>
      <c r="HP613" s="13"/>
      <c r="HQ613" s="13"/>
      <c r="HR613" s="13"/>
      <c r="HS613" s="13"/>
      <c r="HT613" s="13"/>
      <c r="HV613" s="18"/>
      <c r="HW613" s="18"/>
      <c r="HX613" s="18"/>
      <c r="HY613" s="18"/>
      <c r="HZ613" s="18"/>
      <c r="IA613" s="18"/>
      <c r="IB613" s="18"/>
      <c r="IC613" s="18"/>
      <c r="ID613" s="18"/>
      <c r="IE613" s="18"/>
      <c r="IF613" s="18"/>
      <c r="IG613" s="18"/>
      <c r="IH613" s="18"/>
      <c r="II613" s="18"/>
      <c r="IJ613" s="18"/>
      <c r="IK613" s="18"/>
      <c r="IL613" s="18"/>
      <c r="IM613" s="18"/>
      <c r="IN613" s="18"/>
      <c r="IO613" s="18"/>
      <c r="IP613" s="18"/>
      <c r="IQ613" s="18"/>
      <c r="IR613" s="18"/>
      <c r="IS613" s="18"/>
      <c r="IT613" s="18"/>
      <c r="IU613" s="18"/>
      <c r="IV613" s="18"/>
      <c r="IW613" s="18"/>
      <c r="IX613" s="18"/>
      <c r="IY613" s="18"/>
      <c r="IZ613" s="18"/>
      <c r="JA613" s="18"/>
      <c r="JB613" s="18"/>
      <c r="JC613" s="18"/>
      <c r="JD613" s="18"/>
      <c r="JE613" s="18"/>
      <c r="JF613" s="18"/>
      <c r="JG613" s="18"/>
      <c r="JH613" s="18"/>
      <c r="JI613" s="18"/>
      <c r="JJ613" s="18"/>
      <c r="JK613" s="18"/>
      <c r="JL613" s="18"/>
      <c r="JM613" s="18"/>
      <c r="JN613" s="18"/>
      <c r="JO613" s="18"/>
      <c r="JP613" s="18"/>
      <c r="JQ613" s="18"/>
      <c r="JR613" s="18"/>
      <c r="JS613" s="18"/>
      <c r="JT613" s="18"/>
      <c r="JU613" s="18"/>
      <c r="JV613" s="18"/>
      <c r="JW613" s="18"/>
      <c r="JX613" s="18"/>
      <c r="JY613" s="18"/>
      <c r="JZ613" s="18"/>
      <c r="KA613" s="18"/>
      <c r="KB613" s="18"/>
      <c r="KC613" s="18"/>
      <c r="KD613" s="18"/>
      <c r="KE613" s="18"/>
      <c r="KF613" s="18"/>
      <c r="KG613" s="18"/>
      <c r="KH613" s="18"/>
      <c r="KI613" s="18"/>
      <c r="KJ613" s="18"/>
      <c r="KK613" s="18"/>
      <c r="KL613" s="18"/>
      <c r="KM613" s="18"/>
      <c r="KN613" s="18"/>
      <c r="KO613" s="18"/>
      <c r="KP613" s="18"/>
    </row>
    <row r="614" spans="1:302" ht="15" customHeight="1">
      <c r="A614" s="14"/>
      <c r="B614" s="14"/>
      <c r="C614" s="50"/>
      <c r="D614" s="50"/>
      <c r="E614" s="49"/>
      <c r="F614" s="46"/>
      <c r="G614" s="46"/>
      <c r="H614" s="46"/>
      <c r="I614" s="48"/>
      <c r="J614" s="48"/>
      <c r="K614" s="14"/>
      <c r="L614" s="14"/>
      <c r="P614" s="14"/>
      <c r="AG614" s="47"/>
      <c r="AH614" s="44"/>
      <c r="AI614" s="45"/>
      <c r="AJ614" s="44"/>
      <c r="AK614" s="43"/>
      <c r="AS614" s="14"/>
      <c r="AU614" s="18"/>
      <c r="AV614" s="18"/>
      <c r="AW614" s="18"/>
      <c r="AX614" s="18"/>
      <c r="AY614" s="18"/>
      <c r="AZ614" s="18"/>
      <c r="BB614" s="18"/>
      <c r="BC614" s="18"/>
      <c r="BD614" s="18"/>
      <c r="BE614" s="18"/>
      <c r="BF614" s="18"/>
      <c r="BH614" s="18"/>
      <c r="BI614" s="18"/>
      <c r="BJ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  <c r="FC614" s="18"/>
      <c r="FD614" s="18"/>
      <c r="FE614" s="18"/>
      <c r="FF614" s="18"/>
      <c r="FG614" s="18"/>
      <c r="FH614" s="18"/>
      <c r="FI614" s="18"/>
      <c r="FJ614" s="18"/>
      <c r="FK614" s="18"/>
      <c r="FL614" s="18"/>
      <c r="FM614" s="18"/>
      <c r="FN614" s="18"/>
      <c r="FO614" s="18"/>
      <c r="FP614" s="18"/>
      <c r="FQ614" s="18"/>
      <c r="FR614" s="18"/>
      <c r="FS614" s="18"/>
      <c r="FT614" s="18"/>
      <c r="FU614" s="18"/>
      <c r="FV614" s="18"/>
      <c r="FW614" s="18"/>
      <c r="FX614" s="18"/>
      <c r="FY614" s="18"/>
      <c r="FZ614" s="18"/>
      <c r="GA614" s="18"/>
      <c r="GB614" s="18"/>
      <c r="GC614" s="18"/>
      <c r="GD614" s="18"/>
      <c r="GE614" s="18"/>
      <c r="GF614" s="18"/>
      <c r="GG614" s="18"/>
      <c r="GH614" s="18"/>
      <c r="GI614" s="18"/>
      <c r="GJ614" s="18"/>
      <c r="GK614" s="18"/>
      <c r="GL614" s="18"/>
      <c r="GM614" s="18"/>
      <c r="GN614" s="18"/>
      <c r="GO614" s="18"/>
      <c r="GP614" s="18"/>
      <c r="GQ614" s="18"/>
      <c r="GR614" s="18"/>
      <c r="GS614" s="18"/>
      <c r="GT614" s="18"/>
      <c r="GU614" s="18"/>
      <c r="GV614" s="18"/>
      <c r="GW614" s="18"/>
      <c r="GX614" s="18"/>
      <c r="GY614" s="18"/>
      <c r="GZ614" s="18"/>
      <c r="HA614" s="18"/>
      <c r="HB614" s="18"/>
      <c r="HC614" s="18"/>
      <c r="HD614" s="18"/>
      <c r="HE614" s="18"/>
      <c r="HF614" s="18"/>
      <c r="HG614" s="13"/>
      <c r="HH614" s="13"/>
      <c r="HI614" s="13"/>
      <c r="HJ614" s="13"/>
      <c r="HK614" s="13"/>
      <c r="HL614" s="13"/>
      <c r="HM614" s="13"/>
      <c r="HN614" s="13"/>
      <c r="HO614" s="13"/>
      <c r="HP614" s="13"/>
      <c r="HQ614" s="13"/>
      <c r="HR614" s="13"/>
      <c r="HS614" s="13"/>
      <c r="HT614" s="13"/>
      <c r="HV614" s="18"/>
      <c r="HW614" s="18"/>
      <c r="HX614" s="18"/>
      <c r="HY614" s="18"/>
      <c r="HZ614" s="18"/>
      <c r="IA614" s="18"/>
      <c r="IB614" s="18"/>
      <c r="IC614" s="18"/>
      <c r="ID614" s="18"/>
      <c r="IE614" s="18"/>
      <c r="IF614" s="18"/>
      <c r="IG614" s="18"/>
      <c r="IH614" s="18"/>
      <c r="II614" s="18"/>
      <c r="IJ614" s="18"/>
      <c r="IK614" s="18"/>
      <c r="IL614" s="18"/>
      <c r="IM614" s="18"/>
      <c r="IN614" s="18"/>
      <c r="IO614" s="18"/>
      <c r="IP614" s="18"/>
      <c r="IQ614" s="18"/>
      <c r="IR614" s="18"/>
      <c r="IS614" s="18"/>
      <c r="IT614" s="18"/>
      <c r="IU614" s="18"/>
      <c r="IV614" s="18"/>
      <c r="IW614" s="18"/>
      <c r="IX614" s="18"/>
      <c r="IY614" s="18"/>
      <c r="IZ614" s="18"/>
      <c r="JA614" s="18"/>
      <c r="JB614" s="18"/>
      <c r="JC614" s="18"/>
      <c r="JD614" s="18"/>
      <c r="JE614" s="18"/>
      <c r="JF614" s="18"/>
      <c r="JG614" s="18"/>
      <c r="JH614" s="18"/>
      <c r="JI614" s="18"/>
      <c r="JJ614" s="18"/>
      <c r="JK614" s="18"/>
      <c r="JL614" s="18"/>
      <c r="JM614" s="18"/>
      <c r="JN614" s="18"/>
      <c r="JO614" s="18"/>
      <c r="JP614" s="18"/>
      <c r="JQ614" s="18"/>
      <c r="JR614" s="18"/>
      <c r="JS614" s="18"/>
      <c r="JT614" s="18"/>
      <c r="JU614" s="18"/>
      <c r="JV614" s="18"/>
      <c r="JW614" s="18"/>
      <c r="JX614" s="18"/>
      <c r="JY614" s="18"/>
      <c r="JZ614" s="18"/>
      <c r="KA614" s="18"/>
      <c r="KB614" s="18"/>
      <c r="KC614" s="18"/>
      <c r="KD614" s="18"/>
      <c r="KE614" s="18"/>
      <c r="KF614" s="18"/>
      <c r="KG614" s="18"/>
      <c r="KH614" s="18"/>
      <c r="KI614" s="18"/>
      <c r="KJ614" s="18"/>
      <c r="KK614" s="18"/>
      <c r="KL614" s="18"/>
      <c r="KM614" s="18"/>
      <c r="KN614" s="18"/>
      <c r="KO614" s="18"/>
      <c r="KP614" s="18"/>
    </row>
    <row r="615" spans="1:302" ht="15" customHeight="1">
      <c r="A615" s="14"/>
      <c r="B615" s="14"/>
      <c r="C615" s="50"/>
      <c r="D615" s="50"/>
      <c r="E615" s="49"/>
      <c r="F615" s="46"/>
      <c r="G615" s="46"/>
      <c r="H615" s="46"/>
      <c r="I615" s="48"/>
      <c r="J615" s="48"/>
      <c r="K615" s="14"/>
      <c r="L615" s="14"/>
      <c r="P615" s="14"/>
      <c r="AG615" s="47"/>
      <c r="AH615" s="44"/>
      <c r="AI615" s="45"/>
      <c r="AJ615" s="44"/>
      <c r="AK615" s="43"/>
      <c r="AS615" s="14"/>
      <c r="AU615" s="18"/>
      <c r="AV615" s="18"/>
      <c r="AW615" s="18"/>
      <c r="AX615" s="18"/>
      <c r="AY615" s="18"/>
      <c r="AZ615" s="18"/>
      <c r="BB615" s="18"/>
      <c r="BC615" s="18"/>
      <c r="BD615" s="18"/>
      <c r="BE615" s="18"/>
      <c r="BF615" s="18"/>
      <c r="BH615" s="18"/>
      <c r="BI615" s="18"/>
      <c r="BJ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  <c r="FC615" s="18"/>
      <c r="FD615" s="18"/>
      <c r="FE615" s="18"/>
      <c r="FF615" s="18"/>
      <c r="FG615" s="18"/>
      <c r="FH615" s="18"/>
      <c r="FI615" s="18"/>
      <c r="FJ615" s="18"/>
      <c r="FK615" s="18"/>
      <c r="FL615" s="18"/>
      <c r="FM615" s="18"/>
      <c r="FN615" s="18"/>
      <c r="FO615" s="18"/>
      <c r="FP615" s="18"/>
      <c r="FQ615" s="18"/>
      <c r="FR615" s="18"/>
      <c r="FS615" s="18"/>
      <c r="FT615" s="18"/>
      <c r="FU615" s="18"/>
      <c r="FV615" s="18"/>
      <c r="FW615" s="18"/>
      <c r="FX615" s="18"/>
      <c r="FY615" s="18"/>
      <c r="FZ615" s="18"/>
      <c r="GA615" s="18"/>
      <c r="GB615" s="18"/>
      <c r="GC615" s="18"/>
      <c r="GD615" s="18"/>
      <c r="GE615" s="18"/>
      <c r="GF615" s="18"/>
      <c r="GG615" s="18"/>
      <c r="GH615" s="18"/>
      <c r="GI615" s="18"/>
      <c r="GJ615" s="18"/>
      <c r="GK615" s="18"/>
      <c r="GL615" s="18"/>
      <c r="GM615" s="18"/>
      <c r="GN615" s="18"/>
      <c r="GO615" s="18"/>
      <c r="GP615" s="18"/>
      <c r="GQ615" s="18"/>
      <c r="GR615" s="18"/>
      <c r="GS615" s="18"/>
      <c r="GT615" s="18"/>
      <c r="GU615" s="18"/>
      <c r="GV615" s="18"/>
      <c r="GW615" s="18"/>
      <c r="GX615" s="18"/>
      <c r="GY615" s="18"/>
      <c r="GZ615" s="18"/>
      <c r="HA615" s="18"/>
      <c r="HB615" s="18"/>
      <c r="HC615" s="18"/>
      <c r="HD615" s="18"/>
      <c r="HE615" s="18"/>
      <c r="HF615" s="18"/>
      <c r="HG615" s="13"/>
      <c r="HH615" s="13"/>
      <c r="HI615" s="13"/>
      <c r="HJ615" s="13"/>
      <c r="HK615" s="13"/>
      <c r="HL615" s="13"/>
      <c r="HM615" s="13"/>
      <c r="HN615" s="13"/>
      <c r="HO615" s="13"/>
      <c r="HP615" s="13"/>
      <c r="HQ615" s="13"/>
      <c r="HR615" s="13"/>
      <c r="HS615" s="13"/>
      <c r="HT615" s="13"/>
      <c r="HV615" s="18"/>
      <c r="HW615" s="18"/>
      <c r="HX615" s="18"/>
      <c r="HY615" s="18"/>
      <c r="HZ615" s="18"/>
      <c r="IA615" s="18"/>
      <c r="IB615" s="18"/>
      <c r="IC615" s="18"/>
      <c r="ID615" s="18"/>
      <c r="IE615" s="18"/>
      <c r="IF615" s="18"/>
      <c r="IG615" s="18"/>
      <c r="IH615" s="18"/>
      <c r="II615" s="18"/>
      <c r="IJ615" s="18"/>
      <c r="IK615" s="18"/>
      <c r="IL615" s="18"/>
      <c r="IM615" s="18"/>
      <c r="IN615" s="18"/>
      <c r="IO615" s="18"/>
      <c r="IP615" s="18"/>
      <c r="IQ615" s="18"/>
      <c r="IR615" s="18"/>
      <c r="IS615" s="18"/>
      <c r="IT615" s="18"/>
      <c r="IU615" s="18"/>
      <c r="IV615" s="18"/>
      <c r="IW615" s="18"/>
      <c r="IX615" s="18"/>
      <c r="IY615" s="18"/>
      <c r="IZ615" s="18"/>
      <c r="JA615" s="18"/>
      <c r="JB615" s="18"/>
      <c r="JC615" s="18"/>
      <c r="JD615" s="18"/>
      <c r="JE615" s="18"/>
      <c r="JF615" s="18"/>
      <c r="JG615" s="18"/>
      <c r="JH615" s="18"/>
      <c r="JI615" s="18"/>
      <c r="JJ615" s="18"/>
      <c r="JK615" s="18"/>
      <c r="JL615" s="18"/>
      <c r="JM615" s="18"/>
      <c r="JN615" s="18"/>
      <c r="JO615" s="18"/>
      <c r="JP615" s="18"/>
      <c r="JQ615" s="18"/>
      <c r="JR615" s="18"/>
      <c r="JS615" s="18"/>
      <c r="JT615" s="18"/>
      <c r="JU615" s="18"/>
      <c r="JV615" s="18"/>
      <c r="JW615" s="18"/>
      <c r="JX615" s="18"/>
      <c r="JY615" s="18"/>
      <c r="JZ615" s="18"/>
      <c r="KA615" s="18"/>
      <c r="KB615" s="18"/>
      <c r="KC615" s="18"/>
      <c r="KD615" s="18"/>
      <c r="KE615" s="18"/>
      <c r="KF615" s="18"/>
      <c r="KG615" s="18"/>
      <c r="KH615" s="18"/>
      <c r="KI615" s="18"/>
      <c r="KJ615" s="18"/>
      <c r="KK615" s="18"/>
      <c r="KL615" s="18"/>
      <c r="KM615" s="18"/>
      <c r="KN615" s="18"/>
      <c r="KO615" s="18"/>
      <c r="KP615" s="18"/>
    </row>
    <row r="616" spans="1:302" ht="15" customHeight="1">
      <c r="A616" s="14"/>
      <c r="B616" s="14"/>
      <c r="C616" s="50"/>
      <c r="D616" s="50"/>
      <c r="E616" s="49"/>
      <c r="F616" s="46"/>
      <c r="G616" s="1"/>
      <c r="H616" s="1"/>
      <c r="I616" s="48"/>
      <c r="J616" s="48"/>
      <c r="K616" s="14"/>
      <c r="L616" s="14"/>
      <c r="P616" s="14"/>
      <c r="AG616" s="47"/>
      <c r="AH616" s="44"/>
      <c r="AI616" s="45"/>
      <c r="AJ616" s="44"/>
      <c r="AK616" s="43"/>
      <c r="AS616" s="14"/>
      <c r="AU616" s="18"/>
      <c r="AV616" s="18"/>
      <c r="AW616" s="18"/>
      <c r="AX616" s="18"/>
      <c r="AY616" s="18"/>
      <c r="AZ616" s="18"/>
      <c r="BB616" s="18"/>
      <c r="BC616" s="18"/>
      <c r="BD616" s="18"/>
      <c r="BE616" s="18"/>
      <c r="BF616" s="18"/>
      <c r="BH616" s="18"/>
      <c r="BI616" s="18"/>
      <c r="BJ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  <c r="FC616" s="18"/>
      <c r="FD616" s="18"/>
      <c r="FE616" s="18"/>
      <c r="FF616" s="18"/>
      <c r="FG616" s="18"/>
      <c r="FH616" s="18"/>
      <c r="FI616" s="18"/>
      <c r="FJ616" s="18"/>
      <c r="FK616" s="18"/>
      <c r="FL616" s="18"/>
      <c r="FM616" s="18"/>
      <c r="FN616" s="18"/>
      <c r="FO616" s="18"/>
      <c r="FP616" s="18"/>
      <c r="FQ616" s="18"/>
      <c r="FR616" s="18"/>
      <c r="FS616" s="18"/>
      <c r="FT616" s="18"/>
      <c r="FU616" s="18"/>
      <c r="FV616" s="18"/>
      <c r="FW616" s="18"/>
      <c r="FX616" s="18"/>
      <c r="FY616" s="18"/>
      <c r="FZ616" s="18"/>
      <c r="GA616" s="18"/>
      <c r="GB616" s="18"/>
      <c r="GC616" s="18"/>
      <c r="GD616" s="18"/>
      <c r="GE616" s="18"/>
      <c r="GF616" s="18"/>
      <c r="GG616" s="18"/>
      <c r="GH616" s="18"/>
      <c r="GI616" s="18"/>
      <c r="GJ616" s="18"/>
      <c r="GK616" s="18"/>
      <c r="GL616" s="18"/>
      <c r="GM616" s="18"/>
      <c r="GN616" s="18"/>
      <c r="GO616" s="18"/>
      <c r="GP616" s="18"/>
      <c r="GQ616" s="18"/>
      <c r="GR616" s="18"/>
      <c r="GS616" s="18"/>
      <c r="GT616" s="18"/>
      <c r="GU616" s="18"/>
      <c r="GV616" s="18"/>
      <c r="GW616" s="18"/>
      <c r="GX616" s="18"/>
      <c r="GY616" s="18"/>
      <c r="GZ616" s="18"/>
      <c r="HA616" s="18"/>
      <c r="HB616" s="18"/>
      <c r="HC616" s="18"/>
      <c r="HD616" s="18"/>
      <c r="HE616" s="18"/>
      <c r="HF616" s="18"/>
      <c r="HG616" s="13"/>
      <c r="HH616" s="13"/>
      <c r="HI616" s="13"/>
      <c r="HJ616" s="13"/>
      <c r="HK616" s="13"/>
      <c r="HL616" s="13"/>
      <c r="HM616" s="13"/>
      <c r="HN616" s="13"/>
      <c r="HO616" s="13"/>
      <c r="HP616" s="13"/>
      <c r="HQ616" s="13"/>
      <c r="HR616" s="13"/>
      <c r="HS616" s="13"/>
      <c r="HT616" s="13"/>
      <c r="HV616" s="18"/>
      <c r="HW616" s="18"/>
      <c r="HX616" s="18"/>
      <c r="HY616" s="18"/>
      <c r="HZ616" s="18"/>
      <c r="IA616" s="18"/>
      <c r="IB616" s="18"/>
      <c r="IC616" s="18"/>
      <c r="ID616" s="18"/>
      <c r="IE616" s="18"/>
      <c r="IF616" s="18"/>
      <c r="IG616" s="18"/>
      <c r="IH616" s="18"/>
      <c r="II616" s="18"/>
      <c r="IJ616" s="18"/>
      <c r="IK616" s="18"/>
      <c r="IL616" s="18"/>
      <c r="IM616" s="18"/>
      <c r="IN616" s="18"/>
      <c r="IO616" s="18"/>
      <c r="IP616" s="18"/>
      <c r="IQ616" s="18"/>
      <c r="IR616" s="18"/>
      <c r="IS616" s="18"/>
      <c r="IT616" s="18"/>
      <c r="IU616" s="18"/>
      <c r="IV616" s="18"/>
      <c r="IW616" s="18"/>
      <c r="IX616" s="18"/>
      <c r="IY616" s="18"/>
      <c r="IZ616" s="18"/>
      <c r="JA616" s="18"/>
      <c r="JB616" s="18"/>
      <c r="JC616" s="18"/>
      <c r="JD616" s="18"/>
      <c r="JE616" s="18"/>
      <c r="JF616" s="18"/>
      <c r="JG616" s="18"/>
      <c r="JH616" s="18"/>
      <c r="JI616" s="18"/>
      <c r="JJ616" s="18"/>
      <c r="JK616" s="18"/>
      <c r="JL616" s="18"/>
      <c r="JM616" s="18"/>
      <c r="JN616" s="18"/>
      <c r="JO616" s="18"/>
      <c r="JP616" s="18"/>
      <c r="JQ616" s="18"/>
      <c r="JR616" s="18"/>
      <c r="JS616" s="18"/>
      <c r="JT616" s="18"/>
      <c r="JU616" s="18"/>
      <c r="JV616" s="18"/>
      <c r="JW616" s="18"/>
      <c r="JX616" s="18"/>
      <c r="JY616" s="18"/>
      <c r="JZ616" s="18"/>
      <c r="KA616" s="18"/>
      <c r="KB616" s="18"/>
      <c r="KC616" s="18"/>
      <c r="KD616" s="18"/>
      <c r="KE616" s="18"/>
      <c r="KF616" s="18"/>
      <c r="KG616" s="18"/>
      <c r="KH616" s="18"/>
      <c r="KI616" s="18"/>
      <c r="KJ616" s="18"/>
      <c r="KK616" s="18"/>
      <c r="KL616" s="18"/>
      <c r="KM616" s="18"/>
      <c r="KN616" s="18"/>
      <c r="KO616" s="18"/>
      <c r="KP616" s="18"/>
    </row>
    <row r="617" spans="1:302" ht="15" customHeight="1">
      <c r="A617" s="14"/>
      <c r="B617" s="14"/>
      <c r="C617" s="50"/>
      <c r="D617" s="50"/>
      <c r="E617" s="49"/>
      <c r="F617" s="46"/>
      <c r="G617" s="46"/>
      <c r="H617" s="46"/>
      <c r="I617" s="48"/>
      <c r="J617" s="48"/>
      <c r="K617" s="14"/>
      <c r="L617" s="14"/>
      <c r="P617" s="14"/>
      <c r="AG617" s="47"/>
      <c r="AH617" s="44"/>
      <c r="AI617" s="45"/>
      <c r="AJ617" s="44"/>
      <c r="AK617" s="43"/>
      <c r="AS617" s="14"/>
      <c r="AU617" s="18"/>
      <c r="AV617" s="18"/>
      <c r="AW617" s="18"/>
      <c r="AX617" s="18"/>
      <c r="AY617" s="18"/>
      <c r="AZ617" s="18"/>
      <c r="BB617" s="18"/>
      <c r="BC617" s="18"/>
      <c r="BD617" s="18"/>
      <c r="BE617" s="18"/>
      <c r="BF617" s="18"/>
      <c r="BH617" s="18"/>
      <c r="BI617" s="18"/>
      <c r="BJ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  <c r="FC617" s="18"/>
      <c r="FD617" s="18"/>
      <c r="FE617" s="18"/>
      <c r="FF617" s="18"/>
      <c r="FG617" s="18"/>
      <c r="FH617" s="18"/>
      <c r="FI617" s="18"/>
      <c r="FJ617" s="18"/>
      <c r="FK617" s="18"/>
      <c r="FL617" s="18"/>
      <c r="FM617" s="18"/>
      <c r="FN617" s="18"/>
      <c r="FO617" s="18"/>
      <c r="FP617" s="18"/>
      <c r="FQ617" s="18"/>
      <c r="FR617" s="18"/>
      <c r="FS617" s="18"/>
      <c r="FT617" s="18"/>
      <c r="FU617" s="18"/>
      <c r="FV617" s="18"/>
      <c r="FW617" s="18"/>
      <c r="FX617" s="18"/>
      <c r="FY617" s="18"/>
      <c r="FZ617" s="18"/>
      <c r="GA617" s="18"/>
      <c r="GB617" s="18"/>
      <c r="GC617" s="18"/>
      <c r="GD617" s="18"/>
      <c r="GE617" s="18"/>
      <c r="GF617" s="18"/>
      <c r="GG617" s="18"/>
      <c r="GH617" s="18"/>
      <c r="GI617" s="18"/>
      <c r="GJ617" s="18"/>
      <c r="GK617" s="18"/>
      <c r="GL617" s="18"/>
      <c r="GM617" s="18"/>
      <c r="GN617" s="18"/>
      <c r="GO617" s="18"/>
      <c r="GP617" s="18"/>
      <c r="GQ617" s="18"/>
      <c r="GR617" s="18"/>
      <c r="GS617" s="18"/>
      <c r="GT617" s="18"/>
      <c r="GU617" s="18"/>
      <c r="GV617" s="18"/>
      <c r="GW617" s="18"/>
      <c r="GX617" s="18"/>
      <c r="GY617" s="18"/>
      <c r="GZ617" s="18"/>
      <c r="HA617" s="18"/>
      <c r="HB617" s="18"/>
      <c r="HC617" s="18"/>
      <c r="HD617" s="18"/>
      <c r="HE617" s="18"/>
      <c r="HF617" s="18"/>
      <c r="HG617" s="13"/>
      <c r="HH617" s="13"/>
      <c r="HI617" s="13"/>
      <c r="HJ617" s="13"/>
      <c r="HK617" s="13"/>
      <c r="HL617" s="13"/>
      <c r="HM617" s="13"/>
      <c r="HN617" s="13"/>
      <c r="HO617" s="13"/>
      <c r="HP617" s="13"/>
      <c r="HQ617" s="13"/>
      <c r="HR617" s="13"/>
      <c r="HS617" s="13"/>
      <c r="HT617" s="13"/>
      <c r="HV617" s="18"/>
      <c r="HW617" s="18"/>
      <c r="HX617" s="18"/>
      <c r="HY617" s="18"/>
      <c r="HZ617" s="18"/>
      <c r="IA617" s="18"/>
      <c r="IB617" s="18"/>
      <c r="IC617" s="18"/>
      <c r="ID617" s="18"/>
      <c r="IE617" s="18"/>
      <c r="IF617" s="18"/>
      <c r="IG617" s="18"/>
      <c r="IH617" s="18"/>
      <c r="II617" s="18"/>
      <c r="IJ617" s="18"/>
      <c r="IK617" s="18"/>
      <c r="IL617" s="18"/>
      <c r="IM617" s="18"/>
      <c r="IN617" s="18"/>
      <c r="IO617" s="18"/>
      <c r="IP617" s="18"/>
      <c r="IQ617" s="18"/>
      <c r="IR617" s="18"/>
      <c r="IS617" s="18"/>
      <c r="IT617" s="18"/>
      <c r="IU617" s="18"/>
      <c r="IV617" s="18"/>
      <c r="IW617" s="18"/>
      <c r="IX617" s="18"/>
      <c r="IY617" s="18"/>
      <c r="IZ617" s="18"/>
      <c r="JA617" s="18"/>
      <c r="JB617" s="18"/>
      <c r="JC617" s="18"/>
      <c r="JD617" s="18"/>
      <c r="JE617" s="18"/>
      <c r="JF617" s="18"/>
      <c r="JG617" s="18"/>
      <c r="JH617" s="18"/>
      <c r="JI617" s="18"/>
      <c r="JJ617" s="18"/>
      <c r="JK617" s="18"/>
      <c r="JL617" s="18"/>
      <c r="JM617" s="18"/>
      <c r="JN617" s="18"/>
      <c r="JO617" s="18"/>
      <c r="JP617" s="18"/>
      <c r="JQ617" s="18"/>
      <c r="JR617" s="18"/>
      <c r="JS617" s="18"/>
      <c r="JT617" s="18"/>
      <c r="JU617" s="18"/>
      <c r="JV617" s="18"/>
      <c r="JW617" s="18"/>
      <c r="JX617" s="18"/>
      <c r="JY617" s="18"/>
      <c r="JZ617" s="18"/>
      <c r="KA617" s="18"/>
      <c r="KB617" s="18"/>
      <c r="KC617" s="18"/>
      <c r="KD617" s="18"/>
      <c r="KE617" s="18"/>
      <c r="KF617" s="18"/>
      <c r="KG617" s="18"/>
      <c r="KH617" s="18"/>
      <c r="KI617" s="18"/>
      <c r="KJ617" s="18"/>
      <c r="KK617" s="18"/>
      <c r="KL617" s="18"/>
      <c r="KM617" s="18"/>
      <c r="KN617" s="18"/>
      <c r="KO617" s="18"/>
      <c r="KP617" s="18"/>
    </row>
    <row r="618" spans="1:302" ht="15" customHeight="1">
      <c r="A618" s="14"/>
      <c r="B618" s="14"/>
      <c r="C618" s="50"/>
      <c r="D618" s="50"/>
      <c r="E618" s="49"/>
      <c r="F618" s="46"/>
      <c r="G618" s="1"/>
      <c r="H618" s="1"/>
      <c r="I618" s="48"/>
      <c r="J618" s="48"/>
      <c r="K618" s="14"/>
      <c r="L618" s="14"/>
      <c r="P618" s="14"/>
      <c r="AG618" s="47"/>
      <c r="AH618" s="44"/>
      <c r="AI618" s="45"/>
      <c r="AJ618" s="44"/>
      <c r="AK618" s="43"/>
      <c r="AS618" s="14"/>
      <c r="AU618" s="18"/>
      <c r="AV618" s="18"/>
      <c r="AW618" s="18"/>
      <c r="AX618" s="18"/>
      <c r="AY618" s="18"/>
      <c r="AZ618" s="18"/>
      <c r="BB618" s="18"/>
      <c r="BC618" s="18"/>
      <c r="BD618" s="18"/>
      <c r="BE618" s="18"/>
      <c r="BF618" s="18"/>
      <c r="BH618" s="18"/>
      <c r="BI618" s="18"/>
      <c r="BJ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  <c r="FC618" s="18"/>
      <c r="FD618" s="18"/>
      <c r="FE618" s="18"/>
      <c r="FF618" s="18"/>
      <c r="FG618" s="18"/>
      <c r="FH618" s="18"/>
      <c r="FI618" s="18"/>
      <c r="FJ618" s="18"/>
      <c r="FK618" s="18"/>
      <c r="FL618" s="18"/>
      <c r="FM618" s="18"/>
      <c r="FN618" s="18"/>
      <c r="FO618" s="18"/>
      <c r="FP618" s="18"/>
      <c r="FQ618" s="18"/>
      <c r="FR618" s="18"/>
      <c r="FS618" s="18"/>
      <c r="FT618" s="18"/>
      <c r="FU618" s="18"/>
      <c r="FV618" s="18"/>
      <c r="FW618" s="18"/>
      <c r="FX618" s="18"/>
      <c r="FY618" s="18"/>
      <c r="FZ618" s="18"/>
      <c r="GA618" s="18"/>
      <c r="GB618" s="18"/>
      <c r="GC618" s="18"/>
      <c r="GD618" s="18"/>
      <c r="GE618" s="18"/>
      <c r="GF618" s="18"/>
      <c r="GG618" s="18"/>
      <c r="GH618" s="18"/>
      <c r="GI618" s="18"/>
      <c r="GJ618" s="18"/>
      <c r="GK618" s="18"/>
      <c r="GL618" s="18"/>
      <c r="GM618" s="18"/>
      <c r="GN618" s="18"/>
      <c r="GO618" s="18"/>
      <c r="GP618" s="18"/>
      <c r="GQ618" s="18"/>
      <c r="GR618" s="18"/>
      <c r="GS618" s="18"/>
      <c r="GT618" s="18"/>
      <c r="GU618" s="18"/>
      <c r="GV618" s="18"/>
      <c r="GW618" s="18"/>
      <c r="GX618" s="18"/>
      <c r="GY618" s="18"/>
      <c r="GZ618" s="18"/>
      <c r="HA618" s="18"/>
      <c r="HB618" s="18"/>
      <c r="HC618" s="18"/>
      <c r="HD618" s="18"/>
      <c r="HE618" s="18"/>
      <c r="HF618" s="18"/>
      <c r="HG618" s="13"/>
      <c r="HH618" s="13"/>
      <c r="HI618" s="13"/>
      <c r="HJ618" s="13"/>
      <c r="HK618" s="13"/>
      <c r="HL618" s="13"/>
      <c r="HM618" s="13"/>
      <c r="HN618" s="13"/>
      <c r="HO618" s="13"/>
      <c r="HP618" s="13"/>
      <c r="HQ618" s="13"/>
      <c r="HR618" s="13"/>
      <c r="HS618" s="13"/>
      <c r="HT618" s="13"/>
      <c r="HV618" s="18"/>
      <c r="HW618" s="18"/>
      <c r="HX618" s="18"/>
      <c r="HY618" s="18"/>
      <c r="HZ618" s="18"/>
      <c r="IA618" s="18"/>
      <c r="IB618" s="18"/>
      <c r="IC618" s="18"/>
      <c r="ID618" s="18"/>
      <c r="IE618" s="18"/>
      <c r="IF618" s="18"/>
      <c r="IG618" s="18"/>
      <c r="IH618" s="18"/>
      <c r="II618" s="18"/>
      <c r="IJ618" s="18"/>
      <c r="IK618" s="18"/>
      <c r="IL618" s="18"/>
      <c r="IM618" s="18"/>
      <c r="IN618" s="18"/>
      <c r="IO618" s="18"/>
      <c r="IP618" s="18"/>
      <c r="IQ618" s="18"/>
      <c r="IR618" s="18"/>
      <c r="IS618" s="18"/>
      <c r="IT618" s="18"/>
      <c r="IU618" s="18"/>
      <c r="IV618" s="18"/>
      <c r="IW618" s="18"/>
      <c r="IX618" s="18"/>
      <c r="IY618" s="18"/>
      <c r="IZ618" s="18"/>
      <c r="JA618" s="18"/>
      <c r="JB618" s="18"/>
      <c r="JC618" s="18"/>
      <c r="JD618" s="18"/>
      <c r="JE618" s="18"/>
      <c r="JF618" s="18"/>
      <c r="JG618" s="18"/>
      <c r="JH618" s="18"/>
      <c r="JI618" s="18"/>
      <c r="JJ618" s="18"/>
      <c r="JK618" s="18"/>
      <c r="JL618" s="18"/>
      <c r="JM618" s="18"/>
      <c r="JN618" s="18"/>
      <c r="JO618" s="18"/>
      <c r="JP618" s="18"/>
      <c r="JQ618" s="18"/>
      <c r="JR618" s="18"/>
      <c r="JS618" s="18"/>
      <c r="JT618" s="18"/>
      <c r="JU618" s="18"/>
      <c r="JV618" s="18"/>
      <c r="JW618" s="18"/>
      <c r="JX618" s="18"/>
      <c r="JY618" s="18"/>
      <c r="JZ618" s="18"/>
      <c r="KA618" s="18"/>
      <c r="KB618" s="18"/>
      <c r="KC618" s="18"/>
      <c r="KD618" s="18"/>
      <c r="KE618" s="18"/>
      <c r="KF618" s="18"/>
      <c r="KG618" s="18"/>
      <c r="KH618" s="18"/>
      <c r="KI618" s="18"/>
      <c r="KJ618" s="18"/>
      <c r="KK618" s="18"/>
      <c r="KL618" s="18"/>
      <c r="KM618" s="18"/>
      <c r="KN618" s="18"/>
      <c r="KO618" s="18"/>
      <c r="KP618" s="18"/>
    </row>
    <row r="619" spans="1:302" ht="15" customHeight="1">
      <c r="A619" s="14"/>
      <c r="B619" s="14"/>
      <c r="F619" s="46"/>
      <c r="G619" s="23"/>
      <c r="H619" s="23"/>
      <c r="I619" s="23"/>
      <c r="J619" s="23"/>
      <c r="K619" s="14"/>
      <c r="L619" s="14"/>
      <c r="P619" s="14"/>
      <c r="AG619" s="47"/>
      <c r="AH619" s="44"/>
      <c r="AI619" s="45"/>
      <c r="AJ619" s="44"/>
      <c r="AK619" s="43"/>
      <c r="AS619" s="14"/>
      <c r="AU619" s="18"/>
      <c r="AV619" s="18"/>
      <c r="AW619" s="18"/>
      <c r="AX619" s="18"/>
      <c r="AY619" s="18"/>
      <c r="AZ619" s="18"/>
      <c r="BB619" s="18"/>
      <c r="BC619" s="18"/>
      <c r="BD619" s="18"/>
      <c r="BE619" s="18"/>
      <c r="BF619" s="18"/>
      <c r="BH619" s="18"/>
      <c r="BI619" s="18"/>
      <c r="BJ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  <c r="FC619" s="18"/>
      <c r="FD619" s="18"/>
      <c r="FE619" s="18"/>
      <c r="FF619" s="18"/>
      <c r="FG619" s="18"/>
      <c r="FH619" s="18"/>
      <c r="FI619" s="18"/>
      <c r="FJ619" s="18"/>
      <c r="FK619" s="18"/>
      <c r="FL619" s="18"/>
      <c r="FM619" s="18"/>
      <c r="FN619" s="18"/>
      <c r="FO619" s="18"/>
      <c r="FP619" s="18"/>
      <c r="FQ619" s="18"/>
      <c r="FR619" s="18"/>
      <c r="FS619" s="18"/>
      <c r="FT619" s="18"/>
      <c r="FU619" s="18"/>
      <c r="FV619" s="18"/>
      <c r="FW619" s="18"/>
      <c r="FX619" s="18"/>
      <c r="FY619" s="18"/>
      <c r="FZ619" s="18"/>
      <c r="GA619" s="18"/>
      <c r="GB619" s="18"/>
      <c r="GC619" s="18"/>
      <c r="GD619" s="18"/>
      <c r="GE619" s="18"/>
      <c r="GF619" s="18"/>
      <c r="GG619" s="18"/>
      <c r="GH619" s="18"/>
      <c r="GI619" s="18"/>
      <c r="GJ619" s="18"/>
      <c r="GK619" s="18"/>
      <c r="GL619" s="18"/>
      <c r="GM619" s="18"/>
      <c r="GN619" s="18"/>
      <c r="GO619" s="18"/>
      <c r="GP619" s="18"/>
      <c r="GQ619" s="18"/>
      <c r="GR619" s="18"/>
      <c r="GS619" s="18"/>
      <c r="GT619" s="18"/>
      <c r="GU619" s="18"/>
      <c r="GV619" s="18"/>
      <c r="GW619" s="18"/>
      <c r="GX619" s="18"/>
      <c r="GY619" s="18"/>
      <c r="GZ619" s="18"/>
      <c r="HA619" s="18"/>
      <c r="HB619" s="18"/>
      <c r="HC619" s="18"/>
      <c r="HD619" s="18"/>
      <c r="HE619" s="18"/>
      <c r="HF619" s="18"/>
      <c r="HG619" s="13"/>
      <c r="HH619" s="13"/>
      <c r="HI619" s="13"/>
      <c r="HJ619" s="13"/>
      <c r="HK619" s="13"/>
      <c r="HL619" s="13"/>
      <c r="HM619" s="13"/>
      <c r="HN619" s="13"/>
      <c r="HO619" s="13"/>
      <c r="HP619" s="13"/>
      <c r="HQ619" s="13"/>
      <c r="HR619" s="13"/>
      <c r="HS619" s="13"/>
      <c r="HT619" s="13"/>
      <c r="HV619" s="18"/>
      <c r="HW619" s="18"/>
      <c r="HX619" s="18"/>
      <c r="HY619" s="18"/>
      <c r="HZ619" s="18"/>
      <c r="IA619" s="18"/>
      <c r="IB619" s="18"/>
      <c r="IC619" s="18"/>
      <c r="ID619" s="18"/>
      <c r="IE619" s="18"/>
      <c r="IF619" s="18"/>
      <c r="IG619" s="18"/>
      <c r="IH619" s="18"/>
      <c r="II619" s="18"/>
      <c r="IJ619" s="18"/>
      <c r="IK619" s="18"/>
      <c r="IL619" s="18"/>
      <c r="IM619" s="18"/>
      <c r="IN619" s="18"/>
      <c r="IO619" s="18"/>
      <c r="IP619" s="18"/>
      <c r="IQ619" s="18"/>
      <c r="IR619" s="18"/>
      <c r="IS619" s="18"/>
      <c r="IT619" s="18"/>
      <c r="IU619" s="18"/>
      <c r="IV619" s="18"/>
      <c r="IW619" s="18"/>
      <c r="IX619" s="18"/>
      <c r="IY619" s="18"/>
      <c r="IZ619" s="18"/>
      <c r="JA619" s="18"/>
      <c r="JB619" s="18"/>
      <c r="JC619" s="18"/>
      <c r="JD619" s="18"/>
      <c r="JE619" s="18"/>
      <c r="JF619" s="18"/>
      <c r="JG619" s="18"/>
      <c r="JH619" s="18"/>
      <c r="JI619" s="18"/>
      <c r="JJ619" s="18"/>
      <c r="JK619" s="18"/>
      <c r="JL619" s="18"/>
      <c r="JM619" s="18"/>
      <c r="JN619" s="18"/>
      <c r="JO619" s="18"/>
      <c r="JP619" s="18"/>
      <c r="JQ619" s="18"/>
      <c r="JR619" s="18"/>
      <c r="JS619" s="18"/>
      <c r="JT619" s="18"/>
      <c r="JU619" s="18"/>
      <c r="JV619" s="18"/>
      <c r="JW619" s="18"/>
      <c r="JX619" s="18"/>
      <c r="JY619" s="18"/>
      <c r="JZ619" s="18"/>
      <c r="KA619" s="18"/>
      <c r="KB619" s="18"/>
      <c r="KC619" s="18"/>
      <c r="KD619" s="18"/>
      <c r="KE619" s="18"/>
      <c r="KF619" s="18"/>
      <c r="KG619" s="18"/>
      <c r="KH619" s="18"/>
      <c r="KI619" s="18"/>
      <c r="KJ619" s="18"/>
      <c r="KK619" s="18"/>
      <c r="KL619" s="18"/>
      <c r="KM619" s="18"/>
      <c r="KN619" s="18"/>
      <c r="KO619" s="18"/>
      <c r="KP619" s="18"/>
    </row>
    <row r="620" spans="1:302" ht="15" customHeight="1">
      <c r="A620" s="14"/>
      <c r="B620" s="14"/>
      <c r="F620" s="46"/>
      <c r="G620" s="23"/>
      <c r="H620" s="23"/>
      <c r="I620" s="23"/>
      <c r="J620" s="23"/>
      <c r="K620" s="14"/>
      <c r="L620" s="14"/>
      <c r="P620" s="14"/>
      <c r="AG620" s="47"/>
      <c r="AH620" s="44"/>
      <c r="AI620" s="45"/>
      <c r="AJ620" s="44"/>
      <c r="AK620" s="43"/>
      <c r="AS620" s="14"/>
      <c r="AU620" s="18"/>
      <c r="AV620" s="18"/>
      <c r="AW620" s="18"/>
      <c r="AX620" s="18"/>
      <c r="AY620" s="18"/>
      <c r="AZ620" s="18"/>
      <c r="BB620" s="18"/>
      <c r="BC620" s="18"/>
      <c r="BD620" s="18"/>
      <c r="BE620" s="18"/>
      <c r="BF620" s="18"/>
      <c r="BH620" s="18"/>
      <c r="BI620" s="18"/>
      <c r="BJ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  <c r="FC620" s="18"/>
      <c r="FD620" s="18"/>
      <c r="FE620" s="18"/>
      <c r="FF620" s="18"/>
      <c r="FG620" s="18"/>
      <c r="FH620" s="18"/>
      <c r="FI620" s="18"/>
      <c r="FJ620" s="18"/>
      <c r="FK620" s="18"/>
      <c r="FL620" s="18"/>
      <c r="FM620" s="18"/>
      <c r="FN620" s="18"/>
      <c r="FO620" s="18"/>
      <c r="FP620" s="18"/>
      <c r="FQ620" s="18"/>
      <c r="FR620" s="18"/>
      <c r="FS620" s="18"/>
      <c r="FT620" s="18"/>
      <c r="FU620" s="18"/>
      <c r="FV620" s="18"/>
      <c r="FW620" s="18"/>
      <c r="FX620" s="18"/>
      <c r="FY620" s="18"/>
      <c r="FZ620" s="18"/>
      <c r="GA620" s="18"/>
      <c r="GB620" s="18"/>
      <c r="GC620" s="18"/>
      <c r="GD620" s="18"/>
      <c r="GE620" s="18"/>
      <c r="GF620" s="18"/>
      <c r="GG620" s="18"/>
      <c r="GH620" s="18"/>
      <c r="GI620" s="18"/>
      <c r="GJ620" s="18"/>
      <c r="GK620" s="18"/>
      <c r="GL620" s="18"/>
      <c r="GM620" s="18"/>
      <c r="GN620" s="18"/>
      <c r="GO620" s="18"/>
      <c r="GP620" s="18"/>
      <c r="GQ620" s="18"/>
      <c r="GR620" s="18"/>
      <c r="GS620" s="18"/>
      <c r="GT620" s="18"/>
      <c r="GU620" s="18"/>
      <c r="GV620" s="18"/>
      <c r="GW620" s="18"/>
      <c r="GX620" s="18"/>
      <c r="GY620" s="18"/>
      <c r="GZ620" s="18"/>
      <c r="HA620" s="18"/>
      <c r="HB620" s="18"/>
      <c r="HC620" s="18"/>
      <c r="HD620" s="18"/>
      <c r="HE620" s="18"/>
      <c r="HF620" s="18"/>
      <c r="HG620" s="13"/>
      <c r="HH620" s="13"/>
      <c r="HI620" s="13"/>
      <c r="HJ620" s="13"/>
      <c r="HK620" s="13"/>
      <c r="HL620" s="13"/>
      <c r="HM620" s="13"/>
      <c r="HN620" s="13"/>
      <c r="HO620" s="13"/>
      <c r="HP620" s="13"/>
      <c r="HQ620" s="13"/>
      <c r="HR620" s="13"/>
      <c r="HS620" s="13"/>
      <c r="HT620" s="13"/>
      <c r="HV620" s="18"/>
      <c r="HW620" s="18"/>
      <c r="HX620" s="18"/>
      <c r="HY620" s="18"/>
      <c r="HZ620" s="18"/>
      <c r="IA620" s="18"/>
      <c r="IB620" s="18"/>
      <c r="IC620" s="18"/>
      <c r="ID620" s="18"/>
      <c r="IE620" s="18"/>
      <c r="IF620" s="18"/>
      <c r="IG620" s="18"/>
      <c r="IH620" s="18"/>
      <c r="II620" s="18"/>
      <c r="IJ620" s="18"/>
      <c r="IK620" s="18"/>
      <c r="IL620" s="18"/>
      <c r="IM620" s="18"/>
      <c r="IN620" s="18"/>
      <c r="IO620" s="18"/>
      <c r="IP620" s="18"/>
      <c r="IQ620" s="18"/>
      <c r="IR620" s="18"/>
      <c r="IS620" s="18"/>
      <c r="IT620" s="18"/>
      <c r="IU620" s="18"/>
      <c r="IV620" s="18"/>
      <c r="IW620" s="18"/>
      <c r="IX620" s="18"/>
      <c r="IY620" s="18"/>
      <c r="IZ620" s="18"/>
      <c r="JA620" s="18"/>
      <c r="JB620" s="18"/>
      <c r="JC620" s="18"/>
      <c r="JD620" s="18"/>
      <c r="JE620" s="18"/>
      <c r="JF620" s="18"/>
      <c r="JG620" s="18"/>
      <c r="JH620" s="18"/>
      <c r="JI620" s="18"/>
      <c r="JJ620" s="18"/>
      <c r="JK620" s="18"/>
      <c r="JL620" s="18"/>
      <c r="JM620" s="18"/>
      <c r="JN620" s="18"/>
      <c r="JO620" s="18"/>
      <c r="JP620" s="18"/>
      <c r="JQ620" s="18"/>
      <c r="JR620" s="18"/>
      <c r="JS620" s="18"/>
      <c r="JT620" s="18"/>
      <c r="JU620" s="18"/>
      <c r="JV620" s="18"/>
      <c r="JW620" s="18"/>
      <c r="JX620" s="18"/>
      <c r="JY620" s="18"/>
      <c r="JZ620" s="18"/>
      <c r="KA620" s="18"/>
      <c r="KB620" s="18"/>
      <c r="KC620" s="18"/>
      <c r="KD620" s="18"/>
      <c r="KE620" s="18"/>
      <c r="KF620" s="18"/>
      <c r="KG620" s="18"/>
      <c r="KH620" s="18"/>
      <c r="KI620" s="18"/>
      <c r="KJ620" s="18"/>
      <c r="KK620" s="18"/>
      <c r="KL620" s="18"/>
      <c r="KM620" s="18"/>
      <c r="KN620" s="18"/>
      <c r="KO620" s="18"/>
      <c r="KP620" s="18"/>
    </row>
    <row r="621" spans="1:302" ht="15" customHeight="1">
      <c r="A621" s="14"/>
      <c r="B621" s="14"/>
      <c r="F621" s="46"/>
      <c r="G621" s="23"/>
      <c r="H621" s="23"/>
      <c r="I621" s="23"/>
      <c r="J621" s="23"/>
      <c r="K621" s="14"/>
      <c r="L621" s="14"/>
      <c r="P621" s="14"/>
      <c r="AG621" s="44"/>
      <c r="AH621" s="44"/>
      <c r="AI621" s="45"/>
      <c r="AJ621" s="44"/>
      <c r="AK621" s="43"/>
      <c r="AS621" s="14"/>
      <c r="AU621" s="18"/>
      <c r="AV621" s="18"/>
      <c r="AW621" s="18"/>
      <c r="AX621" s="18"/>
      <c r="AY621" s="18"/>
      <c r="AZ621" s="18"/>
      <c r="BB621" s="18"/>
      <c r="BC621" s="18"/>
      <c r="BD621" s="18"/>
      <c r="BE621" s="18"/>
      <c r="BF621" s="18"/>
      <c r="BH621" s="18"/>
      <c r="BI621" s="18"/>
      <c r="BJ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  <c r="FC621" s="18"/>
      <c r="FD621" s="18"/>
      <c r="FE621" s="18"/>
      <c r="FF621" s="18"/>
      <c r="FG621" s="18"/>
      <c r="FH621" s="18"/>
      <c r="FI621" s="18"/>
      <c r="FJ621" s="18"/>
      <c r="FK621" s="18"/>
      <c r="FL621" s="18"/>
      <c r="FM621" s="18"/>
      <c r="FN621" s="18"/>
      <c r="FO621" s="18"/>
      <c r="FP621" s="18"/>
      <c r="FQ621" s="18"/>
      <c r="FR621" s="18"/>
      <c r="FS621" s="18"/>
      <c r="FT621" s="18"/>
      <c r="FU621" s="18"/>
      <c r="FV621" s="18"/>
      <c r="FW621" s="18"/>
      <c r="FX621" s="18"/>
      <c r="FY621" s="18"/>
      <c r="FZ621" s="18"/>
      <c r="GA621" s="18"/>
      <c r="GB621" s="18"/>
      <c r="GC621" s="18"/>
      <c r="GD621" s="18"/>
      <c r="GE621" s="18"/>
      <c r="GF621" s="18"/>
      <c r="GG621" s="18"/>
      <c r="GH621" s="18"/>
      <c r="GI621" s="18"/>
      <c r="GJ621" s="18"/>
      <c r="GK621" s="18"/>
      <c r="GL621" s="18"/>
      <c r="GM621" s="18"/>
      <c r="GN621" s="18"/>
      <c r="GO621" s="18"/>
      <c r="GP621" s="18"/>
      <c r="GQ621" s="18"/>
      <c r="GR621" s="18"/>
      <c r="GS621" s="18"/>
      <c r="GT621" s="18"/>
      <c r="GU621" s="18"/>
      <c r="GV621" s="18"/>
      <c r="GW621" s="18"/>
      <c r="GX621" s="18"/>
      <c r="GY621" s="18"/>
      <c r="GZ621" s="18"/>
      <c r="HA621" s="18"/>
      <c r="HB621" s="18"/>
      <c r="HC621" s="18"/>
      <c r="HD621" s="18"/>
      <c r="HE621" s="18"/>
      <c r="HF621" s="18"/>
      <c r="HG621" s="13"/>
      <c r="HH621" s="13"/>
      <c r="HI621" s="13"/>
      <c r="HJ621" s="13"/>
      <c r="HK621" s="13"/>
      <c r="HL621" s="13"/>
      <c r="HM621" s="13"/>
      <c r="HN621" s="13"/>
      <c r="HO621" s="13"/>
      <c r="HP621" s="13"/>
      <c r="HQ621" s="13"/>
      <c r="HR621" s="13"/>
      <c r="HS621" s="13"/>
      <c r="HT621" s="13"/>
      <c r="HV621" s="18"/>
      <c r="HW621" s="18"/>
      <c r="HX621" s="18"/>
      <c r="HY621" s="18"/>
      <c r="HZ621" s="18"/>
      <c r="IA621" s="18"/>
      <c r="IB621" s="18"/>
      <c r="IC621" s="18"/>
      <c r="ID621" s="18"/>
      <c r="IE621" s="18"/>
      <c r="IF621" s="18"/>
      <c r="IG621" s="18"/>
      <c r="IH621" s="18"/>
      <c r="II621" s="18"/>
      <c r="IJ621" s="18"/>
      <c r="IK621" s="18"/>
      <c r="IL621" s="18"/>
      <c r="IM621" s="18"/>
      <c r="IN621" s="18"/>
      <c r="IO621" s="18"/>
      <c r="IP621" s="18"/>
      <c r="IQ621" s="18"/>
      <c r="IR621" s="18"/>
      <c r="IS621" s="18"/>
      <c r="IT621" s="18"/>
      <c r="IU621" s="18"/>
      <c r="IV621" s="18"/>
      <c r="IW621" s="18"/>
      <c r="IX621" s="18"/>
      <c r="IY621" s="18"/>
      <c r="IZ621" s="18"/>
      <c r="JA621" s="18"/>
      <c r="JB621" s="18"/>
      <c r="JC621" s="18"/>
      <c r="JD621" s="18"/>
      <c r="JE621" s="18"/>
      <c r="JF621" s="18"/>
      <c r="JG621" s="18"/>
      <c r="JH621" s="18"/>
      <c r="JI621" s="18"/>
      <c r="JJ621" s="18"/>
      <c r="JK621" s="18"/>
      <c r="JL621" s="18"/>
      <c r="JM621" s="18"/>
      <c r="JN621" s="18"/>
      <c r="JO621" s="18"/>
      <c r="JP621" s="18"/>
      <c r="JQ621" s="18"/>
      <c r="JR621" s="18"/>
      <c r="JS621" s="18"/>
      <c r="JT621" s="18"/>
      <c r="JU621" s="18"/>
      <c r="JV621" s="18"/>
      <c r="JW621" s="18"/>
      <c r="JX621" s="18"/>
      <c r="JY621" s="18"/>
      <c r="JZ621" s="18"/>
      <c r="KA621" s="18"/>
      <c r="KB621" s="18"/>
      <c r="KC621" s="18"/>
      <c r="KD621" s="18"/>
      <c r="KE621" s="18"/>
      <c r="KF621" s="18"/>
      <c r="KG621" s="18"/>
      <c r="KH621" s="18"/>
      <c r="KI621" s="18"/>
      <c r="KJ621" s="18"/>
      <c r="KK621" s="18"/>
      <c r="KL621" s="18"/>
      <c r="KM621" s="18"/>
      <c r="KN621" s="18"/>
      <c r="KO621" s="18"/>
      <c r="KP621" s="18"/>
    </row>
    <row r="622" spans="1:302" ht="15" customHeight="1">
      <c r="A622" s="14"/>
      <c r="B622" s="14"/>
      <c r="F622" s="46"/>
      <c r="G622" s="23"/>
      <c r="H622" s="23"/>
      <c r="I622" s="23"/>
      <c r="J622" s="23"/>
      <c r="K622" s="14"/>
      <c r="L622" s="14"/>
      <c r="P622" s="14"/>
      <c r="AG622" s="44"/>
      <c r="AH622" s="44"/>
      <c r="AI622" s="45"/>
      <c r="AJ622" s="44"/>
      <c r="AK622" s="43"/>
      <c r="AS622" s="14"/>
      <c r="AU622" s="18"/>
      <c r="AV622" s="18"/>
      <c r="AW622" s="18"/>
      <c r="AX622" s="18"/>
      <c r="AY622" s="18"/>
      <c r="AZ622" s="18"/>
      <c r="BB622" s="18"/>
      <c r="BC622" s="18"/>
      <c r="BD622" s="18"/>
      <c r="BE622" s="18"/>
      <c r="BF622" s="18"/>
      <c r="BH622" s="18"/>
      <c r="BI622" s="18"/>
      <c r="BJ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  <c r="FC622" s="18"/>
      <c r="FD622" s="18"/>
      <c r="FE622" s="18"/>
      <c r="FF622" s="18"/>
      <c r="FG622" s="18"/>
      <c r="FH622" s="18"/>
      <c r="FI622" s="18"/>
      <c r="FJ622" s="18"/>
      <c r="FK622" s="18"/>
      <c r="FL622" s="18"/>
      <c r="FM622" s="18"/>
      <c r="FN622" s="18"/>
      <c r="FO622" s="18"/>
      <c r="FP622" s="18"/>
      <c r="FQ622" s="18"/>
      <c r="FR622" s="18"/>
      <c r="FS622" s="18"/>
      <c r="FT622" s="18"/>
      <c r="FU622" s="18"/>
      <c r="FV622" s="18"/>
      <c r="FW622" s="18"/>
      <c r="FX622" s="18"/>
      <c r="FY622" s="18"/>
      <c r="FZ622" s="18"/>
      <c r="GA622" s="18"/>
      <c r="GB622" s="18"/>
      <c r="GC622" s="18"/>
      <c r="GD622" s="18"/>
      <c r="GE622" s="18"/>
      <c r="GF622" s="18"/>
      <c r="GG622" s="18"/>
      <c r="GH622" s="18"/>
      <c r="GI622" s="18"/>
      <c r="GJ622" s="18"/>
      <c r="GK622" s="18"/>
      <c r="GL622" s="18"/>
      <c r="GM622" s="18"/>
      <c r="GN622" s="18"/>
      <c r="GO622" s="18"/>
      <c r="GP622" s="18"/>
      <c r="GQ622" s="18"/>
      <c r="GR622" s="18"/>
      <c r="GS622" s="18"/>
      <c r="GT622" s="18"/>
      <c r="GU622" s="18"/>
      <c r="GV622" s="18"/>
      <c r="GW622" s="18"/>
      <c r="GX622" s="18"/>
      <c r="GY622" s="18"/>
      <c r="GZ622" s="18"/>
      <c r="HA622" s="18"/>
      <c r="HB622" s="18"/>
      <c r="HC622" s="18"/>
      <c r="HD622" s="18"/>
      <c r="HE622" s="18"/>
      <c r="HF622" s="18"/>
      <c r="HG622" s="13"/>
      <c r="HH622" s="13"/>
      <c r="HI622" s="13"/>
      <c r="HJ622" s="13"/>
      <c r="HK622" s="13"/>
      <c r="HL622" s="13"/>
      <c r="HM622" s="13"/>
      <c r="HN622" s="13"/>
      <c r="HO622" s="13"/>
      <c r="HP622" s="13"/>
      <c r="HQ622" s="13"/>
      <c r="HR622" s="13"/>
      <c r="HS622" s="13"/>
      <c r="HT622" s="13"/>
      <c r="HV622" s="18"/>
      <c r="HW622" s="18"/>
      <c r="HX622" s="18"/>
      <c r="HY622" s="18"/>
      <c r="HZ622" s="18"/>
      <c r="IA622" s="18"/>
      <c r="IB622" s="18"/>
      <c r="IC622" s="18"/>
      <c r="ID622" s="18"/>
      <c r="IE622" s="18"/>
      <c r="IF622" s="18"/>
      <c r="IG622" s="18"/>
      <c r="IH622" s="18"/>
      <c r="II622" s="18"/>
      <c r="IJ622" s="18"/>
      <c r="IK622" s="18"/>
      <c r="IL622" s="18"/>
      <c r="IM622" s="18"/>
      <c r="IN622" s="18"/>
      <c r="IO622" s="18"/>
      <c r="IP622" s="18"/>
      <c r="IQ622" s="18"/>
      <c r="IR622" s="18"/>
      <c r="IS622" s="18"/>
      <c r="IT622" s="18"/>
      <c r="IU622" s="18"/>
      <c r="IV622" s="18"/>
      <c r="IW622" s="18"/>
      <c r="IX622" s="18"/>
      <c r="IY622" s="18"/>
      <c r="IZ622" s="18"/>
      <c r="JA622" s="18"/>
      <c r="JB622" s="18"/>
      <c r="JC622" s="18"/>
      <c r="JD622" s="18"/>
      <c r="JE622" s="18"/>
      <c r="JF622" s="18"/>
      <c r="JG622" s="18"/>
      <c r="JH622" s="18"/>
      <c r="JI622" s="18"/>
      <c r="JJ622" s="18"/>
      <c r="JK622" s="18"/>
      <c r="JL622" s="18"/>
      <c r="JM622" s="18"/>
      <c r="JN622" s="18"/>
      <c r="JO622" s="18"/>
      <c r="JP622" s="18"/>
      <c r="JQ622" s="18"/>
      <c r="JR622" s="18"/>
      <c r="JS622" s="18"/>
      <c r="JT622" s="18"/>
      <c r="JU622" s="18"/>
      <c r="JV622" s="18"/>
      <c r="JW622" s="18"/>
      <c r="JX622" s="18"/>
      <c r="JY622" s="18"/>
      <c r="JZ622" s="18"/>
      <c r="KA622" s="18"/>
      <c r="KB622" s="18"/>
      <c r="KC622" s="18"/>
      <c r="KD622" s="18"/>
      <c r="KE622" s="18"/>
      <c r="KF622" s="18"/>
      <c r="KG622" s="18"/>
      <c r="KH622" s="18"/>
      <c r="KI622" s="18"/>
      <c r="KJ622" s="18"/>
      <c r="KK622" s="18"/>
      <c r="KL622" s="18"/>
      <c r="KM622" s="18"/>
      <c r="KN622" s="18"/>
      <c r="KO622" s="18"/>
      <c r="KP622" s="18"/>
    </row>
    <row r="623" spans="1:302" ht="15" customHeight="1">
      <c r="A623" s="14"/>
      <c r="B623" s="14"/>
      <c r="F623" s="46"/>
      <c r="G623" s="23"/>
      <c r="H623" s="23"/>
      <c r="I623" s="23"/>
      <c r="J623" s="23"/>
      <c r="K623" s="14"/>
      <c r="L623" s="14"/>
      <c r="P623" s="14"/>
      <c r="AG623" s="44"/>
      <c r="AH623" s="44"/>
      <c r="AI623" s="45"/>
      <c r="AJ623" s="44"/>
      <c r="AK623" s="43"/>
      <c r="AS623" s="14"/>
      <c r="AU623" s="18"/>
      <c r="AV623" s="18"/>
      <c r="AW623" s="18"/>
      <c r="AX623" s="18"/>
      <c r="AY623" s="18"/>
      <c r="AZ623" s="18"/>
      <c r="BB623" s="18"/>
      <c r="BC623" s="18"/>
      <c r="BD623" s="18"/>
      <c r="BE623" s="18"/>
      <c r="BF623" s="18"/>
      <c r="BH623" s="18"/>
      <c r="BI623" s="18"/>
      <c r="BJ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  <c r="EZ623" s="18"/>
      <c r="FA623" s="18"/>
      <c r="FB623" s="18"/>
      <c r="FC623" s="18"/>
      <c r="FD623" s="18"/>
      <c r="FE623" s="18"/>
      <c r="FF623" s="18"/>
      <c r="FG623" s="18"/>
      <c r="FH623" s="18"/>
      <c r="FI623" s="18"/>
      <c r="FJ623" s="18"/>
      <c r="FK623" s="18"/>
      <c r="FL623" s="18"/>
      <c r="FM623" s="18"/>
      <c r="FN623" s="18"/>
      <c r="FO623" s="18"/>
      <c r="FP623" s="18"/>
      <c r="FQ623" s="18"/>
      <c r="FR623" s="18"/>
      <c r="FS623" s="18"/>
      <c r="FT623" s="18"/>
      <c r="FU623" s="18"/>
      <c r="FV623" s="18"/>
      <c r="FW623" s="18"/>
      <c r="FX623" s="18"/>
      <c r="FY623" s="18"/>
      <c r="FZ623" s="18"/>
      <c r="GA623" s="18"/>
      <c r="GB623" s="18"/>
      <c r="GC623" s="18"/>
      <c r="GD623" s="18"/>
      <c r="GE623" s="18"/>
      <c r="GF623" s="18"/>
      <c r="GG623" s="18"/>
      <c r="GH623" s="18"/>
      <c r="GI623" s="18"/>
      <c r="GJ623" s="18"/>
      <c r="GK623" s="18"/>
      <c r="GL623" s="18"/>
      <c r="GM623" s="18"/>
      <c r="GN623" s="18"/>
      <c r="GO623" s="18"/>
      <c r="GP623" s="18"/>
      <c r="GQ623" s="18"/>
      <c r="GR623" s="18"/>
      <c r="GS623" s="18"/>
      <c r="GT623" s="18"/>
      <c r="GU623" s="18"/>
      <c r="GV623" s="18"/>
      <c r="GW623" s="18"/>
      <c r="GX623" s="18"/>
      <c r="GY623" s="18"/>
      <c r="GZ623" s="18"/>
      <c r="HA623" s="18"/>
      <c r="HB623" s="18"/>
      <c r="HC623" s="18"/>
      <c r="HD623" s="18"/>
      <c r="HE623" s="18"/>
      <c r="HF623" s="18"/>
      <c r="HG623" s="13"/>
      <c r="HH623" s="13"/>
      <c r="HI623" s="13"/>
      <c r="HJ623" s="13"/>
      <c r="HK623" s="13"/>
      <c r="HL623" s="13"/>
      <c r="HM623" s="13"/>
      <c r="HN623" s="13"/>
      <c r="HO623" s="13"/>
      <c r="HP623" s="13"/>
      <c r="HQ623" s="13"/>
      <c r="HR623" s="13"/>
      <c r="HS623" s="13"/>
      <c r="HT623" s="13"/>
      <c r="HV623" s="18"/>
      <c r="HW623" s="18"/>
      <c r="HX623" s="18"/>
      <c r="HY623" s="18"/>
      <c r="HZ623" s="18"/>
      <c r="IA623" s="18"/>
      <c r="IB623" s="18"/>
      <c r="IC623" s="18"/>
      <c r="ID623" s="18"/>
      <c r="IE623" s="18"/>
      <c r="IF623" s="18"/>
      <c r="IG623" s="18"/>
      <c r="IH623" s="18"/>
      <c r="II623" s="18"/>
      <c r="IJ623" s="18"/>
      <c r="IK623" s="18"/>
      <c r="IL623" s="18"/>
      <c r="IM623" s="18"/>
      <c r="IN623" s="18"/>
      <c r="IO623" s="18"/>
      <c r="IP623" s="18"/>
      <c r="IQ623" s="18"/>
      <c r="IR623" s="18"/>
      <c r="IS623" s="18"/>
      <c r="IT623" s="18"/>
      <c r="IU623" s="18"/>
      <c r="IV623" s="18"/>
      <c r="IW623" s="18"/>
      <c r="IX623" s="18"/>
      <c r="IY623" s="18"/>
      <c r="IZ623" s="18"/>
      <c r="JA623" s="18"/>
      <c r="JB623" s="18"/>
      <c r="JC623" s="18"/>
      <c r="JD623" s="18"/>
      <c r="JE623" s="18"/>
      <c r="JF623" s="18"/>
      <c r="JG623" s="18"/>
      <c r="JH623" s="18"/>
      <c r="JI623" s="18"/>
      <c r="JJ623" s="18"/>
      <c r="JK623" s="18"/>
      <c r="JL623" s="18"/>
      <c r="JM623" s="18"/>
      <c r="JN623" s="18"/>
      <c r="JO623" s="18"/>
      <c r="JP623" s="18"/>
      <c r="JQ623" s="18"/>
      <c r="JR623" s="18"/>
      <c r="JS623" s="18"/>
      <c r="JT623" s="18"/>
      <c r="JU623" s="18"/>
      <c r="JV623" s="18"/>
      <c r="JW623" s="18"/>
      <c r="JX623" s="18"/>
      <c r="JY623" s="18"/>
      <c r="JZ623" s="18"/>
      <c r="KA623" s="18"/>
      <c r="KB623" s="18"/>
      <c r="KC623" s="18"/>
      <c r="KD623" s="18"/>
      <c r="KE623" s="18"/>
      <c r="KF623" s="18"/>
      <c r="KG623" s="18"/>
      <c r="KH623" s="18"/>
      <c r="KI623" s="18"/>
      <c r="KJ623" s="18"/>
      <c r="KK623" s="18"/>
      <c r="KL623" s="18"/>
      <c r="KM623" s="18"/>
      <c r="KN623" s="18"/>
      <c r="KO623" s="18"/>
      <c r="KP623" s="18"/>
    </row>
    <row r="624" spans="1:302" ht="15" customHeight="1">
      <c r="A624" s="14"/>
      <c r="B624" s="14"/>
      <c r="F624" s="46"/>
      <c r="G624" s="23"/>
      <c r="H624" s="23"/>
      <c r="I624" s="23"/>
      <c r="J624" s="23"/>
      <c r="K624" s="14"/>
      <c r="L624" s="14"/>
      <c r="P624" s="14"/>
      <c r="AG624" s="44"/>
      <c r="AH624" s="44"/>
      <c r="AI624" s="45"/>
      <c r="AJ624" s="44"/>
      <c r="AK624" s="43"/>
      <c r="AS624" s="14"/>
      <c r="AU624" s="18"/>
      <c r="AV624" s="18"/>
      <c r="AW624" s="18"/>
      <c r="AX624" s="18"/>
      <c r="AY624" s="18"/>
      <c r="AZ624" s="18"/>
      <c r="BB624" s="18"/>
      <c r="BC624" s="18"/>
      <c r="BD624" s="18"/>
      <c r="BE624" s="18"/>
      <c r="BF624" s="18"/>
      <c r="BH624" s="18"/>
      <c r="BI624" s="18"/>
      <c r="BJ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  <c r="EZ624" s="18"/>
      <c r="FA624" s="18"/>
      <c r="FB624" s="18"/>
      <c r="FC624" s="18"/>
      <c r="FD624" s="18"/>
      <c r="FE624" s="18"/>
      <c r="FF624" s="18"/>
      <c r="FG624" s="18"/>
      <c r="FH624" s="18"/>
      <c r="FI624" s="18"/>
      <c r="FJ624" s="18"/>
      <c r="FK624" s="18"/>
      <c r="FL624" s="18"/>
      <c r="FM624" s="18"/>
      <c r="FN624" s="18"/>
      <c r="FO624" s="18"/>
      <c r="FP624" s="18"/>
      <c r="FQ624" s="18"/>
      <c r="FR624" s="18"/>
      <c r="FS624" s="18"/>
      <c r="FT624" s="18"/>
      <c r="FU624" s="18"/>
      <c r="FV624" s="18"/>
      <c r="FW624" s="18"/>
      <c r="FX624" s="18"/>
      <c r="FY624" s="18"/>
      <c r="FZ624" s="18"/>
      <c r="GA624" s="18"/>
      <c r="GB624" s="18"/>
      <c r="GC624" s="18"/>
      <c r="GD624" s="18"/>
      <c r="GE624" s="18"/>
      <c r="GF624" s="18"/>
      <c r="GG624" s="18"/>
      <c r="GH624" s="18"/>
      <c r="GI624" s="18"/>
      <c r="GJ624" s="18"/>
      <c r="GK624" s="18"/>
      <c r="GL624" s="18"/>
      <c r="GM624" s="18"/>
      <c r="GN624" s="18"/>
      <c r="GO624" s="18"/>
      <c r="GP624" s="18"/>
      <c r="GQ624" s="18"/>
      <c r="GR624" s="18"/>
      <c r="GS624" s="18"/>
      <c r="GT624" s="18"/>
      <c r="GU624" s="18"/>
      <c r="GV624" s="18"/>
      <c r="GW624" s="18"/>
      <c r="GX624" s="18"/>
      <c r="GY624" s="18"/>
      <c r="GZ624" s="18"/>
      <c r="HA624" s="18"/>
      <c r="HB624" s="18"/>
      <c r="HC624" s="18"/>
      <c r="HD624" s="18"/>
      <c r="HE624" s="18"/>
      <c r="HF624" s="18"/>
      <c r="HG624" s="13"/>
      <c r="HH624" s="13"/>
      <c r="HI624" s="13"/>
      <c r="HJ624" s="13"/>
      <c r="HK624" s="13"/>
      <c r="HL624" s="13"/>
      <c r="HM624" s="13"/>
      <c r="HN624" s="13"/>
      <c r="HO624" s="13"/>
      <c r="HP624" s="13"/>
      <c r="HQ624" s="13"/>
      <c r="HR624" s="13"/>
      <c r="HS624" s="13"/>
      <c r="HT624" s="13"/>
      <c r="HV624" s="18"/>
      <c r="HW624" s="18"/>
      <c r="HX624" s="18"/>
      <c r="HY624" s="18"/>
      <c r="HZ624" s="18"/>
      <c r="IA624" s="18"/>
      <c r="IB624" s="18"/>
      <c r="IC624" s="18"/>
      <c r="ID624" s="18"/>
      <c r="IE624" s="18"/>
      <c r="IF624" s="18"/>
      <c r="IG624" s="18"/>
      <c r="IH624" s="18"/>
      <c r="II624" s="18"/>
      <c r="IJ624" s="18"/>
      <c r="IK624" s="18"/>
      <c r="IL624" s="18"/>
      <c r="IM624" s="18"/>
      <c r="IN624" s="18"/>
      <c r="IO624" s="18"/>
      <c r="IP624" s="18"/>
      <c r="IQ624" s="18"/>
      <c r="IR624" s="18"/>
      <c r="IS624" s="18"/>
      <c r="IT624" s="18"/>
      <c r="IU624" s="18"/>
      <c r="IV624" s="18"/>
      <c r="IW624" s="18"/>
      <c r="IX624" s="18"/>
      <c r="IY624" s="18"/>
      <c r="IZ624" s="18"/>
      <c r="JA624" s="18"/>
      <c r="JB624" s="18"/>
      <c r="JC624" s="18"/>
      <c r="JD624" s="18"/>
      <c r="JE624" s="18"/>
      <c r="JF624" s="18"/>
      <c r="JG624" s="18"/>
      <c r="JH624" s="18"/>
      <c r="JI624" s="18"/>
      <c r="JJ624" s="18"/>
      <c r="JK624" s="18"/>
      <c r="JL624" s="18"/>
      <c r="JM624" s="18"/>
      <c r="JN624" s="18"/>
      <c r="JO624" s="18"/>
      <c r="JP624" s="18"/>
      <c r="JQ624" s="18"/>
      <c r="JR624" s="18"/>
      <c r="JS624" s="18"/>
      <c r="JT624" s="18"/>
      <c r="JU624" s="18"/>
      <c r="JV624" s="18"/>
      <c r="JW624" s="18"/>
      <c r="JX624" s="18"/>
      <c r="JY624" s="18"/>
      <c r="JZ624" s="18"/>
      <c r="KA624" s="18"/>
      <c r="KB624" s="18"/>
      <c r="KC624" s="18"/>
      <c r="KD624" s="18"/>
      <c r="KE624" s="18"/>
      <c r="KF624" s="18"/>
      <c r="KG624" s="18"/>
      <c r="KH624" s="18"/>
      <c r="KI624" s="18"/>
      <c r="KJ624" s="18"/>
      <c r="KK624" s="18"/>
      <c r="KL624" s="18"/>
      <c r="KM624" s="18"/>
      <c r="KN624" s="18"/>
      <c r="KO624" s="18"/>
      <c r="KP624" s="18"/>
    </row>
    <row r="625" spans="1:302" ht="15" customHeight="1">
      <c r="A625" s="14"/>
      <c r="B625" s="14"/>
      <c r="F625" s="46"/>
      <c r="G625" s="23"/>
      <c r="H625" s="23"/>
      <c r="I625" s="23"/>
      <c r="J625" s="23"/>
      <c r="K625" s="14"/>
      <c r="L625" s="14"/>
      <c r="P625" s="14"/>
      <c r="AG625" s="44"/>
      <c r="AH625" s="44"/>
      <c r="AI625" s="45"/>
      <c r="AJ625" s="44"/>
      <c r="AK625" s="43"/>
      <c r="AS625" s="14"/>
      <c r="AU625" s="18"/>
      <c r="AV625" s="18"/>
      <c r="AW625" s="18"/>
      <c r="AX625" s="18"/>
      <c r="AY625" s="18"/>
      <c r="AZ625" s="18"/>
      <c r="BB625" s="18"/>
      <c r="BC625" s="18"/>
      <c r="BD625" s="18"/>
      <c r="BE625" s="18"/>
      <c r="BF625" s="18"/>
      <c r="BH625" s="18"/>
      <c r="BI625" s="18"/>
      <c r="BJ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  <c r="EZ625" s="18"/>
      <c r="FA625" s="18"/>
      <c r="FB625" s="18"/>
      <c r="FC625" s="18"/>
      <c r="FD625" s="18"/>
      <c r="FE625" s="18"/>
      <c r="FF625" s="18"/>
      <c r="FG625" s="18"/>
      <c r="FH625" s="18"/>
      <c r="FI625" s="18"/>
      <c r="FJ625" s="18"/>
      <c r="FK625" s="18"/>
      <c r="FL625" s="18"/>
      <c r="FM625" s="18"/>
      <c r="FN625" s="18"/>
      <c r="FO625" s="18"/>
      <c r="FP625" s="18"/>
      <c r="FQ625" s="18"/>
      <c r="FR625" s="18"/>
      <c r="FS625" s="18"/>
      <c r="FT625" s="18"/>
      <c r="FU625" s="18"/>
      <c r="FV625" s="18"/>
      <c r="FW625" s="18"/>
      <c r="FX625" s="18"/>
      <c r="FY625" s="18"/>
      <c r="FZ625" s="18"/>
      <c r="GA625" s="18"/>
      <c r="GB625" s="18"/>
      <c r="GC625" s="18"/>
      <c r="GD625" s="18"/>
      <c r="GE625" s="18"/>
      <c r="GF625" s="18"/>
      <c r="GG625" s="18"/>
      <c r="GH625" s="18"/>
      <c r="GI625" s="18"/>
      <c r="GJ625" s="18"/>
      <c r="GK625" s="18"/>
      <c r="GL625" s="18"/>
      <c r="GM625" s="18"/>
      <c r="GN625" s="18"/>
      <c r="GO625" s="18"/>
      <c r="GP625" s="18"/>
      <c r="GQ625" s="18"/>
      <c r="GR625" s="18"/>
      <c r="GS625" s="18"/>
      <c r="GT625" s="18"/>
      <c r="GU625" s="18"/>
      <c r="GV625" s="18"/>
      <c r="GW625" s="18"/>
      <c r="GX625" s="18"/>
      <c r="GY625" s="18"/>
      <c r="GZ625" s="18"/>
      <c r="HA625" s="18"/>
      <c r="HB625" s="18"/>
      <c r="HC625" s="18"/>
      <c r="HD625" s="18"/>
      <c r="HE625" s="18"/>
      <c r="HF625" s="18"/>
      <c r="HG625" s="13"/>
      <c r="HH625" s="13"/>
      <c r="HI625" s="13"/>
      <c r="HJ625" s="13"/>
      <c r="HK625" s="13"/>
      <c r="HL625" s="13"/>
      <c r="HM625" s="13"/>
      <c r="HN625" s="13"/>
      <c r="HO625" s="13"/>
      <c r="HP625" s="13"/>
      <c r="HQ625" s="13"/>
      <c r="HR625" s="13"/>
      <c r="HS625" s="13"/>
      <c r="HT625" s="13"/>
      <c r="HV625" s="18"/>
      <c r="HW625" s="18"/>
      <c r="HX625" s="18"/>
      <c r="HY625" s="18"/>
      <c r="HZ625" s="18"/>
      <c r="IA625" s="18"/>
      <c r="IB625" s="18"/>
      <c r="IC625" s="18"/>
      <c r="ID625" s="18"/>
      <c r="IE625" s="18"/>
      <c r="IF625" s="18"/>
      <c r="IG625" s="18"/>
      <c r="IH625" s="18"/>
      <c r="II625" s="18"/>
      <c r="IJ625" s="18"/>
      <c r="IK625" s="18"/>
      <c r="IL625" s="18"/>
      <c r="IM625" s="18"/>
      <c r="IN625" s="18"/>
      <c r="IO625" s="18"/>
      <c r="IP625" s="18"/>
      <c r="IQ625" s="18"/>
      <c r="IR625" s="18"/>
      <c r="IS625" s="18"/>
      <c r="IT625" s="18"/>
      <c r="IU625" s="18"/>
      <c r="IV625" s="18"/>
      <c r="IW625" s="18"/>
      <c r="IX625" s="18"/>
      <c r="IY625" s="18"/>
      <c r="IZ625" s="18"/>
      <c r="JA625" s="18"/>
      <c r="JB625" s="18"/>
      <c r="JC625" s="18"/>
      <c r="JD625" s="18"/>
      <c r="JE625" s="18"/>
      <c r="JF625" s="18"/>
      <c r="JG625" s="18"/>
      <c r="JH625" s="18"/>
      <c r="JI625" s="18"/>
      <c r="JJ625" s="18"/>
      <c r="JK625" s="18"/>
      <c r="JL625" s="18"/>
      <c r="JM625" s="18"/>
      <c r="JN625" s="18"/>
      <c r="JO625" s="18"/>
      <c r="JP625" s="18"/>
      <c r="JQ625" s="18"/>
      <c r="JR625" s="18"/>
      <c r="JS625" s="18"/>
      <c r="JT625" s="18"/>
      <c r="JU625" s="18"/>
      <c r="JV625" s="18"/>
      <c r="JW625" s="18"/>
      <c r="JX625" s="18"/>
      <c r="JY625" s="18"/>
      <c r="JZ625" s="18"/>
      <c r="KA625" s="18"/>
      <c r="KB625" s="18"/>
      <c r="KC625" s="18"/>
      <c r="KD625" s="18"/>
      <c r="KE625" s="18"/>
      <c r="KF625" s="18"/>
      <c r="KG625" s="18"/>
      <c r="KH625" s="18"/>
      <c r="KI625" s="18"/>
      <c r="KJ625" s="18"/>
      <c r="KK625" s="18"/>
      <c r="KL625" s="18"/>
      <c r="KM625" s="18"/>
      <c r="KN625" s="18"/>
      <c r="KO625" s="18"/>
      <c r="KP625" s="18"/>
    </row>
    <row r="626" spans="1:302" ht="15" customHeight="1">
      <c r="A626" s="14"/>
      <c r="B626" s="14"/>
      <c r="F626" s="46"/>
      <c r="G626" s="23"/>
      <c r="H626" s="23"/>
      <c r="I626" s="23"/>
      <c r="J626" s="23"/>
      <c r="K626" s="14"/>
      <c r="L626" s="14"/>
      <c r="P626" s="14"/>
      <c r="AG626" s="44"/>
      <c r="AH626" s="44"/>
      <c r="AI626" s="45"/>
      <c r="AJ626" s="44"/>
      <c r="AK626" s="43"/>
      <c r="AS626" s="14"/>
      <c r="AU626" s="18"/>
      <c r="AV626" s="18"/>
      <c r="AW626" s="18"/>
      <c r="AX626" s="18"/>
      <c r="AY626" s="18"/>
      <c r="AZ626" s="18"/>
      <c r="BB626" s="18"/>
      <c r="BC626" s="18"/>
      <c r="BD626" s="18"/>
      <c r="BE626" s="18"/>
      <c r="BF626" s="18"/>
      <c r="BH626" s="18"/>
      <c r="BI626" s="18"/>
      <c r="BJ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  <c r="EZ626" s="18"/>
      <c r="FA626" s="18"/>
      <c r="FB626" s="18"/>
      <c r="FC626" s="18"/>
      <c r="FD626" s="18"/>
      <c r="FE626" s="18"/>
      <c r="FF626" s="18"/>
      <c r="FG626" s="18"/>
      <c r="FH626" s="18"/>
      <c r="FI626" s="18"/>
      <c r="FJ626" s="18"/>
      <c r="FK626" s="18"/>
      <c r="FL626" s="18"/>
      <c r="FM626" s="18"/>
      <c r="FN626" s="18"/>
      <c r="FO626" s="18"/>
      <c r="FP626" s="18"/>
      <c r="FQ626" s="18"/>
      <c r="FR626" s="18"/>
      <c r="FS626" s="18"/>
      <c r="FT626" s="18"/>
      <c r="FU626" s="18"/>
      <c r="FV626" s="18"/>
      <c r="FW626" s="18"/>
      <c r="FX626" s="18"/>
      <c r="FY626" s="18"/>
      <c r="FZ626" s="18"/>
      <c r="GA626" s="18"/>
      <c r="GB626" s="18"/>
      <c r="GC626" s="18"/>
      <c r="GD626" s="18"/>
      <c r="GE626" s="18"/>
      <c r="GF626" s="18"/>
      <c r="GG626" s="18"/>
      <c r="GH626" s="18"/>
      <c r="GI626" s="18"/>
      <c r="GJ626" s="18"/>
      <c r="GK626" s="18"/>
      <c r="GL626" s="18"/>
      <c r="GM626" s="18"/>
      <c r="GN626" s="18"/>
      <c r="GO626" s="18"/>
      <c r="GP626" s="18"/>
      <c r="GQ626" s="18"/>
      <c r="GR626" s="18"/>
      <c r="GS626" s="18"/>
      <c r="GT626" s="18"/>
      <c r="GU626" s="18"/>
      <c r="GV626" s="18"/>
      <c r="GW626" s="18"/>
      <c r="GX626" s="18"/>
      <c r="GY626" s="18"/>
      <c r="GZ626" s="18"/>
      <c r="HA626" s="18"/>
      <c r="HB626" s="18"/>
      <c r="HC626" s="18"/>
      <c r="HD626" s="18"/>
      <c r="HE626" s="18"/>
      <c r="HF626" s="18"/>
      <c r="HG626" s="13"/>
      <c r="HH626" s="13"/>
      <c r="HI626" s="13"/>
      <c r="HJ626" s="13"/>
      <c r="HK626" s="13"/>
      <c r="HL626" s="13"/>
      <c r="HM626" s="13"/>
      <c r="HN626" s="13"/>
      <c r="HO626" s="13"/>
      <c r="HP626" s="13"/>
      <c r="HQ626" s="13"/>
      <c r="HR626" s="13"/>
      <c r="HS626" s="13"/>
      <c r="HT626" s="13"/>
      <c r="HV626" s="18"/>
      <c r="HW626" s="18"/>
      <c r="HX626" s="18"/>
      <c r="HY626" s="18"/>
      <c r="HZ626" s="18"/>
      <c r="IA626" s="18"/>
      <c r="IB626" s="18"/>
      <c r="IC626" s="18"/>
      <c r="ID626" s="18"/>
      <c r="IE626" s="18"/>
      <c r="IF626" s="18"/>
      <c r="IG626" s="18"/>
      <c r="IH626" s="18"/>
      <c r="II626" s="18"/>
      <c r="IJ626" s="18"/>
      <c r="IK626" s="18"/>
      <c r="IL626" s="18"/>
      <c r="IM626" s="18"/>
      <c r="IN626" s="18"/>
      <c r="IO626" s="18"/>
      <c r="IP626" s="18"/>
      <c r="IQ626" s="18"/>
      <c r="IR626" s="18"/>
      <c r="IS626" s="18"/>
      <c r="IT626" s="18"/>
      <c r="IU626" s="18"/>
      <c r="IV626" s="18"/>
      <c r="IW626" s="18"/>
      <c r="IX626" s="18"/>
      <c r="IY626" s="18"/>
      <c r="IZ626" s="18"/>
      <c r="JA626" s="18"/>
      <c r="JB626" s="18"/>
      <c r="JC626" s="18"/>
      <c r="JD626" s="18"/>
      <c r="JE626" s="18"/>
      <c r="JF626" s="18"/>
      <c r="JG626" s="18"/>
      <c r="JH626" s="18"/>
      <c r="JI626" s="18"/>
      <c r="JJ626" s="18"/>
      <c r="JK626" s="18"/>
      <c r="JL626" s="18"/>
      <c r="JM626" s="18"/>
      <c r="JN626" s="18"/>
      <c r="JO626" s="18"/>
      <c r="JP626" s="18"/>
      <c r="JQ626" s="18"/>
      <c r="JR626" s="18"/>
      <c r="JS626" s="18"/>
      <c r="JT626" s="18"/>
      <c r="JU626" s="18"/>
      <c r="JV626" s="18"/>
      <c r="JW626" s="18"/>
      <c r="JX626" s="18"/>
      <c r="JY626" s="18"/>
      <c r="JZ626" s="18"/>
      <c r="KA626" s="18"/>
      <c r="KB626" s="18"/>
      <c r="KC626" s="18"/>
      <c r="KD626" s="18"/>
      <c r="KE626" s="18"/>
      <c r="KF626" s="18"/>
      <c r="KG626" s="18"/>
      <c r="KH626" s="18"/>
      <c r="KI626" s="18"/>
      <c r="KJ626" s="18"/>
      <c r="KK626" s="18"/>
      <c r="KL626" s="18"/>
      <c r="KM626" s="18"/>
      <c r="KN626" s="18"/>
      <c r="KO626" s="18"/>
      <c r="KP626" s="18"/>
    </row>
    <row r="627" spans="1:302" ht="15" customHeight="1">
      <c r="A627" s="14"/>
      <c r="B627" s="14"/>
      <c r="F627" s="46"/>
      <c r="G627" s="23"/>
      <c r="H627" s="23"/>
      <c r="I627" s="23"/>
      <c r="J627" s="23"/>
      <c r="K627" s="14"/>
      <c r="L627" s="14"/>
      <c r="P627" s="14"/>
      <c r="AG627" s="44"/>
      <c r="AH627" s="44"/>
      <c r="AI627" s="45"/>
      <c r="AJ627" s="44"/>
      <c r="AK627" s="43"/>
      <c r="AS627" s="14"/>
      <c r="AU627" s="18"/>
      <c r="AV627" s="18"/>
      <c r="AW627" s="18"/>
      <c r="AX627" s="18"/>
      <c r="AY627" s="18"/>
      <c r="AZ627" s="18"/>
      <c r="BB627" s="18"/>
      <c r="BC627" s="18"/>
      <c r="BD627" s="18"/>
      <c r="BE627" s="18"/>
      <c r="BF627" s="18"/>
      <c r="BH627" s="18"/>
      <c r="BI627" s="18"/>
      <c r="BJ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  <c r="EW627" s="18"/>
      <c r="EX627" s="18"/>
      <c r="EY627" s="18"/>
      <c r="EZ627" s="18"/>
      <c r="FA627" s="18"/>
      <c r="FB627" s="18"/>
      <c r="FC627" s="18"/>
      <c r="FD627" s="18"/>
      <c r="FE627" s="18"/>
      <c r="FF627" s="18"/>
      <c r="FG627" s="18"/>
      <c r="FH627" s="18"/>
      <c r="FI627" s="18"/>
      <c r="FJ627" s="18"/>
      <c r="FK627" s="18"/>
      <c r="FL627" s="18"/>
      <c r="FM627" s="18"/>
      <c r="FN627" s="18"/>
      <c r="FO627" s="18"/>
      <c r="FP627" s="18"/>
      <c r="FQ627" s="18"/>
      <c r="FR627" s="18"/>
      <c r="FS627" s="18"/>
      <c r="FT627" s="18"/>
      <c r="FU627" s="18"/>
      <c r="FV627" s="18"/>
      <c r="FW627" s="18"/>
      <c r="FX627" s="18"/>
      <c r="FY627" s="18"/>
      <c r="FZ627" s="18"/>
      <c r="GA627" s="18"/>
      <c r="GB627" s="18"/>
      <c r="GC627" s="18"/>
      <c r="GD627" s="18"/>
      <c r="GE627" s="18"/>
      <c r="GF627" s="18"/>
      <c r="GG627" s="18"/>
      <c r="GH627" s="18"/>
      <c r="GI627" s="18"/>
      <c r="GJ627" s="18"/>
      <c r="GK627" s="18"/>
      <c r="GL627" s="18"/>
      <c r="GM627" s="18"/>
      <c r="GN627" s="18"/>
      <c r="GO627" s="18"/>
      <c r="GP627" s="18"/>
      <c r="GQ627" s="18"/>
      <c r="GR627" s="18"/>
      <c r="GS627" s="18"/>
      <c r="GT627" s="18"/>
      <c r="GU627" s="18"/>
      <c r="GV627" s="18"/>
      <c r="GW627" s="18"/>
      <c r="GX627" s="18"/>
      <c r="GY627" s="18"/>
      <c r="GZ627" s="18"/>
      <c r="HA627" s="18"/>
      <c r="HB627" s="18"/>
      <c r="HC627" s="18"/>
      <c r="HD627" s="18"/>
      <c r="HE627" s="18"/>
      <c r="HF627" s="18"/>
      <c r="HG627" s="13"/>
      <c r="HH627" s="13"/>
      <c r="HI627" s="13"/>
      <c r="HJ627" s="13"/>
      <c r="HK627" s="13"/>
      <c r="HL627" s="13"/>
      <c r="HM627" s="13"/>
      <c r="HN627" s="13"/>
      <c r="HO627" s="13"/>
      <c r="HP627" s="13"/>
      <c r="HQ627" s="13"/>
      <c r="HR627" s="13"/>
      <c r="HS627" s="13"/>
      <c r="HT627" s="13"/>
      <c r="HV627" s="18"/>
      <c r="HW627" s="18"/>
      <c r="HX627" s="18"/>
      <c r="HY627" s="18"/>
      <c r="HZ627" s="18"/>
      <c r="IA627" s="18"/>
      <c r="IB627" s="18"/>
      <c r="IC627" s="18"/>
      <c r="ID627" s="18"/>
      <c r="IE627" s="18"/>
      <c r="IF627" s="18"/>
      <c r="IG627" s="18"/>
      <c r="IH627" s="18"/>
      <c r="II627" s="18"/>
      <c r="IJ627" s="18"/>
      <c r="IK627" s="18"/>
      <c r="IL627" s="18"/>
      <c r="IM627" s="18"/>
      <c r="IN627" s="18"/>
      <c r="IO627" s="18"/>
      <c r="IP627" s="18"/>
      <c r="IQ627" s="18"/>
      <c r="IR627" s="18"/>
      <c r="IS627" s="18"/>
      <c r="IT627" s="18"/>
      <c r="IU627" s="18"/>
      <c r="IV627" s="18"/>
      <c r="IW627" s="18"/>
      <c r="IX627" s="18"/>
      <c r="IY627" s="18"/>
      <c r="IZ627" s="18"/>
      <c r="JA627" s="18"/>
      <c r="JB627" s="18"/>
      <c r="JC627" s="18"/>
      <c r="JD627" s="18"/>
      <c r="JE627" s="18"/>
      <c r="JF627" s="18"/>
      <c r="JG627" s="18"/>
      <c r="JH627" s="18"/>
      <c r="JI627" s="18"/>
      <c r="JJ627" s="18"/>
      <c r="JK627" s="18"/>
      <c r="JL627" s="18"/>
      <c r="JM627" s="18"/>
      <c r="JN627" s="18"/>
      <c r="JO627" s="18"/>
      <c r="JP627" s="18"/>
      <c r="JQ627" s="18"/>
      <c r="JR627" s="18"/>
      <c r="JS627" s="18"/>
      <c r="JT627" s="18"/>
      <c r="JU627" s="18"/>
      <c r="JV627" s="18"/>
      <c r="JW627" s="18"/>
      <c r="JX627" s="18"/>
      <c r="JY627" s="18"/>
      <c r="JZ627" s="18"/>
      <c r="KA627" s="18"/>
      <c r="KB627" s="18"/>
      <c r="KC627" s="18"/>
      <c r="KD627" s="18"/>
      <c r="KE627" s="18"/>
      <c r="KF627" s="18"/>
      <c r="KG627" s="18"/>
      <c r="KH627" s="18"/>
      <c r="KI627" s="18"/>
      <c r="KJ627" s="18"/>
      <c r="KK627" s="18"/>
      <c r="KL627" s="18"/>
      <c r="KM627" s="18"/>
      <c r="KN627" s="18"/>
      <c r="KO627" s="18"/>
      <c r="KP627" s="18"/>
    </row>
    <row r="628" spans="1:302" ht="15" customHeight="1">
      <c r="A628" s="14"/>
      <c r="B628" s="14"/>
      <c r="F628" s="46"/>
      <c r="G628" s="23"/>
      <c r="H628" s="23"/>
      <c r="I628" s="23"/>
      <c r="J628" s="23"/>
      <c r="K628" s="14"/>
      <c r="L628" s="14"/>
      <c r="P628" s="14"/>
      <c r="AG628" s="44"/>
      <c r="AH628" s="44"/>
      <c r="AI628" s="45"/>
      <c r="AJ628" s="44"/>
      <c r="AK628" s="43"/>
      <c r="AS628" s="14"/>
      <c r="AU628" s="18"/>
      <c r="AV628" s="18"/>
      <c r="AW628" s="18"/>
      <c r="AX628" s="18"/>
      <c r="AY628" s="18"/>
      <c r="AZ628" s="18"/>
      <c r="BB628" s="18"/>
      <c r="BC628" s="18"/>
      <c r="BD628" s="18"/>
      <c r="BE628" s="18"/>
      <c r="BF628" s="18"/>
      <c r="BH628" s="18"/>
      <c r="BI628" s="18"/>
      <c r="BJ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  <c r="EW628" s="18"/>
      <c r="EX628" s="18"/>
      <c r="EY628" s="18"/>
      <c r="EZ628" s="18"/>
      <c r="FA628" s="18"/>
      <c r="FB628" s="18"/>
      <c r="FC628" s="18"/>
      <c r="FD628" s="18"/>
      <c r="FE628" s="18"/>
      <c r="FF628" s="18"/>
      <c r="FG628" s="18"/>
      <c r="FH628" s="18"/>
      <c r="FI628" s="18"/>
      <c r="FJ628" s="18"/>
      <c r="FK628" s="18"/>
      <c r="FL628" s="18"/>
      <c r="FM628" s="18"/>
      <c r="FN628" s="18"/>
      <c r="FO628" s="18"/>
      <c r="FP628" s="18"/>
      <c r="FQ628" s="18"/>
      <c r="FR628" s="18"/>
      <c r="FS628" s="18"/>
      <c r="FT628" s="18"/>
      <c r="FU628" s="18"/>
      <c r="FV628" s="18"/>
      <c r="FW628" s="18"/>
      <c r="FX628" s="18"/>
      <c r="FY628" s="18"/>
      <c r="FZ628" s="18"/>
      <c r="GA628" s="18"/>
      <c r="GB628" s="18"/>
      <c r="GC628" s="18"/>
      <c r="GD628" s="18"/>
      <c r="GE628" s="18"/>
      <c r="GF628" s="18"/>
      <c r="GG628" s="18"/>
      <c r="GH628" s="18"/>
      <c r="GI628" s="18"/>
      <c r="GJ628" s="18"/>
      <c r="GK628" s="18"/>
      <c r="GL628" s="18"/>
      <c r="GM628" s="18"/>
      <c r="GN628" s="18"/>
      <c r="GO628" s="18"/>
      <c r="GP628" s="18"/>
      <c r="GQ628" s="18"/>
      <c r="GR628" s="18"/>
      <c r="GS628" s="18"/>
      <c r="GT628" s="18"/>
      <c r="GU628" s="18"/>
      <c r="GV628" s="18"/>
      <c r="GW628" s="18"/>
      <c r="GX628" s="18"/>
      <c r="GY628" s="18"/>
      <c r="GZ628" s="18"/>
      <c r="HA628" s="18"/>
      <c r="HB628" s="18"/>
      <c r="HC628" s="18"/>
      <c r="HD628" s="18"/>
      <c r="HE628" s="18"/>
      <c r="HF628" s="18"/>
      <c r="HG628" s="13"/>
      <c r="HH628" s="13"/>
      <c r="HI628" s="13"/>
      <c r="HJ628" s="13"/>
      <c r="HK628" s="13"/>
      <c r="HL628" s="13"/>
      <c r="HM628" s="13"/>
      <c r="HN628" s="13"/>
      <c r="HO628" s="13"/>
      <c r="HP628" s="13"/>
      <c r="HQ628" s="13"/>
      <c r="HR628" s="13"/>
      <c r="HS628" s="13"/>
      <c r="HT628" s="13"/>
      <c r="HV628" s="18"/>
      <c r="HW628" s="18"/>
      <c r="HX628" s="18"/>
      <c r="HY628" s="18"/>
      <c r="HZ628" s="18"/>
      <c r="IA628" s="18"/>
      <c r="IB628" s="18"/>
      <c r="IC628" s="18"/>
      <c r="ID628" s="18"/>
      <c r="IE628" s="18"/>
      <c r="IF628" s="18"/>
      <c r="IG628" s="18"/>
      <c r="IH628" s="18"/>
      <c r="II628" s="18"/>
      <c r="IJ628" s="18"/>
      <c r="IK628" s="18"/>
      <c r="IL628" s="18"/>
      <c r="IM628" s="18"/>
      <c r="IN628" s="18"/>
      <c r="IO628" s="18"/>
      <c r="IP628" s="18"/>
      <c r="IQ628" s="18"/>
      <c r="IR628" s="18"/>
      <c r="IS628" s="18"/>
      <c r="IT628" s="18"/>
      <c r="IU628" s="18"/>
      <c r="IV628" s="18"/>
      <c r="IW628" s="18"/>
      <c r="IX628" s="18"/>
      <c r="IY628" s="18"/>
      <c r="IZ628" s="18"/>
      <c r="JA628" s="18"/>
      <c r="JB628" s="18"/>
      <c r="JC628" s="18"/>
      <c r="JD628" s="18"/>
      <c r="JE628" s="18"/>
      <c r="JF628" s="18"/>
      <c r="JG628" s="18"/>
      <c r="JH628" s="18"/>
      <c r="JI628" s="18"/>
      <c r="JJ628" s="18"/>
      <c r="JK628" s="18"/>
      <c r="JL628" s="18"/>
      <c r="JM628" s="18"/>
      <c r="JN628" s="18"/>
      <c r="JO628" s="18"/>
      <c r="JP628" s="18"/>
      <c r="JQ628" s="18"/>
      <c r="JR628" s="18"/>
      <c r="JS628" s="18"/>
      <c r="JT628" s="18"/>
      <c r="JU628" s="18"/>
      <c r="JV628" s="18"/>
      <c r="JW628" s="18"/>
      <c r="JX628" s="18"/>
      <c r="JY628" s="18"/>
      <c r="JZ628" s="18"/>
      <c r="KA628" s="18"/>
      <c r="KB628" s="18"/>
      <c r="KC628" s="18"/>
      <c r="KD628" s="18"/>
      <c r="KE628" s="18"/>
      <c r="KF628" s="18"/>
      <c r="KG628" s="18"/>
      <c r="KH628" s="18"/>
      <c r="KI628" s="18"/>
      <c r="KJ628" s="18"/>
      <c r="KK628" s="18"/>
      <c r="KL628" s="18"/>
      <c r="KM628" s="18"/>
      <c r="KN628" s="18"/>
      <c r="KO628" s="18"/>
      <c r="KP628" s="18"/>
    </row>
    <row r="629" spans="1:302" ht="15" customHeight="1">
      <c r="A629" s="14"/>
      <c r="B629" s="14"/>
      <c r="F629" s="46"/>
      <c r="G629" s="23"/>
      <c r="H629" s="23"/>
      <c r="I629" s="23"/>
      <c r="J629" s="23"/>
      <c r="K629" s="14"/>
      <c r="L629" s="14"/>
      <c r="P629" s="14"/>
      <c r="AG629" s="44"/>
      <c r="AH629" s="44"/>
      <c r="AI629" s="45"/>
      <c r="AJ629" s="44"/>
      <c r="AK629" s="43"/>
      <c r="AS629" s="14"/>
      <c r="AU629" s="18"/>
      <c r="AV629" s="18"/>
      <c r="AW629" s="18"/>
      <c r="AX629" s="18"/>
      <c r="AY629" s="18"/>
      <c r="AZ629" s="18"/>
      <c r="BB629" s="18"/>
      <c r="BC629" s="18"/>
      <c r="BD629" s="18"/>
      <c r="BE629" s="18"/>
      <c r="BF629" s="18"/>
      <c r="BH629" s="18"/>
      <c r="BI629" s="18"/>
      <c r="BJ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  <c r="FC629" s="18"/>
      <c r="FD629" s="18"/>
      <c r="FE629" s="18"/>
      <c r="FF629" s="18"/>
      <c r="FG629" s="18"/>
      <c r="FH629" s="18"/>
      <c r="FI629" s="18"/>
      <c r="FJ629" s="18"/>
      <c r="FK629" s="18"/>
      <c r="FL629" s="18"/>
      <c r="FM629" s="18"/>
      <c r="FN629" s="18"/>
      <c r="FO629" s="18"/>
      <c r="FP629" s="18"/>
      <c r="FQ629" s="18"/>
      <c r="FR629" s="18"/>
      <c r="FS629" s="18"/>
      <c r="FT629" s="18"/>
      <c r="FU629" s="18"/>
      <c r="FV629" s="18"/>
      <c r="FW629" s="18"/>
      <c r="FX629" s="18"/>
      <c r="FY629" s="18"/>
      <c r="FZ629" s="18"/>
      <c r="GA629" s="18"/>
      <c r="GB629" s="18"/>
      <c r="GC629" s="18"/>
      <c r="GD629" s="18"/>
      <c r="GE629" s="18"/>
      <c r="GF629" s="18"/>
      <c r="GG629" s="18"/>
      <c r="GH629" s="18"/>
      <c r="GI629" s="18"/>
      <c r="GJ629" s="18"/>
      <c r="GK629" s="18"/>
      <c r="GL629" s="18"/>
      <c r="GM629" s="18"/>
      <c r="GN629" s="18"/>
      <c r="GO629" s="18"/>
      <c r="GP629" s="18"/>
      <c r="GQ629" s="18"/>
      <c r="GR629" s="18"/>
      <c r="GS629" s="18"/>
      <c r="GT629" s="18"/>
      <c r="GU629" s="18"/>
      <c r="GV629" s="18"/>
      <c r="GW629" s="18"/>
      <c r="GX629" s="18"/>
      <c r="GY629" s="18"/>
      <c r="GZ629" s="18"/>
      <c r="HA629" s="18"/>
      <c r="HB629" s="18"/>
      <c r="HC629" s="18"/>
      <c r="HD629" s="18"/>
      <c r="HE629" s="18"/>
      <c r="HF629" s="18"/>
      <c r="HG629" s="13"/>
      <c r="HH629" s="13"/>
      <c r="HI629" s="13"/>
      <c r="HJ629" s="13"/>
      <c r="HK629" s="13"/>
      <c r="HL629" s="13"/>
      <c r="HM629" s="13"/>
      <c r="HN629" s="13"/>
      <c r="HO629" s="13"/>
      <c r="HP629" s="13"/>
      <c r="HQ629" s="13"/>
      <c r="HR629" s="13"/>
      <c r="HS629" s="13"/>
      <c r="HT629" s="13"/>
      <c r="HV629" s="18"/>
      <c r="HW629" s="18"/>
      <c r="HX629" s="18"/>
      <c r="HY629" s="18"/>
      <c r="HZ629" s="18"/>
      <c r="IA629" s="18"/>
      <c r="IB629" s="18"/>
      <c r="IC629" s="18"/>
      <c r="ID629" s="18"/>
      <c r="IE629" s="18"/>
      <c r="IF629" s="18"/>
      <c r="IG629" s="18"/>
      <c r="IH629" s="18"/>
      <c r="II629" s="18"/>
      <c r="IJ629" s="18"/>
      <c r="IK629" s="18"/>
      <c r="IL629" s="18"/>
      <c r="IM629" s="18"/>
      <c r="IN629" s="18"/>
      <c r="IO629" s="18"/>
      <c r="IP629" s="18"/>
      <c r="IQ629" s="18"/>
      <c r="IR629" s="18"/>
      <c r="IS629" s="18"/>
      <c r="IT629" s="18"/>
      <c r="IU629" s="18"/>
      <c r="IV629" s="18"/>
      <c r="IW629" s="18"/>
      <c r="IX629" s="18"/>
      <c r="IY629" s="18"/>
      <c r="IZ629" s="18"/>
      <c r="JA629" s="18"/>
      <c r="JB629" s="18"/>
      <c r="JC629" s="18"/>
      <c r="JD629" s="18"/>
      <c r="JE629" s="18"/>
      <c r="JF629" s="18"/>
      <c r="JG629" s="18"/>
      <c r="JH629" s="18"/>
      <c r="JI629" s="18"/>
      <c r="JJ629" s="18"/>
      <c r="JK629" s="18"/>
      <c r="JL629" s="18"/>
      <c r="JM629" s="18"/>
      <c r="JN629" s="18"/>
      <c r="JO629" s="18"/>
      <c r="JP629" s="18"/>
      <c r="JQ629" s="18"/>
      <c r="JR629" s="18"/>
      <c r="JS629" s="18"/>
      <c r="JT629" s="18"/>
      <c r="JU629" s="18"/>
      <c r="JV629" s="18"/>
      <c r="JW629" s="18"/>
      <c r="JX629" s="18"/>
      <c r="JY629" s="18"/>
      <c r="JZ629" s="18"/>
      <c r="KA629" s="18"/>
      <c r="KB629" s="18"/>
      <c r="KC629" s="18"/>
      <c r="KD629" s="18"/>
      <c r="KE629" s="18"/>
      <c r="KF629" s="18"/>
      <c r="KG629" s="18"/>
      <c r="KH629" s="18"/>
      <c r="KI629" s="18"/>
      <c r="KJ629" s="18"/>
      <c r="KK629" s="18"/>
      <c r="KL629" s="18"/>
      <c r="KM629" s="18"/>
      <c r="KN629" s="18"/>
      <c r="KO629" s="18"/>
      <c r="KP629" s="18"/>
    </row>
    <row r="630" spans="1:302" ht="15" customHeight="1">
      <c r="A630" s="14"/>
      <c r="B630" s="14"/>
      <c r="F630" s="46"/>
      <c r="G630" s="23"/>
      <c r="H630" s="23"/>
      <c r="I630" s="23"/>
      <c r="J630" s="23"/>
      <c r="K630" s="14"/>
      <c r="L630" s="14"/>
      <c r="P630" s="14"/>
      <c r="AG630" s="44"/>
      <c r="AH630" s="44"/>
      <c r="AI630" s="45"/>
      <c r="AJ630" s="44"/>
      <c r="AK630" s="43"/>
      <c r="AS630" s="14"/>
      <c r="AU630" s="18"/>
      <c r="AV630" s="18"/>
      <c r="AW630" s="18"/>
      <c r="AX630" s="18"/>
      <c r="AY630" s="18"/>
      <c r="AZ630" s="18"/>
      <c r="BB630" s="18"/>
      <c r="BC630" s="18"/>
      <c r="BD630" s="18"/>
      <c r="BE630" s="18"/>
      <c r="BF630" s="18"/>
      <c r="BH630" s="18"/>
      <c r="BI630" s="18"/>
      <c r="BJ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  <c r="EW630" s="18"/>
      <c r="EX630" s="18"/>
      <c r="EY630" s="18"/>
      <c r="EZ630" s="18"/>
      <c r="FA630" s="18"/>
      <c r="FB630" s="18"/>
      <c r="FC630" s="18"/>
      <c r="FD630" s="18"/>
      <c r="FE630" s="18"/>
      <c r="FF630" s="18"/>
      <c r="FG630" s="18"/>
      <c r="FH630" s="18"/>
      <c r="FI630" s="18"/>
      <c r="FJ630" s="18"/>
      <c r="FK630" s="18"/>
      <c r="FL630" s="18"/>
      <c r="FM630" s="18"/>
      <c r="FN630" s="18"/>
      <c r="FO630" s="18"/>
      <c r="FP630" s="18"/>
      <c r="FQ630" s="18"/>
      <c r="FR630" s="18"/>
      <c r="FS630" s="18"/>
      <c r="FT630" s="18"/>
      <c r="FU630" s="18"/>
      <c r="FV630" s="18"/>
      <c r="FW630" s="18"/>
      <c r="FX630" s="18"/>
      <c r="FY630" s="18"/>
      <c r="FZ630" s="18"/>
      <c r="GA630" s="18"/>
      <c r="GB630" s="18"/>
      <c r="GC630" s="18"/>
      <c r="GD630" s="18"/>
      <c r="GE630" s="18"/>
      <c r="GF630" s="18"/>
      <c r="GG630" s="18"/>
      <c r="GH630" s="18"/>
      <c r="GI630" s="18"/>
      <c r="GJ630" s="18"/>
      <c r="GK630" s="18"/>
      <c r="GL630" s="18"/>
      <c r="GM630" s="18"/>
      <c r="GN630" s="18"/>
      <c r="GO630" s="18"/>
      <c r="GP630" s="18"/>
      <c r="GQ630" s="18"/>
      <c r="GR630" s="18"/>
      <c r="GS630" s="18"/>
      <c r="GT630" s="18"/>
      <c r="GU630" s="18"/>
      <c r="GV630" s="18"/>
      <c r="GW630" s="18"/>
      <c r="GX630" s="18"/>
      <c r="GY630" s="18"/>
      <c r="GZ630" s="18"/>
      <c r="HA630" s="18"/>
      <c r="HB630" s="18"/>
      <c r="HC630" s="18"/>
      <c r="HD630" s="18"/>
      <c r="HE630" s="18"/>
      <c r="HF630" s="18"/>
      <c r="HG630" s="13"/>
      <c r="HH630" s="13"/>
      <c r="HI630" s="13"/>
      <c r="HJ630" s="13"/>
      <c r="HK630" s="13"/>
      <c r="HL630" s="13"/>
      <c r="HM630" s="13"/>
      <c r="HN630" s="13"/>
      <c r="HO630" s="13"/>
      <c r="HP630" s="13"/>
      <c r="HQ630" s="13"/>
      <c r="HR630" s="13"/>
      <c r="HS630" s="13"/>
      <c r="HT630" s="13"/>
      <c r="HV630" s="18"/>
      <c r="HW630" s="18"/>
      <c r="HX630" s="18"/>
      <c r="HY630" s="18"/>
      <c r="HZ630" s="18"/>
      <c r="IA630" s="18"/>
      <c r="IB630" s="18"/>
      <c r="IC630" s="18"/>
      <c r="ID630" s="18"/>
      <c r="IE630" s="18"/>
      <c r="IF630" s="18"/>
      <c r="IG630" s="18"/>
      <c r="IH630" s="18"/>
      <c r="II630" s="18"/>
      <c r="IJ630" s="18"/>
      <c r="IK630" s="18"/>
      <c r="IL630" s="18"/>
      <c r="IM630" s="18"/>
      <c r="IN630" s="18"/>
      <c r="IO630" s="18"/>
      <c r="IP630" s="18"/>
      <c r="IQ630" s="18"/>
      <c r="IR630" s="18"/>
      <c r="IS630" s="18"/>
      <c r="IT630" s="18"/>
      <c r="IU630" s="18"/>
      <c r="IV630" s="18"/>
      <c r="IW630" s="18"/>
      <c r="IX630" s="18"/>
      <c r="IY630" s="18"/>
      <c r="IZ630" s="18"/>
      <c r="JA630" s="18"/>
      <c r="JB630" s="18"/>
      <c r="JC630" s="18"/>
      <c r="JD630" s="18"/>
      <c r="JE630" s="18"/>
      <c r="JF630" s="18"/>
      <c r="JG630" s="18"/>
      <c r="JH630" s="18"/>
      <c r="JI630" s="18"/>
      <c r="JJ630" s="18"/>
      <c r="JK630" s="18"/>
      <c r="JL630" s="18"/>
      <c r="JM630" s="18"/>
      <c r="JN630" s="18"/>
      <c r="JO630" s="18"/>
      <c r="JP630" s="18"/>
      <c r="JQ630" s="18"/>
      <c r="JR630" s="18"/>
      <c r="JS630" s="18"/>
      <c r="JT630" s="18"/>
      <c r="JU630" s="18"/>
      <c r="JV630" s="18"/>
      <c r="JW630" s="18"/>
      <c r="JX630" s="18"/>
      <c r="JY630" s="18"/>
      <c r="JZ630" s="18"/>
      <c r="KA630" s="18"/>
      <c r="KB630" s="18"/>
      <c r="KC630" s="18"/>
      <c r="KD630" s="18"/>
      <c r="KE630" s="18"/>
      <c r="KF630" s="18"/>
      <c r="KG630" s="18"/>
      <c r="KH630" s="18"/>
      <c r="KI630" s="18"/>
      <c r="KJ630" s="18"/>
      <c r="KK630" s="18"/>
      <c r="KL630" s="18"/>
      <c r="KM630" s="18"/>
      <c r="KN630" s="18"/>
      <c r="KO630" s="18"/>
      <c r="KP630" s="18"/>
    </row>
    <row r="631" spans="1:302" ht="15" customHeight="1">
      <c r="A631" s="14"/>
      <c r="B631" s="14"/>
      <c r="F631" s="46"/>
      <c r="G631" s="23"/>
      <c r="H631" s="23"/>
      <c r="I631" s="23"/>
      <c r="J631" s="23"/>
      <c r="K631" s="14"/>
      <c r="L631" s="14"/>
      <c r="P631" s="14"/>
      <c r="AG631" s="44"/>
      <c r="AH631" s="44"/>
      <c r="AI631" s="45"/>
      <c r="AJ631" s="44"/>
      <c r="AK631" s="43"/>
      <c r="AS631" s="14"/>
      <c r="AU631" s="18"/>
      <c r="AV631" s="18"/>
      <c r="AW631" s="18"/>
      <c r="AX631" s="18"/>
      <c r="AY631" s="18"/>
      <c r="AZ631" s="18"/>
      <c r="BB631" s="18"/>
      <c r="BC631" s="18"/>
      <c r="BD631" s="18"/>
      <c r="BE631" s="18"/>
      <c r="BF631" s="18"/>
      <c r="BH631" s="18"/>
      <c r="BI631" s="18"/>
      <c r="BJ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  <c r="FC631" s="18"/>
      <c r="FD631" s="18"/>
      <c r="FE631" s="18"/>
      <c r="FF631" s="18"/>
      <c r="FG631" s="18"/>
      <c r="FH631" s="18"/>
      <c r="FI631" s="18"/>
      <c r="FJ631" s="18"/>
      <c r="FK631" s="18"/>
      <c r="FL631" s="18"/>
      <c r="FM631" s="18"/>
      <c r="FN631" s="18"/>
      <c r="FO631" s="18"/>
      <c r="FP631" s="18"/>
      <c r="FQ631" s="18"/>
      <c r="FR631" s="18"/>
      <c r="FS631" s="18"/>
      <c r="FT631" s="18"/>
      <c r="FU631" s="18"/>
      <c r="FV631" s="18"/>
      <c r="FW631" s="18"/>
      <c r="FX631" s="18"/>
      <c r="FY631" s="18"/>
      <c r="FZ631" s="18"/>
      <c r="GA631" s="18"/>
      <c r="GB631" s="18"/>
      <c r="GC631" s="18"/>
      <c r="GD631" s="18"/>
      <c r="GE631" s="18"/>
      <c r="GF631" s="18"/>
      <c r="GG631" s="18"/>
      <c r="GH631" s="18"/>
      <c r="GI631" s="18"/>
      <c r="GJ631" s="18"/>
      <c r="GK631" s="18"/>
      <c r="GL631" s="18"/>
      <c r="GM631" s="18"/>
      <c r="GN631" s="18"/>
      <c r="GO631" s="18"/>
      <c r="GP631" s="18"/>
      <c r="GQ631" s="18"/>
      <c r="GR631" s="18"/>
      <c r="GS631" s="18"/>
      <c r="GT631" s="18"/>
      <c r="GU631" s="18"/>
      <c r="GV631" s="18"/>
      <c r="GW631" s="18"/>
      <c r="GX631" s="18"/>
      <c r="GY631" s="18"/>
      <c r="GZ631" s="18"/>
      <c r="HA631" s="18"/>
      <c r="HB631" s="18"/>
      <c r="HC631" s="18"/>
      <c r="HD631" s="18"/>
      <c r="HE631" s="18"/>
      <c r="HF631" s="18"/>
      <c r="HG631" s="13"/>
      <c r="HH631" s="13"/>
      <c r="HI631" s="13"/>
      <c r="HJ631" s="13"/>
      <c r="HK631" s="13"/>
      <c r="HL631" s="13"/>
      <c r="HM631" s="13"/>
      <c r="HN631" s="13"/>
      <c r="HO631" s="13"/>
      <c r="HP631" s="13"/>
      <c r="HQ631" s="13"/>
      <c r="HR631" s="13"/>
      <c r="HS631" s="13"/>
      <c r="HT631" s="13"/>
      <c r="HV631" s="18"/>
      <c r="HW631" s="18"/>
      <c r="HX631" s="18"/>
      <c r="HY631" s="18"/>
      <c r="HZ631" s="18"/>
      <c r="IA631" s="18"/>
      <c r="IB631" s="18"/>
      <c r="IC631" s="18"/>
      <c r="ID631" s="18"/>
      <c r="IE631" s="18"/>
      <c r="IF631" s="18"/>
      <c r="IG631" s="18"/>
      <c r="IH631" s="18"/>
      <c r="II631" s="18"/>
      <c r="IJ631" s="18"/>
      <c r="IK631" s="18"/>
      <c r="IL631" s="18"/>
      <c r="IM631" s="18"/>
      <c r="IN631" s="18"/>
      <c r="IO631" s="18"/>
      <c r="IP631" s="18"/>
      <c r="IQ631" s="18"/>
      <c r="IR631" s="18"/>
      <c r="IS631" s="18"/>
      <c r="IT631" s="18"/>
      <c r="IU631" s="18"/>
      <c r="IV631" s="18"/>
      <c r="IW631" s="18"/>
      <c r="IX631" s="18"/>
      <c r="IY631" s="18"/>
      <c r="IZ631" s="18"/>
      <c r="JA631" s="18"/>
      <c r="JB631" s="18"/>
      <c r="JC631" s="18"/>
      <c r="JD631" s="18"/>
      <c r="JE631" s="18"/>
      <c r="JF631" s="18"/>
      <c r="JG631" s="18"/>
      <c r="JH631" s="18"/>
      <c r="JI631" s="18"/>
      <c r="JJ631" s="18"/>
      <c r="JK631" s="18"/>
      <c r="JL631" s="18"/>
      <c r="JM631" s="18"/>
      <c r="JN631" s="18"/>
      <c r="JO631" s="18"/>
      <c r="JP631" s="18"/>
      <c r="JQ631" s="18"/>
      <c r="JR631" s="18"/>
      <c r="JS631" s="18"/>
      <c r="JT631" s="18"/>
      <c r="JU631" s="18"/>
      <c r="JV631" s="18"/>
      <c r="JW631" s="18"/>
      <c r="JX631" s="18"/>
      <c r="JY631" s="18"/>
      <c r="JZ631" s="18"/>
      <c r="KA631" s="18"/>
      <c r="KB631" s="18"/>
      <c r="KC631" s="18"/>
      <c r="KD631" s="18"/>
      <c r="KE631" s="18"/>
      <c r="KF631" s="18"/>
      <c r="KG631" s="18"/>
      <c r="KH631" s="18"/>
      <c r="KI631" s="18"/>
      <c r="KJ631" s="18"/>
      <c r="KK631" s="18"/>
      <c r="KL631" s="18"/>
      <c r="KM631" s="18"/>
      <c r="KN631" s="18"/>
      <c r="KO631" s="18"/>
      <c r="KP631" s="18"/>
    </row>
    <row r="632" spans="1:302" ht="15" customHeight="1">
      <c r="A632" s="14"/>
      <c r="B632" s="14"/>
      <c r="F632" s="46"/>
      <c r="G632" s="23"/>
      <c r="H632" s="23"/>
      <c r="I632" s="23"/>
      <c r="J632" s="23"/>
      <c r="K632" s="14"/>
      <c r="L632" s="14"/>
      <c r="P632" s="14"/>
      <c r="AG632" s="44"/>
      <c r="AH632" s="44"/>
      <c r="AI632" s="45"/>
      <c r="AJ632" s="44"/>
      <c r="AK632" s="43"/>
      <c r="AS632" s="14"/>
      <c r="AU632" s="18"/>
      <c r="AV632" s="18"/>
      <c r="AW632" s="18"/>
      <c r="AX632" s="18"/>
      <c r="AY632" s="18"/>
      <c r="AZ632" s="18"/>
      <c r="BB632" s="18"/>
      <c r="BC632" s="18"/>
      <c r="BD632" s="18"/>
      <c r="BE632" s="18"/>
      <c r="BF632" s="18"/>
      <c r="BH632" s="18"/>
      <c r="BI632" s="18"/>
      <c r="BJ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  <c r="FC632" s="18"/>
      <c r="FD632" s="18"/>
      <c r="FE632" s="18"/>
      <c r="FF632" s="18"/>
      <c r="FG632" s="18"/>
      <c r="FH632" s="18"/>
      <c r="FI632" s="18"/>
      <c r="FJ632" s="18"/>
      <c r="FK632" s="18"/>
      <c r="FL632" s="18"/>
      <c r="FM632" s="18"/>
      <c r="FN632" s="18"/>
      <c r="FO632" s="18"/>
      <c r="FP632" s="18"/>
      <c r="FQ632" s="18"/>
      <c r="FR632" s="18"/>
      <c r="FS632" s="18"/>
      <c r="FT632" s="18"/>
      <c r="FU632" s="18"/>
      <c r="FV632" s="18"/>
      <c r="FW632" s="18"/>
      <c r="FX632" s="18"/>
      <c r="FY632" s="18"/>
      <c r="FZ632" s="18"/>
      <c r="GA632" s="18"/>
      <c r="GB632" s="18"/>
      <c r="GC632" s="18"/>
      <c r="GD632" s="18"/>
      <c r="GE632" s="18"/>
      <c r="GF632" s="18"/>
      <c r="GG632" s="18"/>
      <c r="GH632" s="18"/>
      <c r="GI632" s="18"/>
      <c r="GJ632" s="18"/>
      <c r="GK632" s="18"/>
      <c r="GL632" s="18"/>
      <c r="GM632" s="18"/>
      <c r="GN632" s="18"/>
      <c r="GO632" s="18"/>
      <c r="GP632" s="18"/>
      <c r="GQ632" s="18"/>
      <c r="GR632" s="18"/>
      <c r="GS632" s="18"/>
      <c r="GT632" s="18"/>
      <c r="GU632" s="18"/>
      <c r="GV632" s="18"/>
      <c r="GW632" s="18"/>
      <c r="GX632" s="18"/>
      <c r="GY632" s="18"/>
      <c r="GZ632" s="18"/>
      <c r="HA632" s="18"/>
      <c r="HB632" s="18"/>
      <c r="HC632" s="18"/>
      <c r="HD632" s="18"/>
      <c r="HE632" s="18"/>
      <c r="HF632" s="18"/>
      <c r="HG632" s="13"/>
      <c r="HH632" s="13"/>
      <c r="HI632" s="13"/>
      <c r="HJ632" s="13"/>
      <c r="HK632" s="13"/>
      <c r="HL632" s="13"/>
      <c r="HM632" s="13"/>
      <c r="HN632" s="13"/>
      <c r="HO632" s="13"/>
      <c r="HP632" s="13"/>
      <c r="HQ632" s="13"/>
      <c r="HR632" s="13"/>
      <c r="HS632" s="13"/>
      <c r="HT632" s="13"/>
      <c r="HV632" s="18"/>
      <c r="HW632" s="18"/>
      <c r="HX632" s="18"/>
      <c r="HY632" s="18"/>
      <c r="HZ632" s="18"/>
      <c r="IA632" s="18"/>
      <c r="IB632" s="18"/>
      <c r="IC632" s="18"/>
      <c r="ID632" s="18"/>
      <c r="IE632" s="18"/>
      <c r="IF632" s="18"/>
      <c r="IG632" s="18"/>
      <c r="IH632" s="18"/>
      <c r="II632" s="18"/>
      <c r="IJ632" s="18"/>
      <c r="IK632" s="18"/>
      <c r="IL632" s="18"/>
      <c r="IM632" s="18"/>
      <c r="IN632" s="18"/>
      <c r="IO632" s="18"/>
      <c r="IP632" s="18"/>
      <c r="IQ632" s="18"/>
      <c r="IR632" s="18"/>
      <c r="IS632" s="18"/>
      <c r="IT632" s="18"/>
      <c r="IU632" s="18"/>
      <c r="IV632" s="18"/>
      <c r="IW632" s="18"/>
      <c r="IX632" s="18"/>
      <c r="IY632" s="18"/>
      <c r="IZ632" s="18"/>
      <c r="JA632" s="18"/>
      <c r="JB632" s="18"/>
      <c r="JC632" s="18"/>
      <c r="JD632" s="18"/>
      <c r="JE632" s="18"/>
      <c r="JF632" s="18"/>
      <c r="JG632" s="18"/>
      <c r="JH632" s="18"/>
      <c r="JI632" s="18"/>
      <c r="JJ632" s="18"/>
      <c r="JK632" s="18"/>
      <c r="JL632" s="18"/>
      <c r="JM632" s="18"/>
      <c r="JN632" s="18"/>
      <c r="JO632" s="18"/>
      <c r="JP632" s="18"/>
      <c r="JQ632" s="18"/>
      <c r="JR632" s="18"/>
      <c r="JS632" s="18"/>
      <c r="JT632" s="18"/>
      <c r="JU632" s="18"/>
      <c r="JV632" s="18"/>
      <c r="JW632" s="18"/>
      <c r="JX632" s="18"/>
      <c r="JY632" s="18"/>
      <c r="JZ632" s="18"/>
      <c r="KA632" s="18"/>
      <c r="KB632" s="18"/>
      <c r="KC632" s="18"/>
      <c r="KD632" s="18"/>
      <c r="KE632" s="18"/>
      <c r="KF632" s="18"/>
      <c r="KG632" s="18"/>
      <c r="KH632" s="18"/>
      <c r="KI632" s="18"/>
      <c r="KJ632" s="18"/>
      <c r="KK632" s="18"/>
      <c r="KL632" s="18"/>
      <c r="KM632" s="18"/>
      <c r="KN632" s="18"/>
      <c r="KO632" s="18"/>
      <c r="KP632" s="18"/>
    </row>
    <row r="633" spans="1:302" ht="15" customHeight="1">
      <c r="A633" s="14"/>
      <c r="B633" s="14"/>
      <c r="F633" s="46"/>
      <c r="G633" s="23"/>
      <c r="H633" s="23"/>
      <c r="I633" s="23"/>
      <c r="J633" s="23"/>
      <c r="K633" s="14"/>
      <c r="L633" s="14"/>
      <c r="P633" s="14"/>
      <c r="AG633" s="44"/>
      <c r="AH633" s="44"/>
      <c r="AI633" s="45"/>
      <c r="AJ633" s="44"/>
      <c r="AK633" s="43"/>
      <c r="AS633" s="14"/>
      <c r="AU633" s="18"/>
      <c r="AV633" s="18"/>
      <c r="AW633" s="18"/>
      <c r="AX633" s="18"/>
      <c r="AY633" s="18"/>
      <c r="AZ633" s="18"/>
      <c r="BB633" s="18"/>
      <c r="BC633" s="18"/>
      <c r="BD633" s="18"/>
      <c r="BE633" s="18"/>
      <c r="BF633" s="18"/>
      <c r="BH633" s="18"/>
      <c r="BI633" s="18"/>
      <c r="BJ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  <c r="FC633" s="18"/>
      <c r="FD633" s="18"/>
      <c r="FE633" s="18"/>
      <c r="FF633" s="18"/>
      <c r="FG633" s="18"/>
      <c r="FH633" s="18"/>
      <c r="FI633" s="18"/>
      <c r="FJ633" s="18"/>
      <c r="FK633" s="18"/>
      <c r="FL633" s="18"/>
      <c r="FM633" s="18"/>
      <c r="FN633" s="18"/>
      <c r="FO633" s="18"/>
      <c r="FP633" s="18"/>
      <c r="FQ633" s="18"/>
      <c r="FR633" s="18"/>
      <c r="FS633" s="18"/>
      <c r="FT633" s="18"/>
      <c r="FU633" s="18"/>
      <c r="FV633" s="18"/>
      <c r="FW633" s="18"/>
      <c r="FX633" s="18"/>
      <c r="FY633" s="18"/>
      <c r="FZ633" s="18"/>
      <c r="GA633" s="18"/>
      <c r="GB633" s="18"/>
      <c r="GC633" s="18"/>
      <c r="GD633" s="18"/>
      <c r="GE633" s="18"/>
      <c r="GF633" s="18"/>
      <c r="GG633" s="18"/>
      <c r="GH633" s="18"/>
      <c r="GI633" s="18"/>
      <c r="GJ633" s="18"/>
      <c r="GK633" s="18"/>
      <c r="GL633" s="18"/>
      <c r="GM633" s="18"/>
      <c r="GN633" s="18"/>
      <c r="GO633" s="18"/>
      <c r="GP633" s="18"/>
      <c r="GQ633" s="18"/>
      <c r="GR633" s="18"/>
      <c r="GS633" s="18"/>
      <c r="GT633" s="18"/>
      <c r="GU633" s="18"/>
      <c r="GV633" s="18"/>
      <c r="GW633" s="18"/>
      <c r="GX633" s="18"/>
      <c r="GY633" s="18"/>
      <c r="GZ633" s="18"/>
      <c r="HA633" s="18"/>
      <c r="HB633" s="18"/>
      <c r="HC633" s="18"/>
      <c r="HD633" s="18"/>
      <c r="HE633" s="18"/>
      <c r="HF633" s="18"/>
      <c r="HG633" s="13"/>
      <c r="HH633" s="13"/>
      <c r="HI633" s="13"/>
      <c r="HJ633" s="13"/>
      <c r="HK633" s="13"/>
      <c r="HL633" s="13"/>
      <c r="HM633" s="13"/>
      <c r="HN633" s="13"/>
      <c r="HO633" s="13"/>
      <c r="HP633" s="13"/>
      <c r="HQ633" s="13"/>
      <c r="HR633" s="13"/>
      <c r="HS633" s="13"/>
      <c r="HT633" s="13"/>
      <c r="HV633" s="18"/>
      <c r="HW633" s="18"/>
      <c r="HX633" s="18"/>
      <c r="HY633" s="18"/>
      <c r="HZ633" s="18"/>
      <c r="IA633" s="18"/>
      <c r="IB633" s="18"/>
      <c r="IC633" s="18"/>
      <c r="ID633" s="18"/>
      <c r="IE633" s="18"/>
      <c r="IF633" s="18"/>
      <c r="IG633" s="18"/>
      <c r="IH633" s="18"/>
      <c r="II633" s="18"/>
      <c r="IJ633" s="18"/>
      <c r="IK633" s="18"/>
      <c r="IL633" s="18"/>
      <c r="IM633" s="18"/>
      <c r="IN633" s="18"/>
      <c r="IO633" s="18"/>
      <c r="IP633" s="18"/>
      <c r="IQ633" s="18"/>
      <c r="IR633" s="18"/>
      <c r="IS633" s="18"/>
      <c r="IT633" s="18"/>
      <c r="IU633" s="18"/>
      <c r="IV633" s="18"/>
      <c r="IW633" s="18"/>
      <c r="IX633" s="18"/>
      <c r="IY633" s="18"/>
      <c r="IZ633" s="18"/>
      <c r="JA633" s="18"/>
      <c r="JB633" s="18"/>
      <c r="JC633" s="18"/>
      <c r="JD633" s="18"/>
      <c r="JE633" s="18"/>
      <c r="JF633" s="18"/>
      <c r="JG633" s="18"/>
      <c r="JH633" s="18"/>
      <c r="JI633" s="18"/>
      <c r="JJ633" s="18"/>
      <c r="JK633" s="18"/>
      <c r="JL633" s="18"/>
      <c r="JM633" s="18"/>
      <c r="JN633" s="18"/>
      <c r="JO633" s="18"/>
      <c r="JP633" s="18"/>
      <c r="JQ633" s="18"/>
      <c r="JR633" s="18"/>
      <c r="JS633" s="18"/>
      <c r="JT633" s="18"/>
      <c r="JU633" s="18"/>
      <c r="JV633" s="18"/>
      <c r="JW633" s="18"/>
      <c r="JX633" s="18"/>
      <c r="JY633" s="18"/>
      <c r="JZ633" s="18"/>
      <c r="KA633" s="18"/>
      <c r="KB633" s="18"/>
      <c r="KC633" s="18"/>
      <c r="KD633" s="18"/>
      <c r="KE633" s="18"/>
      <c r="KF633" s="18"/>
      <c r="KG633" s="18"/>
      <c r="KH633" s="18"/>
      <c r="KI633" s="18"/>
      <c r="KJ633" s="18"/>
      <c r="KK633" s="18"/>
      <c r="KL633" s="18"/>
      <c r="KM633" s="18"/>
      <c r="KN633" s="18"/>
      <c r="KO633" s="18"/>
      <c r="KP633" s="18"/>
    </row>
    <row r="634" spans="1:302" ht="15" customHeight="1">
      <c r="A634" s="14"/>
      <c r="B634" s="14"/>
      <c r="F634" s="46"/>
      <c r="G634" s="23"/>
      <c r="H634" s="23"/>
      <c r="I634" s="23"/>
      <c r="J634" s="23"/>
      <c r="K634" s="14"/>
      <c r="L634" s="14"/>
      <c r="P634" s="14"/>
      <c r="AG634" s="44"/>
      <c r="AH634" s="44"/>
      <c r="AI634" s="45"/>
      <c r="AJ634" s="44"/>
      <c r="AK634" s="43"/>
      <c r="AS634" s="14"/>
      <c r="AU634" s="18"/>
      <c r="AV634" s="18"/>
      <c r="AW634" s="18"/>
      <c r="AX634" s="18"/>
      <c r="AY634" s="18"/>
      <c r="AZ634" s="18"/>
      <c r="BB634" s="18"/>
      <c r="BC634" s="18"/>
      <c r="BD634" s="18"/>
      <c r="BE634" s="18"/>
      <c r="BF634" s="18"/>
      <c r="BH634" s="18"/>
      <c r="BI634" s="18"/>
      <c r="BJ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  <c r="FR634" s="18"/>
      <c r="FS634" s="18"/>
      <c r="FT634" s="18"/>
      <c r="FU634" s="18"/>
      <c r="FV634" s="18"/>
      <c r="FW634" s="18"/>
      <c r="FX634" s="18"/>
      <c r="FY634" s="18"/>
      <c r="FZ634" s="18"/>
      <c r="GA634" s="18"/>
      <c r="GB634" s="18"/>
      <c r="GC634" s="18"/>
      <c r="GD634" s="18"/>
      <c r="GE634" s="18"/>
      <c r="GF634" s="18"/>
      <c r="GG634" s="18"/>
      <c r="GH634" s="18"/>
      <c r="GI634" s="18"/>
      <c r="GJ634" s="18"/>
      <c r="GK634" s="18"/>
      <c r="GL634" s="18"/>
      <c r="GM634" s="18"/>
      <c r="GN634" s="18"/>
      <c r="GO634" s="18"/>
      <c r="GP634" s="18"/>
      <c r="GQ634" s="18"/>
      <c r="GR634" s="18"/>
      <c r="GS634" s="18"/>
      <c r="GT634" s="18"/>
      <c r="GU634" s="18"/>
      <c r="GV634" s="18"/>
      <c r="GW634" s="18"/>
      <c r="GX634" s="18"/>
      <c r="GY634" s="18"/>
      <c r="GZ634" s="18"/>
      <c r="HA634" s="18"/>
      <c r="HB634" s="18"/>
      <c r="HC634" s="18"/>
      <c r="HD634" s="18"/>
      <c r="HE634" s="18"/>
      <c r="HF634" s="18"/>
      <c r="HG634" s="13"/>
      <c r="HH634" s="13"/>
      <c r="HI634" s="13"/>
      <c r="HJ634" s="13"/>
      <c r="HK634" s="13"/>
      <c r="HL634" s="13"/>
      <c r="HM634" s="13"/>
      <c r="HN634" s="13"/>
      <c r="HO634" s="13"/>
      <c r="HP634" s="13"/>
      <c r="HQ634" s="13"/>
      <c r="HR634" s="13"/>
      <c r="HS634" s="13"/>
      <c r="HT634" s="13"/>
      <c r="HV634" s="18"/>
      <c r="HW634" s="18"/>
      <c r="HX634" s="18"/>
      <c r="HY634" s="18"/>
      <c r="HZ634" s="18"/>
      <c r="IA634" s="18"/>
      <c r="IB634" s="18"/>
      <c r="IC634" s="18"/>
      <c r="ID634" s="18"/>
      <c r="IE634" s="18"/>
      <c r="IF634" s="18"/>
      <c r="IG634" s="18"/>
      <c r="IH634" s="18"/>
      <c r="II634" s="18"/>
      <c r="IJ634" s="18"/>
      <c r="IK634" s="18"/>
      <c r="IL634" s="18"/>
      <c r="IM634" s="18"/>
      <c r="IN634" s="18"/>
      <c r="IO634" s="18"/>
      <c r="IP634" s="18"/>
      <c r="IQ634" s="18"/>
      <c r="IR634" s="18"/>
      <c r="IS634" s="18"/>
      <c r="IT634" s="18"/>
      <c r="IU634" s="18"/>
      <c r="IV634" s="18"/>
      <c r="IW634" s="18"/>
      <c r="IX634" s="18"/>
      <c r="IY634" s="18"/>
      <c r="IZ634" s="18"/>
      <c r="JA634" s="18"/>
      <c r="JB634" s="18"/>
      <c r="JC634" s="18"/>
      <c r="JD634" s="18"/>
      <c r="JE634" s="18"/>
      <c r="JF634" s="18"/>
      <c r="JG634" s="18"/>
      <c r="JH634" s="18"/>
      <c r="JI634" s="18"/>
      <c r="JJ634" s="18"/>
      <c r="JK634" s="18"/>
      <c r="JL634" s="18"/>
      <c r="JM634" s="18"/>
      <c r="JN634" s="18"/>
      <c r="JO634" s="18"/>
      <c r="JP634" s="18"/>
      <c r="JQ634" s="18"/>
      <c r="JR634" s="18"/>
      <c r="JS634" s="18"/>
      <c r="JT634" s="18"/>
      <c r="JU634" s="18"/>
      <c r="JV634" s="18"/>
      <c r="JW634" s="18"/>
      <c r="JX634" s="18"/>
      <c r="JY634" s="18"/>
      <c r="JZ634" s="18"/>
      <c r="KA634" s="18"/>
      <c r="KB634" s="18"/>
      <c r="KC634" s="18"/>
      <c r="KD634" s="18"/>
      <c r="KE634" s="18"/>
      <c r="KF634" s="18"/>
      <c r="KG634" s="18"/>
      <c r="KH634" s="18"/>
      <c r="KI634" s="18"/>
      <c r="KJ634" s="18"/>
      <c r="KK634" s="18"/>
      <c r="KL634" s="18"/>
      <c r="KM634" s="18"/>
      <c r="KN634" s="18"/>
      <c r="KO634" s="18"/>
      <c r="KP634" s="18"/>
    </row>
    <row r="635" spans="1:302" ht="15" customHeight="1">
      <c r="A635" s="14"/>
      <c r="B635" s="14"/>
      <c r="F635" s="46"/>
      <c r="G635" s="23"/>
      <c r="H635" s="23"/>
      <c r="I635" s="23"/>
      <c r="J635" s="23"/>
      <c r="K635" s="14"/>
      <c r="L635" s="14"/>
      <c r="P635" s="14"/>
      <c r="AG635" s="44"/>
      <c r="AH635" s="44"/>
      <c r="AI635" s="45"/>
      <c r="AJ635" s="44"/>
      <c r="AK635" s="43"/>
      <c r="AS635" s="14"/>
      <c r="AU635" s="18"/>
      <c r="AV635" s="18"/>
      <c r="AW635" s="18"/>
      <c r="AX635" s="18"/>
      <c r="AY635" s="18"/>
      <c r="AZ635" s="18"/>
      <c r="BB635" s="18"/>
      <c r="BC635" s="18"/>
      <c r="BD635" s="18"/>
      <c r="BE635" s="18"/>
      <c r="BF635" s="18"/>
      <c r="BH635" s="18"/>
      <c r="BI635" s="18"/>
      <c r="BJ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  <c r="FC635" s="18"/>
      <c r="FD635" s="18"/>
      <c r="FE635" s="18"/>
      <c r="FF635" s="18"/>
      <c r="FG635" s="18"/>
      <c r="FH635" s="18"/>
      <c r="FI635" s="18"/>
      <c r="FJ635" s="18"/>
      <c r="FK635" s="18"/>
      <c r="FL635" s="18"/>
      <c r="FM635" s="18"/>
      <c r="FN635" s="18"/>
      <c r="FO635" s="18"/>
      <c r="FP635" s="18"/>
      <c r="FQ635" s="18"/>
      <c r="FR635" s="18"/>
      <c r="FS635" s="18"/>
      <c r="FT635" s="18"/>
      <c r="FU635" s="18"/>
      <c r="FV635" s="18"/>
      <c r="FW635" s="18"/>
      <c r="FX635" s="18"/>
      <c r="FY635" s="18"/>
      <c r="FZ635" s="18"/>
      <c r="GA635" s="18"/>
      <c r="GB635" s="18"/>
      <c r="GC635" s="18"/>
      <c r="GD635" s="18"/>
      <c r="GE635" s="18"/>
      <c r="GF635" s="18"/>
      <c r="GG635" s="18"/>
      <c r="GH635" s="18"/>
      <c r="GI635" s="18"/>
      <c r="GJ635" s="18"/>
      <c r="GK635" s="18"/>
      <c r="GL635" s="18"/>
      <c r="GM635" s="18"/>
      <c r="GN635" s="18"/>
      <c r="GO635" s="18"/>
      <c r="GP635" s="18"/>
      <c r="GQ635" s="18"/>
      <c r="GR635" s="18"/>
      <c r="GS635" s="18"/>
      <c r="GT635" s="18"/>
      <c r="GU635" s="18"/>
      <c r="GV635" s="18"/>
      <c r="GW635" s="18"/>
      <c r="GX635" s="18"/>
      <c r="GY635" s="18"/>
      <c r="GZ635" s="18"/>
      <c r="HA635" s="18"/>
      <c r="HB635" s="18"/>
      <c r="HC635" s="18"/>
      <c r="HD635" s="18"/>
      <c r="HE635" s="18"/>
      <c r="HF635" s="18"/>
      <c r="HG635" s="13"/>
      <c r="HH635" s="13"/>
      <c r="HI635" s="13"/>
      <c r="HJ635" s="13"/>
      <c r="HK635" s="13"/>
      <c r="HL635" s="13"/>
      <c r="HM635" s="13"/>
      <c r="HN635" s="13"/>
      <c r="HO635" s="13"/>
      <c r="HP635" s="13"/>
      <c r="HQ635" s="13"/>
      <c r="HR635" s="13"/>
      <c r="HS635" s="13"/>
      <c r="HT635" s="13"/>
      <c r="HV635" s="18"/>
      <c r="HW635" s="18"/>
      <c r="HX635" s="18"/>
      <c r="HY635" s="18"/>
      <c r="HZ635" s="18"/>
      <c r="IA635" s="18"/>
      <c r="IB635" s="18"/>
      <c r="IC635" s="18"/>
      <c r="ID635" s="18"/>
      <c r="IE635" s="18"/>
      <c r="IF635" s="18"/>
      <c r="IG635" s="18"/>
      <c r="IH635" s="18"/>
      <c r="II635" s="18"/>
      <c r="IJ635" s="18"/>
      <c r="IK635" s="18"/>
      <c r="IL635" s="18"/>
      <c r="IM635" s="18"/>
      <c r="IN635" s="18"/>
      <c r="IO635" s="18"/>
      <c r="IP635" s="18"/>
      <c r="IQ635" s="18"/>
      <c r="IR635" s="18"/>
      <c r="IS635" s="18"/>
      <c r="IT635" s="18"/>
      <c r="IU635" s="18"/>
      <c r="IV635" s="18"/>
      <c r="IW635" s="18"/>
      <c r="IX635" s="18"/>
      <c r="IY635" s="18"/>
      <c r="IZ635" s="18"/>
      <c r="JA635" s="18"/>
      <c r="JB635" s="18"/>
      <c r="JC635" s="18"/>
      <c r="JD635" s="18"/>
      <c r="JE635" s="18"/>
      <c r="JF635" s="18"/>
      <c r="JG635" s="18"/>
      <c r="JH635" s="18"/>
      <c r="JI635" s="18"/>
      <c r="JJ635" s="18"/>
      <c r="JK635" s="18"/>
      <c r="JL635" s="18"/>
      <c r="JM635" s="18"/>
      <c r="JN635" s="18"/>
      <c r="JO635" s="18"/>
      <c r="JP635" s="18"/>
      <c r="JQ635" s="18"/>
      <c r="JR635" s="18"/>
      <c r="JS635" s="18"/>
      <c r="JT635" s="18"/>
      <c r="JU635" s="18"/>
      <c r="JV635" s="18"/>
      <c r="JW635" s="18"/>
      <c r="JX635" s="18"/>
      <c r="JY635" s="18"/>
      <c r="JZ635" s="18"/>
      <c r="KA635" s="18"/>
      <c r="KB635" s="18"/>
      <c r="KC635" s="18"/>
      <c r="KD635" s="18"/>
      <c r="KE635" s="18"/>
      <c r="KF635" s="18"/>
      <c r="KG635" s="18"/>
      <c r="KH635" s="18"/>
      <c r="KI635" s="18"/>
      <c r="KJ635" s="18"/>
      <c r="KK635" s="18"/>
      <c r="KL635" s="18"/>
      <c r="KM635" s="18"/>
      <c r="KN635" s="18"/>
      <c r="KO635" s="18"/>
      <c r="KP635" s="18"/>
    </row>
    <row r="636" spans="1:302" ht="15" customHeight="1">
      <c r="A636" s="14"/>
      <c r="B636" s="14"/>
      <c r="F636" s="46"/>
      <c r="G636" s="23"/>
      <c r="H636" s="23"/>
      <c r="I636" s="23"/>
      <c r="J636" s="23"/>
      <c r="K636" s="14"/>
      <c r="L636" s="14"/>
      <c r="P636" s="14"/>
      <c r="AG636" s="44"/>
      <c r="AH636" s="44"/>
      <c r="AI636" s="45"/>
      <c r="AJ636" s="44"/>
      <c r="AK636" s="43"/>
      <c r="AS636" s="14"/>
      <c r="AU636" s="18"/>
      <c r="AV636" s="18"/>
      <c r="AW636" s="18"/>
      <c r="AX636" s="18"/>
      <c r="AY636" s="18"/>
      <c r="AZ636" s="18"/>
      <c r="BB636" s="18"/>
      <c r="BC636" s="18"/>
      <c r="BD636" s="18"/>
      <c r="BE636" s="18"/>
      <c r="BF636" s="18"/>
      <c r="BH636" s="18"/>
      <c r="BI636" s="18"/>
      <c r="BJ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  <c r="EW636" s="18"/>
      <c r="EX636" s="18"/>
      <c r="EY636" s="18"/>
      <c r="EZ636" s="18"/>
      <c r="FA636" s="18"/>
      <c r="FB636" s="18"/>
      <c r="FC636" s="18"/>
      <c r="FD636" s="18"/>
      <c r="FE636" s="18"/>
      <c r="FF636" s="18"/>
      <c r="FG636" s="18"/>
      <c r="FH636" s="18"/>
      <c r="FI636" s="18"/>
      <c r="FJ636" s="18"/>
      <c r="FK636" s="18"/>
      <c r="FL636" s="18"/>
      <c r="FM636" s="18"/>
      <c r="FN636" s="18"/>
      <c r="FO636" s="18"/>
      <c r="FP636" s="18"/>
      <c r="FQ636" s="18"/>
      <c r="FR636" s="18"/>
      <c r="FS636" s="18"/>
      <c r="FT636" s="18"/>
      <c r="FU636" s="18"/>
      <c r="FV636" s="18"/>
      <c r="FW636" s="18"/>
      <c r="FX636" s="18"/>
      <c r="FY636" s="18"/>
      <c r="FZ636" s="18"/>
      <c r="GA636" s="18"/>
      <c r="GB636" s="18"/>
      <c r="GC636" s="18"/>
      <c r="GD636" s="18"/>
      <c r="GE636" s="18"/>
      <c r="GF636" s="18"/>
      <c r="GG636" s="18"/>
      <c r="GH636" s="18"/>
      <c r="GI636" s="18"/>
      <c r="GJ636" s="18"/>
      <c r="GK636" s="18"/>
      <c r="GL636" s="18"/>
      <c r="GM636" s="18"/>
      <c r="GN636" s="18"/>
      <c r="GO636" s="18"/>
      <c r="GP636" s="18"/>
      <c r="GQ636" s="18"/>
      <c r="GR636" s="18"/>
      <c r="GS636" s="18"/>
      <c r="GT636" s="18"/>
      <c r="GU636" s="18"/>
      <c r="GV636" s="18"/>
      <c r="GW636" s="18"/>
      <c r="GX636" s="18"/>
      <c r="GY636" s="18"/>
      <c r="GZ636" s="18"/>
      <c r="HA636" s="18"/>
      <c r="HB636" s="18"/>
      <c r="HC636" s="18"/>
      <c r="HD636" s="18"/>
      <c r="HE636" s="18"/>
      <c r="HF636" s="18"/>
      <c r="HG636" s="13"/>
      <c r="HH636" s="13"/>
      <c r="HI636" s="13"/>
      <c r="HJ636" s="13"/>
      <c r="HK636" s="13"/>
      <c r="HL636" s="13"/>
      <c r="HM636" s="13"/>
      <c r="HN636" s="13"/>
      <c r="HO636" s="13"/>
      <c r="HP636" s="13"/>
      <c r="HQ636" s="13"/>
      <c r="HR636" s="13"/>
      <c r="HS636" s="13"/>
      <c r="HT636" s="13"/>
      <c r="HV636" s="18"/>
      <c r="HW636" s="18"/>
      <c r="HX636" s="18"/>
      <c r="HY636" s="18"/>
      <c r="HZ636" s="18"/>
      <c r="IA636" s="18"/>
      <c r="IB636" s="18"/>
      <c r="IC636" s="18"/>
      <c r="ID636" s="18"/>
      <c r="IE636" s="18"/>
      <c r="IF636" s="18"/>
      <c r="IG636" s="18"/>
      <c r="IH636" s="18"/>
      <c r="II636" s="18"/>
      <c r="IJ636" s="18"/>
      <c r="IK636" s="18"/>
      <c r="IL636" s="18"/>
      <c r="IM636" s="18"/>
      <c r="IN636" s="18"/>
      <c r="IO636" s="18"/>
      <c r="IP636" s="18"/>
      <c r="IQ636" s="18"/>
      <c r="IR636" s="18"/>
      <c r="IS636" s="18"/>
      <c r="IT636" s="18"/>
      <c r="IU636" s="18"/>
      <c r="IV636" s="18"/>
      <c r="IW636" s="18"/>
      <c r="IX636" s="18"/>
      <c r="IY636" s="18"/>
      <c r="IZ636" s="18"/>
      <c r="JA636" s="18"/>
      <c r="JB636" s="18"/>
      <c r="JC636" s="18"/>
      <c r="JD636" s="18"/>
      <c r="JE636" s="18"/>
      <c r="JF636" s="18"/>
      <c r="JG636" s="18"/>
      <c r="JH636" s="18"/>
      <c r="JI636" s="18"/>
      <c r="JJ636" s="18"/>
      <c r="JK636" s="18"/>
      <c r="JL636" s="18"/>
      <c r="JM636" s="18"/>
      <c r="JN636" s="18"/>
      <c r="JO636" s="18"/>
      <c r="JP636" s="18"/>
      <c r="JQ636" s="18"/>
      <c r="JR636" s="18"/>
      <c r="JS636" s="18"/>
      <c r="JT636" s="18"/>
      <c r="JU636" s="18"/>
      <c r="JV636" s="18"/>
      <c r="JW636" s="18"/>
      <c r="JX636" s="18"/>
      <c r="JY636" s="18"/>
      <c r="JZ636" s="18"/>
      <c r="KA636" s="18"/>
      <c r="KB636" s="18"/>
      <c r="KC636" s="18"/>
      <c r="KD636" s="18"/>
      <c r="KE636" s="18"/>
      <c r="KF636" s="18"/>
      <c r="KG636" s="18"/>
      <c r="KH636" s="18"/>
      <c r="KI636" s="18"/>
      <c r="KJ636" s="18"/>
      <c r="KK636" s="18"/>
      <c r="KL636" s="18"/>
      <c r="KM636" s="18"/>
      <c r="KN636" s="18"/>
      <c r="KO636" s="18"/>
      <c r="KP636" s="18"/>
    </row>
    <row r="637" spans="1:302" ht="15" customHeight="1">
      <c r="A637" s="14"/>
      <c r="B637" s="14"/>
      <c r="F637" s="46"/>
      <c r="G637" s="23"/>
      <c r="H637" s="23"/>
      <c r="I637" s="23"/>
      <c r="J637" s="23"/>
      <c r="K637" s="14"/>
      <c r="L637" s="14"/>
      <c r="P637" s="14"/>
      <c r="AG637" s="1006"/>
      <c r="AH637" s="1006"/>
      <c r="AI637" s="961"/>
      <c r="AJ637" s="44"/>
      <c r="AK637" s="43"/>
      <c r="AS637" s="14"/>
      <c r="AU637" s="18"/>
      <c r="AV637" s="18"/>
      <c r="AW637" s="18"/>
      <c r="AX637" s="18"/>
      <c r="AY637" s="18"/>
      <c r="AZ637" s="18"/>
      <c r="BB637" s="18"/>
      <c r="BC637" s="18"/>
      <c r="BD637" s="18"/>
      <c r="BE637" s="18"/>
      <c r="BF637" s="18"/>
      <c r="BH637" s="18"/>
      <c r="BI637" s="18"/>
      <c r="BJ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  <c r="FC637" s="18"/>
      <c r="FD637" s="18"/>
      <c r="FE637" s="18"/>
      <c r="FF637" s="18"/>
      <c r="FG637" s="18"/>
      <c r="FH637" s="18"/>
      <c r="FI637" s="18"/>
      <c r="FJ637" s="18"/>
      <c r="FK637" s="18"/>
      <c r="FL637" s="18"/>
      <c r="FM637" s="18"/>
      <c r="FN637" s="18"/>
      <c r="FO637" s="18"/>
      <c r="FP637" s="18"/>
      <c r="FQ637" s="18"/>
      <c r="FR637" s="18"/>
      <c r="FS637" s="18"/>
      <c r="FT637" s="18"/>
      <c r="FU637" s="18"/>
      <c r="FV637" s="18"/>
      <c r="FW637" s="18"/>
      <c r="FX637" s="18"/>
      <c r="FY637" s="18"/>
      <c r="FZ637" s="18"/>
      <c r="GA637" s="18"/>
      <c r="GB637" s="18"/>
      <c r="GC637" s="18"/>
      <c r="GD637" s="18"/>
      <c r="GE637" s="18"/>
      <c r="GF637" s="18"/>
      <c r="GG637" s="18"/>
      <c r="GH637" s="18"/>
      <c r="GI637" s="18"/>
      <c r="GJ637" s="18"/>
      <c r="GK637" s="18"/>
      <c r="GL637" s="18"/>
      <c r="GM637" s="18"/>
      <c r="GN637" s="18"/>
      <c r="GO637" s="18"/>
      <c r="GP637" s="18"/>
      <c r="GQ637" s="18"/>
      <c r="GR637" s="18"/>
      <c r="GS637" s="18"/>
      <c r="GT637" s="18"/>
      <c r="GU637" s="18"/>
      <c r="GV637" s="18"/>
      <c r="GW637" s="18"/>
      <c r="GX637" s="18"/>
      <c r="GY637" s="18"/>
      <c r="GZ637" s="18"/>
      <c r="HA637" s="18"/>
      <c r="HB637" s="18"/>
      <c r="HC637" s="18"/>
      <c r="HD637" s="18"/>
      <c r="HE637" s="18"/>
      <c r="HF637" s="18"/>
      <c r="HG637" s="13"/>
      <c r="HH637" s="13"/>
      <c r="HI637" s="13"/>
      <c r="HJ637" s="13"/>
      <c r="HK637" s="13"/>
      <c r="HL637" s="13"/>
      <c r="HM637" s="13"/>
      <c r="HN637" s="13"/>
      <c r="HO637" s="13"/>
      <c r="HP637" s="13"/>
      <c r="HQ637" s="13"/>
      <c r="HR637" s="13"/>
      <c r="HS637" s="13"/>
      <c r="HT637" s="13"/>
      <c r="HV637" s="18"/>
      <c r="HW637" s="18"/>
      <c r="HX637" s="18"/>
      <c r="HY637" s="18"/>
      <c r="HZ637" s="18"/>
      <c r="IA637" s="18"/>
      <c r="IB637" s="18"/>
      <c r="IC637" s="18"/>
      <c r="ID637" s="18"/>
      <c r="IE637" s="18"/>
      <c r="IF637" s="18"/>
      <c r="IG637" s="18"/>
      <c r="IH637" s="18"/>
      <c r="II637" s="18"/>
      <c r="IJ637" s="18"/>
      <c r="IK637" s="18"/>
      <c r="IL637" s="18"/>
      <c r="IM637" s="18"/>
      <c r="IN637" s="18"/>
      <c r="IO637" s="18"/>
      <c r="IP637" s="18"/>
      <c r="IQ637" s="18"/>
      <c r="IR637" s="18"/>
      <c r="IS637" s="18"/>
      <c r="IT637" s="18"/>
      <c r="IU637" s="18"/>
      <c r="IV637" s="18"/>
      <c r="IW637" s="18"/>
      <c r="IX637" s="18"/>
      <c r="IY637" s="18"/>
      <c r="IZ637" s="18"/>
      <c r="JA637" s="18"/>
      <c r="JB637" s="18"/>
      <c r="JC637" s="18"/>
      <c r="JD637" s="18"/>
      <c r="JE637" s="18"/>
      <c r="JF637" s="18"/>
      <c r="JG637" s="18"/>
      <c r="JH637" s="18"/>
      <c r="JI637" s="18"/>
      <c r="JJ637" s="18"/>
      <c r="JK637" s="18"/>
      <c r="JL637" s="18"/>
      <c r="JM637" s="18"/>
      <c r="JN637" s="18"/>
      <c r="JO637" s="18"/>
      <c r="JP637" s="18"/>
      <c r="JQ637" s="18"/>
      <c r="JR637" s="18"/>
      <c r="JS637" s="18"/>
      <c r="JT637" s="18"/>
      <c r="JU637" s="18"/>
      <c r="JV637" s="18"/>
      <c r="JW637" s="18"/>
      <c r="JX637" s="18"/>
      <c r="JY637" s="18"/>
      <c r="JZ637" s="18"/>
      <c r="KA637" s="18"/>
      <c r="KB637" s="18"/>
      <c r="KC637" s="18"/>
      <c r="KD637" s="18"/>
      <c r="KE637" s="18"/>
      <c r="KF637" s="18"/>
      <c r="KG637" s="18"/>
      <c r="KH637" s="18"/>
      <c r="KI637" s="18"/>
      <c r="KJ637" s="18"/>
      <c r="KK637" s="18"/>
      <c r="KL637" s="18"/>
      <c r="KM637" s="18"/>
      <c r="KN637" s="18"/>
      <c r="KO637" s="18"/>
      <c r="KP637" s="18"/>
    </row>
    <row r="638" spans="1:302" ht="15" customHeight="1">
      <c r="A638" s="14"/>
      <c r="B638" s="14"/>
      <c r="F638" s="46"/>
      <c r="G638" s="23"/>
      <c r="H638" s="23"/>
      <c r="I638" s="23"/>
      <c r="J638" s="23"/>
      <c r="K638" s="14"/>
      <c r="L638" s="14"/>
      <c r="P638" s="14"/>
      <c r="AG638" s="44"/>
      <c r="AH638" s="44"/>
      <c r="AI638" s="45"/>
      <c r="AJ638" s="44"/>
      <c r="AK638" s="43"/>
      <c r="AS638" s="14"/>
      <c r="AU638" s="18"/>
      <c r="AV638" s="18"/>
      <c r="AW638" s="18"/>
      <c r="AX638" s="18"/>
      <c r="AY638" s="18"/>
      <c r="AZ638" s="18"/>
      <c r="BB638" s="18"/>
      <c r="BC638" s="18"/>
      <c r="BD638" s="18"/>
      <c r="BE638" s="18"/>
      <c r="BF638" s="18"/>
      <c r="BH638" s="18"/>
      <c r="BI638" s="18"/>
      <c r="BJ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  <c r="FC638" s="18"/>
      <c r="FD638" s="18"/>
      <c r="FE638" s="18"/>
      <c r="FF638" s="18"/>
      <c r="FG638" s="18"/>
      <c r="FH638" s="18"/>
      <c r="FI638" s="18"/>
      <c r="FJ638" s="18"/>
      <c r="FK638" s="18"/>
      <c r="FL638" s="18"/>
      <c r="FM638" s="18"/>
      <c r="FN638" s="18"/>
      <c r="FO638" s="18"/>
      <c r="FP638" s="18"/>
      <c r="FQ638" s="18"/>
      <c r="FR638" s="18"/>
      <c r="FS638" s="18"/>
      <c r="FT638" s="18"/>
      <c r="FU638" s="18"/>
      <c r="FV638" s="18"/>
      <c r="FW638" s="18"/>
      <c r="FX638" s="18"/>
      <c r="FY638" s="18"/>
      <c r="FZ638" s="18"/>
      <c r="GA638" s="18"/>
      <c r="GB638" s="18"/>
      <c r="GC638" s="18"/>
      <c r="GD638" s="18"/>
      <c r="GE638" s="18"/>
      <c r="GF638" s="18"/>
      <c r="GG638" s="18"/>
      <c r="GH638" s="18"/>
      <c r="GI638" s="18"/>
      <c r="GJ638" s="18"/>
      <c r="GK638" s="18"/>
      <c r="GL638" s="18"/>
      <c r="GM638" s="18"/>
      <c r="GN638" s="18"/>
      <c r="GO638" s="18"/>
      <c r="GP638" s="18"/>
      <c r="GQ638" s="18"/>
      <c r="GR638" s="18"/>
      <c r="GS638" s="18"/>
      <c r="GT638" s="18"/>
      <c r="GU638" s="18"/>
      <c r="GV638" s="18"/>
      <c r="GW638" s="18"/>
      <c r="GX638" s="18"/>
      <c r="GY638" s="18"/>
      <c r="GZ638" s="18"/>
      <c r="HA638" s="18"/>
      <c r="HB638" s="18"/>
      <c r="HC638" s="18"/>
      <c r="HD638" s="18"/>
      <c r="HE638" s="18"/>
      <c r="HF638" s="18"/>
      <c r="HG638" s="13"/>
      <c r="HH638" s="13"/>
      <c r="HI638" s="13"/>
      <c r="HJ638" s="13"/>
      <c r="HK638" s="13"/>
      <c r="HL638" s="13"/>
      <c r="HM638" s="13"/>
      <c r="HN638" s="13"/>
      <c r="HO638" s="13"/>
      <c r="HP638" s="13"/>
      <c r="HQ638" s="13"/>
      <c r="HR638" s="13"/>
      <c r="HS638" s="13"/>
      <c r="HT638" s="13"/>
      <c r="HV638" s="18"/>
      <c r="HW638" s="18"/>
      <c r="HX638" s="18"/>
      <c r="HY638" s="18"/>
      <c r="HZ638" s="18"/>
      <c r="IA638" s="18"/>
      <c r="IB638" s="18"/>
      <c r="IC638" s="18"/>
      <c r="ID638" s="18"/>
      <c r="IE638" s="18"/>
      <c r="IF638" s="18"/>
      <c r="IG638" s="18"/>
      <c r="IH638" s="18"/>
      <c r="II638" s="18"/>
      <c r="IJ638" s="18"/>
      <c r="IK638" s="18"/>
      <c r="IL638" s="18"/>
      <c r="IM638" s="18"/>
      <c r="IN638" s="18"/>
      <c r="IO638" s="18"/>
      <c r="IP638" s="18"/>
      <c r="IQ638" s="18"/>
      <c r="IR638" s="18"/>
      <c r="IS638" s="18"/>
      <c r="IT638" s="18"/>
      <c r="IU638" s="18"/>
      <c r="IV638" s="18"/>
      <c r="IW638" s="18"/>
      <c r="IX638" s="18"/>
      <c r="IY638" s="18"/>
      <c r="IZ638" s="18"/>
      <c r="JA638" s="18"/>
      <c r="JB638" s="18"/>
      <c r="JC638" s="18"/>
      <c r="JD638" s="18"/>
      <c r="JE638" s="18"/>
      <c r="JF638" s="18"/>
      <c r="JG638" s="18"/>
      <c r="JH638" s="18"/>
      <c r="JI638" s="18"/>
      <c r="JJ638" s="18"/>
      <c r="JK638" s="18"/>
      <c r="JL638" s="18"/>
      <c r="JM638" s="18"/>
      <c r="JN638" s="18"/>
      <c r="JO638" s="18"/>
      <c r="JP638" s="18"/>
      <c r="JQ638" s="18"/>
      <c r="JR638" s="18"/>
      <c r="JS638" s="18"/>
      <c r="JT638" s="18"/>
      <c r="JU638" s="18"/>
      <c r="JV638" s="18"/>
      <c r="JW638" s="18"/>
      <c r="JX638" s="18"/>
      <c r="JY638" s="18"/>
      <c r="JZ638" s="18"/>
      <c r="KA638" s="18"/>
      <c r="KB638" s="18"/>
      <c r="KC638" s="18"/>
      <c r="KD638" s="18"/>
      <c r="KE638" s="18"/>
      <c r="KF638" s="18"/>
      <c r="KG638" s="18"/>
      <c r="KH638" s="18"/>
      <c r="KI638" s="18"/>
      <c r="KJ638" s="18"/>
      <c r="KK638" s="18"/>
      <c r="KL638" s="18"/>
      <c r="KM638" s="18"/>
      <c r="KN638" s="18"/>
      <c r="KO638" s="18"/>
      <c r="KP638" s="18"/>
    </row>
    <row r="639" spans="1:302" ht="15" customHeight="1">
      <c r="A639" s="14"/>
      <c r="B639" s="14"/>
      <c r="F639" s="46"/>
      <c r="G639" s="23"/>
      <c r="H639" s="23"/>
      <c r="I639" s="23"/>
      <c r="J639" s="23"/>
      <c r="K639" s="14"/>
      <c r="L639" s="14"/>
      <c r="P639" s="14"/>
      <c r="AG639" s="44"/>
      <c r="AH639" s="44"/>
      <c r="AI639" s="45"/>
      <c r="AJ639" s="44"/>
      <c r="AK639" s="43"/>
      <c r="AS639" s="14"/>
      <c r="AU639" s="18"/>
      <c r="AV639" s="18"/>
      <c r="AW639" s="18"/>
      <c r="AX639" s="18"/>
      <c r="AY639" s="18"/>
      <c r="AZ639" s="18"/>
      <c r="BB639" s="18"/>
      <c r="BC639" s="18"/>
      <c r="BD639" s="18"/>
      <c r="BE639" s="18"/>
      <c r="BF639" s="18"/>
      <c r="BH639" s="18"/>
      <c r="BI639" s="18"/>
      <c r="BJ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  <c r="FR639" s="18"/>
      <c r="FS639" s="18"/>
      <c r="FT639" s="18"/>
      <c r="FU639" s="18"/>
      <c r="FV639" s="18"/>
      <c r="FW639" s="18"/>
      <c r="FX639" s="18"/>
      <c r="FY639" s="18"/>
      <c r="FZ639" s="18"/>
      <c r="GA639" s="18"/>
      <c r="GB639" s="18"/>
      <c r="GC639" s="18"/>
      <c r="GD639" s="18"/>
      <c r="GE639" s="18"/>
      <c r="GF639" s="18"/>
      <c r="GG639" s="18"/>
      <c r="GH639" s="18"/>
      <c r="GI639" s="18"/>
      <c r="GJ639" s="18"/>
      <c r="GK639" s="18"/>
      <c r="GL639" s="18"/>
      <c r="GM639" s="18"/>
      <c r="GN639" s="18"/>
      <c r="GO639" s="18"/>
      <c r="GP639" s="18"/>
      <c r="GQ639" s="18"/>
      <c r="GR639" s="18"/>
      <c r="GS639" s="18"/>
      <c r="GT639" s="18"/>
      <c r="GU639" s="18"/>
      <c r="GV639" s="18"/>
      <c r="GW639" s="18"/>
      <c r="GX639" s="18"/>
      <c r="GY639" s="18"/>
      <c r="GZ639" s="18"/>
      <c r="HA639" s="18"/>
      <c r="HB639" s="18"/>
      <c r="HC639" s="18"/>
      <c r="HD639" s="18"/>
      <c r="HE639" s="18"/>
      <c r="HF639" s="18"/>
      <c r="HG639" s="13"/>
      <c r="HH639" s="13"/>
      <c r="HI639" s="13"/>
      <c r="HJ639" s="13"/>
      <c r="HK639" s="13"/>
      <c r="HL639" s="13"/>
      <c r="HM639" s="13"/>
      <c r="HN639" s="13"/>
      <c r="HO639" s="13"/>
      <c r="HP639" s="13"/>
      <c r="HQ639" s="13"/>
      <c r="HR639" s="13"/>
      <c r="HS639" s="13"/>
      <c r="HT639" s="13"/>
      <c r="HV639" s="18"/>
      <c r="HW639" s="18"/>
      <c r="HX639" s="18"/>
      <c r="HY639" s="18"/>
      <c r="HZ639" s="18"/>
      <c r="IA639" s="18"/>
      <c r="IB639" s="18"/>
      <c r="IC639" s="18"/>
      <c r="ID639" s="18"/>
      <c r="IE639" s="18"/>
      <c r="IF639" s="18"/>
      <c r="IG639" s="18"/>
      <c r="IH639" s="18"/>
      <c r="II639" s="18"/>
      <c r="IJ639" s="18"/>
      <c r="IK639" s="18"/>
      <c r="IL639" s="18"/>
      <c r="IM639" s="18"/>
      <c r="IN639" s="18"/>
      <c r="IO639" s="18"/>
      <c r="IP639" s="18"/>
      <c r="IQ639" s="18"/>
      <c r="IR639" s="18"/>
      <c r="IS639" s="18"/>
      <c r="IT639" s="18"/>
      <c r="IU639" s="18"/>
      <c r="IV639" s="18"/>
      <c r="IW639" s="18"/>
      <c r="IX639" s="18"/>
      <c r="IY639" s="18"/>
      <c r="IZ639" s="18"/>
      <c r="JA639" s="18"/>
      <c r="JB639" s="18"/>
      <c r="JC639" s="18"/>
      <c r="JD639" s="18"/>
      <c r="JE639" s="18"/>
      <c r="JF639" s="18"/>
      <c r="JG639" s="18"/>
      <c r="JH639" s="18"/>
      <c r="JI639" s="18"/>
      <c r="JJ639" s="18"/>
      <c r="JK639" s="18"/>
      <c r="JL639" s="18"/>
      <c r="JM639" s="18"/>
      <c r="JN639" s="18"/>
      <c r="JO639" s="18"/>
      <c r="JP639" s="18"/>
      <c r="JQ639" s="18"/>
      <c r="JR639" s="18"/>
      <c r="JS639" s="18"/>
      <c r="JT639" s="18"/>
      <c r="JU639" s="18"/>
      <c r="JV639" s="18"/>
      <c r="JW639" s="18"/>
      <c r="JX639" s="18"/>
      <c r="JY639" s="18"/>
      <c r="JZ639" s="18"/>
      <c r="KA639" s="18"/>
      <c r="KB639" s="18"/>
      <c r="KC639" s="18"/>
      <c r="KD639" s="18"/>
      <c r="KE639" s="18"/>
      <c r="KF639" s="18"/>
      <c r="KG639" s="18"/>
      <c r="KH639" s="18"/>
      <c r="KI639" s="18"/>
      <c r="KJ639" s="18"/>
      <c r="KK639" s="18"/>
      <c r="KL639" s="18"/>
      <c r="KM639" s="18"/>
      <c r="KN639" s="18"/>
      <c r="KO639" s="18"/>
      <c r="KP639" s="18"/>
    </row>
    <row r="640" spans="1:302" ht="15" customHeight="1">
      <c r="A640" s="14"/>
      <c r="B640" s="14"/>
      <c r="F640" s="46"/>
      <c r="G640" s="23"/>
      <c r="H640" s="23"/>
      <c r="I640" s="23"/>
      <c r="J640" s="23"/>
      <c r="K640" s="14"/>
      <c r="L640" s="14"/>
      <c r="P640" s="14"/>
      <c r="AG640" s="44"/>
      <c r="AH640" s="44"/>
      <c r="AI640" s="45"/>
      <c r="AJ640" s="44"/>
      <c r="AK640" s="43"/>
      <c r="AS640" s="14"/>
      <c r="AU640" s="18"/>
      <c r="AV640" s="18"/>
      <c r="AW640" s="18"/>
      <c r="AX640" s="18"/>
      <c r="AY640" s="18"/>
      <c r="AZ640" s="18"/>
      <c r="BB640" s="18"/>
      <c r="BC640" s="18"/>
      <c r="BD640" s="18"/>
      <c r="BE640" s="18"/>
      <c r="BF640" s="18"/>
      <c r="BH640" s="18"/>
      <c r="BI640" s="18"/>
      <c r="BJ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  <c r="FR640" s="18"/>
      <c r="FS640" s="18"/>
      <c r="FT640" s="18"/>
      <c r="FU640" s="18"/>
      <c r="FV640" s="18"/>
      <c r="FW640" s="18"/>
      <c r="FX640" s="18"/>
      <c r="FY640" s="18"/>
      <c r="FZ640" s="18"/>
      <c r="GA640" s="18"/>
      <c r="GB640" s="18"/>
      <c r="GC640" s="18"/>
      <c r="GD640" s="18"/>
      <c r="GE640" s="18"/>
      <c r="GF640" s="18"/>
      <c r="GG640" s="18"/>
      <c r="GH640" s="18"/>
      <c r="GI640" s="18"/>
      <c r="GJ640" s="18"/>
      <c r="GK640" s="18"/>
      <c r="GL640" s="18"/>
      <c r="GM640" s="18"/>
      <c r="GN640" s="18"/>
      <c r="GO640" s="18"/>
      <c r="GP640" s="18"/>
      <c r="GQ640" s="18"/>
      <c r="GR640" s="18"/>
      <c r="GS640" s="18"/>
      <c r="GT640" s="18"/>
      <c r="GU640" s="18"/>
      <c r="GV640" s="18"/>
      <c r="GW640" s="18"/>
      <c r="GX640" s="18"/>
      <c r="GY640" s="18"/>
      <c r="GZ640" s="18"/>
      <c r="HA640" s="18"/>
      <c r="HB640" s="18"/>
      <c r="HC640" s="18"/>
      <c r="HD640" s="18"/>
      <c r="HE640" s="18"/>
      <c r="HF640" s="18"/>
      <c r="HG640" s="13"/>
      <c r="HH640" s="13"/>
      <c r="HI640" s="13"/>
      <c r="HJ640" s="13"/>
      <c r="HK640" s="13"/>
      <c r="HL640" s="13"/>
      <c r="HM640" s="13"/>
      <c r="HN640" s="13"/>
      <c r="HO640" s="13"/>
      <c r="HP640" s="13"/>
      <c r="HQ640" s="13"/>
      <c r="HR640" s="13"/>
      <c r="HS640" s="13"/>
      <c r="HT640" s="13"/>
      <c r="HV640" s="18"/>
      <c r="HW640" s="18"/>
      <c r="HX640" s="18"/>
      <c r="HY640" s="18"/>
      <c r="HZ640" s="18"/>
      <c r="IA640" s="18"/>
      <c r="IB640" s="18"/>
      <c r="IC640" s="18"/>
      <c r="ID640" s="18"/>
      <c r="IE640" s="18"/>
      <c r="IF640" s="18"/>
      <c r="IG640" s="18"/>
      <c r="IH640" s="18"/>
      <c r="II640" s="18"/>
      <c r="IJ640" s="18"/>
      <c r="IK640" s="18"/>
      <c r="IL640" s="18"/>
      <c r="IM640" s="18"/>
      <c r="IN640" s="18"/>
      <c r="IO640" s="18"/>
      <c r="IP640" s="18"/>
      <c r="IQ640" s="18"/>
      <c r="IR640" s="18"/>
      <c r="IS640" s="18"/>
      <c r="IT640" s="18"/>
      <c r="IU640" s="18"/>
      <c r="IV640" s="18"/>
      <c r="IW640" s="18"/>
      <c r="IX640" s="18"/>
      <c r="IY640" s="18"/>
      <c r="IZ640" s="18"/>
      <c r="JA640" s="18"/>
      <c r="JB640" s="18"/>
      <c r="JC640" s="18"/>
      <c r="JD640" s="18"/>
      <c r="JE640" s="18"/>
      <c r="JF640" s="18"/>
      <c r="JG640" s="18"/>
      <c r="JH640" s="18"/>
      <c r="JI640" s="18"/>
      <c r="JJ640" s="18"/>
      <c r="JK640" s="18"/>
      <c r="JL640" s="18"/>
      <c r="JM640" s="18"/>
      <c r="JN640" s="18"/>
      <c r="JO640" s="18"/>
      <c r="JP640" s="18"/>
      <c r="JQ640" s="18"/>
      <c r="JR640" s="18"/>
      <c r="JS640" s="18"/>
      <c r="JT640" s="18"/>
      <c r="JU640" s="18"/>
      <c r="JV640" s="18"/>
      <c r="JW640" s="18"/>
      <c r="JX640" s="18"/>
      <c r="JY640" s="18"/>
      <c r="JZ640" s="18"/>
      <c r="KA640" s="18"/>
      <c r="KB640" s="18"/>
      <c r="KC640" s="18"/>
      <c r="KD640" s="18"/>
      <c r="KE640" s="18"/>
      <c r="KF640" s="18"/>
      <c r="KG640" s="18"/>
      <c r="KH640" s="18"/>
      <c r="KI640" s="18"/>
      <c r="KJ640" s="18"/>
      <c r="KK640" s="18"/>
      <c r="KL640" s="18"/>
      <c r="KM640" s="18"/>
      <c r="KN640" s="18"/>
      <c r="KO640" s="18"/>
      <c r="KP640" s="18"/>
    </row>
    <row r="641" spans="1:302" ht="15" customHeight="1">
      <c r="A641" s="14"/>
      <c r="B641" s="14"/>
      <c r="F641" s="46"/>
      <c r="G641" s="23"/>
      <c r="H641" s="23"/>
      <c r="I641" s="23"/>
      <c r="J641" s="23"/>
      <c r="K641" s="14"/>
      <c r="L641" s="14"/>
      <c r="P641" s="14"/>
      <c r="AG641" s="44"/>
      <c r="AH641" s="44"/>
      <c r="AI641" s="45"/>
      <c r="AJ641" s="44"/>
      <c r="AK641" s="43"/>
      <c r="AS641" s="14"/>
      <c r="AU641" s="18"/>
      <c r="AV641" s="18"/>
      <c r="AW641" s="18"/>
      <c r="AX641" s="18"/>
      <c r="AY641" s="18"/>
      <c r="AZ641" s="18"/>
      <c r="BB641" s="18"/>
      <c r="BC641" s="18"/>
      <c r="BD641" s="18"/>
      <c r="BE641" s="18"/>
      <c r="BF641" s="18"/>
      <c r="BH641" s="18"/>
      <c r="BI641" s="18"/>
      <c r="BJ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  <c r="FR641" s="18"/>
      <c r="FS641" s="18"/>
      <c r="FT641" s="18"/>
      <c r="FU641" s="18"/>
      <c r="FV641" s="18"/>
      <c r="FW641" s="18"/>
      <c r="FX641" s="18"/>
      <c r="FY641" s="18"/>
      <c r="FZ641" s="18"/>
      <c r="GA641" s="18"/>
      <c r="GB641" s="18"/>
      <c r="GC641" s="18"/>
      <c r="GD641" s="18"/>
      <c r="GE641" s="18"/>
      <c r="GF641" s="18"/>
      <c r="GG641" s="18"/>
      <c r="GH641" s="18"/>
      <c r="GI641" s="18"/>
      <c r="GJ641" s="18"/>
      <c r="GK641" s="18"/>
      <c r="GL641" s="18"/>
      <c r="GM641" s="18"/>
      <c r="GN641" s="18"/>
      <c r="GO641" s="18"/>
      <c r="GP641" s="18"/>
      <c r="GQ641" s="18"/>
      <c r="GR641" s="18"/>
      <c r="GS641" s="18"/>
      <c r="GT641" s="18"/>
      <c r="GU641" s="18"/>
      <c r="GV641" s="18"/>
      <c r="GW641" s="18"/>
      <c r="GX641" s="18"/>
      <c r="GY641" s="18"/>
      <c r="GZ641" s="18"/>
      <c r="HA641" s="18"/>
      <c r="HB641" s="18"/>
      <c r="HC641" s="18"/>
      <c r="HD641" s="18"/>
      <c r="HE641" s="18"/>
      <c r="HF641" s="18"/>
      <c r="HG641" s="13"/>
      <c r="HH641" s="13"/>
      <c r="HI641" s="13"/>
      <c r="HJ641" s="13"/>
      <c r="HK641" s="13"/>
      <c r="HL641" s="13"/>
      <c r="HM641" s="13"/>
      <c r="HN641" s="13"/>
      <c r="HO641" s="13"/>
      <c r="HP641" s="13"/>
      <c r="HQ641" s="13"/>
      <c r="HR641" s="13"/>
      <c r="HS641" s="13"/>
      <c r="HT641" s="13"/>
      <c r="HV641" s="18"/>
      <c r="HW641" s="18"/>
      <c r="HX641" s="18"/>
      <c r="HY641" s="18"/>
      <c r="HZ641" s="18"/>
      <c r="IA641" s="18"/>
      <c r="IB641" s="18"/>
      <c r="IC641" s="18"/>
      <c r="ID641" s="18"/>
      <c r="IE641" s="18"/>
      <c r="IF641" s="18"/>
      <c r="IG641" s="18"/>
      <c r="IH641" s="18"/>
      <c r="II641" s="18"/>
      <c r="IJ641" s="18"/>
      <c r="IK641" s="18"/>
      <c r="IL641" s="18"/>
      <c r="IM641" s="18"/>
      <c r="IN641" s="18"/>
      <c r="IO641" s="18"/>
      <c r="IP641" s="18"/>
      <c r="IQ641" s="18"/>
      <c r="IR641" s="18"/>
      <c r="IS641" s="18"/>
      <c r="IT641" s="18"/>
      <c r="IU641" s="18"/>
      <c r="IV641" s="18"/>
      <c r="IW641" s="18"/>
      <c r="IX641" s="18"/>
      <c r="IY641" s="18"/>
      <c r="IZ641" s="18"/>
      <c r="JA641" s="18"/>
      <c r="JB641" s="18"/>
      <c r="JC641" s="18"/>
      <c r="JD641" s="18"/>
      <c r="JE641" s="18"/>
      <c r="JF641" s="18"/>
      <c r="JG641" s="18"/>
      <c r="JH641" s="18"/>
      <c r="JI641" s="18"/>
      <c r="JJ641" s="18"/>
      <c r="JK641" s="18"/>
      <c r="JL641" s="18"/>
      <c r="JM641" s="18"/>
      <c r="JN641" s="18"/>
      <c r="JO641" s="18"/>
      <c r="JP641" s="18"/>
      <c r="JQ641" s="18"/>
      <c r="JR641" s="18"/>
      <c r="JS641" s="18"/>
      <c r="JT641" s="18"/>
      <c r="JU641" s="18"/>
      <c r="JV641" s="18"/>
      <c r="JW641" s="18"/>
      <c r="JX641" s="18"/>
      <c r="JY641" s="18"/>
      <c r="JZ641" s="18"/>
      <c r="KA641" s="18"/>
      <c r="KB641" s="18"/>
      <c r="KC641" s="18"/>
      <c r="KD641" s="18"/>
      <c r="KE641" s="18"/>
      <c r="KF641" s="18"/>
      <c r="KG641" s="18"/>
      <c r="KH641" s="18"/>
      <c r="KI641" s="18"/>
      <c r="KJ641" s="18"/>
      <c r="KK641" s="18"/>
      <c r="KL641" s="18"/>
      <c r="KM641" s="18"/>
      <c r="KN641" s="18"/>
      <c r="KO641" s="18"/>
      <c r="KP641" s="18"/>
    </row>
    <row r="642" spans="1:302" ht="15" customHeight="1">
      <c r="A642" s="14"/>
      <c r="B642" s="14"/>
      <c r="F642" s="46"/>
      <c r="G642" s="23"/>
      <c r="H642" s="23"/>
      <c r="I642" s="23"/>
      <c r="J642" s="23"/>
      <c r="K642" s="14"/>
      <c r="L642" s="14"/>
      <c r="P642" s="14"/>
      <c r="AG642" s="44"/>
      <c r="AH642" s="44"/>
      <c r="AI642" s="45"/>
      <c r="AJ642" s="44"/>
      <c r="AK642" s="43"/>
      <c r="AS642" s="14"/>
      <c r="AU642" s="18"/>
      <c r="AV642" s="18"/>
      <c r="AW642" s="18"/>
      <c r="AX642" s="18"/>
      <c r="AY642" s="18"/>
      <c r="AZ642" s="18"/>
      <c r="BB642" s="18"/>
      <c r="BC642" s="18"/>
      <c r="BD642" s="18"/>
      <c r="BE642" s="18"/>
      <c r="BF642" s="18"/>
      <c r="BH642" s="18"/>
      <c r="BI642" s="18"/>
      <c r="BJ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  <c r="FR642" s="18"/>
      <c r="FS642" s="18"/>
      <c r="FT642" s="18"/>
      <c r="FU642" s="18"/>
      <c r="FV642" s="18"/>
      <c r="FW642" s="18"/>
      <c r="FX642" s="18"/>
      <c r="FY642" s="18"/>
      <c r="FZ642" s="18"/>
      <c r="GA642" s="18"/>
      <c r="GB642" s="18"/>
      <c r="GC642" s="18"/>
      <c r="GD642" s="18"/>
      <c r="GE642" s="18"/>
      <c r="GF642" s="18"/>
      <c r="GG642" s="18"/>
      <c r="GH642" s="18"/>
      <c r="GI642" s="18"/>
      <c r="GJ642" s="18"/>
      <c r="GK642" s="18"/>
      <c r="GL642" s="18"/>
      <c r="GM642" s="18"/>
      <c r="GN642" s="18"/>
      <c r="GO642" s="18"/>
      <c r="GP642" s="18"/>
      <c r="GQ642" s="18"/>
      <c r="GR642" s="18"/>
      <c r="GS642" s="18"/>
      <c r="GT642" s="18"/>
      <c r="GU642" s="18"/>
      <c r="GV642" s="18"/>
      <c r="GW642" s="18"/>
      <c r="GX642" s="18"/>
      <c r="GY642" s="18"/>
      <c r="GZ642" s="18"/>
      <c r="HA642" s="18"/>
      <c r="HB642" s="18"/>
      <c r="HC642" s="18"/>
      <c r="HD642" s="18"/>
      <c r="HE642" s="18"/>
      <c r="HF642" s="18"/>
      <c r="HG642" s="13"/>
      <c r="HH642" s="13"/>
      <c r="HI642" s="13"/>
      <c r="HJ642" s="13"/>
      <c r="HK642" s="13"/>
      <c r="HL642" s="13"/>
      <c r="HM642" s="13"/>
      <c r="HN642" s="13"/>
      <c r="HO642" s="13"/>
      <c r="HP642" s="13"/>
      <c r="HQ642" s="13"/>
      <c r="HR642" s="13"/>
      <c r="HS642" s="13"/>
      <c r="HT642" s="13"/>
      <c r="HV642" s="18"/>
      <c r="HW642" s="18"/>
      <c r="HX642" s="18"/>
      <c r="HY642" s="18"/>
      <c r="HZ642" s="18"/>
      <c r="IA642" s="18"/>
      <c r="IB642" s="18"/>
      <c r="IC642" s="18"/>
      <c r="ID642" s="18"/>
      <c r="IE642" s="18"/>
      <c r="IF642" s="18"/>
      <c r="IG642" s="18"/>
      <c r="IH642" s="18"/>
      <c r="II642" s="18"/>
      <c r="IJ642" s="18"/>
      <c r="IK642" s="18"/>
      <c r="IL642" s="18"/>
      <c r="IM642" s="18"/>
      <c r="IN642" s="18"/>
      <c r="IO642" s="18"/>
      <c r="IP642" s="18"/>
      <c r="IQ642" s="18"/>
      <c r="IR642" s="18"/>
      <c r="IS642" s="18"/>
      <c r="IT642" s="18"/>
      <c r="IU642" s="18"/>
      <c r="IV642" s="18"/>
      <c r="IW642" s="18"/>
      <c r="IX642" s="18"/>
      <c r="IY642" s="18"/>
      <c r="IZ642" s="18"/>
      <c r="JA642" s="18"/>
      <c r="JB642" s="18"/>
      <c r="JC642" s="18"/>
      <c r="JD642" s="18"/>
      <c r="JE642" s="18"/>
      <c r="JF642" s="18"/>
      <c r="JG642" s="18"/>
      <c r="JH642" s="18"/>
      <c r="JI642" s="18"/>
      <c r="JJ642" s="18"/>
      <c r="JK642" s="18"/>
      <c r="JL642" s="18"/>
      <c r="JM642" s="18"/>
      <c r="JN642" s="18"/>
      <c r="JO642" s="18"/>
      <c r="JP642" s="18"/>
      <c r="JQ642" s="18"/>
      <c r="JR642" s="18"/>
      <c r="JS642" s="18"/>
      <c r="JT642" s="18"/>
      <c r="JU642" s="18"/>
      <c r="JV642" s="18"/>
      <c r="JW642" s="18"/>
      <c r="JX642" s="18"/>
      <c r="JY642" s="18"/>
      <c r="JZ642" s="18"/>
      <c r="KA642" s="18"/>
      <c r="KB642" s="18"/>
      <c r="KC642" s="18"/>
      <c r="KD642" s="18"/>
      <c r="KE642" s="18"/>
      <c r="KF642" s="18"/>
      <c r="KG642" s="18"/>
      <c r="KH642" s="18"/>
      <c r="KI642" s="18"/>
      <c r="KJ642" s="18"/>
      <c r="KK642" s="18"/>
      <c r="KL642" s="18"/>
      <c r="KM642" s="18"/>
      <c r="KN642" s="18"/>
      <c r="KO642" s="18"/>
      <c r="KP642" s="18"/>
    </row>
    <row r="643" spans="1:302" ht="15" customHeight="1">
      <c r="A643" s="14"/>
      <c r="B643" s="14"/>
      <c r="F643" s="46"/>
      <c r="G643" s="23"/>
      <c r="H643" s="23"/>
      <c r="I643" s="23"/>
      <c r="J643" s="23"/>
      <c r="K643" s="14"/>
      <c r="L643" s="14"/>
      <c r="P643" s="14"/>
      <c r="AG643" s="44"/>
      <c r="AH643" s="44"/>
      <c r="AI643" s="45"/>
      <c r="AJ643" s="44"/>
      <c r="AK643" s="43"/>
      <c r="AS643" s="14"/>
      <c r="AU643" s="18"/>
      <c r="AV643" s="18"/>
      <c r="AW643" s="18"/>
      <c r="AX643" s="18"/>
      <c r="AY643" s="18"/>
      <c r="AZ643" s="18"/>
      <c r="BB643" s="18"/>
      <c r="BC643" s="18"/>
      <c r="BD643" s="18"/>
      <c r="BE643" s="18"/>
      <c r="BF643" s="18"/>
      <c r="BH643" s="18"/>
      <c r="BI643" s="18"/>
      <c r="BJ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  <c r="FR643" s="18"/>
      <c r="FS643" s="18"/>
      <c r="FT643" s="18"/>
      <c r="FU643" s="18"/>
      <c r="FV643" s="18"/>
      <c r="FW643" s="18"/>
      <c r="FX643" s="18"/>
      <c r="FY643" s="18"/>
      <c r="FZ643" s="18"/>
      <c r="GA643" s="18"/>
      <c r="GB643" s="18"/>
      <c r="GC643" s="18"/>
      <c r="GD643" s="18"/>
      <c r="GE643" s="18"/>
      <c r="GF643" s="18"/>
      <c r="GG643" s="18"/>
      <c r="GH643" s="18"/>
      <c r="GI643" s="18"/>
      <c r="GJ643" s="18"/>
      <c r="GK643" s="18"/>
      <c r="GL643" s="18"/>
      <c r="GM643" s="18"/>
      <c r="GN643" s="18"/>
      <c r="GO643" s="18"/>
      <c r="GP643" s="18"/>
      <c r="GQ643" s="18"/>
      <c r="GR643" s="18"/>
      <c r="GS643" s="18"/>
      <c r="GT643" s="18"/>
      <c r="GU643" s="18"/>
      <c r="GV643" s="18"/>
      <c r="GW643" s="18"/>
      <c r="GX643" s="18"/>
      <c r="GY643" s="18"/>
      <c r="GZ643" s="18"/>
      <c r="HA643" s="18"/>
      <c r="HB643" s="18"/>
      <c r="HC643" s="18"/>
      <c r="HD643" s="18"/>
      <c r="HE643" s="18"/>
      <c r="HF643" s="18"/>
      <c r="HG643" s="13"/>
      <c r="HH643" s="13"/>
      <c r="HI643" s="13"/>
      <c r="HJ643" s="13"/>
      <c r="HK643" s="13"/>
      <c r="HL643" s="13"/>
      <c r="HM643" s="13"/>
      <c r="HN643" s="13"/>
      <c r="HO643" s="13"/>
      <c r="HP643" s="13"/>
      <c r="HQ643" s="13"/>
      <c r="HR643" s="13"/>
      <c r="HS643" s="13"/>
      <c r="HT643" s="13"/>
      <c r="HV643" s="18"/>
      <c r="HW643" s="18"/>
      <c r="HX643" s="18"/>
      <c r="HY643" s="18"/>
      <c r="HZ643" s="18"/>
      <c r="IA643" s="18"/>
      <c r="IB643" s="18"/>
      <c r="IC643" s="18"/>
      <c r="ID643" s="18"/>
      <c r="IE643" s="18"/>
      <c r="IF643" s="18"/>
      <c r="IG643" s="18"/>
      <c r="IH643" s="18"/>
      <c r="II643" s="18"/>
      <c r="IJ643" s="18"/>
      <c r="IK643" s="18"/>
      <c r="IL643" s="18"/>
      <c r="IM643" s="18"/>
      <c r="IN643" s="18"/>
      <c r="IO643" s="18"/>
      <c r="IP643" s="18"/>
      <c r="IQ643" s="18"/>
      <c r="IR643" s="18"/>
      <c r="IS643" s="18"/>
      <c r="IT643" s="18"/>
      <c r="IU643" s="18"/>
      <c r="IV643" s="18"/>
      <c r="IW643" s="18"/>
      <c r="IX643" s="18"/>
      <c r="IY643" s="18"/>
      <c r="IZ643" s="18"/>
      <c r="JA643" s="18"/>
      <c r="JB643" s="18"/>
      <c r="JC643" s="18"/>
      <c r="JD643" s="18"/>
      <c r="JE643" s="18"/>
      <c r="JF643" s="18"/>
      <c r="JG643" s="18"/>
      <c r="JH643" s="18"/>
      <c r="JI643" s="18"/>
      <c r="JJ643" s="18"/>
      <c r="JK643" s="18"/>
      <c r="JL643" s="18"/>
      <c r="JM643" s="18"/>
      <c r="JN643" s="18"/>
      <c r="JO643" s="18"/>
      <c r="JP643" s="18"/>
      <c r="JQ643" s="18"/>
      <c r="JR643" s="18"/>
      <c r="JS643" s="18"/>
      <c r="JT643" s="18"/>
      <c r="JU643" s="18"/>
      <c r="JV643" s="18"/>
      <c r="JW643" s="18"/>
      <c r="JX643" s="18"/>
      <c r="JY643" s="18"/>
      <c r="JZ643" s="18"/>
      <c r="KA643" s="18"/>
      <c r="KB643" s="18"/>
      <c r="KC643" s="18"/>
      <c r="KD643" s="18"/>
      <c r="KE643" s="18"/>
      <c r="KF643" s="18"/>
      <c r="KG643" s="18"/>
      <c r="KH643" s="18"/>
      <c r="KI643" s="18"/>
      <c r="KJ643" s="18"/>
      <c r="KK643" s="18"/>
      <c r="KL643" s="18"/>
      <c r="KM643" s="18"/>
      <c r="KN643" s="18"/>
      <c r="KO643" s="18"/>
      <c r="KP643" s="18"/>
    </row>
    <row r="644" spans="1:302" ht="15" customHeight="1">
      <c r="A644" s="14"/>
      <c r="B644" s="14"/>
      <c r="F644" s="46"/>
      <c r="G644" s="23"/>
      <c r="H644" s="23"/>
      <c r="I644" s="23"/>
      <c r="J644" s="23"/>
      <c r="K644" s="14"/>
      <c r="L644" s="14"/>
      <c r="P644" s="14"/>
      <c r="AG644" s="44"/>
      <c r="AH644" s="44"/>
      <c r="AI644" s="45"/>
      <c r="AJ644" s="44"/>
      <c r="AK644" s="43"/>
      <c r="AS644" s="14"/>
      <c r="AU644" s="18"/>
      <c r="AV644" s="18"/>
      <c r="AW644" s="18"/>
      <c r="AX644" s="18"/>
      <c r="AY644" s="18"/>
      <c r="AZ644" s="18"/>
      <c r="BB644" s="18"/>
      <c r="BC644" s="18"/>
      <c r="BD644" s="18"/>
      <c r="BE644" s="18"/>
      <c r="BF644" s="18"/>
      <c r="BH644" s="18"/>
      <c r="BI644" s="18"/>
      <c r="BJ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  <c r="FR644" s="18"/>
      <c r="FS644" s="18"/>
      <c r="FT644" s="18"/>
      <c r="FU644" s="18"/>
      <c r="FV644" s="18"/>
      <c r="FW644" s="18"/>
      <c r="FX644" s="18"/>
      <c r="FY644" s="18"/>
      <c r="FZ644" s="18"/>
      <c r="GA644" s="18"/>
      <c r="GB644" s="18"/>
      <c r="GC644" s="18"/>
      <c r="GD644" s="18"/>
      <c r="GE644" s="18"/>
      <c r="GF644" s="18"/>
      <c r="GG644" s="18"/>
      <c r="GH644" s="18"/>
      <c r="GI644" s="18"/>
      <c r="GJ644" s="18"/>
      <c r="GK644" s="18"/>
      <c r="GL644" s="18"/>
      <c r="GM644" s="18"/>
      <c r="GN644" s="18"/>
      <c r="GO644" s="18"/>
      <c r="GP644" s="18"/>
      <c r="GQ644" s="18"/>
      <c r="GR644" s="18"/>
      <c r="GS644" s="18"/>
      <c r="GT644" s="18"/>
      <c r="GU644" s="18"/>
      <c r="GV644" s="18"/>
      <c r="GW644" s="18"/>
      <c r="GX644" s="18"/>
      <c r="GY644" s="18"/>
      <c r="GZ644" s="18"/>
      <c r="HA644" s="18"/>
      <c r="HB644" s="18"/>
      <c r="HC644" s="18"/>
      <c r="HD644" s="18"/>
      <c r="HE644" s="18"/>
      <c r="HF644" s="18"/>
      <c r="HG644" s="13"/>
      <c r="HH644" s="13"/>
      <c r="HI644" s="13"/>
      <c r="HJ644" s="13"/>
      <c r="HK644" s="13"/>
      <c r="HL644" s="13"/>
      <c r="HM644" s="13"/>
      <c r="HN644" s="13"/>
      <c r="HO644" s="13"/>
      <c r="HP644" s="13"/>
      <c r="HQ644" s="13"/>
      <c r="HR644" s="13"/>
      <c r="HS644" s="13"/>
      <c r="HT644" s="13"/>
      <c r="HV644" s="18"/>
      <c r="HW644" s="18"/>
      <c r="HX644" s="18"/>
      <c r="HY644" s="18"/>
      <c r="HZ644" s="18"/>
      <c r="IA644" s="18"/>
      <c r="IB644" s="18"/>
      <c r="IC644" s="18"/>
      <c r="ID644" s="18"/>
      <c r="IE644" s="18"/>
      <c r="IF644" s="18"/>
      <c r="IG644" s="18"/>
      <c r="IH644" s="18"/>
      <c r="II644" s="18"/>
      <c r="IJ644" s="18"/>
      <c r="IK644" s="18"/>
      <c r="IL644" s="18"/>
      <c r="IM644" s="18"/>
      <c r="IN644" s="18"/>
      <c r="IO644" s="18"/>
      <c r="IP644" s="18"/>
      <c r="IQ644" s="18"/>
      <c r="IR644" s="18"/>
      <c r="IS644" s="18"/>
      <c r="IT644" s="18"/>
      <c r="IU644" s="18"/>
      <c r="IV644" s="18"/>
      <c r="IW644" s="18"/>
      <c r="IX644" s="18"/>
      <c r="IY644" s="18"/>
      <c r="IZ644" s="18"/>
      <c r="JA644" s="18"/>
      <c r="JB644" s="18"/>
      <c r="JC644" s="18"/>
      <c r="JD644" s="18"/>
      <c r="JE644" s="18"/>
      <c r="JF644" s="18"/>
      <c r="JG644" s="18"/>
      <c r="JH644" s="18"/>
      <c r="JI644" s="18"/>
      <c r="JJ644" s="18"/>
      <c r="JK644" s="18"/>
      <c r="JL644" s="18"/>
      <c r="JM644" s="18"/>
      <c r="JN644" s="18"/>
      <c r="JO644" s="18"/>
      <c r="JP644" s="18"/>
      <c r="JQ644" s="18"/>
      <c r="JR644" s="18"/>
      <c r="JS644" s="18"/>
      <c r="JT644" s="18"/>
      <c r="JU644" s="18"/>
      <c r="JV644" s="18"/>
      <c r="JW644" s="18"/>
      <c r="JX644" s="18"/>
      <c r="JY644" s="18"/>
      <c r="JZ644" s="18"/>
      <c r="KA644" s="18"/>
      <c r="KB644" s="18"/>
      <c r="KC644" s="18"/>
      <c r="KD644" s="18"/>
      <c r="KE644" s="18"/>
      <c r="KF644" s="18"/>
      <c r="KG644" s="18"/>
      <c r="KH644" s="18"/>
      <c r="KI644" s="18"/>
      <c r="KJ644" s="18"/>
      <c r="KK644" s="18"/>
      <c r="KL644" s="18"/>
      <c r="KM644" s="18"/>
      <c r="KN644" s="18"/>
      <c r="KO644" s="18"/>
      <c r="KP644" s="18"/>
    </row>
    <row r="645" spans="1:302" ht="15" customHeight="1">
      <c r="A645" s="14"/>
      <c r="B645" s="14"/>
      <c r="F645" s="46"/>
      <c r="G645" s="23"/>
      <c r="H645" s="23"/>
      <c r="I645" s="23"/>
      <c r="J645" s="23"/>
      <c r="K645" s="14"/>
      <c r="L645" s="14"/>
      <c r="P645" s="14"/>
      <c r="AG645" s="44"/>
      <c r="AH645" s="44"/>
      <c r="AI645" s="45"/>
      <c r="AJ645" s="44"/>
      <c r="AK645" s="43"/>
      <c r="AS645" s="14"/>
      <c r="AU645" s="18"/>
      <c r="AV645" s="18"/>
      <c r="AW645" s="18"/>
      <c r="AX645" s="18"/>
      <c r="AY645" s="18"/>
      <c r="AZ645" s="18"/>
      <c r="BB645" s="18"/>
      <c r="BC645" s="18"/>
      <c r="BD645" s="18"/>
      <c r="BE645" s="18"/>
      <c r="BF645" s="18"/>
      <c r="BH645" s="18"/>
      <c r="BI645" s="18"/>
      <c r="BJ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  <c r="FR645" s="18"/>
      <c r="FS645" s="18"/>
      <c r="FT645" s="18"/>
      <c r="FU645" s="18"/>
      <c r="FV645" s="18"/>
      <c r="FW645" s="18"/>
      <c r="FX645" s="18"/>
      <c r="FY645" s="18"/>
      <c r="FZ645" s="18"/>
      <c r="GA645" s="18"/>
      <c r="GB645" s="18"/>
      <c r="GC645" s="18"/>
      <c r="GD645" s="18"/>
      <c r="GE645" s="18"/>
      <c r="GF645" s="18"/>
      <c r="GG645" s="18"/>
      <c r="GH645" s="18"/>
      <c r="GI645" s="18"/>
      <c r="GJ645" s="18"/>
      <c r="GK645" s="18"/>
      <c r="GL645" s="18"/>
      <c r="GM645" s="18"/>
      <c r="GN645" s="18"/>
      <c r="GO645" s="18"/>
      <c r="GP645" s="18"/>
      <c r="GQ645" s="18"/>
      <c r="GR645" s="18"/>
      <c r="GS645" s="18"/>
      <c r="GT645" s="18"/>
      <c r="GU645" s="18"/>
      <c r="GV645" s="18"/>
      <c r="GW645" s="18"/>
      <c r="GX645" s="18"/>
      <c r="GY645" s="18"/>
      <c r="GZ645" s="18"/>
      <c r="HA645" s="18"/>
      <c r="HB645" s="18"/>
      <c r="HC645" s="18"/>
      <c r="HD645" s="18"/>
      <c r="HE645" s="18"/>
      <c r="HF645" s="18"/>
      <c r="HG645" s="13"/>
      <c r="HH645" s="13"/>
      <c r="HI645" s="13"/>
      <c r="HJ645" s="13"/>
      <c r="HK645" s="13"/>
      <c r="HL645" s="13"/>
      <c r="HM645" s="13"/>
      <c r="HN645" s="13"/>
      <c r="HO645" s="13"/>
      <c r="HP645" s="13"/>
      <c r="HQ645" s="13"/>
      <c r="HR645" s="13"/>
      <c r="HS645" s="13"/>
      <c r="HT645" s="13"/>
      <c r="HV645" s="18"/>
      <c r="HW645" s="18"/>
      <c r="HX645" s="18"/>
      <c r="HY645" s="18"/>
      <c r="HZ645" s="18"/>
      <c r="IA645" s="18"/>
      <c r="IB645" s="18"/>
      <c r="IC645" s="18"/>
      <c r="ID645" s="18"/>
      <c r="IE645" s="18"/>
      <c r="IF645" s="18"/>
      <c r="IG645" s="18"/>
      <c r="IH645" s="18"/>
      <c r="II645" s="18"/>
      <c r="IJ645" s="18"/>
      <c r="IK645" s="18"/>
      <c r="IL645" s="18"/>
      <c r="IM645" s="18"/>
      <c r="IN645" s="18"/>
      <c r="IO645" s="18"/>
      <c r="IP645" s="18"/>
      <c r="IQ645" s="18"/>
      <c r="IR645" s="18"/>
      <c r="IS645" s="18"/>
      <c r="IT645" s="18"/>
      <c r="IU645" s="18"/>
      <c r="IV645" s="18"/>
      <c r="IW645" s="18"/>
      <c r="IX645" s="18"/>
      <c r="IY645" s="18"/>
      <c r="IZ645" s="18"/>
      <c r="JA645" s="18"/>
      <c r="JB645" s="18"/>
      <c r="JC645" s="18"/>
      <c r="JD645" s="18"/>
      <c r="JE645" s="18"/>
      <c r="JF645" s="18"/>
      <c r="JG645" s="18"/>
      <c r="JH645" s="18"/>
      <c r="JI645" s="18"/>
      <c r="JJ645" s="18"/>
      <c r="JK645" s="18"/>
      <c r="JL645" s="18"/>
      <c r="JM645" s="18"/>
      <c r="JN645" s="18"/>
      <c r="JO645" s="18"/>
      <c r="JP645" s="18"/>
      <c r="JQ645" s="18"/>
      <c r="JR645" s="18"/>
      <c r="JS645" s="18"/>
      <c r="JT645" s="18"/>
      <c r="JU645" s="18"/>
      <c r="JV645" s="18"/>
      <c r="JW645" s="18"/>
      <c r="JX645" s="18"/>
      <c r="JY645" s="18"/>
      <c r="JZ645" s="18"/>
      <c r="KA645" s="18"/>
      <c r="KB645" s="18"/>
      <c r="KC645" s="18"/>
      <c r="KD645" s="18"/>
      <c r="KE645" s="18"/>
      <c r="KF645" s="18"/>
      <c r="KG645" s="18"/>
      <c r="KH645" s="18"/>
      <c r="KI645" s="18"/>
      <c r="KJ645" s="18"/>
      <c r="KK645" s="18"/>
      <c r="KL645" s="18"/>
      <c r="KM645" s="18"/>
      <c r="KN645" s="18"/>
      <c r="KO645" s="18"/>
      <c r="KP645" s="18"/>
    </row>
    <row r="646" spans="1:302" ht="15" customHeight="1">
      <c r="A646" s="14"/>
      <c r="B646" s="14"/>
      <c r="F646" s="46"/>
      <c r="G646" s="23"/>
      <c r="H646" s="23"/>
      <c r="I646" s="23"/>
      <c r="J646" s="23"/>
      <c r="K646" s="14"/>
      <c r="L646" s="14"/>
      <c r="P646" s="14"/>
      <c r="AG646" s="44"/>
      <c r="AH646" s="44"/>
      <c r="AI646" s="45"/>
      <c r="AJ646" s="44"/>
      <c r="AK646" s="43"/>
      <c r="AS646" s="14"/>
      <c r="AU646" s="18"/>
      <c r="AV646" s="18"/>
      <c r="AW646" s="18"/>
      <c r="AX646" s="18"/>
      <c r="AY646" s="18"/>
      <c r="AZ646" s="18"/>
      <c r="BB646" s="18"/>
      <c r="BC646" s="18"/>
      <c r="BD646" s="18"/>
      <c r="BE646" s="18"/>
      <c r="BF646" s="18"/>
      <c r="BH646" s="18"/>
      <c r="BI646" s="18"/>
      <c r="BJ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  <c r="FR646" s="18"/>
      <c r="FS646" s="18"/>
      <c r="FT646" s="18"/>
      <c r="FU646" s="18"/>
      <c r="FV646" s="18"/>
      <c r="FW646" s="18"/>
      <c r="FX646" s="18"/>
      <c r="FY646" s="18"/>
      <c r="FZ646" s="18"/>
      <c r="GA646" s="18"/>
      <c r="GB646" s="18"/>
      <c r="GC646" s="18"/>
      <c r="GD646" s="18"/>
      <c r="GE646" s="18"/>
      <c r="GF646" s="18"/>
      <c r="GG646" s="18"/>
      <c r="GH646" s="18"/>
      <c r="GI646" s="18"/>
      <c r="GJ646" s="18"/>
      <c r="GK646" s="18"/>
      <c r="GL646" s="18"/>
      <c r="GM646" s="18"/>
      <c r="GN646" s="18"/>
      <c r="GO646" s="18"/>
      <c r="GP646" s="18"/>
      <c r="GQ646" s="18"/>
      <c r="GR646" s="18"/>
      <c r="GS646" s="18"/>
      <c r="GT646" s="18"/>
      <c r="GU646" s="18"/>
      <c r="GV646" s="18"/>
      <c r="GW646" s="18"/>
      <c r="GX646" s="18"/>
      <c r="GY646" s="18"/>
      <c r="GZ646" s="18"/>
      <c r="HA646" s="18"/>
      <c r="HB646" s="18"/>
      <c r="HC646" s="18"/>
      <c r="HD646" s="18"/>
      <c r="HE646" s="18"/>
      <c r="HF646" s="18"/>
      <c r="HG646" s="13"/>
      <c r="HH646" s="13"/>
      <c r="HI646" s="13"/>
      <c r="HJ646" s="13"/>
      <c r="HK646" s="13"/>
      <c r="HL646" s="13"/>
      <c r="HM646" s="13"/>
      <c r="HN646" s="13"/>
      <c r="HO646" s="13"/>
      <c r="HP646" s="13"/>
      <c r="HQ646" s="13"/>
      <c r="HR646" s="13"/>
      <c r="HS646" s="13"/>
      <c r="HT646" s="13"/>
      <c r="HV646" s="18"/>
      <c r="HW646" s="18"/>
      <c r="HX646" s="18"/>
      <c r="HY646" s="18"/>
      <c r="HZ646" s="18"/>
      <c r="IA646" s="18"/>
      <c r="IB646" s="18"/>
      <c r="IC646" s="18"/>
      <c r="ID646" s="18"/>
      <c r="IE646" s="18"/>
      <c r="IF646" s="18"/>
      <c r="IG646" s="18"/>
      <c r="IH646" s="18"/>
      <c r="II646" s="18"/>
      <c r="IJ646" s="18"/>
      <c r="IK646" s="18"/>
      <c r="IL646" s="18"/>
      <c r="IM646" s="18"/>
      <c r="IN646" s="18"/>
      <c r="IO646" s="18"/>
      <c r="IP646" s="18"/>
      <c r="IQ646" s="18"/>
      <c r="IR646" s="18"/>
      <c r="IS646" s="18"/>
      <c r="IT646" s="18"/>
      <c r="IU646" s="18"/>
      <c r="IV646" s="18"/>
      <c r="IW646" s="18"/>
      <c r="IX646" s="18"/>
      <c r="IY646" s="18"/>
      <c r="IZ646" s="18"/>
      <c r="JA646" s="18"/>
      <c r="JB646" s="18"/>
      <c r="JC646" s="18"/>
      <c r="JD646" s="18"/>
      <c r="JE646" s="18"/>
      <c r="JF646" s="18"/>
      <c r="JG646" s="18"/>
      <c r="JH646" s="18"/>
      <c r="JI646" s="18"/>
      <c r="JJ646" s="18"/>
      <c r="JK646" s="18"/>
      <c r="JL646" s="18"/>
      <c r="JM646" s="18"/>
      <c r="JN646" s="18"/>
      <c r="JO646" s="18"/>
      <c r="JP646" s="18"/>
      <c r="JQ646" s="18"/>
      <c r="JR646" s="18"/>
      <c r="JS646" s="18"/>
      <c r="JT646" s="18"/>
      <c r="JU646" s="18"/>
      <c r="JV646" s="18"/>
      <c r="JW646" s="18"/>
      <c r="JX646" s="18"/>
      <c r="JY646" s="18"/>
      <c r="JZ646" s="18"/>
      <c r="KA646" s="18"/>
      <c r="KB646" s="18"/>
      <c r="KC646" s="18"/>
      <c r="KD646" s="18"/>
      <c r="KE646" s="18"/>
      <c r="KF646" s="18"/>
      <c r="KG646" s="18"/>
      <c r="KH646" s="18"/>
      <c r="KI646" s="18"/>
      <c r="KJ646" s="18"/>
      <c r="KK646" s="18"/>
      <c r="KL646" s="18"/>
      <c r="KM646" s="18"/>
      <c r="KN646" s="18"/>
      <c r="KO646" s="18"/>
      <c r="KP646" s="18"/>
    </row>
    <row r="647" spans="1:302" ht="15" customHeight="1">
      <c r="A647" s="14"/>
      <c r="B647" s="14"/>
      <c r="F647" s="46"/>
      <c r="G647" s="23"/>
      <c r="H647" s="23"/>
      <c r="I647" s="23"/>
      <c r="J647" s="23"/>
      <c r="K647" s="14"/>
      <c r="L647" s="14"/>
      <c r="P647" s="14"/>
      <c r="AG647" s="44"/>
      <c r="AH647" s="44"/>
      <c r="AI647" s="45"/>
      <c r="AJ647" s="44"/>
      <c r="AK647" s="43"/>
      <c r="AS647" s="14"/>
      <c r="AU647" s="18"/>
      <c r="AV647" s="18"/>
      <c r="AW647" s="18"/>
      <c r="AX647" s="18"/>
      <c r="AY647" s="18"/>
      <c r="AZ647" s="18"/>
      <c r="BB647" s="18"/>
      <c r="BC647" s="18"/>
      <c r="BD647" s="18"/>
      <c r="BE647" s="18"/>
      <c r="BF647" s="18"/>
      <c r="BH647" s="18"/>
      <c r="BI647" s="18"/>
      <c r="BJ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  <c r="FR647" s="18"/>
      <c r="FS647" s="18"/>
      <c r="FT647" s="18"/>
      <c r="FU647" s="18"/>
      <c r="FV647" s="18"/>
      <c r="FW647" s="18"/>
      <c r="FX647" s="18"/>
      <c r="FY647" s="18"/>
      <c r="FZ647" s="18"/>
      <c r="GA647" s="18"/>
      <c r="GB647" s="18"/>
      <c r="GC647" s="18"/>
      <c r="GD647" s="18"/>
      <c r="GE647" s="18"/>
      <c r="GF647" s="18"/>
      <c r="GG647" s="18"/>
      <c r="GH647" s="18"/>
      <c r="GI647" s="18"/>
      <c r="GJ647" s="18"/>
      <c r="GK647" s="18"/>
      <c r="GL647" s="18"/>
      <c r="GM647" s="18"/>
      <c r="GN647" s="18"/>
      <c r="GO647" s="18"/>
      <c r="GP647" s="18"/>
      <c r="GQ647" s="18"/>
      <c r="GR647" s="18"/>
      <c r="GS647" s="18"/>
      <c r="GT647" s="18"/>
      <c r="GU647" s="18"/>
      <c r="GV647" s="18"/>
      <c r="GW647" s="18"/>
      <c r="GX647" s="18"/>
      <c r="GY647" s="18"/>
      <c r="GZ647" s="18"/>
      <c r="HA647" s="18"/>
      <c r="HB647" s="18"/>
      <c r="HC647" s="18"/>
      <c r="HD647" s="18"/>
      <c r="HE647" s="18"/>
      <c r="HF647" s="18"/>
      <c r="HG647" s="13"/>
      <c r="HH647" s="13"/>
      <c r="HI647" s="13"/>
      <c r="HJ647" s="13"/>
      <c r="HK647" s="13"/>
      <c r="HL647" s="13"/>
      <c r="HM647" s="13"/>
      <c r="HN647" s="13"/>
      <c r="HO647" s="13"/>
      <c r="HP647" s="13"/>
      <c r="HQ647" s="13"/>
      <c r="HR647" s="13"/>
      <c r="HS647" s="13"/>
      <c r="HT647" s="13"/>
      <c r="HV647" s="18"/>
      <c r="HW647" s="18"/>
      <c r="HX647" s="18"/>
      <c r="HY647" s="18"/>
      <c r="HZ647" s="18"/>
      <c r="IA647" s="18"/>
      <c r="IB647" s="18"/>
      <c r="IC647" s="18"/>
      <c r="ID647" s="18"/>
      <c r="IE647" s="18"/>
      <c r="IF647" s="18"/>
      <c r="IG647" s="18"/>
      <c r="IH647" s="18"/>
      <c r="II647" s="18"/>
      <c r="IJ647" s="18"/>
      <c r="IK647" s="18"/>
      <c r="IL647" s="18"/>
      <c r="IM647" s="18"/>
      <c r="IN647" s="18"/>
      <c r="IO647" s="18"/>
      <c r="IP647" s="18"/>
      <c r="IQ647" s="18"/>
      <c r="IR647" s="18"/>
      <c r="IS647" s="18"/>
      <c r="IT647" s="18"/>
      <c r="IU647" s="18"/>
      <c r="IV647" s="18"/>
      <c r="IW647" s="18"/>
      <c r="IX647" s="18"/>
      <c r="IY647" s="18"/>
      <c r="IZ647" s="18"/>
      <c r="JA647" s="18"/>
      <c r="JB647" s="18"/>
      <c r="JC647" s="18"/>
      <c r="JD647" s="18"/>
      <c r="JE647" s="18"/>
      <c r="JF647" s="18"/>
      <c r="JG647" s="18"/>
      <c r="JH647" s="18"/>
      <c r="JI647" s="18"/>
      <c r="JJ647" s="18"/>
      <c r="JK647" s="18"/>
      <c r="JL647" s="18"/>
      <c r="JM647" s="18"/>
      <c r="JN647" s="18"/>
      <c r="JO647" s="18"/>
      <c r="JP647" s="18"/>
      <c r="JQ647" s="18"/>
      <c r="JR647" s="18"/>
      <c r="JS647" s="18"/>
      <c r="JT647" s="18"/>
      <c r="JU647" s="18"/>
      <c r="JV647" s="18"/>
      <c r="JW647" s="18"/>
      <c r="JX647" s="18"/>
      <c r="JY647" s="18"/>
      <c r="JZ647" s="18"/>
      <c r="KA647" s="18"/>
      <c r="KB647" s="18"/>
      <c r="KC647" s="18"/>
      <c r="KD647" s="18"/>
      <c r="KE647" s="18"/>
      <c r="KF647" s="18"/>
      <c r="KG647" s="18"/>
      <c r="KH647" s="18"/>
      <c r="KI647" s="18"/>
      <c r="KJ647" s="18"/>
      <c r="KK647" s="18"/>
      <c r="KL647" s="18"/>
      <c r="KM647" s="18"/>
      <c r="KN647" s="18"/>
      <c r="KO647" s="18"/>
      <c r="KP647" s="18"/>
    </row>
    <row r="648" spans="1:302" ht="15" customHeight="1">
      <c r="A648" s="14"/>
      <c r="B648" s="14"/>
      <c r="F648" s="46"/>
      <c r="G648" s="23"/>
      <c r="H648" s="23"/>
      <c r="I648" s="23"/>
      <c r="J648" s="23"/>
      <c r="K648" s="14"/>
      <c r="L648" s="14"/>
      <c r="P648" s="14"/>
      <c r="AG648" s="44"/>
      <c r="AH648" s="44"/>
      <c r="AI648" s="45"/>
      <c r="AJ648" s="44"/>
      <c r="AK648" s="43"/>
      <c r="AS648" s="14"/>
      <c r="AU648" s="18"/>
      <c r="AV648" s="18"/>
      <c r="AW648" s="18"/>
      <c r="AX648" s="18"/>
      <c r="AY648" s="18"/>
      <c r="AZ648" s="18"/>
      <c r="BB648" s="18"/>
      <c r="BC648" s="18"/>
      <c r="BD648" s="18"/>
      <c r="BE648" s="18"/>
      <c r="BF648" s="18"/>
      <c r="BH648" s="18"/>
      <c r="BI648" s="18"/>
      <c r="BJ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  <c r="FR648" s="18"/>
      <c r="FS648" s="18"/>
      <c r="FT648" s="18"/>
      <c r="FU648" s="18"/>
      <c r="FV648" s="18"/>
      <c r="FW648" s="18"/>
      <c r="FX648" s="18"/>
      <c r="FY648" s="18"/>
      <c r="FZ648" s="18"/>
      <c r="GA648" s="18"/>
      <c r="GB648" s="18"/>
      <c r="GC648" s="18"/>
      <c r="GD648" s="18"/>
      <c r="GE648" s="18"/>
      <c r="GF648" s="18"/>
      <c r="GG648" s="18"/>
      <c r="GH648" s="18"/>
      <c r="GI648" s="18"/>
      <c r="GJ648" s="18"/>
      <c r="GK648" s="18"/>
      <c r="GL648" s="18"/>
      <c r="GM648" s="18"/>
      <c r="GN648" s="18"/>
      <c r="GO648" s="18"/>
      <c r="GP648" s="18"/>
      <c r="GQ648" s="18"/>
      <c r="GR648" s="18"/>
      <c r="GS648" s="18"/>
      <c r="GT648" s="18"/>
      <c r="GU648" s="18"/>
      <c r="GV648" s="18"/>
      <c r="GW648" s="18"/>
      <c r="GX648" s="18"/>
      <c r="GY648" s="18"/>
      <c r="GZ648" s="18"/>
      <c r="HA648" s="18"/>
      <c r="HB648" s="18"/>
      <c r="HC648" s="18"/>
      <c r="HD648" s="18"/>
      <c r="HE648" s="18"/>
      <c r="HF648" s="18"/>
      <c r="HG648" s="13"/>
      <c r="HH648" s="13"/>
      <c r="HI648" s="13"/>
      <c r="HJ648" s="13"/>
      <c r="HK648" s="13"/>
      <c r="HL648" s="13"/>
      <c r="HM648" s="13"/>
      <c r="HN648" s="13"/>
      <c r="HO648" s="13"/>
      <c r="HP648" s="13"/>
      <c r="HQ648" s="13"/>
      <c r="HR648" s="13"/>
      <c r="HS648" s="13"/>
      <c r="HT648" s="13"/>
      <c r="HV648" s="18"/>
      <c r="HW648" s="18"/>
      <c r="HX648" s="18"/>
      <c r="HY648" s="18"/>
      <c r="HZ648" s="18"/>
      <c r="IA648" s="18"/>
      <c r="IB648" s="18"/>
      <c r="IC648" s="18"/>
      <c r="ID648" s="18"/>
      <c r="IE648" s="18"/>
      <c r="IF648" s="18"/>
      <c r="IG648" s="18"/>
      <c r="IH648" s="18"/>
      <c r="II648" s="18"/>
      <c r="IJ648" s="18"/>
      <c r="IK648" s="18"/>
      <c r="IL648" s="18"/>
      <c r="IM648" s="18"/>
      <c r="IN648" s="18"/>
      <c r="IO648" s="18"/>
      <c r="IP648" s="18"/>
      <c r="IQ648" s="18"/>
      <c r="IR648" s="18"/>
      <c r="IS648" s="18"/>
      <c r="IT648" s="18"/>
      <c r="IU648" s="18"/>
      <c r="IV648" s="18"/>
      <c r="IW648" s="18"/>
      <c r="IX648" s="18"/>
      <c r="IY648" s="18"/>
      <c r="IZ648" s="18"/>
      <c r="JA648" s="18"/>
      <c r="JB648" s="18"/>
      <c r="JC648" s="18"/>
      <c r="JD648" s="18"/>
      <c r="JE648" s="18"/>
      <c r="JF648" s="18"/>
      <c r="JG648" s="18"/>
      <c r="JH648" s="18"/>
      <c r="JI648" s="18"/>
      <c r="JJ648" s="18"/>
      <c r="JK648" s="18"/>
      <c r="JL648" s="18"/>
      <c r="JM648" s="18"/>
      <c r="JN648" s="18"/>
      <c r="JO648" s="18"/>
      <c r="JP648" s="18"/>
      <c r="JQ648" s="18"/>
      <c r="JR648" s="18"/>
      <c r="JS648" s="18"/>
      <c r="JT648" s="18"/>
      <c r="JU648" s="18"/>
      <c r="JV648" s="18"/>
      <c r="JW648" s="18"/>
      <c r="JX648" s="18"/>
      <c r="JY648" s="18"/>
      <c r="JZ648" s="18"/>
      <c r="KA648" s="18"/>
      <c r="KB648" s="18"/>
      <c r="KC648" s="18"/>
      <c r="KD648" s="18"/>
      <c r="KE648" s="18"/>
      <c r="KF648" s="18"/>
      <c r="KG648" s="18"/>
      <c r="KH648" s="18"/>
      <c r="KI648" s="18"/>
      <c r="KJ648" s="18"/>
      <c r="KK648" s="18"/>
      <c r="KL648" s="18"/>
      <c r="KM648" s="18"/>
      <c r="KN648" s="18"/>
      <c r="KO648" s="18"/>
      <c r="KP648" s="18"/>
    </row>
    <row r="649" spans="1:302" ht="15" customHeight="1">
      <c r="A649" s="14"/>
      <c r="B649" s="14"/>
      <c r="F649" s="46"/>
      <c r="G649" s="23"/>
      <c r="H649" s="23"/>
      <c r="I649" s="23"/>
      <c r="J649" s="23"/>
      <c r="K649" s="14"/>
      <c r="L649" s="14"/>
      <c r="P649" s="14"/>
      <c r="AG649" s="44"/>
      <c r="AH649" s="44"/>
      <c r="AI649" s="45"/>
      <c r="AJ649" s="44"/>
      <c r="AK649" s="43"/>
      <c r="AS649" s="14"/>
      <c r="AU649" s="18"/>
      <c r="AV649" s="18"/>
      <c r="AW649" s="18"/>
      <c r="AX649" s="18"/>
      <c r="AY649" s="18"/>
      <c r="AZ649" s="18"/>
      <c r="BB649" s="18"/>
      <c r="BC649" s="18"/>
      <c r="BD649" s="18"/>
      <c r="BE649" s="18"/>
      <c r="BF649" s="18"/>
      <c r="BH649" s="18"/>
      <c r="BI649" s="18"/>
      <c r="BJ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  <c r="FR649" s="18"/>
      <c r="FS649" s="18"/>
      <c r="FT649" s="18"/>
      <c r="FU649" s="18"/>
      <c r="FV649" s="18"/>
      <c r="FW649" s="18"/>
      <c r="FX649" s="18"/>
      <c r="FY649" s="18"/>
      <c r="FZ649" s="18"/>
      <c r="GA649" s="18"/>
      <c r="GB649" s="18"/>
      <c r="GC649" s="18"/>
      <c r="GD649" s="18"/>
      <c r="GE649" s="18"/>
      <c r="GF649" s="18"/>
      <c r="GG649" s="18"/>
      <c r="GH649" s="18"/>
      <c r="GI649" s="18"/>
      <c r="GJ649" s="18"/>
      <c r="GK649" s="18"/>
      <c r="GL649" s="18"/>
      <c r="GM649" s="18"/>
      <c r="GN649" s="18"/>
      <c r="GO649" s="18"/>
      <c r="GP649" s="18"/>
      <c r="GQ649" s="18"/>
      <c r="GR649" s="18"/>
      <c r="GS649" s="18"/>
      <c r="GT649" s="18"/>
      <c r="GU649" s="18"/>
      <c r="GV649" s="18"/>
      <c r="GW649" s="18"/>
      <c r="GX649" s="18"/>
      <c r="GY649" s="18"/>
      <c r="GZ649" s="18"/>
      <c r="HA649" s="18"/>
      <c r="HB649" s="18"/>
      <c r="HC649" s="18"/>
      <c r="HD649" s="18"/>
      <c r="HE649" s="18"/>
      <c r="HF649" s="18"/>
      <c r="HG649" s="13"/>
      <c r="HH649" s="13"/>
      <c r="HI649" s="13"/>
      <c r="HJ649" s="13"/>
      <c r="HK649" s="13"/>
      <c r="HL649" s="13"/>
      <c r="HM649" s="13"/>
      <c r="HN649" s="13"/>
      <c r="HO649" s="13"/>
      <c r="HP649" s="13"/>
      <c r="HQ649" s="13"/>
      <c r="HR649" s="13"/>
      <c r="HS649" s="13"/>
      <c r="HT649" s="13"/>
      <c r="HV649" s="18"/>
      <c r="HW649" s="18"/>
      <c r="HX649" s="18"/>
      <c r="HY649" s="18"/>
      <c r="HZ649" s="18"/>
      <c r="IA649" s="18"/>
      <c r="IB649" s="18"/>
      <c r="IC649" s="18"/>
      <c r="ID649" s="18"/>
      <c r="IE649" s="18"/>
      <c r="IF649" s="18"/>
      <c r="IG649" s="18"/>
      <c r="IH649" s="18"/>
      <c r="II649" s="18"/>
      <c r="IJ649" s="18"/>
      <c r="IK649" s="18"/>
      <c r="IL649" s="18"/>
      <c r="IM649" s="18"/>
      <c r="IN649" s="18"/>
      <c r="IO649" s="18"/>
      <c r="IP649" s="18"/>
      <c r="IQ649" s="18"/>
      <c r="IR649" s="18"/>
      <c r="IS649" s="18"/>
      <c r="IT649" s="18"/>
      <c r="IU649" s="18"/>
      <c r="IV649" s="18"/>
      <c r="IW649" s="18"/>
      <c r="IX649" s="18"/>
      <c r="IY649" s="18"/>
      <c r="IZ649" s="18"/>
      <c r="JA649" s="18"/>
      <c r="JB649" s="18"/>
      <c r="JC649" s="18"/>
      <c r="JD649" s="18"/>
      <c r="JE649" s="18"/>
      <c r="JF649" s="18"/>
      <c r="JG649" s="18"/>
      <c r="JH649" s="18"/>
      <c r="JI649" s="18"/>
      <c r="JJ649" s="18"/>
      <c r="JK649" s="18"/>
      <c r="JL649" s="18"/>
      <c r="JM649" s="18"/>
      <c r="JN649" s="18"/>
      <c r="JO649" s="18"/>
      <c r="JP649" s="18"/>
      <c r="JQ649" s="18"/>
      <c r="JR649" s="18"/>
      <c r="JS649" s="18"/>
      <c r="JT649" s="18"/>
      <c r="JU649" s="18"/>
      <c r="JV649" s="18"/>
      <c r="JW649" s="18"/>
      <c r="JX649" s="18"/>
      <c r="JY649" s="18"/>
      <c r="JZ649" s="18"/>
      <c r="KA649" s="18"/>
      <c r="KB649" s="18"/>
      <c r="KC649" s="18"/>
      <c r="KD649" s="18"/>
      <c r="KE649" s="18"/>
      <c r="KF649" s="18"/>
      <c r="KG649" s="18"/>
      <c r="KH649" s="18"/>
      <c r="KI649" s="18"/>
      <c r="KJ649" s="18"/>
      <c r="KK649" s="18"/>
      <c r="KL649" s="18"/>
      <c r="KM649" s="18"/>
      <c r="KN649" s="18"/>
      <c r="KO649" s="18"/>
      <c r="KP649" s="18"/>
    </row>
    <row r="650" spans="1:302" ht="15" customHeight="1">
      <c r="A650" s="14"/>
      <c r="B650" s="14"/>
      <c r="F650" s="46"/>
      <c r="G650" s="23"/>
      <c r="H650" s="23"/>
      <c r="I650" s="23"/>
      <c r="J650" s="23"/>
      <c r="K650" s="14"/>
      <c r="L650" s="14"/>
      <c r="P650" s="14"/>
      <c r="AG650" s="44"/>
      <c r="AH650" s="44"/>
      <c r="AI650" s="45"/>
      <c r="AJ650" s="44"/>
      <c r="AK650" s="43"/>
      <c r="AS650" s="14"/>
      <c r="AU650" s="18"/>
      <c r="AV650" s="18"/>
      <c r="AW650" s="18"/>
      <c r="AX650" s="18"/>
      <c r="AY650" s="18"/>
      <c r="AZ650" s="18"/>
      <c r="BB650" s="18"/>
      <c r="BC650" s="18"/>
      <c r="BD650" s="18"/>
      <c r="BE650" s="18"/>
      <c r="BF650" s="18"/>
      <c r="BH650" s="18"/>
      <c r="BI650" s="18"/>
      <c r="BJ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  <c r="FR650" s="18"/>
      <c r="FS650" s="18"/>
      <c r="FT650" s="18"/>
      <c r="FU650" s="18"/>
      <c r="FV650" s="18"/>
      <c r="FW650" s="18"/>
      <c r="FX650" s="18"/>
      <c r="FY650" s="18"/>
      <c r="FZ650" s="18"/>
      <c r="GA650" s="18"/>
      <c r="GB650" s="18"/>
      <c r="GC650" s="18"/>
      <c r="GD650" s="18"/>
      <c r="GE650" s="18"/>
      <c r="GF650" s="18"/>
      <c r="GG650" s="18"/>
      <c r="GH650" s="18"/>
      <c r="GI650" s="18"/>
      <c r="GJ650" s="18"/>
      <c r="GK650" s="18"/>
      <c r="GL650" s="18"/>
      <c r="GM650" s="18"/>
      <c r="GN650" s="18"/>
      <c r="GO650" s="18"/>
      <c r="GP650" s="18"/>
      <c r="GQ650" s="18"/>
      <c r="GR650" s="18"/>
      <c r="GS650" s="18"/>
      <c r="GT650" s="18"/>
      <c r="GU650" s="18"/>
      <c r="GV650" s="18"/>
      <c r="GW650" s="18"/>
      <c r="GX650" s="18"/>
      <c r="GY650" s="18"/>
      <c r="GZ650" s="18"/>
      <c r="HA650" s="18"/>
      <c r="HB650" s="18"/>
      <c r="HC650" s="18"/>
      <c r="HD650" s="18"/>
      <c r="HE650" s="18"/>
      <c r="HF650" s="18"/>
      <c r="HG650" s="13"/>
      <c r="HH650" s="13"/>
      <c r="HI650" s="13"/>
      <c r="HJ650" s="13"/>
      <c r="HK650" s="13"/>
      <c r="HL650" s="13"/>
      <c r="HM650" s="13"/>
      <c r="HN650" s="13"/>
      <c r="HO650" s="13"/>
      <c r="HP650" s="13"/>
      <c r="HQ650" s="13"/>
      <c r="HR650" s="13"/>
      <c r="HS650" s="13"/>
      <c r="HT650" s="13"/>
      <c r="HV650" s="18"/>
      <c r="HW650" s="18"/>
      <c r="HX650" s="18"/>
      <c r="HY650" s="18"/>
      <c r="HZ650" s="18"/>
      <c r="IA650" s="18"/>
      <c r="IB650" s="18"/>
      <c r="IC650" s="18"/>
      <c r="ID650" s="18"/>
      <c r="IE650" s="18"/>
      <c r="IF650" s="18"/>
      <c r="IG650" s="18"/>
      <c r="IH650" s="18"/>
      <c r="II650" s="18"/>
      <c r="IJ650" s="18"/>
      <c r="IK650" s="18"/>
      <c r="IL650" s="18"/>
      <c r="IM650" s="18"/>
      <c r="IN650" s="18"/>
      <c r="IO650" s="18"/>
      <c r="IP650" s="18"/>
      <c r="IQ650" s="18"/>
      <c r="IR650" s="18"/>
      <c r="IS650" s="18"/>
      <c r="IT650" s="18"/>
      <c r="IU650" s="18"/>
      <c r="IV650" s="18"/>
      <c r="IW650" s="18"/>
      <c r="IX650" s="18"/>
      <c r="IY650" s="18"/>
      <c r="IZ650" s="18"/>
      <c r="JA650" s="18"/>
      <c r="JB650" s="18"/>
      <c r="JC650" s="18"/>
      <c r="JD650" s="18"/>
      <c r="JE650" s="18"/>
      <c r="JF650" s="18"/>
      <c r="JG650" s="18"/>
      <c r="JH650" s="18"/>
      <c r="JI650" s="18"/>
      <c r="JJ650" s="18"/>
      <c r="JK650" s="18"/>
      <c r="JL650" s="18"/>
      <c r="JM650" s="18"/>
      <c r="JN650" s="18"/>
      <c r="JO650" s="18"/>
      <c r="JP650" s="18"/>
      <c r="JQ650" s="18"/>
      <c r="JR650" s="18"/>
      <c r="JS650" s="18"/>
      <c r="JT650" s="18"/>
      <c r="JU650" s="18"/>
      <c r="JV650" s="18"/>
      <c r="JW650" s="18"/>
      <c r="JX650" s="18"/>
      <c r="JY650" s="18"/>
      <c r="JZ650" s="18"/>
      <c r="KA650" s="18"/>
      <c r="KB650" s="18"/>
      <c r="KC650" s="18"/>
      <c r="KD650" s="18"/>
      <c r="KE650" s="18"/>
      <c r="KF650" s="18"/>
      <c r="KG650" s="18"/>
      <c r="KH650" s="18"/>
      <c r="KI650" s="18"/>
      <c r="KJ650" s="18"/>
      <c r="KK650" s="18"/>
      <c r="KL650" s="18"/>
      <c r="KM650" s="18"/>
      <c r="KN650" s="18"/>
      <c r="KO650" s="18"/>
      <c r="KP650" s="18"/>
    </row>
    <row r="651" spans="1:302" ht="15" customHeight="1">
      <c r="A651" s="14"/>
      <c r="B651" s="14"/>
      <c r="F651" s="46"/>
      <c r="G651" s="23"/>
      <c r="H651" s="23"/>
      <c r="I651" s="23"/>
      <c r="J651" s="23"/>
      <c r="K651" s="14"/>
      <c r="L651" s="14"/>
      <c r="P651" s="14"/>
      <c r="AG651" s="44"/>
      <c r="AH651" s="44"/>
      <c r="AI651" s="45"/>
      <c r="AJ651" s="44"/>
      <c r="AK651" s="43"/>
      <c r="AS651" s="14"/>
      <c r="AU651" s="18"/>
      <c r="AV651" s="18"/>
      <c r="AW651" s="18"/>
      <c r="AX651" s="18"/>
      <c r="AY651" s="18"/>
      <c r="AZ651" s="18"/>
      <c r="BB651" s="18"/>
      <c r="BC651" s="18"/>
      <c r="BD651" s="18"/>
      <c r="BE651" s="18"/>
      <c r="BF651" s="18"/>
      <c r="BH651" s="18"/>
      <c r="BI651" s="18"/>
      <c r="BJ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  <c r="FR651" s="18"/>
      <c r="FS651" s="18"/>
      <c r="FT651" s="18"/>
      <c r="FU651" s="18"/>
      <c r="FV651" s="18"/>
      <c r="FW651" s="18"/>
      <c r="FX651" s="18"/>
      <c r="FY651" s="18"/>
      <c r="FZ651" s="18"/>
      <c r="GA651" s="18"/>
      <c r="GB651" s="18"/>
      <c r="GC651" s="18"/>
      <c r="GD651" s="18"/>
      <c r="GE651" s="18"/>
      <c r="GF651" s="18"/>
      <c r="GG651" s="18"/>
      <c r="GH651" s="18"/>
      <c r="GI651" s="18"/>
      <c r="GJ651" s="18"/>
      <c r="GK651" s="18"/>
      <c r="GL651" s="18"/>
      <c r="GM651" s="18"/>
      <c r="GN651" s="18"/>
      <c r="GO651" s="18"/>
      <c r="GP651" s="18"/>
      <c r="GQ651" s="18"/>
      <c r="GR651" s="18"/>
      <c r="GS651" s="18"/>
      <c r="GT651" s="18"/>
      <c r="GU651" s="18"/>
      <c r="GV651" s="18"/>
      <c r="GW651" s="18"/>
      <c r="GX651" s="18"/>
      <c r="GY651" s="18"/>
      <c r="GZ651" s="18"/>
      <c r="HA651" s="18"/>
      <c r="HB651" s="18"/>
      <c r="HC651" s="18"/>
      <c r="HD651" s="18"/>
      <c r="HE651" s="18"/>
      <c r="HF651" s="18"/>
      <c r="HG651" s="13"/>
      <c r="HH651" s="13"/>
      <c r="HI651" s="13"/>
      <c r="HJ651" s="13"/>
      <c r="HK651" s="13"/>
      <c r="HL651" s="13"/>
      <c r="HM651" s="13"/>
      <c r="HN651" s="13"/>
      <c r="HO651" s="13"/>
      <c r="HP651" s="13"/>
      <c r="HQ651" s="13"/>
      <c r="HR651" s="13"/>
      <c r="HS651" s="13"/>
      <c r="HT651" s="13"/>
      <c r="HV651" s="18"/>
      <c r="HW651" s="18"/>
      <c r="HX651" s="18"/>
      <c r="HY651" s="18"/>
      <c r="HZ651" s="18"/>
      <c r="IA651" s="18"/>
      <c r="IB651" s="18"/>
      <c r="IC651" s="18"/>
      <c r="ID651" s="18"/>
      <c r="IE651" s="18"/>
      <c r="IF651" s="18"/>
      <c r="IG651" s="18"/>
      <c r="IH651" s="18"/>
      <c r="II651" s="18"/>
      <c r="IJ651" s="18"/>
      <c r="IK651" s="18"/>
      <c r="IL651" s="18"/>
      <c r="IM651" s="18"/>
      <c r="IN651" s="18"/>
      <c r="IO651" s="18"/>
      <c r="IP651" s="18"/>
      <c r="IQ651" s="18"/>
      <c r="IR651" s="18"/>
      <c r="IS651" s="18"/>
      <c r="IT651" s="18"/>
      <c r="IU651" s="18"/>
      <c r="IV651" s="18"/>
      <c r="IW651" s="18"/>
      <c r="IX651" s="18"/>
      <c r="IY651" s="18"/>
      <c r="IZ651" s="18"/>
      <c r="JA651" s="18"/>
      <c r="JB651" s="18"/>
      <c r="JC651" s="18"/>
      <c r="JD651" s="18"/>
      <c r="JE651" s="18"/>
      <c r="JF651" s="18"/>
      <c r="JG651" s="18"/>
      <c r="JH651" s="18"/>
      <c r="JI651" s="18"/>
      <c r="JJ651" s="18"/>
      <c r="JK651" s="18"/>
      <c r="JL651" s="18"/>
      <c r="JM651" s="18"/>
      <c r="JN651" s="18"/>
      <c r="JO651" s="18"/>
      <c r="JP651" s="18"/>
      <c r="JQ651" s="18"/>
      <c r="JR651" s="18"/>
      <c r="JS651" s="18"/>
      <c r="JT651" s="18"/>
      <c r="JU651" s="18"/>
      <c r="JV651" s="18"/>
      <c r="JW651" s="18"/>
      <c r="JX651" s="18"/>
      <c r="JY651" s="18"/>
      <c r="JZ651" s="18"/>
      <c r="KA651" s="18"/>
      <c r="KB651" s="18"/>
      <c r="KC651" s="18"/>
      <c r="KD651" s="18"/>
      <c r="KE651" s="18"/>
      <c r="KF651" s="18"/>
      <c r="KG651" s="18"/>
      <c r="KH651" s="18"/>
      <c r="KI651" s="18"/>
      <c r="KJ651" s="18"/>
      <c r="KK651" s="18"/>
      <c r="KL651" s="18"/>
      <c r="KM651" s="18"/>
      <c r="KN651" s="18"/>
      <c r="KO651" s="18"/>
      <c r="KP651" s="18"/>
    </row>
    <row r="652" spans="1:302" ht="15" customHeight="1">
      <c r="A652" s="14"/>
      <c r="B652" s="14"/>
      <c r="F652" s="46"/>
      <c r="G652" s="23"/>
      <c r="H652" s="23"/>
      <c r="I652" s="23"/>
      <c r="J652" s="23"/>
      <c r="K652" s="14"/>
      <c r="L652" s="14"/>
      <c r="P652" s="14"/>
      <c r="AG652" s="44"/>
      <c r="AH652" s="44"/>
      <c r="AI652" s="45"/>
      <c r="AJ652" s="44"/>
      <c r="AK652" s="43"/>
      <c r="AS652" s="14"/>
      <c r="AU652" s="18"/>
      <c r="AV652" s="18"/>
      <c r="AW652" s="18"/>
      <c r="AX652" s="18"/>
      <c r="AY652" s="18"/>
      <c r="AZ652" s="18"/>
      <c r="BB652" s="18"/>
      <c r="BC652" s="18"/>
      <c r="BD652" s="18"/>
      <c r="BE652" s="18"/>
      <c r="BF652" s="18"/>
      <c r="BH652" s="18"/>
      <c r="BI652" s="18"/>
      <c r="BJ652" s="18"/>
      <c r="BL652" s="18"/>
      <c r="BM652" s="18"/>
      <c r="BN652" s="18"/>
      <c r="BO652" s="18"/>
      <c r="BP652" s="18"/>
      <c r="BQ652" s="18"/>
      <c r="BR652" s="18"/>
      <c r="BS652" s="18"/>
      <c r="BT652" s="18"/>
      <c r="BU652" s="18"/>
      <c r="BV652" s="18"/>
      <c r="BW652" s="18"/>
      <c r="BY652" s="18"/>
      <c r="BZ652" s="18"/>
      <c r="CA652" s="18"/>
      <c r="CB652" s="18"/>
      <c r="CC652" s="18"/>
      <c r="CD652" s="18"/>
      <c r="CE652" s="18"/>
      <c r="CF652" s="18"/>
      <c r="CG652" s="18"/>
      <c r="CH652" s="18"/>
      <c r="CI652" s="18"/>
      <c r="CJ652" s="18"/>
      <c r="CK652" s="18"/>
      <c r="CL652" s="18"/>
      <c r="CM652" s="18"/>
      <c r="CN652" s="18"/>
      <c r="CO652" s="18"/>
      <c r="CP652" s="18"/>
      <c r="CQ652" s="18"/>
      <c r="CR652" s="18"/>
      <c r="CT652" s="18"/>
      <c r="CU652" s="18"/>
      <c r="CV652" s="18"/>
      <c r="CW652" s="18"/>
      <c r="CX652" s="18"/>
      <c r="CY652" s="18"/>
      <c r="CZ652" s="18"/>
      <c r="DA652" s="18"/>
      <c r="DB652" s="18"/>
      <c r="DC652" s="18"/>
      <c r="DD652" s="18"/>
      <c r="DE652" s="18"/>
      <c r="DF652" s="18"/>
      <c r="DG652" s="18"/>
      <c r="DH652" s="18"/>
      <c r="DI652" s="18"/>
      <c r="DJ652" s="18"/>
      <c r="DK652" s="18"/>
      <c r="DL652" s="18"/>
      <c r="DM652" s="18"/>
      <c r="DN652" s="18"/>
      <c r="DP652" s="18"/>
      <c r="DQ652" s="18"/>
      <c r="DR652" s="18"/>
      <c r="DS652" s="18"/>
      <c r="DT652" s="18"/>
      <c r="DU652" s="18"/>
      <c r="DV652" s="18"/>
      <c r="DW652" s="18"/>
      <c r="DX652" s="18"/>
      <c r="DY652" s="18"/>
      <c r="DZ652" s="18"/>
      <c r="EA652" s="18"/>
      <c r="EB652" s="18"/>
      <c r="EC652" s="18"/>
      <c r="ED652" s="18"/>
      <c r="EE652" s="18"/>
      <c r="EF652" s="18"/>
      <c r="EG652" s="18"/>
      <c r="EH652" s="18"/>
      <c r="EI652" s="18"/>
      <c r="EJ652" s="18"/>
      <c r="EK652" s="18"/>
      <c r="EL652" s="18"/>
      <c r="EM652" s="18"/>
      <c r="EN652" s="18"/>
      <c r="EO652" s="18"/>
      <c r="EP652" s="18"/>
      <c r="EQ652" s="18"/>
      <c r="ER652" s="18"/>
      <c r="ES652" s="18"/>
      <c r="ET652" s="18"/>
      <c r="EU652" s="18"/>
      <c r="EV652" s="18"/>
      <c r="EW652" s="18"/>
      <c r="EX652" s="18"/>
      <c r="EY652" s="18"/>
      <c r="EZ652" s="18"/>
      <c r="FA652" s="18"/>
      <c r="FB652" s="18"/>
      <c r="FC652" s="18"/>
      <c r="FD652" s="18"/>
      <c r="FE652" s="18"/>
      <c r="FF652" s="18"/>
      <c r="FG652" s="18"/>
      <c r="FH652" s="18"/>
      <c r="FI652" s="18"/>
      <c r="FJ652" s="18"/>
      <c r="FK652" s="18"/>
      <c r="FL652" s="18"/>
      <c r="FM652" s="18"/>
      <c r="FN652" s="18"/>
      <c r="FO652" s="18"/>
      <c r="FP652" s="18"/>
      <c r="FQ652" s="18"/>
      <c r="FR652" s="18"/>
      <c r="FS652" s="18"/>
      <c r="FT652" s="18"/>
      <c r="FU652" s="18"/>
      <c r="FV652" s="18"/>
      <c r="FW652" s="18"/>
      <c r="FX652" s="18"/>
      <c r="FY652" s="18"/>
      <c r="FZ652" s="18"/>
      <c r="GA652" s="18"/>
      <c r="GB652" s="18"/>
      <c r="GC652" s="18"/>
      <c r="GD652" s="18"/>
      <c r="GE652" s="18"/>
      <c r="GF652" s="18"/>
      <c r="GG652" s="18"/>
      <c r="GH652" s="18"/>
      <c r="GI652" s="18"/>
      <c r="GJ652" s="18"/>
      <c r="GK652" s="18"/>
      <c r="GL652" s="18"/>
      <c r="GM652" s="18"/>
      <c r="GN652" s="18"/>
      <c r="GO652" s="18"/>
      <c r="GP652" s="18"/>
      <c r="GQ652" s="18"/>
      <c r="GR652" s="18"/>
      <c r="GS652" s="18"/>
      <c r="GT652" s="18"/>
      <c r="GU652" s="18"/>
      <c r="GV652" s="18"/>
      <c r="GW652" s="18"/>
      <c r="GX652" s="18"/>
      <c r="GY652" s="18"/>
      <c r="GZ652" s="18"/>
      <c r="HA652" s="18"/>
      <c r="HB652" s="18"/>
      <c r="HC652" s="18"/>
      <c r="HD652" s="18"/>
      <c r="HE652" s="18"/>
      <c r="HF652" s="18"/>
      <c r="HG652" s="13"/>
      <c r="HH652" s="13"/>
      <c r="HI652" s="13"/>
      <c r="HJ652" s="13"/>
      <c r="HK652" s="13"/>
      <c r="HL652" s="13"/>
      <c r="HM652" s="13"/>
      <c r="HN652" s="13"/>
      <c r="HO652" s="13"/>
      <c r="HP652" s="13"/>
      <c r="HQ652" s="13"/>
      <c r="HR652" s="13"/>
      <c r="HS652" s="13"/>
      <c r="HT652" s="13"/>
      <c r="HV652" s="18"/>
      <c r="HW652" s="18"/>
      <c r="HX652" s="18"/>
      <c r="HY652" s="18"/>
      <c r="HZ652" s="18"/>
      <c r="IA652" s="18"/>
      <c r="IB652" s="18"/>
      <c r="IC652" s="18"/>
      <c r="ID652" s="18"/>
      <c r="IE652" s="18"/>
      <c r="IF652" s="18"/>
      <c r="IG652" s="18"/>
      <c r="IH652" s="18"/>
      <c r="II652" s="18"/>
      <c r="IJ652" s="18"/>
      <c r="IK652" s="18"/>
      <c r="IL652" s="18"/>
      <c r="IM652" s="18"/>
      <c r="IN652" s="18"/>
      <c r="IO652" s="18"/>
      <c r="IP652" s="18"/>
      <c r="IQ652" s="18"/>
      <c r="IR652" s="18"/>
      <c r="IS652" s="18"/>
      <c r="IT652" s="18"/>
      <c r="IU652" s="18"/>
      <c r="IV652" s="18"/>
      <c r="IW652" s="18"/>
      <c r="IX652" s="18"/>
      <c r="IY652" s="18"/>
      <c r="IZ652" s="18"/>
      <c r="JA652" s="18"/>
      <c r="JB652" s="18"/>
      <c r="JC652" s="18"/>
      <c r="JD652" s="18"/>
      <c r="JE652" s="18"/>
      <c r="JF652" s="18"/>
      <c r="JG652" s="18"/>
      <c r="JH652" s="18"/>
      <c r="JI652" s="18"/>
      <c r="JJ652" s="18"/>
      <c r="JK652" s="18"/>
      <c r="JL652" s="18"/>
      <c r="JM652" s="18"/>
      <c r="JN652" s="18"/>
      <c r="JO652" s="18"/>
      <c r="JP652" s="18"/>
      <c r="JQ652" s="18"/>
      <c r="JR652" s="18"/>
      <c r="JS652" s="18"/>
      <c r="JT652" s="18"/>
      <c r="JU652" s="18"/>
      <c r="JV652" s="18"/>
      <c r="JW652" s="18"/>
      <c r="JX652" s="18"/>
      <c r="JY652" s="18"/>
      <c r="JZ652" s="18"/>
      <c r="KA652" s="18"/>
      <c r="KB652" s="18"/>
      <c r="KC652" s="18"/>
      <c r="KD652" s="18"/>
      <c r="KE652" s="18"/>
      <c r="KF652" s="18"/>
      <c r="KG652" s="18"/>
      <c r="KH652" s="18"/>
      <c r="KI652" s="18"/>
      <c r="KJ652" s="18"/>
      <c r="KK652" s="18"/>
      <c r="KL652" s="18"/>
      <c r="KM652" s="18"/>
      <c r="KN652" s="18"/>
      <c r="KO652" s="18"/>
      <c r="KP652" s="18"/>
    </row>
    <row r="653" spans="1:302" ht="15" customHeight="1">
      <c r="A653" s="14"/>
      <c r="B653" s="14"/>
      <c r="F653" s="46"/>
      <c r="G653" s="23"/>
      <c r="H653" s="23"/>
      <c r="I653" s="23"/>
      <c r="J653" s="23"/>
      <c r="K653" s="14"/>
      <c r="L653" s="14"/>
      <c r="P653" s="14"/>
      <c r="AG653" s="44"/>
      <c r="AH653" s="44"/>
      <c r="AI653" s="45"/>
      <c r="AJ653" s="44"/>
      <c r="AK653" s="43"/>
      <c r="AS653" s="14"/>
      <c r="AU653" s="18"/>
      <c r="AV653" s="18"/>
      <c r="AW653" s="18"/>
      <c r="AX653" s="18"/>
      <c r="AY653" s="18"/>
      <c r="AZ653" s="18"/>
      <c r="BB653" s="18"/>
      <c r="BC653" s="18"/>
      <c r="BD653" s="18"/>
      <c r="BE653" s="18"/>
      <c r="BF653" s="18"/>
      <c r="BH653" s="18"/>
      <c r="BI653" s="18"/>
      <c r="BJ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  <c r="FR653" s="18"/>
      <c r="FS653" s="18"/>
      <c r="FT653" s="18"/>
      <c r="FU653" s="18"/>
      <c r="FV653" s="18"/>
      <c r="FW653" s="18"/>
      <c r="FX653" s="18"/>
      <c r="FY653" s="18"/>
      <c r="FZ653" s="18"/>
      <c r="GA653" s="18"/>
      <c r="GB653" s="18"/>
      <c r="GC653" s="18"/>
      <c r="GD653" s="18"/>
      <c r="GE653" s="18"/>
      <c r="GF653" s="18"/>
      <c r="GG653" s="18"/>
      <c r="GH653" s="18"/>
      <c r="GI653" s="18"/>
      <c r="GJ653" s="18"/>
      <c r="GK653" s="18"/>
      <c r="GL653" s="18"/>
      <c r="GM653" s="18"/>
      <c r="GN653" s="18"/>
      <c r="GO653" s="18"/>
      <c r="GP653" s="18"/>
      <c r="GQ653" s="18"/>
      <c r="GR653" s="18"/>
      <c r="GS653" s="18"/>
      <c r="GT653" s="18"/>
      <c r="GU653" s="18"/>
      <c r="GV653" s="18"/>
      <c r="GW653" s="18"/>
      <c r="GX653" s="18"/>
      <c r="GY653" s="18"/>
      <c r="GZ653" s="18"/>
      <c r="HA653" s="18"/>
      <c r="HB653" s="18"/>
      <c r="HC653" s="18"/>
      <c r="HD653" s="18"/>
      <c r="HE653" s="18"/>
      <c r="HF653" s="18"/>
      <c r="HG653" s="13"/>
      <c r="HH653" s="13"/>
      <c r="HI653" s="13"/>
      <c r="HJ653" s="13"/>
      <c r="HK653" s="13"/>
      <c r="HL653" s="13"/>
      <c r="HM653" s="13"/>
      <c r="HN653" s="13"/>
      <c r="HO653" s="13"/>
      <c r="HP653" s="13"/>
      <c r="HQ653" s="13"/>
      <c r="HR653" s="13"/>
      <c r="HS653" s="13"/>
      <c r="HT653" s="13"/>
      <c r="HV653" s="18"/>
      <c r="HW653" s="18"/>
      <c r="HX653" s="18"/>
      <c r="HY653" s="18"/>
      <c r="HZ653" s="18"/>
      <c r="IA653" s="18"/>
      <c r="IB653" s="18"/>
      <c r="IC653" s="18"/>
      <c r="ID653" s="18"/>
      <c r="IE653" s="18"/>
      <c r="IF653" s="18"/>
      <c r="IG653" s="18"/>
      <c r="IH653" s="18"/>
      <c r="II653" s="18"/>
      <c r="IJ653" s="18"/>
      <c r="IK653" s="18"/>
      <c r="IL653" s="18"/>
      <c r="IM653" s="18"/>
      <c r="IN653" s="18"/>
      <c r="IO653" s="18"/>
      <c r="IP653" s="18"/>
      <c r="IQ653" s="18"/>
      <c r="IR653" s="18"/>
      <c r="IS653" s="18"/>
      <c r="IT653" s="18"/>
      <c r="IU653" s="18"/>
      <c r="IV653" s="18"/>
      <c r="IW653" s="18"/>
      <c r="IX653" s="18"/>
      <c r="IY653" s="18"/>
      <c r="IZ653" s="18"/>
      <c r="JA653" s="18"/>
      <c r="JB653" s="18"/>
      <c r="JC653" s="18"/>
      <c r="JD653" s="18"/>
      <c r="JE653" s="18"/>
      <c r="JF653" s="18"/>
      <c r="JG653" s="18"/>
      <c r="JH653" s="18"/>
      <c r="JI653" s="18"/>
      <c r="JJ653" s="18"/>
      <c r="JK653" s="18"/>
      <c r="JL653" s="18"/>
      <c r="JM653" s="18"/>
      <c r="JN653" s="18"/>
      <c r="JO653" s="18"/>
      <c r="JP653" s="18"/>
      <c r="JQ653" s="18"/>
      <c r="JR653" s="18"/>
      <c r="JS653" s="18"/>
      <c r="JT653" s="18"/>
      <c r="JU653" s="18"/>
      <c r="JV653" s="18"/>
      <c r="JW653" s="18"/>
      <c r="JX653" s="18"/>
      <c r="JY653" s="18"/>
      <c r="JZ653" s="18"/>
      <c r="KA653" s="18"/>
      <c r="KB653" s="18"/>
      <c r="KC653" s="18"/>
      <c r="KD653" s="18"/>
      <c r="KE653" s="18"/>
      <c r="KF653" s="18"/>
      <c r="KG653" s="18"/>
      <c r="KH653" s="18"/>
      <c r="KI653" s="18"/>
      <c r="KJ653" s="18"/>
      <c r="KK653" s="18"/>
      <c r="KL653" s="18"/>
      <c r="KM653" s="18"/>
      <c r="KN653" s="18"/>
      <c r="KO653" s="18"/>
      <c r="KP653" s="18"/>
    </row>
    <row r="654" spans="1:302" ht="15" customHeight="1">
      <c r="A654" s="14"/>
      <c r="B654" s="14"/>
      <c r="F654" s="46"/>
      <c r="G654" s="23"/>
      <c r="H654" s="23"/>
      <c r="I654" s="23"/>
      <c r="J654" s="23"/>
      <c r="K654" s="14"/>
      <c r="L654" s="14"/>
      <c r="P654" s="14"/>
      <c r="AG654" s="44"/>
      <c r="AH654" s="44"/>
      <c r="AI654" s="45"/>
      <c r="AJ654" s="44"/>
      <c r="AK654" s="43"/>
      <c r="AS654" s="14"/>
      <c r="AU654" s="18"/>
      <c r="AV654" s="18"/>
      <c r="AW654" s="18"/>
      <c r="AX654" s="18"/>
      <c r="AY654" s="18"/>
      <c r="AZ654" s="18"/>
      <c r="BB654" s="18"/>
      <c r="BC654" s="18"/>
      <c r="BD654" s="18"/>
      <c r="BE654" s="18"/>
      <c r="BF654" s="18"/>
      <c r="BH654" s="18"/>
      <c r="BI654" s="18"/>
      <c r="BJ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  <c r="FR654" s="18"/>
      <c r="FS654" s="18"/>
      <c r="FT654" s="18"/>
      <c r="FU654" s="18"/>
      <c r="FV654" s="18"/>
      <c r="FW654" s="18"/>
      <c r="FX654" s="18"/>
      <c r="FY654" s="18"/>
      <c r="FZ654" s="18"/>
      <c r="GA654" s="18"/>
      <c r="GB654" s="18"/>
      <c r="GC654" s="18"/>
      <c r="GD654" s="18"/>
      <c r="GE654" s="18"/>
      <c r="GF654" s="18"/>
      <c r="GG654" s="18"/>
      <c r="GH654" s="18"/>
      <c r="GI654" s="18"/>
      <c r="GJ654" s="18"/>
      <c r="GK654" s="18"/>
      <c r="GL654" s="18"/>
      <c r="GM654" s="18"/>
      <c r="GN654" s="18"/>
      <c r="GO654" s="18"/>
      <c r="GP654" s="18"/>
      <c r="GQ654" s="18"/>
      <c r="GR654" s="18"/>
      <c r="GS654" s="18"/>
      <c r="GT654" s="18"/>
      <c r="GU654" s="18"/>
      <c r="GV654" s="18"/>
      <c r="GW654" s="18"/>
      <c r="GX654" s="18"/>
      <c r="GY654" s="18"/>
      <c r="GZ654" s="18"/>
      <c r="HA654" s="18"/>
      <c r="HB654" s="18"/>
      <c r="HC654" s="18"/>
      <c r="HD654" s="18"/>
      <c r="HE654" s="18"/>
      <c r="HF654" s="18"/>
      <c r="HG654" s="13"/>
      <c r="HH654" s="13"/>
      <c r="HI654" s="13"/>
      <c r="HJ654" s="13"/>
      <c r="HK654" s="13"/>
      <c r="HL654" s="13"/>
      <c r="HM654" s="13"/>
      <c r="HN654" s="13"/>
      <c r="HO654" s="13"/>
      <c r="HP654" s="13"/>
      <c r="HQ654" s="13"/>
      <c r="HR654" s="13"/>
      <c r="HS654" s="13"/>
      <c r="HT654" s="13"/>
      <c r="HV654" s="18"/>
      <c r="HW654" s="18"/>
      <c r="HX654" s="18"/>
      <c r="HY654" s="18"/>
      <c r="HZ654" s="18"/>
      <c r="IA654" s="18"/>
      <c r="IB654" s="18"/>
      <c r="IC654" s="18"/>
      <c r="ID654" s="18"/>
      <c r="IE654" s="18"/>
      <c r="IF654" s="18"/>
      <c r="IG654" s="18"/>
      <c r="IH654" s="18"/>
      <c r="II654" s="18"/>
      <c r="IJ654" s="18"/>
      <c r="IK654" s="18"/>
      <c r="IL654" s="18"/>
      <c r="IM654" s="18"/>
      <c r="IN654" s="18"/>
      <c r="IO654" s="18"/>
      <c r="IP654" s="18"/>
      <c r="IQ654" s="18"/>
      <c r="IR654" s="18"/>
      <c r="IS654" s="18"/>
      <c r="IT654" s="18"/>
      <c r="IU654" s="18"/>
      <c r="IV654" s="18"/>
      <c r="IW654" s="18"/>
      <c r="IX654" s="18"/>
      <c r="IY654" s="18"/>
      <c r="IZ654" s="18"/>
      <c r="JA654" s="18"/>
      <c r="JB654" s="18"/>
      <c r="JC654" s="18"/>
      <c r="JD654" s="18"/>
      <c r="JE654" s="18"/>
      <c r="JF654" s="18"/>
      <c r="JG654" s="18"/>
      <c r="JH654" s="18"/>
      <c r="JI654" s="18"/>
      <c r="JJ654" s="18"/>
      <c r="JK654" s="18"/>
      <c r="JL654" s="18"/>
      <c r="JM654" s="18"/>
      <c r="JN654" s="18"/>
      <c r="JO654" s="18"/>
      <c r="JP654" s="18"/>
      <c r="JQ654" s="18"/>
      <c r="JR654" s="18"/>
      <c r="JS654" s="18"/>
      <c r="JT654" s="18"/>
      <c r="JU654" s="18"/>
      <c r="JV654" s="18"/>
      <c r="JW654" s="18"/>
      <c r="JX654" s="18"/>
      <c r="JY654" s="18"/>
      <c r="JZ654" s="18"/>
      <c r="KA654" s="18"/>
      <c r="KB654" s="18"/>
      <c r="KC654" s="18"/>
      <c r="KD654" s="18"/>
      <c r="KE654" s="18"/>
      <c r="KF654" s="18"/>
      <c r="KG654" s="18"/>
      <c r="KH654" s="18"/>
      <c r="KI654" s="18"/>
      <c r="KJ654" s="18"/>
      <c r="KK654" s="18"/>
      <c r="KL654" s="18"/>
      <c r="KM654" s="18"/>
      <c r="KN654" s="18"/>
      <c r="KO654" s="18"/>
      <c r="KP654" s="18"/>
    </row>
    <row r="655" spans="1:302" ht="15" customHeight="1">
      <c r="A655" s="14"/>
      <c r="B655" s="14"/>
      <c r="F655" s="46"/>
      <c r="G655" s="23"/>
      <c r="H655" s="23"/>
      <c r="I655" s="23"/>
      <c r="J655" s="23"/>
      <c r="K655" s="14"/>
      <c r="L655" s="14"/>
      <c r="P655" s="14"/>
      <c r="AG655" s="44"/>
      <c r="AH655" s="44"/>
      <c r="AI655" s="45"/>
      <c r="AJ655" s="44"/>
      <c r="AK655" s="43"/>
      <c r="AS655" s="14"/>
      <c r="AU655" s="18"/>
      <c r="AV655" s="18"/>
      <c r="AW655" s="18"/>
      <c r="AX655" s="18"/>
      <c r="AY655" s="18"/>
      <c r="AZ655" s="18"/>
      <c r="BB655" s="18"/>
      <c r="BC655" s="18"/>
      <c r="BD655" s="18"/>
      <c r="BE655" s="18"/>
      <c r="BF655" s="18"/>
      <c r="BH655" s="18"/>
      <c r="BI655" s="18"/>
      <c r="BJ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  <c r="FR655" s="18"/>
      <c r="FS655" s="18"/>
      <c r="FT655" s="18"/>
      <c r="FU655" s="18"/>
      <c r="FV655" s="18"/>
      <c r="FW655" s="18"/>
      <c r="FX655" s="18"/>
      <c r="FY655" s="18"/>
      <c r="FZ655" s="18"/>
      <c r="GA655" s="18"/>
      <c r="GB655" s="18"/>
      <c r="GC655" s="18"/>
      <c r="GD655" s="18"/>
      <c r="GE655" s="18"/>
      <c r="GF655" s="18"/>
      <c r="GG655" s="18"/>
      <c r="GH655" s="18"/>
      <c r="GI655" s="18"/>
      <c r="GJ655" s="18"/>
      <c r="GK655" s="18"/>
      <c r="GL655" s="18"/>
      <c r="GM655" s="18"/>
      <c r="GN655" s="18"/>
      <c r="GO655" s="18"/>
      <c r="GP655" s="18"/>
      <c r="GQ655" s="18"/>
      <c r="GR655" s="18"/>
      <c r="GS655" s="18"/>
      <c r="GT655" s="18"/>
      <c r="GU655" s="18"/>
      <c r="GV655" s="18"/>
      <c r="GW655" s="18"/>
      <c r="GX655" s="18"/>
      <c r="GY655" s="18"/>
      <c r="GZ655" s="18"/>
      <c r="HA655" s="18"/>
      <c r="HB655" s="18"/>
      <c r="HC655" s="18"/>
      <c r="HD655" s="18"/>
      <c r="HE655" s="18"/>
      <c r="HF655" s="18"/>
      <c r="HG655" s="13"/>
      <c r="HH655" s="13"/>
      <c r="HI655" s="13"/>
      <c r="HJ655" s="13"/>
      <c r="HK655" s="13"/>
      <c r="HL655" s="13"/>
      <c r="HM655" s="13"/>
      <c r="HN655" s="13"/>
      <c r="HO655" s="13"/>
      <c r="HP655" s="13"/>
      <c r="HQ655" s="13"/>
      <c r="HR655" s="13"/>
      <c r="HS655" s="13"/>
      <c r="HT655" s="13"/>
      <c r="HV655" s="18"/>
      <c r="HW655" s="18"/>
      <c r="HX655" s="18"/>
      <c r="HY655" s="18"/>
      <c r="HZ655" s="18"/>
      <c r="IA655" s="18"/>
      <c r="IB655" s="18"/>
      <c r="IC655" s="18"/>
      <c r="ID655" s="18"/>
      <c r="IE655" s="18"/>
      <c r="IF655" s="18"/>
      <c r="IG655" s="18"/>
      <c r="IH655" s="18"/>
      <c r="II655" s="18"/>
      <c r="IJ655" s="18"/>
      <c r="IK655" s="18"/>
      <c r="IL655" s="18"/>
      <c r="IM655" s="18"/>
      <c r="IN655" s="18"/>
      <c r="IO655" s="18"/>
      <c r="IP655" s="18"/>
      <c r="IQ655" s="18"/>
      <c r="IR655" s="18"/>
      <c r="IS655" s="18"/>
      <c r="IT655" s="18"/>
      <c r="IU655" s="18"/>
      <c r="IV655" s="18"/>
      <c r="IW655" s="18"/>
      <c r="IX655" s="18"/>
      <c r="IY655" s="18"/>
      <c r="IZ655" s="18"/>
      <c r="JA655" s="18"/>
      <c r="JB655" s="18"/>
      <c r="JC655" s="18"/>
      <c r="JD655" s="18"/>
      <c r="JE655" s="18"/>
      <c r="JF655" s="18"/>
      <c r="JG655" s="18"/>
      <c r="JH655" s="18"/>
      <c r="JI655" s="18"/>
      <c r="JJ655" s="18"/>
      <c r="JK655" s="18"/>
      <c r="JL655" s="18"/>
      <c r="JM655" s="18"/>
      <c r="JN655" s="18"/>
      <c r="JO655" s="18"/>
      <c r="JP655" s="18"/>
      <c r="JQ655" s="18"/>
      <c r="JR655" s="18"/>
      <c r="JS655" s="18"/>
      <c r="JT655" s="18"/>
      <c r="JU655" s="18"/>
      <c r="JV655" s="18"/>
      <c r="JW655" s="18"/>
      <c r="JX655" s="18"/>
      <c r="JY655" s="18"/>
      <c r="JZ655" s="18"/>
      <c r="KA655" s="18"/>
      <c r="KB655" s="18"/>
      <c r="KC655" s="18"/>
      <c r="KD655" s="18"/>
      <c r="KE655" s="18"/>
      <c r="KF655" s="18"/>
      <c r="KG655" s="18"/>
      <c r="KH655" s="18"/>
      <c r="KI655" s="18"/>
      <c r="KJ655" s="18"/>
      <c r="KK655" s="18"/>
      <c r="KL655" s="18"/>
      <c r="KM655" s="18"/>
      <c r="KN655" s="18"/>
      <c r="KO655" s="18"/>
      <c r="KP655" s="18"/>
    </row>
    <row r="656" spans="1:302" ht="15" customHeight="1">
      <c r="A656" s="14"/>
      <c r="B656" s="14"/>
      <c r="F656" s="46"/>
      <c r="G656" s="23"/>
      <c r="H656" s="23"/>
      <c r="I656" s="23"/>
      <c r="J656" s="23"/>
      <c r="K656" s="14"/>
      <c r="L656" s="14"/>
      <c r="P656" s="14"/>
      <c r="AG656" s="44"/>
      <c r="AH656" s="44"/>
      <c r="AI656" s="45"/>
      <c r="AJ656" s="44"/>
      <c r="AK656" s="43"/>
      <c r="AS656" s="14"/>
      <c r="AU656" s="18"/>
      <c r="AV656" s="18"/>
      <c r="AW656" s="18"/>
      <c r="AX656" s="18"/>
      <c r="AY656" s="18"/>
      <c r="AZ656" s="18"/>
      <c r="BB656" s="18"/>
      <c r="BC656" s="18"/>
      <c r="BD656" s="18"/>
      <c r="BE656" s="18"/>
      <c r="BF656" s="18"/>
      <c r="BH656" s="18"/>
      <c r="BI656" s="18"/>
      <c r="BJ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  <c r="FR656" s="18"/>
      <c r="FS656" s="18"/>
      <c r="FT656" s="18"/>
      <c r="FU656" s="18"/>
      <c r="FV656" s="18"/>
      <c r="FW656" s="18"/>
      <c r="FX656" s="18"/>
      <c r="FY656" s="18"/>
      <c r="FZ656" s="18"/>
      <c r="GA656" s="18"/>
      <c r="GB656" s="18"/>
      <c r="GC656" s="18"/>
      <c r="GD656" s="18"/>
      <c r="GE656" s="18"/>
      <c r="GF656" s="18"/>
      <c r="GG656" s="18"/>
      <c r="GH656" s="18"/>
      <c r="GI656" s="18"/>
      <c r="GJ656" s="18"/>
      <c r="GK656" s="18"/>
      <c r="GL656" s="18"/>
      <c r="GM656" s="18"/>
      <c r="GN656" s="18"/>
      <c r="GO656" s="18"/>
      <c r="GP656" s="18"/>
      <c r="GQ656" s="18"/>
      <c r="GR656" s="18"/>
      <c r="GS656" s="18"/>
      <c r="GT656" s="18"/>
      <c r="GU656" s="18"/>
      <c r="GV656" s="18"/>
      <c r="GW656" s="18"/>
      <c r="GX656" s="18"/>
      <c r="GY656" s="18"/>
      <c r="GZ656" s="18"/>
      <c r="HA656" s="18"/>
      <c r="HB656" s="18"/>
      <c r="HC656" s="18"/>
      <c r="HD656" s="18"/>
      <c r="HE656" s="18"/>
      <c r="HF656" s="18"/>
      <c r="HG656" s="13"/>
      <c r="HH656" s="13"/>
      <c r="HI656" s="13"/>
      <c r="HJ656" s="13"/>
      <c r="HK656" s="13"/>
      <c r="HL656" s="13"/>
      <c r="HM656" s="13"/>
      <c r="HN656" s="13"/>
      <c r="HO656" s="13"/>
      <c r="HP656" s="13"/>
      <c r="HQ656" s="13"/>
      <c r="HR656" s="13"/>
      <c r="HS656" s="13"/>
      <c r="HT656" s="13"/>
      <c r="HV656" s="18"/>
      <c r="HW656" s="18"/>
      <c r="HX656" s="18"/>
      <c r="HY656" s="18"/>
      <c r="HZ656" s="18"/>
      <c r="IA656" s="18"/>
      <c r="IB656" s="18"/>
      <c r="IC656" s="18"/>
      <c r="ID656" s="18"/>
      <c r="IE656" s="18"/>
      <c r="IF656" s="18"/>
      <c r="IG656" s="18"/>
      <c r="IH656" s="18"/>
      <c r="II656" s="18"/>
      <c r="IJ656" s="18"/>
      <c r="IK656" s="18"/>
      <c r="IL656" s="18"/>
      <c r="IM656" s="18"/>
      <c r="IN656" s="18"/>
      <c r="IO656" s="18"/>
      <c r="IP656" s="18"/>
      <c r="IQ656" s="18"/>
      <c r="IR656" s="18"/>
      <c r="IS656" s="18"/>
      <c r="IT656" s="18"/>
      <c r="IU656" s="18"/>
      <c r="IV656" s="18"/>
      <c r="IW656" s="18"/>
      <c r="IX656" s="18"/>
      <c r="IY656" s="18"/>
      <c r="IZ656" s="18"/>
      <c r="JA656" s="18"/>
      <c r="JB656" s="18"/>
      <c r="JC656" s="18"/>
      <c r="JD656" s="18"/>
      <c r="JE656" s="18"/>
      <c r="JF656" s="18"/>
      <c r="JG656" s="18"/>
      <c r="JH656" s="18"/>
      <c r="JI656" s="18"/>
      <c r="JJ656" s="18"/>
      <c r="JK656" s="18"/>
      <c r="JL656" s="18"/>
      <c r="JM656" s="18"/>
      <c r="JN656" s="18"/>
      <c r="JO656" s="18"/>
      <c r="JP656" s="18"/>
      <c r="JQ656" s="18"/>
      <c r="JR656" s="18"/>
      <c r="JS656" s="18"/>
      <c r="JT656" s="18"/>
      <c r="JU656" s="18"/>
      <c r="JV656" s="18"/>
      <c r="JW656" s="18"/>
      <c r="JX656" s="18"/>
      <c r="JY656" s="18"/>
      <c r="JZ656" s="18"/>
      <c r="KA656" s="18"/>
      <c r="KB656" s="18"/>
      <c r="KC656" s="18"/>
      <c r="KD656" s="18"/>
      <c r="KE656" s="18"/>
      <c r="KF656" s="18"/>
      <c r="KG656" s="18"/>
      <c r="KH656" s="18"/>
      <c r="KI656" s="18"/>
      <c r="KJ656" s="18"/>
      <c r="KK656" s="18"/>
      <c r="KL656" s="18"/>
      <c r="KM656" s="18"/>
      <c r="KN656" s="18"/>
      <c r="KO656" s="18"/>
      <c r="KP656" s="18"/>
    </row>
    <row r="657" spans="1:302" ht="15" customHeight="1">
      <c r="A657" s="14"/>
      <c r="B657" s="14"/>
      <c r="F657" s="46"/>
      <c r="G657" s="23"/>
      <c r="H657" s="23"/>
      <c r="I657" s="23"/>
      <c r="J657" s="23"/>
      <c r="K657" s="14"/>
      <c r="L657" s="14"/>
      <c r="P657" s="14"/>
      <c r="AG657" s="44"/>
      <c r="AH657" s="44"/>
      <c r="AI657" s="45"/>
      <c r="AJ657" s="44"/>
      <c r="AK657" s="43"/>
      <c r="AS657" s="14"/>
      <c r="AU657" s="18"/>
      <c r="AV657" s="18"/>
      <c r="AW657" s="18"/>
      <c r="AX657" s="18"/>
      <c r="AY657" s="18"/>
      <c r="AZ657" s="18"/>
      <c r="BB657" s="18"/>
      <c r="BC657" s="18"/>
      <c r="BD657" s="18"/>
      <c r="BE657" s="18"/>
      <c r="BF657" s="18"/>
      <c r="BH657" s="18"/>
      <c r="BI657" s="18"/>
      <c r="BJ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  <c r="FR657" s="18"/>
      <c r="FS657" s="18"/>
      <c r="FT657" s="18"/>
      <c r="FU657" s="18"/>
      <c r="FV657" s="18"/>
      <c r="FW657" s="18"/>
      <c r="FX657" s="18"/>
      <c r="FY657" s="18"/>
      <c r="FZ657" s="18"/>
      <c r="GA657" s="18"/>
      <c r="GB657" s="18"/>
      <c r="GC657" s="18"/>
      <c r="GD657" s="18"/>
      <c r="GE657" s="18"/>
      <c r="GF657" s="18"/>
      <c r="GG657" s="18"/>
      <c r="GH657" s="18"/>
      <c r="GI657" s="18"/>
      <c r="GJ657" s="18"/>
      <c r="GK657" s="18"/>
      <c r="GL657" s="18"/>
      <c r="GM657" s="18"/>
      <c r="GN657" s="18"/>
      <c r="GO657" s="18"/>
      <c r="GP657" s="18"/>
      <c r="GQ657" s="18"/>
      <c r="GR657" s="18"/>
      <c r="GS657" s="18"/>
      <c r="GT657" s="18"/>
      <c r="GU657" s="18"/>
      <c r="GV657" s="18"/>
      <c r="GW657" s="18"/>
      <c r="GX657" s="18"/>
      <c r="GY657" s="18"/>
      <c r="GZ657" s="18"/>
      <c r="HA657" s="18"/>
      <c r="HB657" s="18"/>
      <c r="HC657" s="18"/>
      <c r="HD657" s="18"/>
      <c r="HE657" s="18"/>
      <c r="HF657" s="18"/>
      <c r="HG657" s="13"/>
      <c r="HH657" s="13"/>
      <c r="HI657" s="13"/>
      <c r="HJ657" s="13"/>
      <c r="HK657" s="13"/>
      <c r="HL657" s="13"/>
      <c r="HM657" s="13"/>
      <c r="HN657" s="13"/>
      <c r="HO657" s="13"/>
      <c r="HP657" s="13"/>
      <c r="HQ657" s="13"/>
      <c r="HR657" s="13"/>
      <c r="HS657" s="13"/>
      <c r="HT657" s="13"/>
      <c r="HV657" s="18"/>
      <c r="HW657" s="18"/>
      <c r="HX657" s="18"/>
      <c r="HY657" s="18"/>
      <c r="HZ657" s="18"/>
      <c r="IA657" s="18"/>
      <c r="IB657" s="18"/>
      <c r="IC657" s="18"/>
      <c r="ID657" s="18"/>
      <c r="IE657" s="18"/>
      <c r="IF657" s="18"/>
      <c r="IG657" s="18"/>
      <c r="IH657" s="18"/>
      <c r="II657" s="18"/>
      <c r="IJ657" s="18"/>
      <c r="IK657" s="18"/>
      <c r="IL657" s="18"/>
      <c r="IM657" s="18"/>
      <c r="IN657" s="18"/>
      <c r="IO657" s="18"/>
      <c r="IP657" s="18"/>
      <c r="IQ657" s="18"/>
      <c r="IR657" s="18"/>
      <c r="IS657" s="18"/>
      <c r="IT657" s="18"/>
      <c r="IU657" s="18"/>
      <c r="IV657" s="18"/>
      <c r="IW657" s="18"/>
      <c r="IX657" s="18"/>
      <c r="IY657" s="18"/>
      <c r="IZ657" s="18"/>
      <c r="JA657" s="18"/>
      <c r="JB657" s="18"/>
      <c r="JC657" s="18"/>
      <c r="JD657" s="18"/>
      <c r="JE657" s="18"/>
      <c r="JF657" s="18"/>
      <c r="JG657" s="18"/>
      <c r="JH657" s="18"/>
      <c r="JI657" s="18"/>
      <c r="JJ657" s="18"/>
      <c r="JK657" s="18"/>
      <c r="JL657" s="18"/>
      <c r="JM657" s="18"/>
      <c r="JN657" s="18"/>
      <c r="JO657" s="18"/>
      <c r="JP657" s="18"/>
      <c r="JQ657" s="18"/>
      <c r="JR657" s="18"/>
      <c r="JS657" s="18"/>
      <c r="JT657" s="18"/>
      <c r="JU657" s="18"/>
      <c r="JV657" s="18"/>
      <c r="JW657" s="18"/>
      <c r="JX657" s="18"/>
      <c r="JY657" s="18"/>
      <c r="JZ657" s="18"/>
      <c r="KA657" s="18"/>
      <c r="KB657" s="18"/>
      <c r="KC657" s="18"/>
      <c r="KD657" s="18"/>
      <c r="KE657" s="18"/>
      <c r="KF657" s="18"/>
      <c r="KG657" s="18"/>
      <c r="KH657" s="18"/>
      <c r="KI657" s="18"/>
      <c r="KJ657" s="18"/>
      <c r="KK657" s="18"/>
      <c r="KL657" s="18"/>
      <c r="KM657" s="18"/>
      <c r="KN657" s="18"/>
      <c r="KO657" s="18"/>
      <c r="KP657" s="18"/>
    </row>
    <row r="658" spans="1:302" ht="15" customHeight="1">
      <c r="A658" s="14"/>
      <c r="B658" s="14"/>
      <c r="F658" s="46"/>
      <c r="G658" s="23"/>
      <c r="H658" s="23"/>
      <c r="I658" s="23"/>
      <c r="J658" s="23"/>
      <c r="K658" s="14"/>
      <c r="L658" s="14"/>
      <c r="P658" s="14"/>
      <c r="AG658" s="44"/>
      <c r="AH658" s="44"/>
      <c r="AI658" s="45"/>
      <c r="AJ658" s="44"/>
      <c r="AK658" s="43"/>
      <c r="AS658" s="14"/>
      <c r="AU658" s="18"/>
      <c r="AV658" s="18"/>
      <c r="AW658" s="18"/>
      <c r="AX658" s="18"/>
      <c r="AY658" s="18"/>
      <c r="AZ658" s="18"/>
      <c r="BB658" s="18"/>
      <c r="BC658" s="18"/>
      <c r="BD658" s="18"/>
      <c r="BE658" s="18"/>
      <c r="BF658" s="18"/>
      <c r="BH658" s="18"/>
      <c r="BI658" s="18"/>
      <c r="BJ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  <c r="FR658" s="18"/>
      <c r="FS658" s="18"/>
      <c r="FT658" s="18"/>
      <c r="FU658" s="18"/>
      <c r="FV658" s="18"/>
      <c r="FW658" s="18"/>
      <c r="FX658" s="18"/>
      <c r="FY658" s="18"/>
      <c r="FZ658" s="18"/>
      <c r="GA658" s="18"/>
      <c r="GB658" s="18"/>
      <c r="GC658" s="18"/>
      <c r="GD658" s="18"/>
      <c r="GE658" s="18"/>
      <c r="GF658" s="18"/>
      <c r="GG658" s="18"/>
      <c r="GH658" s="18"/>
      <c r="GI658" s="18"/>
      <c r="GJ658" s="18"/>
      <c r="GK658" s="18"/>
      <c r="GL658" s="18"/>
      <c r="GM658" s="18"/>
      <c r="GN658" s="18"/>
      <c r="GO658" s="18"/>
      <c r="GP658" s="18"/>
      <c r="GQ658" s="18"/>
      <c r="GR658" s="18"/>
      <c r="GS658" s="18"/>
      <c r="GT658" s="18"/>
      <c r="GU658" s="18"/>
      <c r="GV658" s="18"/>
      <c r="GW658" s="18"/>
      <c r="GX658" s="18"/>
      <c r="GY658" s="18"/>
      <c r="GZ658" s="18"/>
      <c r="HA658" s="18"/>
      <c r="HB658" s="18"/>
      <c r="HC658" s="18"/>
      <c r="HD658" s="18"/>
      <c r="HE658" s="18"/>
      <c r="HF658" s="18"/>
      <c r="HG658" s="13"/>
      <c r="HH658" s="13"/>
      <c r="HI658" s="13"/>
      <c r="HJ658" s="13"/>
      <c r="HK658" s="13"/>
      <c r="HL658" s="13"/>
      <c r="HM658" s="13"/>
      <c r="HN658" s="13"/>
      <c r="HO658" s="13"/>
      <c r="HP658" s="13"/>
      <c r="HQ658" s="13"/>
      <c r="HR658" s="13"/>
      <c r="HS658" s="13"/>
      <c r="HT658" s="13"/>
      <c r="HV658" s="18"/>
      <c r="HW658" s="18"/>
      <c r="HX658" s="18"/>
      <c r="HY658" s="18"/>
      <c r="HZ658" s="18"/>
      <c r="IA658" s="18"/>
      <c r="IB658" s="18"/>
      <c r="IC658" s="18"/>
      <c r="ID658" s="18"/>
      <c r="IE658" s="18"/>
      <c r="IF658" s="18"/>
      <c r="IG658" s="18"/>
      <c r="IH658" s="18"/>
      <c r="II658" s="18"/>
      <c r="IJ658" s="18"/>
      <c r="IK658" s="18"/>
      <c r="IL658" s="18"/>
      <c r="IM658" s="18"/>
      <c r="IN658" s="18"/>
      <c r="IO658" s="18"/>
      <c r="IP658" s="18"/>
      <c r="IQ658" s="18"/>
      <c r="IR658" s="18"/>
      <c r="IS658" s="18"/>
      <c r="IT658" s="18"/>
      <c r="IU658" s="18"/>
      <c r="IV658" s="18"/>
      <c r="IW658" s="18"/>
      <c r="IX658" s="18"/>
      <c r="IY658" s="18"/>
      <c r="IZ658" s="18"/>
      <c r="JA658" s="18"/>
      <c r="JB658" s="18"/>
      <c r="JC658" s="18"/>
      <c r="JD658" s="18"/>
      <c r="JE658" s="18"/>
      <c r="JF658" s="18"/>
      <c r="JG658" s="18"/>
      <c r="JH658" s="18"/>
      <c r="JI658" s="18"/>
      <c r="JJ658" s="18"/>
      <c r="JK658" s="18"/>
      <c r="JL658" s="18"/>
      <c r="JM658" s="18"/>
      <c r="JN658" s="18"/>
      <c r="JO658" s="18"/>
      <c r="JP658" s="18"/>
      <c r="JQ658" s="18"/>
      <c r="JR658" s="18"/>
      <c r="JS658" s="18"/>
      <c r="JT658" s="18"/>
      <c r="JU658" s="18"/>
      <c r="JV658" s="18"/>
      <c r="JW658" s="18"/>
      <c r="JX658" s="18"/>
      <c r="JY658" s="18"/>
      <c r="JZ658" s="18"/>
      <c r="KA658" s="18"/>
      <c r="KB658" s="18"/>
      <c r="KC658" s="18"/>
      <c r="KD658" s="18"/>
      <c r="KE658" s="18"/>
      <c r="KF658" s="18"/>
      <c r="KG658" s="18"/>
      <c r="KH658" s="18"/>
      <c r="KI658" s="18"/>
      <c r="KJ658" s="18"/>
      <c r="KK658" s="18"/>
      <c r="KL658" s="18"/>
      <c r="KM658" s="18"/>
      <c r="KN658" s="18"/>
      <c r="KO658" s="18"/>
      <c r="KP658" s="18"/>
    </row>
    <row r="659" spans="1:302" ht="15" customHeight="1">
      <c r="A659" s="14"/>
      <c r="B659" s="14"/>
      <c r="F659" s="46"/>
      <c r="G659" s="23"/>
      <c r="H659" s="23"/>
      <c r="I659" s="23"/>
      <c r="J659" s="23"/>
      <c r="K659" s="14"/>
      <c r="L659" s="14"/>
      <c r="P659" s="14"/>
      <c r="AG659" s="44"/>
      <c r="AH659" s="44"/>
      <c r="AI659" s="45"/>
      <c r="AJ659" s="44"/>
      <c r="AK659" s="43"/>
      <c r="AS659" s="14"/>
      <c r="AU659" s="18"/>
      <c r="AV659" s="18"/>
      <c r="AW659" s="18"/>
      <c r="AX659" s="18"/>
      <c r="AY659" s="18"/>
      <c r="AZ659" s="18"/>
      <c r="BB659" s="18"/>
      <c r="BC659" s="18"/>
      <c r="BD659" s="18"/>
      <c r="BE659" s="18"/>
      <c r="BF659" s="18"/>
      <c r="BH659" s="18"/>
      <c r="BI659" s="18"/>
      <c r="BJ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  <c r="FR659" s="18"/>
      <c r="FS659" s="18"/>
      <c r="FT659" s="18"/>
      <c r="FU659" s="18"/>
      <c r="FV659" s="18"/>
      <c r="FW659" s="18"/>
      <c r="FX659" s="18"/>
      <c r="FY659" s="18"/>
      <c r="FZ659" s="18"/>
      <c r="GA659" s="18"/>
      <c r="GB659" s="18"/>
      <c r="GC659" s="18"/>
      <c r="GD659" s="18"/>
      <c r="GE659" s="18"/>
      <c r="GF659" s="18"/>
      <c r="GG659" s="18"/>
      <c r="GH659" s="18"/>
      <c r="GI659" s="18"/>
      <c r="GJ659" s="18"/>
      <c r="GK659" s="18"/>
      <c r="GL659" s="18"/>
      <c r="GM659" s="18"/>
      <c r="GN659" s="18"/>
      <c r="GO659" s="18"/>
      <c r="GP659" s="18"/>
      <c r="GQ659" s="18"/>
      <c r="GR659" s="18"/>
      <c r="GS659" s="18"/>
      <c r="GT659" s="18"/>
      <c r="GU659" s="18"/>
      <c r="GV659" s="18"/>
      <c r="GW659" s="18"/>
      <c r="GX659" s="18"/>
      <c r="GY659" s="18"/>
      <c r="GZ659" s="18"/>
      <c r="HA659" s="18"/>
      <c r="HB659" s="18"/>
      <c r="HC659" s="18"/>
      <c r="HD659" s="18"/>
      <c r="HE659" s="18"/>
      <c r="HF659" s="18"/>
      <c r="HG659" s="13"/>
      <c r="HH659" s="13"/>
      <c r="HI659" s="13"/>
      <c r="HJ659" s="13"/>
      <c r="HK659" s="13"/>
      <c r="HL659" s="13"/>
      <c r="HM659" s="13"/>
      <c r="HN659" s="13"/>
      <c r="HO659" s="13"/>
      <c r="HP659" s="13"/>
      <c r="HQ659" s="13"/>
      <c r="HR659" s="13"/>
      <c r="HS659" s="13"/>
      <c r="HT659" s="13"/>
      <c r="HV659" s="18"/>
      <c r="HW659" s="18"/>
      <c r="HX659" s="18"/>
      <c r="HY659" s="18"/>
      <c r="HZ659" s="18"/>
      <c r="IA659" s="18"/>
      <c r="IB659" s="18"/>
      <c r="IC659" s="18"/>
      <c r="ID659" s="18"/>
      <c r="IE659" s="18"/>
      <c r="IF659" s="18"/>
      <c r="IG659" s="18"/>
      <c r="IH659" s="18"/>
      <c r="II659" s="18"/>
      <c r="IJ659" s="18"/>
      <c r="IK659" s="18"/>
      <c r="IL659" s="18"/>
      <c r="IM659" s="18"/>
      <c r="IN659" s="18"/>
      <c r="IO659" s="18"/>
      <c r="IP659" s="18"/>
      <c r="IQ659" s="18"/>
      <c r="IR659" s="18"/>
      <c r="IS659" s="18"/>
      <c r="IT659" s="18"/>
      <c r="IU659" s="18"/>
      <c r="IV659" s="18"/>
      <c r="IW659" s="18"/>
      <c r="IX659" s="18"/>
      <c r="IY659" s="18"/>
      <c r="IZ659" s="18"/>
      <c r="JA659" s="18"/>
      <c r="JB659" s="18"/>
      <c r="JC659" s="18"/>
      <c r="JD659" s="18"/>
      <c r="JE659" s="18"/>
      <c r="JF659" s="18"/>
      <c r="JG659" s="18"/>
      <c r="JH659" s="18"/>
      <c r="JI659" s="18"/>
      <c r="JJ659" s="18"/>
      <c r="JK659" s="18"/>
      <c r="JL659" s="18"/>
      <c r="JM659" s="18"/>
      <c r="JN659" s="18"/>
      <c r="JO659" s="18"/>
      <c r="JP659" s="18"/>
      <c r="JQ659" s="18"/>
      <c r="JR659" s="18"/>
      <c r="JS659" s="18"/>
      <c r="JT659" s="18"/>
      <c r="JU659" s="18"/>
      <c r="JV659" s="18"/>
      <c r="JW659" s="18"/>
      <c r="JX659" s="18"/>
      <c r="JY659" s="18"/>
      <c r="JZ659" s="18"/>
      <c r="KA659" s="18"/>
      <c r="KB659" s="18"/>
      <c r="KC659" s="18"/>
      <c r="KD659" s="18"/>
      <c r="KE659" s="18"/>
      <c r="KF659" s="18"/>
      <c r="KG659" s="18"/>
      <c r="KH659" s="18"/>
      <c r="KI659" s="18"/>
      <c r="KJ659" s="18"/>
      <c r="KK659" s="18"/>
      <c r="KL659" s="18"/>
      <c r="KM659" s="18"/>
      <c r="KN659" s="18"/>
      <c r="KO659" s="18"/>
      <c r="KP659" s="18"/>
    </row>
    <row r="660" spans="1:302" ht="15" customHeight="1">
      <c r="A660" s="14"/>
      <c r="B660" s="14"/>
      <c r="F660" s="46"/>
      <c r="G660" s="23"/>
      <c r="H660" s="23"/>
      <c r="I660" s="23"/>
      <c r="J660" s="23"/>
      <c r="K660" s="14"/>
      <c r="L660" s="14"/>
      <c r="P660" s="14"/>
      <c r="AG660" s="44"/>
      <c r="AH660" s="44"/>
      <c r="AI660" s="45"/>
      <c r="AJ660" s="44"/>
      <c r="AK660" s="43"/>
      <c r="AS660" s="14"/>
      <c r="AU660" s="18"/>
      <c r="AV660" s="18"/>
      <c r="AW660" s="18"/>
      <c r="AX660" s="18"/>
      <c r="AY660" s="18"/>
      <c r="AZ660" s="18"/>
      <c r="BB660" s="18"/>
      <c r="BC660" s="18"/>
      <c r="BD660" s="18"/>
      <c r="BE660" s="18"/>
      <c r="BF660" s="18"/>
      <c r="BH660" s="18"/>
      <c r="BI660" s="18"/>
      <c r="BJ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  <c r="FR660" s="18"/>
      <c r="FS660" s="18"/>
      <c r="FT660" s="18"/>
      <c r="FU660" s="18"/>
      <c r="FV660" s="18"/>
      <c r="FW660" s="18"/>
      <c r="FX660" s="18"/>
      <c r="FY660" s="18"/>
      <c r="FZ660" s="18"/>
      <c r="GA660" s="18"/>
      <c r="GB660" s="18"/>
      <c r="GC660" s="18"/>
      <c r="GD660" s="18"/>
      <c r="GE660" s="18"/>
      <c r="GF660" s="18"/>
      <c r="GG660" s="18"/>
      <c r="GH660" s="18"/>
      <c r="GI660" s="18"/>
      <c r="GJ660" s="18"/>
      <c r="GK660" s="18"/>
      <c r="GL660" s="18"/>
      <c r="GM660" s="18"/>
      <c r="GN660" s="18"/>
      <c r="GO660" s="18"/>
      <c r="GP660" s="18"/>
      <c r="GQ660" s="18"/>
      <c r="GR660" s="18"/>
      <c r="GS660" s="18"/>
      <c r="GT660" s="18"/>
      <c r="GU660" s="18"/>
      <c r="GV660" s="18"/>
      <c r="GW660" s="18"/>
      <c r="GX660" s="18"/>
      <c r="GY660" s="18"/>
      <c r="GZ660" s="18"/>
      <c r="HA660" s="18"/>
      <c r="HB660" s="18"/>
      <c r="HC660" s="18"/>
      <c r="HD660" s="18"/>
      <c r="HE660" s="18"/>
      <c r="HF660" s="18"/>
      <c r="HG660" s="13"/>
      <c r="HH660" s="13"/>
      <c r="HI660" s="13"/>
      <c r="HJ660" s="13"/>
      <c r="HK660" s="13"/>
      <c r="HL660" s="13"/>
      <c r="HM660" s="13"/>
      <c r="HN660" s="13"/>
      <c r="HO660" s="13"/>
      <c r="HP660" s="13"/>
      <c r="HQ660" s="13"/>
      <c r="HR660" s="13"/>
      <c r="HS660" s="13"/>
      <c r="HT660" s="13"/>
      <c r="HV660" s="18"/>
      <c r="HW660" s="18"/>
      <c r="HX660" s="18"/>
      <c r="HY660" s="18"/>
      <c r="HZ660" s="18"/>
      <c r="IA660" s="18"/>
      <c r="IB660" s="18"/>
      <c r="IC660" s="18"/>
      <c r="ID660" s="18"/>
      <c r="IE660" s="18"/>
      <c r="IF660" s="18"/>
      <c r="IG660" s="18"/>
      <c r="IH660" s="18"/>
      <c r="II660" s="18"/>
      <c r="IJ660" s="18"/>
      <c r="IK660" s="18"/>
      <c r="IL660" s="18"/>
      <c r="IM660" s="18"/>
      <c r="IN660" s="18"/>
      <c r="IO660" s="18"/>
      <c r="IP660" s="18"/>
      <c r="IQ660" s="18"/>
      <c r="IR660" s="18"/>
      <c r="IS660" s="18"/>
      <c r="IT660" s="18"/>
      <c r="IU660" s="18"/>
      <c r="IV660" s="18"/>
      <c r="IW660" s="18"/>
      <c r="IX660" s="18"/>
      <c r="IY660" s="18"/>
      <c r="IZ660" s="18"/>
      <c r="JA660" s="18"/>
      <c r="JB660" s="18"/>
      <c r="JC660" s="18"/>
      <c r="JD660" s="18"/>
      <c r="JE660" s="18"/>
      <c r="JF660" s="18"/>
      <c r="JG660" s="18"/>
      <c r="JH660" s="18"/>
      <c r="JI660" s="18"/>
      <c r="JJ660" s="18"/>
      <c r="JK660" s="18"/>
      <c r="JL660" s="18"/>
      <c r="JM660" s="18"/>
      <c r="JN660" s="18"/>
      <c r="JO660" s="18"/>
      <c r="JP660" s="18"/>
      <c r="JQ660" s="18"/>
      <c r="JR660" s="18"/>
      <c r="JS660" s="18"/>
      <c r="JT660" s="18"/>
      <c r="JU660" s="18"/>
      <c r="JV660" s="18"/>
      <c r="JW660" s="18"/>
      <c r="JX660" s="18"/>
      <c r="JY660" s="18"/>
      <c r="JZ660" s="18"/>
      <c r="KA660" s="18"/>
      <c r="KB660" s="18"/>
      <c r="KC660" s="18"/>
      <c r="KD660" s="18"/>
      <c r="KE660" s="18"/>
      <c r="KF660" s="18"/>
      <c r="KG660" s="18"/>
      <c r="KH660" s="18"/>
      <c r="KI660" s="18"/>
      <c r="KJ660" s="18"/>
      <c r="KK660" s="18"/>
      <c r="KL660" s="18"/>
      <c r="KM660" s="18"/>
      <c r="KN660" s="18"/>
      <c r="KO660" s="18"/>
      <c r="KP660" s="18"/>
    </row>
    <row r="661" spans="1:302" ht="15" customHeight="1">
      <c r="A661" s="14"/>
      <c r="B661" s="14"/>
      <c r="F661" s="46"/>
      <c r="G661" s="23"/>
      <c r="H661" s="23"/>
      <c r="I661" s="23"/>
      <c r="J661" s="23"/>
      <c r="K661" s="14"/>
      <c r="L661" s="14"/>
      <c r="P661" s="14"/>
      <c r="AG661" s="44"/>
      <c r="AH661" s="44"/>
      <c r="AI661" s="45"/>
      <c r="AJ661" s="44"/>
      <c r="AK661" s="43"/>
      <c r="AS661" s="14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  <c r="FR661" s="18"/>
      <c r="FS661" s="18"/>
      <c r="FT661" s="18"/>
      <c r="FU661" s="18"/>
      <c r="FV661" s="18"/>
      <c r="FW661" s="18"/>
      <c r="FX661" s="18"/>
      <c r="FY661" s="18"/>
      <c r="FZ661" s="18"/>
      <c r="GA661" s="18"/>
      <c r="GB661" s="18"/>
      <c r="GC661" s="18"/>
      <c r="GD661" s="18"/>
      <c r="GE661" s="18"/>
      <c r="GF661" s="18"/>
      <c r="GG661" s="18"/>
      <c r="GH661" s="18"/>
      <c r="GI661" s="18"/>
      <c r="GJ661" s="18"/>
      <c r="GK661" s="18"/>
      <c r="GL661" s="18"/>
      <c r="GM661" s="18"/>
      <c r="GN661" s="18"/>
      <c r="GO661" s="18"/>
      <c r="GP661" s="18"/>
      <c r="GQ661" s="18"/>
      <c r="GR661" s="18"/>
      <c r="GS661" s="18"/>
      <c r="GT661" s="18"/>
      <c r="GU661" s="18"/>
      <c r="GV661" s="18"/>
      <c r="GW661" s="18"/>
      <c r="GX661" s="18"/>
      <c r="GY661" s="18"/>
      <c r="GZ661" s="18"/>
      <c r="HA661" s="18"/>
      <c r="HB661" s="18"/>
      <c r="HC661" s="18"/>
      <c r="HD661" s="18"/>
      <c r="HE661" s="18"/>
      <c r="HF661" s="18"/>
      <c r="HG661" s="13"/>
      <c r="HH661" s="13"/>
      <c r="HI661" s="13"/>
      <c r="HJ661" s="13"/>
      <c r="HK661" s="13"/>
      <c r="HL661" s="13"/>
      <c r="HM661" s="13"/>
      <c r="HN661" s="13"/>
      <c r="HO661" s="13"/>
      <c r="HP661" s="13"/>
      <c r="HQ661" s="13"/>
      <c r="HR661" s="13"/>
      <c r="HS661" s="13"/>
      <c r="HT661" s="13"/>
      <c r="HU661" s="18"/>
      <c r="HV661" s="18"/>
      <c r="HW661" s="18"/>
      <c r="HX661" s="18"/>
      <c r="HY661" s="18"/>
      <c r="HZ661" s="18"/>
      <c r="IA661" s="18"/>
      <c r="IB661" s="18"/>
      <c r="IC661" s="18"/>
      <c r="ID661" s="18"/>
      <c r="IE661" s="18"/>
      <c r="IF661" s="18"/>
      <c r="IG661" s="18"/>
      <c r="IH661" s="18"/>
      <c r="II661" s="18"/>
      <c r="IJ661" s="18"/>
      <c r="IK661" s="18"/>
      <c r="IL661" s="18"/>
      <c r="IM661" s="18"/>
      <c r="IN661" s="18"/>
      <c r="IO661" s="18"/>
      <c r="IP661" s="18"/>
      <c r="IQ661" s="18"/>
      <c r="IR661" s="18"/>
      <c r="IS661" s="18"/>
      <c r="IT661" s="18"/>
      <c r="IU661" s="18"/>
      <c r="IV661" s="18"/>
      <c r="IW661" s="18"/>
      <c r="IX661" s="18"/>
      <c r="IY661" s="18"/>
      <c r="IZ661" s="18"/>
      <c r="JA661" s="18"/>
      <c r="JB661" s="18"/>
      <c r="JC661" s="18"/>
      <c r="JD661" s="18"/>
      <c r="JE661" s="18"/>
      <c r="JF661" s="18"/>
      <c r="JG661" s="18"/>
      <c r="JH661" s="18"/>
      <c r="JI661" s="18"/>
      <c r="JJ661" s="18"/>
      <c r="JK661" s="18"/>
      <c r="JL661" s="18"/>
      <c r="JM661" s="18"/>
      <c r="JN661" s="18"/>
      <c r="JO661" s="18"/>
      <c r="JP661" s="18"/>
      <c r="JQ661" s="18"/>
      <c r="JR661" s="18"/>
      <c r="JS661" s="18"/>
      <c r="JT661" s="18"/>
      <c r="JU661" s="18"/>
      <c r="JV661" s="18"/>
      <c r="JW661" s="18"/>
      <c r="JX661" s="18"/>
      <c r="JY661" s="18"/>
      <c r="JZ661" s="18"/>
      <c r="KA661" s="18"/>
      <c r="KB661" s="18"/>
      <c r="KC661" s="18"/>
      <c r="KD661" s="18"/>
      <c r="KE661" s="18"/>
      <c r="KF661" s="18"/>
      <c r="KG661" s="18"/>
      <c r="KH661" s="18"/>
      <c r="KI661" s="18"/>
      <c r="KJ661" s="18"/>
      <c r="KK661" s="18"/>
      <c r="KL661" s="18"/>
      <c r="KM661" s="18"/>
      <c r="KN661" s="18"/>
      <c r="KO661" s="18"/>
      <c r="KP661" s="18"/>
    </row>
    <row r="662" spans="1:302" ht="15" customHeight="1">
      <c r="A662" s="14"/>
      <c r="B662" s="14"/>
      <c r="F662" s="46"/>
      <c r="G662" s="23"/>
      <c r="H662" s="23"/>
      <c r="I662" s="23"/>
      <c r="J662" s="23"/>
      <c r="K662" s="14"/>
      <c r="L662" s="14"/>
      <c r="P662" s="14"/>
      <c r="AG662" s="44"/>
      <c r="AH662" s="44"/>
      <c r="AI662" s="45"/>
      <c r="AJ662" s="44"/>
      <c r="AK662" s="43"/>
      <c r="AS662" s="14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  <c r="FR662" s="18"/>
      <c r="FS662" s="18"/>
      <c r="FT662" s="18"/>
      <c r="FU662" s="18"/>
      <c r="FV662" s="18"/>
      <c r="FW662" s="18"/>
      <c r="FX662" s="18"/>
      <c r="FY662" s="18"/>
      <c r="FZ662" s="18"/>
      <c r="GA662" s="18"/>
      <c r="GB662" s="18"/>
      <c r="GC662" s="18"/>
      <c r="GD662" s="18"/>
      <c r="GE662" s="18"/>
      <c r="GF662" s="18"/>
      <c r="GG662" s="18"/>
      <c r="GH662" s="18"/>
      <c r="GI662" s="18"/>
      <c r="GJ662" s="18"/>
      <c r="GK662" s="18"/>
      <c r="GL662" s="18"/>
      <c r="GM662" s="18"/>
      <c r="GN662" s="18"/>
      <c r="GO662" s="18"/>
      <c r="GP662" s="18"/>
      <c r="GQ662" s="18"/>
      <c r="GR662" s="18"/>
      <c r="GS662" s="18"/>
      <c r="GT662" s="18"/>
      <c r="GU662" s="18"/>
      <c r="GV662" s="18"/>
      <c r="GW662" s="18"/>
      <c r="GX662" s="18"/>
      <c r="GY662" s="18"/>
      <c r="GZ662" s="18"/>
      <c r="HA662" s="18"/>
      <c r="HB662" s="18"/>
      <c r="HC662" s="18"/>
      <c r="HD662" s="18"/>
      <c r="HE662" s="18"/>
      <c r="HF662" s="18"/>
      <c r="HG662" s="13"/>
      <c r="HH662" s="13"/>
      <c r="HI662" s="13"/>
      <c r="HJ662" s="13"/>
      <c r="HK662" s="13"/>
      <c r="HL662" s="13"/>
      <c r="HM662" s="13"/>
      <c r="HN662" s="13"/>
      <c r="HO662" s="13"/>
      <c r="HP662" s="13"/>
      <c r="HQ662" s="13"/>
      <c r="HR662" s="13"/>
      <c r="HS662" s="13"/>
      <c r="HT662" s="13"/>
      <c r="HU662" s="18"/>
      <c r="HV662" s="18"/>
      <c r="HW662" s="18"/>
      <c r="HX662" s="18"/>
      <c r="HY662" s="18"/>
      <c r="HZ662" s="18"/>
      <c r="IA662" s="18"/>
      <c r="IB662" s="18"/>
      <c r="IC662" s="18"/>
      <c r="ID662" s="18"/>
      <c r="IE662" s="18"/>
      <c r="IF662" s="18"/>
      <c r="IG662" s="18"/>
      <c r="IH662" s="18"/>
      <c r="II662" s="18"/>
      <c r="IJ662" s="18"/>
      <c r="IK662" s="18"/>
      <c r="IL662" s="18"/>
      <c r="IM662" s="18"/>
      <c r="IN662" s="18"/>
      <c r="IO662" s="18"/>
      <c r="IP662" s="18"/>
      <c r="IQ662" s="18"/>
      <c r="IR662" s="18"/>
      <c r="IS662" s="18"/>
      <c r="IT662" s="18"/>
      <c r="IU662" s="18"/>
      <c r="IV662" s="18"/>
      <c r="IW662" s="18"/>
      <c r="IX662" s="18"/>
      <c r="IY662" s="18"/>
      <c r="IZ662" s="18"/>
      <c r="JA662" s="18"/>
      <c r="JB662" s="18"/>
      <c r="JC662" s="18"/>
      <c r="JD662" s="18"/>
      <c r="JE662" s="18"/>
      <c r="JF662" s="18"/>
      <c r="JG662" s="18"/>
      <c r="JH662" s="18"/>
      <c r="JI662" s="18"/>
      <c r="JJ662" s="18"/>
      <c r="JK662" s="18"/>
      <c r="JL662" s="18"/>
      <c r="JM662" s="18"/>
      <c r="JN662" s="18"/>
      <c r="JO662" s="18"/>
      <c r="JP662" s="18"/>
      <c r="JQ662" s="18"/>
      <c r="JR662" s="18"/>
      <c r="JS662" s="18"/>
      <c r="JT662" s="18"/>
      <c r="JU662" s="18"/>
      <c r="JV662" s="18"/>
      <c r="JW662" s="18"/>
      <c r="JX662" s="18"/>
      <c r="JY662" s="18"/>
      <c r="JZ662" s="18"/>
      <c r="KA662" s="18"/>
      <c r="KB662" s="18"/>
      <c r="KC662" s="18"/>
      <c r="KD662" s="18"/>
      <c r="KE662" s="18"/>
      <c r="KF662" s="18"/>
      <c r="KG662" s="18"/>
      <c r="KH662" s="18"/>
      <c r="KI662" s="18"/>
      <c r="KJ662" s="18"/>
      <c r="KK662" s="18"/>
      <c r="KL662" s="18"/>
      <c r="KM662" s="18"/>
      <c r="KN662" s="18"/>
      <c r="KO662" s="18"/>
      <c r="KP662" s="18"/>
    </row>
    <row r="663" spans="1:302" ht="15" customHeight="1">
      <c r="A663" s="14"/>
      <c r="B663" s="14"/>
      <c r="F663" s="46"/>
      <c r="G663" s="23"/>
      <c r="H663" s="23"/>
      <c r="I663" s="23"/>
      <c r="J663" s="23"/>
      <c r="K663" s="14"/>
      <c r="L663" s="14"/>
      <c r="P663" s="14"/>
      <c r="AG663" s="44"/>
      <c r="AH663" s="44"/>
      <c r="AI663" s="45"/>
      <c r="AJ663" s="44"/>
      <c r="AK663" s="43"/>
      <c r="AS663" s="14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  <c r="FR663" s="18"/>
      <c r="FS663" s="18"/>
      <c r="FT663" s="18"/>
      <c r="FU663" s="18"/>
      <c r="FV663" s="18"/>
      <c r="FW663" s="18"/>
      <c r="FX663" s="18"/>
      <c r="FY663" s="18"/>
      <c r="FZ663" s="18"/>
      <c r="GA663" s="18"/>
      <c r="GB663" s="18"/>
      <c r="GC663" s="18"/>
      <c r="GD663" s="18"/>
      <c r="GE663" s="18"/>
      <c r="GF663" s="18"/>
      <c r="GG663" s="18"/>
      <c r="GH663" s="18"/>
      <c r="GI663" s="18"/>
      <c r="GJ663" s="18"/>
      <c r="GK663" s="18"/>
      <c r="GL663" s="18"/>
      <c r="GM663" s="18"/>
      <c r="GN663" s="18"/>
      <c r="GO663" s="18"/>
      <c r="GP663" s="18"/>
      <c r="GQ663" s="18"/>
      <c r="GR663" s="18"/>
      <c r="GS663" s="18"/>
      <c r="GT663" s="18"/>
      <c r="GU663" s="18"/>
      <c r="GV663" s="18"/>
      <c r="GW663" s="18"/>
      <c r="GX663" s="18"/>
      <c r="GY663" s="18"/>
      <c r="GZ663" s="18"/>
      <c r="HA663" s="18"/>
      <c r="HB663" s="18"/>
      <c r="HC663" s="18"/>
      <c r="HD663" s="18"/>
      <c r="HE663" s="18"/>
      <c r="HF663" s="18"/>
      <c r="HG663" s="13"/>
      <c r="HH663" s="13"/>
      <c r="HI663" s="13"/>
      <c r="HJ663" s="13"/>
      <c r="HK663" s="13"/>
      <c r="HL663" s="13"/>
      <c r="HM663" s="13"/>
      <c r="HN663" s="13"/>
      <c r="HO663" s="13"/>
      <c r="HP663" s="13"/>
      <c r="HQ663" s="13"/>
      <c r="HR663" s="13"/>
      <c r="HS663" s="13"/>
      <c r="HT663" s="13"/>
      <c r="HU663" s="18"/>
      <c r="HV663" s="18"/>
      <c r="HW663" s="18"/>
      <c r="HX663" s="18"/>
      <c r="HY663" s="18"/>
      <c r="HZ663" s="18"/>
      <c r="IA663" s="18"/>
      <c r="IB663" s="18"/>
      <c r="IC663" s="18"/>
      <c r="ID663" s="18"/>
      <c r="IE663" s="18"/>
      <c r="IF663" s="18"/>
      <c r="IG663" s="18"/>
      <c r="IH663" s="18"/>
      <c r="II663" s="18"/>
      <c r="IJ663" s="18"/>
      <c r="IK663" s="18"/>
      <c r="IL663" s="18"/>
      <c r="IM663" s="18"/>
      <c r="IN663" s="18"/>
      <c r="IO663" s="18"/>
      <c r="IP663" s="18"/>
      <c r="IQ663" s="18"/>
      <c r="IR663" s="18"/>
      <c r="IS663" s="18"/>
      <c r="IT663" s="18"/>
      <c r="IU663" s="18"/>
      <c r="IV663" s="18"/>
      <c r="IW663" s="18"/>
      <c r="IX663" s="18"/>
      <c r="IY663" s="18"/>
      <c r="IZ663" s="18"/>
      <c r="JA663" s="18"/>
      <c r="JB663" s="18"/>
      <c r="JC663" s="18"/>
      <c r="JD663" s="18"/>
      <c r="JE663" s="18"/>
      <c r="JF663" s="18"/>
      <c r="JG663" s="18"/>
      <c r="JH663" s="18"/>
      <c r="JI663" s="18"/>
      <c r="JJ663" s="18"/>
      <c r="JK663" s="18"/>
      <c r="JL663" s="18"/>
      <c r="JM663" s="18"/>
      <c r="JN663" s="18"/>
      <c r="JO663" s="18"/>
      <c r="JP663" s="18"/>
      <c r="JQ663" s="18"/>
      <c r="JR663" s="18"/>
      <c r="JS663" s="18"/>
      <c r="JT663" s="18"/>
      <c r="JU663" s="18"/>
      <c r="JV663" s="18"/>
      <c r="JW663" s="18"/>
      <c r="JX663" s="18"/>
      <c r="JY663" s="18"/>
      <c r="JZ663" s="18"/>
      <c r="KA663" s="18"/>
      <c r="KB663" s="18"/>
      <c r="KC663" s="18"/>
      <c r="KD663" s="18"/>
      <c r="KE663" s="18"/>
      <c r="KF663" s="18"/>
      <c r="KG663" s="18"/>
      <c r="KH663" s="18"/>
      <c r="KI663" s="18"/>
      <c r="KJ663" s="18"/>
      <c r="KK663" s="18"/>
      <c r="KL663" s="18"/>
      <c r="KM663" s="18"/>
      <c r="KN663" s="18"/>
      <c r="KO663" s="18"/>
      <c r="KP663" s="18"/>
    </row>
    <row r="664" spans="1:302" ht="15" customHeight="1">
      <c r="A664" s="14"/>
      <c r="B664" s="14"/>
      <c r="F664" s="46"/>
      <c r="G664" s="23"/>
      <c r="H664" s="23"/>
      <c r="I664" s="23"/>
      <c r="J664" s="23"/>
      <c r="K664" s="14"/>
      <c r="L664" s="14"/>
      <c r="P664" s="14"/>
      <c r="AG664" s="44"/>
      <c r="AH664" s="44"/>
      <c r="AI664" s="45"/>
      <c r="AJ664" s="44"/>
      <c r="AK664" s="43"/>
      <c r="AS664" s="14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  <c r="FR664" s="18"/>
      <c r="FS664" s="18"/>
      <c r="FT664" s="18"/>
      <c r="FU664" s="18"/>
      <c r="FV664" s="18"/>
      <c r="FW664" s="18"/>
      <c r="FX664" s="18"/>
      <c r="FY664" s="18"/>
      <c r="FZ664" s="18"/>
      <c r="GA664" s="18"/>
      <c r="GB664" s="18"/>
      <c r="GC664" s="18"/>
      <c r="GD664" s="18"/>
      <c r="GE664" s="18"/>
      <c r="GF664" s="18"/>
      <c r="GG664" s="18"/>
      <c r="GH664" s="18"/>
      <c r="GI664" s="18"/>
      <c r="GJ664" s="18"/>
      <c r="GK664" s="18"/>
      <c r="GL664" s="18"/>
      <c r="GM664" s="18"/>
      <c r="GN664" s="18"/>
      <c r="GO664" s="18"/>
      <c r="GP664" s="18"/>
      <c r="GQ664" s="18"/>
      <c r="GR664" s="18"/>
      <c r="GS664" s="18"/>
      <c r="GT664" s="18"/>
      <c r="GU664" s="18"/>
      <c r="GV664" s="18"/>
      <c r="GW664" s="18"/>
      <c r="GX664" s="18"/>
      <c r="GY664" s="18"/>
      <c r="GZ664" s="18"/>
      <c r="HA664" s="18"/>
      <c r="HB664" s="18"/>
      <c r="HC664" s="18"/>
      <c r="HD664" s="18"/>
      <c r="HE664" s="18"/>
      <c r="HF664" s="18"/>
      <c r="HG664" s="13"/>
      <c r="HH664" s="13"/>
      <c r="HI664" s="13"/>
      <c r="HJ664" s="13"/>
      <c r="HK664" s="13"/>
      <c r="HL664" s="13"/>
      <c r="HM664" s="13"/>
      <c r="HN664" s="13"/>
      <c r="HO664" s="13"/>
      <c r="HP664" s="13"/>
      <c r="HQ664" s="13"/>
      <c r="HR664" s="13"/>
      <c r="HS664" s="13"/>
      <c r="HT664" s="13"/>
      <c r="HU664" s="18"/>
      <c r="HV664" s="18"/>
      <c r="HW664" s="18"/>
      <c r="HX664" s="18"/>
      <c r="HY664" s="18"/>
      <c r="HZ664" s="18"/>
      <c r="IA664" s="18"/>
      <c r="IB664" s="18"/>
      <c r="IC664" s="18"/>
      <c r="ID664" s="18"/>
      <c r="IE664" s="18"/>
      <c r="IF664" s="18"/>
      <c r="IG664" s="18"/>
      <c r="IH664" s="18"/>
      <c r="II664" s="18"/>
      <c r="IJ664" s="18"/>
      <c r="IK664" s="18"/>
      <c r="IL664" s="18"/>
      <c r="IM664" s="18"/>
      <c r="IN664" s="18"/>
      <c r="IO664" s="18"/>
      <c r="IP664" s="18"/>
      <c r="IQ664" s="18"/>
      <c r="IR664" s="18"/>
      <c r="IS664" s="18"/>
      <c r="IT664" s="18"/>
      <c r="IU664" s="18"/>
      <c r="IV664" s="18"/>
      <c r="IW664" s="18"/>
      <c r="IX664" s="18"/>
      <c r="IY664" s="18"/>
      <c r="IZ664" s="18"/>
      <c r="JA664" s="18"/>
      <c r="JB664" s="18"/>
      <c r="JC664" s="18"/>
      <c r="JD664" s="18"/>
      <c r="JE664" s="18"/>
      <c r="JF664" s="18"/>
      <c r="JG664" s="18"/>
      <c r="JH664" s="18"/>
      <c r="JI664" s="18"/>
      <c r="JJ664" s="18"/>
      <c r="JK664" s="18"/>
      <c r="JL664" s="18"/>
      <c r="JM664" s="18"/>
      <c r="JN664" s="18"/>
      <c r="JO664" s="18"/>
      <c r="JP664" s="18"/>
      <c r="JQ664" s="18"/>
      <c r="JR664" s="18"/>
      <c r="JS664" s="18"/>
      <c r="JT664" s="18"/>
      <c r="JU664" s="18"/>
      <c r="JV664" s="18"/>
      <c r="JW664" s="18"/>
      <c r="JX664" s="18"/>
      <c r="JY664" s="18"/>
      <c r="JZ664" s="18"/>
      <c r="KA664" s="18"/>
      <c r="KB664" s="18"/>
      <c r="KC664" s="18"/>
      <c r="KD664" s="18"/>
      <c r="KE664" s="18"/>
      <c r="KF664" s="18"/>
      <c r="KG664" s="18"/>
      <c r="KH664" s="18"/>
      <c r="KI664" s="18"/>
      <c r="KJ664" s="18"/>
      <c r="KK664" s="18"/>
      <c r="KL664" s="18"/>
      <c r="KM664" s="18"/>
      <c r="KN664" s="18"/>
      <c r="KO664" s="18"/>
      <c r="KP664" s="18"/>
    </row>
    <row r="665" spans="1:302" ht="15" customHeight="1">
      <c r="A665" s="14"/>
      <c r="B665" s="14"/>
      <c r="F665" s="46"/>
      <c r="G665" s="23"/>
      <c r="H665" s="23"/>
      <c r="I665" s="23"/>
      <c r="J665" s="23"/>
      <c r="K665" s="14"/>
      <c r="L665" s="14"/>
      <c r="P665" s="14"/>
      <c r="AG665" s="44"/>
      <c r="AH665" s="44"/>
      <c r="AI665" s="45"/>
      <c r="AJ665" s="44"/>
      <c r="AK665" s="43"/>
      <c r="AS665" s="14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  <c r="FR665" s="18"/>
      <c r="FS665" s="18"/>
      <c r="FT665" s="18"/>
      <c r="FU665" s="18"/>
      <c r="FV665" s="18"/>
      <c r="FW665" s="18"/>
      <c r="FX665" s="18"/>
      <c r="FY665" s="18"/>
      <c r="FZ665" s="18"/>
      <c r="GA665" s="18"/>
      <c r="GB665" s="18"/>
      <c r="GC665" s="18"/>
      <c r="GD665" s="18"/>
      <c r="GE665" s="18"/>
      <c r="GF665" s="18"/>
      <c r="GG665" s="18"/>
      <c r="GH665" s="18"/>
      <c r="GI665" s="18"/>
      <c r="GJ665" s="18"/>
      <c r="GK665" s="18"/>
      <c r="GL665" s="18"/>
      <c r="GM665" s="18"/>
      <c r="GN665" s="18"/>
      <c r="GO665" s="18"/>
      <c r="GP665" s="18"/>
      <c r="GQ665" s="18"/>
      <c r="GR665" s="18"/>
      <c r="GS665" s="18"/>
      <c r="GT665" s="18"/>
      <c r="GU665" s="18"/>
      <c r="GV665" s="18"/>
      <c r="GW665" s="18"/>
      <c r="GX665" s="18"/>
      <c r="GY665" s="18"/>
      <c r="GZ665" s="18"/>
      <c r="HA665" s="18"/>
      <c r="HB665" s="18"/>
      <c r="HC665" s="18"/>
      <c r="HD665" s="18"/>
      <c r="HE665" s="18"/>
      <c r="HF665" s="18"/>
      <c r="HG665" s="13"/>
      <c r="HH665" s="13"/>
      <c r="HI665" s="13"/>
      <c r="HJ665" s="13"/>
      <c r="HK665" s="13"/>
      <c r="HL665" s="13"/>
      <c r="HM665" s="13"/>
      <c r="HN665" s="13"/>
      <c r="HO665" s="13"/>
      <c r="HP665" s="13"/>
      <c r="HQ665" s="13"/>
      <c r="HR665" s="13"/>
      <c r="HS665" s="13"/>
      <c r="HT665" s="13"/>
      <c r="HU665" s="18"/>
      <c r="HV665" s="18"/>
      <c r="HW665" s="18"/>
      <c r="HX665" s="18"/>
      <c r="HY665" s="18"/>
      <c r="HZ665" s="18"/>
      <c r="IA665" s="18"/>
      <c r="IB665" s="18"/>
      <c r="IC665" s="18"/>
      <c r="ID665" s="18"/>
      <c r="IE665" s="18"/>
      <c r="IF665" s="18"/>
      <c r="IG665" s="18"/>
      <c r="IH665" s="18"/>
      <c r="II665" s="18"/>
      <c r="IJ665" s="18"/>
      <c r="IK665" s="18"/>
      <c r="IL665" s="18"/>
      <c r="IM665" s="18"/>
      <c r="IN665" s="18"/>
      <c r="IO665" s="18"/>
      <c r="IP665" s="18"/>
      <c r="IQ665" s="18"/>
      <c r="IR665" s="18"/>
      <c r="IS665" s="18"/>
      <c r="IT665" s="18"/>
      <c r="IU665" s="18"/>
      <c r="IV665" s="18"/>
      <c r="IW665" s="18"/>
      <c r="IX665" s="18"/>
      <c r="IY665" s="18"/>
      <c r="IZ665" s="18"/>
      <c r="JA665" s="18"/>
      <c r="JB665" s="18"/>
      <c r="JC665" s="18"/>
      <c r="JD665" s="18"/>
      <c r="JE665" s="18"/>
      <c r="JF665" s="18"/>
      <c r="JG665" s="18"/>
      <c r="JH665" s="18"/>
      <c r="JI665" s="18"/>
      <c r="JJ665" s="18"/>
      <c r="JK665" s="18"/>
      <c r="JL665" s="18"/>
      <c r="JM665" s="18"/>
      <c r="JN665" s="18"/>
      <c r="JO665" s="18"/>
      <c r="JP665" s="18"/>
      <c r="JQ665" s="18"/>
      <c r="JR665" s="18"/>
      <c r="JS665" s="18"/>
      <c r="JT665" s="18"/>
      <c r="JU665" s="18"/>
      <c r="JV665" s="18"/>
      <c r="JW665" s="18"/>
      <c r="JX665" s="18"/>
      <c r="JY665" s="18"/>
      <c r="JZ665" s="18"/>
      <c r="KA665" s="18"/>
      <c r="KB665" s="18"/>
      <c r="KC665" s="18"/>
      <c r="KD665" s="18"/>
      <c r="KE665" s="18"/>
      <c r="KF665" s="18"/>
      <c r="KG665" s="18"/>
      <c r="KH665" s="18"/>
      <c r="KI665" s="18"/>
      <c r="KJ665" s="18"/>
      <c r="KK665" s="18"/>
      <c r="KL665" s="18"/>
      <c r="KM665" s="18"/>
      <c r="KN665" s="18"/>
      <c r="KO665" s="18"/>
      <c r="KP665" s="18"/>
    </row>
    <row r="666" spans="1:302" ht="15" customHeight="1">
      <c r="A666" s="14"/>
      <c r="B666" s="14"/>
      <c r="F666" s="46"/>
      <c r="G666" s="23"/>
      <c r="H666" s="23"/>
      <c r="I666" s="23"/>
      <c r="J666" s="23"/>
      <c r="K666" s="14"/>
      <c r="L666" s="14"/>
      <c r="P666" s="14"/>
      <c r="AG666" s="44"/>
      <c r="AH666" s="44"/>
      <c r="AI666" s="45"/>
      <c r="AJ666" s="44"/>
      <c r="AK666" s="43"/>
      <c r="AS666" s="14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  <c r="FR666" s="18"/>
      <c r="FS666" s="18"/>
      <c r="FT666" s="18"/>
      <c r="FU666" s="18"/>
      <c r="FV666" s="18"/>
      <c r="FW666" s="18"/>
      <c r="FX666" s="18"/>
      <c r="FY666" s="18"/>
      <c r="FZ666" s="18"/>
      <c r="GA666" s="18"/>
      <c r="GB666" s="18"/>
      <c r="GC666" s="18"/>
      <c r="GD666" s="18"/>
      <c r="GE666" s="18"/>
      <c r="GF666" s="18"/>
      <c r="GG666" s="18"/>
      <c r="GH666" s="18"/>
      <c r="GI666" s="18"/>
      <c r="GJ666" s="18"/>
      <c r="GK666" s="18"/>
      <c r="GL666" s="18"/>
      <c r="GM666" s="18"/>
      <c r="GN666" s="18"/>
      <c r="GO666" s="18"/>
      <c r="GP666" s="18"/>
      <c r="GQ666" s="18"/>
      <c r="GR666" s="18"/>
      <c r="GS666" s="18"/>
      <c r="GT666" s="18"/>
      <c r="GU666" s="18"/>
      <c r="GV666" s="18"/>
      <c r="GW666" s="18"/>
      <c r="GX666" s="18"/>
      <c r="GY666" s="18"/>
      <c r="GZ666" s="18"/>
      <c r="HA666" s="18"/>
      <c r="HB666" s="18"/>
      <c r="HC666" s="18"/>
      <c r="HD666" s="18"/>
      <c r="HE666" s="18"/>
      <c r="HF666" s="18"/>
      <c r="HG666" s="13"/>
      <c r="HH666" s="13"/>
      <c r="HI666" s="13"/>
      <c r="HJ666" s="13"/>
      <c r="HK666" s="13"/>
      <c r="HL666" s="13"/>
      <c r="HM666" s="13"/>
      <c r="HN666" s="13"/>
      <c r="HO666" s="13"/>
      <c r="HP666" s="13"/>
      <c r="HQ666" s="13"/>
      <c r="HR666" s="13"/>
      <c r="HS666" s="13"/>
      <c r="HT666" s="13"/>
      <c r="HU666" s="18"/>
      <c r="HV666" s="18"/>
      <c r="HW666" s="18"/>
      <c r="HX666" s="18"/>
      <c r="HY666" s="18"/>
      <c r="HZ666" s="18"/>
      <c r="IA666" s="18"/>
      <c r="IB666" s="18"/>
      <c r="IC666" s="18"/>
      <c r="ID666" s="18"/>
      <c r="IE666" s="18"/>
      <c r="IF666" s="18"/>
      <c r="IG666" s="18"/>
      <c r="IH666" s="18"/>
      <c r="II666" s="18"/>
      <c r="IJ666" s="18"/>
      <c r="IK666" s="18"/>
      <c r="IL666" s="18"/>
      <c r="IM666" s="18"/>
      <c r="IN666" s="18"/>
      <c r="IO666" s="18"/>
      <c r="IP666" s="18"/>
      <c r="IQ666" s="18"/>
      <c r="IR666" s="18"/>
      <c r="IS666" s="18"/>
      <c r="IT666" s="18"/>
      <c r="IU666" s="18"/>
      <c r="IV666" s="18"/>
      <c r="IW666" s="18"/>
      <c r="IX666" s="18"/>
      <c r="IY666" s="18"/>
      <c r="IZ666" s="18"/>
      <c r="JA666" s="18"/>
      <c r="JB666" s="18"/>
      <c r="JC666" s="18"/>
      <c r="JD666" s="18"/>
      <c r="JE666" s="18"/>
      <c r="JF666" s="18"/>
      <c r="JG666" s="18"/>
      <c r="JH666" s="18"/>
      <c r="JI666" s="18"/>
      <c r="JJ666" s="18"/>
      <c r="JK666" s="18"/>
      <c r="JL666" s="18"/>
      <c r="JM666" s="18"/>
      <c r="JN666" s="18"/>
      <c r="JO666" s="18"/>
      <c r="JP666" s="18"/>
      <c r="JQ666" s="18"/>
      <c r="JR666" s="18"/>
      <c r="JS666" s="18"/>
      <c r="JT666" s="18"/>
      <c r="JU666" s="18"/>
      <c r="JV666" s="18"/>
      <c r="JW666" s="18"/>
      <c r="JX666" s="18"/>
      <c r="JY666" s="18"/>
      <c r="JZ666" s="18"/>
      <c r="KA666" s="18"/>
      <c r="KB666" s="18"/>
      <c r="KC666" s="18"/>
      <c r="KD666" s="18"/>
      <c r="KE666" s="18"/>
      <c r="KF666" s="18"/>
      <c r="KG666" s="18"/>
      <c r="KH666" s="18"/>
      <c r="KI666" s="18"/>
      <c r="KJ666" s="18"/>
      <c r="KK666" s="18"/>
      <c r="KL666" s="18"/>
      <c r="KM666" s="18"/>
      <c r="KN666" s="18"/>
      <c r="KO666" s="18"/>
      <c r="KP666" s="18"/>
    </row>
    <row r="667" spans="1:302" ht="15" customHeight="1">
      <c r="A667" s="14"/>
      <c r="B667" s="14"/>
      <c r="F667" s="46"/>
      <c r="G667" s="23"/>
      <c r="H667" s="23"/>
      <c r="I667" s="23"/>
      <c r="J667" s="23"/>
      <c r="K667" s="14"/>
      <c r="L667" s="14"/>
      <c r="P667" s="14"/>
      <c r="AG667" s="44"/>
      <c r="AH667" s="44"/>
      <c r="AI667" s="45"/>
      <c r="AJ667" s="44"/>
      <c r="AK667" s="43"/>
      <c r="AS667" s="14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  <c r="FR667" s="18"/>
      <c r="FS667" s="18"/>
      <c r="FT667" s="18"/>
      <c r="FU667" s="18"/>
      <c r="FV667" s="18"/>
      <c r="FW667" s="18"/>
      <c r="FX667" s="18"/>
      <c r="FY667" s="18"/>
      <c r="FZ667" s="18"/>
      <c r="GA667" s="18"/>
      <c r="GB667" s="18"/>
      <c r="GC667" s="18"/>
      <c r="GD667" s="18"/>
      <c r="GE667" s="18"/>
      <c r="GF667" s="18"/>
      <c r="GG667" s="18"/>
      <c r="GH667" s="18"/>
      <c r="GI667" s="18"/>
      <c r="GJ667" s="18"/>
      <c r="GK667" s="18"/>
      <c r="GL667" s="18"/>
      <c r="GM667" s="18"/>
      <c r="GN667" s="18"/>
      <c r="GO667" s="18"/>
      <c r="GP667" s="18"/>
      <c r="GQ667" s="18"/>
      <c r="GR667" s="18"/>
      <c r="GS667" s="18"/>
      <c r="GT667" s="18"/>
      <c r="GU667" s="18"/>
      <c r="GV667" s="18"/>
      <c r="GW667" s="18"/>
      <c r="GX667" s="18"/>
      <c r="GY667" s="18"/>
      <c r="GZ667" s="18"/>
      <c r="HA667" s="18"/>
      <c r="HB667" s="18"/>
      <c r="HC667" s="18"/>
      <c r="HD667" s="18"/>
      <c r="HE667" s="18"/>
      <c r="HF667" s="18"/>
      <c r="HG667" s="13"/>
      <c r="HH667" s="13"/>
      <c r="HI667" s="13"/>
      <c r="HJ667" s="13"/>
      <c r="HK667" s="13"/>
      <c r="HL667" s="13"/>
      <c r="HM667" s="13"/>
      <c r="HN667" s="13"/>
      <c r="HO667" s="13"/>
      <c r="HP667" s="13"/>
      <c r="HQ667" s="13"/>
      <c r="HR667" s="13"/>
      <c r="HS667" s="13"/>
      <c r="HT667" s="13"/>
      <c r="HU667" s="18"/>
      <c r="HV667" s="18"/>
      <c r="HW667" s="18"/>
      <c r="HX667" s="18"/>
      <c r="HY667" s="18"/>
      <c r="HZ667" s="18"/>
      <c r="IA667" s="18"/>
      <c r="IB667" s="18"/>
      <c r="IC667" s="18"/>
      <c r="ID667" s="18"/>
      <c r="IE667" s="18"/>
      <c r="IF667" s="18"/>
      <c r="IG667" s="18"/>
      <c r="IH667" s="18"/>
      <c r="II667" s="18"/>
      <c r="IJ667" s="18"/>
      <c r="IK667" s="18"/>
      <c r="IL667" s="18"/>
      <c r="IM667" s="18"/>
      <c r="IN667" s="18"/>
      <c r="IO667" s="18"/>
      <c r="IP667" s="18"/>
      <c r="IQ667" s="18"/>
      <c r="IR667" s="18"/>
      <c r="IS667" s="18"/>
      <c r="IT667" s="18"/>
      <c r="IU667" s="18"/>
      <c r="IV667" s="18"/>
      <c r="IW667" s="18"/>
      <c r="IX667" s="18"/>
      <c r="IY667" s="18"/>
      <c r="IZ667" s="18"/>
      <c r="JA667" s="18"/>
      <c r="JB667" s="18"/>
      <c r="JC667" s="18"/>
      <c r="JD667" s="18"/>
      <c r="JE667" s="18"/>
      <c r="JF667" s="18"/>
      <c r="JG667" s="18"/>
      <c r="JH667" s="18"/>
      <c r="JI667" s="18"/>
      <c r="JJ667" s="18"/>
      <c r="JK667" s="18"/>
      <c r="JL667" s="18"/>
      <c r="JM667" s="18"/>
      <c r="JN667" s="18"/>
      <c r="JO667" s="18"/>
      <c r="JP667" s="18"/>
      <c r="JQ667" s="18"/>
      <c r="JR667" s="18"/>
      <c r="JS667" s="18"/>
      <c r="JT667" s="18"/>
      <c r="JU667" s="18"/>
      <c r="JV667" s="18"/>
      <c r="JW667" s="18"/>
      <c r="JX667" s="18"/>
      <c r="JY667" s="18"/>
      <c r="JZ667" s="18"/>
      <c r="KA667" s="18"/>
      <c r="KB667" s="18"/>
      <c r="KC667" s="18"/>
      <c r="KD667" s="18"/>
      <c r="KE667" s="18"/>
      <c r="KF667" s="18"/>
      <c r="KG667" s="18"/>
      <c r="KH667" s="18"/>
      <c r="KI667" s="18"/>
      <c r="KJ667" s="18"/>
      <c r="KK667" s="18"/>
      <c r="KL667" s="18"/>
      <c r="KM667" s="18"/>
      <c r="KN667" s="18"/>
      <c r="KO667" s="18"/>
      <c r="KP667" s="18"/>
    </row>
    <row r="668" spans="1:302" ht="15" customHeight="1">
      <c r="A668" s="14"/>
      <c r="B668" s="14"/>
      <c r="F668" s="46"/>
      <c r="G668" s="23"/>
      <c r="H668" s="23"/>
      <c r="I668" s="23"/>
      <c r="J668" s="23"/>
      <c r="K668" s="14"/>
      <c r="L668" s="14"/>
      <c r="P668" s="14"/>
      <c r="AG668" s="44"/>
      <c r="AH668" s="44"/>
      <c r="AI668" s="45"/>
      <c r="AJ668" s="44"/>
      <c r="AK668" s="43"/>
      <c r="AS668" s="14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  <c r="FR668" s="18"/>
      <c r="FS668" s="18"/>
      <c r="FT668" s="18"/>
      <c r="FU668" s="18"/>
      <c r="FV668" s="18"/>
      <c r="FW668" s="18"/>
      <c r="FX668" s="18"/>
      <c r="FY668" s="18"/>
      <c r="FZ668" s="18"/>
      <c r="GA668" s="18"/>
      <c r="GB668" s="18"/>
      <c r="GC668" s="18"/>
      <c r="GD668" s="18"/>
      <c r="GE668" s="18"/>
      <c r="GF668" s="18"/>
      <c r="GG668" s="18"/>
      <c r="GH668" s="18"/>
      <c r="GI668" s="18"/>
      <c r="GJ668" s="18"/>
      <c r="GK668" s="18"/>
      <c r="GL668" s="18"/>
      <c r="GM668" s="18"/>
      <c r="GN668" s="18"/>
      <c r="GO668" s="18"/>
      <c r="GP668" s="18"/>
      <c r="GQ668" s="18"/>
      <c r="GR668" s="18"/>
      <c r="GS668" s="18"/>
      <c r="GT668" s="18"/>
      <c r="GU668" s="18"/>
      <c r="GV668" s="18"/>
      <c r="GW668" s="18"/>
      <c r="GX668" s="18"/>
      <c r="GY668" s="18"/>
      <c r="GZ668" s="18"/>
      <c r="HA668" s="18"/>
      <c r="HB668" s="18"/>
      <c r="HC668" s="18"/>
      <c r="HD668" s="18"/>
      <c r="HE668" s="18"/>
      <c r="HF668" s="18"/>
      <c r="HG668" s="13"/>
      <c r="HH668" s="13"/>
      <c r="HI668" s="13"/>
      <c r="HJ668" s="13"/>
      <c r="HK668" s="13"/>
      <c r="HL668" s="13"/>
      <c r="HM668" s="13"/>
      <c r="HN668" s="13"/>
      <c r="HO668" s="13"/>
      <c r="HP668" s="13"/>
      <c r="HQ668" s="13"/>
      <c r="HR668" s="13"/>
      <c r="HS668" s="13"/>
      <c r="HT668" s="13"/>
      <c r="HU668" s="18"/>
      <c r="HV668" s="18"/>
      <c r="HW668" s="18"/>
      <c r="HX668" s="18"/>
      <c r="HY668" s="18"/>
      <c r="HZ668" s="18"/>
      <c r="IA668" s="18"/>
      <c r="IB668" s="18"/>
      <c r="IC668" s="18"/>
      <c r="ID668" s="18"/>
      <c r="IE668" s="18"/>
      <c r="IF668" s="18"/>
      <c r="IG668" s="18"/>
      <c r="IH668" s="18"/>
      <c r="II668" s="18"/>
      <c r="IJ668" s="18"/>
      <c r="IK668" s="18"/>
      <c r="IL668" s="18"/>
      <c r="IM668" s="18"/>
      <c r="IN668" s="18"/>
      <c r="IO668" s="18"/>
      <c r="IP668" s="18"/>
      <c r="IQ668" s="18"/>
      <c r="IR668" s="18"/>
      <c r="IS668" s="18"/>
      <c r="IT668" s="18"/>
      <c r="IU668" s="18"/>
      <c r="IV668" s="18"/>
      <c r="IW668" s="18"/>
      <c r="IX668" s="18"/>
      <c r="IY668" s="18"/>
      <c r="IZ668" s="18"/>
      <c r="JA668" s="18"/>
      <c r="JB668" s="18"/>
      <c r="JC668" s="18"/>
      <c r="JD668" s="18"/>
      <c r="JE668" s="18"/>
      <c r="JF668" s="18"/>
      <c r="JG668" s="18"/>
      <c r="JH668" s="18"/>
      <c r="JI668" s="18"/>
      <c r="JJ668" s="18"/>
      <c r="JK668" s="18"/>
      <c r="JL668" s="18"/>
      <c r="JM668" s="18"/>
      <c r="JN668" s="18"/>
      <c r="JO668" s="18"/>
      <c r="JP668" s="18"/>
      <c r="JQ668" s="18"/>
      <c r="JR668" s="18"/>
      <c r="JS668" s="18"/>
      <c r="JT668" s="18"/>
      <c r="JU668" s="18"/>
      <c r="JV668" s="18"/>
      <c r="JW668" s="18"/>
      <c r="JX668" s="18"/>
      <c r="JY668" s="18"/>
      <c r="JZ668" s="18"/>
      <c r="KA668" s="18"/>
      <c r="KB668" s="18"/>
      <c r="KC668" s="18"/>
      <c r="KD668" s="18"/>
      <c r="KE668" s="18"/>
      <c r="KF668" s="18"/>
      <c r="KG668" s="18"/>
      <c r="KH668" s="18"/>
      <c r="KI668" s="18"/>
      <c r="KJ668" s="18"/>
      <c r="KK668" s="18"/>
      <c r="KL668" s="18"/>
      <c r="KM668" s="18"/>
      <c r="KN668" s="18"/>
      <c r="KO668" s="18"/>
      <c r="KP668" s="18"/>
    </row>
    <row r="669" spans="1:302" ht="15" customHeight="1">
      <c r="A669" s="14"/>
      <c r="B669" s="14"/>
      <c r="F669" s="46"/>
      <c r="G669" s="23"/>
      <c r="H669" s="23"/>
      <c r="I669" s="23"/>
      <c r="J669" s="23"/>
      <c r="K669" s="14"/>
      <c r="L669" s="14"/>
      <c r="P669" s="14"/>
      <c r="AG669" s="44"/>
      <c r="AH669" s="44"/>
      <c r="AI669" s="45"/>
      <c r="AJ669" s="44"/>
      <c r="AK669" s="43"/>
      <c r="AS669" s="14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  <c r="FC669" s="18"/>
      <c r="FD669" s="18"/>
      <c r="FE669" s="18"/>
      <c r="FF669" s="18"/>
      <c r="FG669" s="18"/>
      <c r="FH669" s="18"/>
      <c r="FI669" s="18"/>
      <c r="FJ669" s="18"/>
      <c r="FK669" s="18"/>
      <c r="FL669" s="18"/>
      <c r="FM669" s="18"/>
      <c r="FN669" s="18"/>
      <c r="FO669" s="18"/>
      <c r="FP669" s="18"/>
      <c r="FQ669" s="18"/>
      <c r="FR669" s="18"/>
      <c r="FS669" s="18"/>
      <c r="FT669" s="18"/>
      <c r="FU669" s="18"/>
      <c r="FV669" s="18"/>
      <c r="FW669" s="18"/>
      <c r="FX669" s="18"/>
      <c r="FY669" s="18"/>
      <c r="FZ669" s="18"/>
      <c r="GA669" s="18"/>
      <c r="GB669" s="18"/>
      <c r="GC669" s="18"/>
      <c r="GD669" s="18"/>
      <c r="GE669" s="18"/>
      <c r="GF669" s="18"/>
      <c r="GG669" s="18"/>
      <c r="GH669" s="18"/>
      <c r="GI669" s="18"/>
      <c r="GJ669" s="18"/>
      <c r="GK669" s="18"/>
      <c r="GL669" s="18"/>
      <c r="GM669" s="18"/>
      <c r="GN669" s="18"/>
      <c r="GO669" s="18"/>
      <c r="GP669" s="18"/>
      <c r="GQ669" s="18"/>
      <c r="GR669" s="18"/>
      <c r="GS669" s="18"/>
      <c r="GT669" s="18"/>
      <c r="GU669" s="18"/>
      <c r="GV669" s="18"/>
      <c r="GW669" s="18"/>
      <c r="GX669" s="18"/>
      <c r="GY669" s="18"/>
      <c r="GZ669" s="18"/>
      <c r="HA669" s="18"/>
      <c r="HB669" s="18"/>
      <c r="HC669" s="18"/>
      <c r="HD669" s="18"/>
      <c r="HE669" s="18"/>
      <c r="HF669" s="18"/>
      <c r="HG669" s="13"/>
      <c r="HH669" s="13"/>
      <c r="HI669" s="13"/>
      <c r="HJ669" s="13"/>
      <c r="HK669" s="13"/>
      <c r="HL669" s="13"/>
      <c r="HM669" s="13"/>
      <c r="HN669" s="13"/>
      <c r="HO669" s="13"/>
      <c r="HP669" s="13"/>
      <c r="HQ669" s="13"/>
      <c r="HR669" s="13"/>
      <c r="HS669" s="13"/>
      <c r="HT669" s="13"/>
      <c r="HU669" s="18"/>
      <c r="HV669" s="18"/>
      <c r="HW669" s="18"/>
      <c r="HX669" s="18"/>
      <c r="HY669" s="18"/>
      <c r="HZ669" s="18"/>
      <c r="IA669" s="18"/>
      <c r="IB669" s="18"/>
      <c r="IC669" s="18"/>
      <c r="ID669" s="18"/>
      <c r="IE669" s="18"/>
      <c r="IF669" s="18"/>
      <c r="IG669" s="18"/>
      <c r="IH669" s="18"/>
      <c r="II669" s="18"/>
      <c r="IJ669" s="18"/>
      <c r="IK669" s="18"/>
      <c r="IL669" s="18"/>
      <c r="IM669" s="18"/>
      <c r="IN669" s="18"/>
      <c r="IO669" s="18"/>
      <c r="IP669" s="18"/>
      <c r="IQ669" s="18"/>
      <c r="IR669" s="18"/>
      <c r="IS669" s="18"/>
      <c r="IT669" s="18"/>
      <c r="IU669" s="18"/>
      <c r="IV669" s="18"/>
      <c r="IW669" s="18"/>
      <c r="IX669" s="18"/>
      <c r="IY669" s="18"/>
      <c r="IZ669" s="18"/>
      <c r="JA669" s="18"/>
      <c r="JB669" s="18"/>
      <c r="JC669" s="18"/>
      <c r="JD669" s="18"/>
      <c r="JE669" s="18"/>
      <c r="JF669" s="18"/>
      <c r="JG669" s="18"/>
      <c r="JH669" s="18"/>
      <c r="JI669" s="18"/>
      <c r="JJ669" s="18"/>
      <c r="JK669" s="18"/>
      <c r="JL669" s="18"/>
      <c r="JM669" s="18"/>
      <c r="JN669" s="18"/>
      <c r="JO669" s="18"/>
      <c r="JP669" s="18"/>
      <c r="JQ669" s="18"/>
      <c r="JR669" s="18"/>
      <c r="JS669" s="18"/>
      <c r="JT669" s="18"/>
      <c r="JU669" s="18"/>
      <c r="JV669" s="18"/>
      <c r="JW669" s="18"/>
      <c r="JX669" s="18"/>
      <c r="JY669" s="18"/>
      <c r="JZ669" s="18"/>
      <c r="KA669" s="18"/>
      <c r="KB669" s="18"/>
      <c r="KC669" s="18"/>
      <c r="KD669" s="18"/>
      <c r="KE669" s="18"/>
      <c r="KF669" s="18"/>
      <c r="KG669" s="18"/>
      <c r="KH669" s="18"/>
      <c r="KI669" s="18"/>
      <c r="KJ669" s="18"/>
      <c r="KK669" s="18"/>
      <c r="KL669" s="18"/>
      <c r="KM669" s="18"/>
      <c r="KN669" s="18"/>
      <c r="KO669" s="18"/>
      <c r="KP669" s="18"/>
    </row>
    <row r="670" spans="1:302" ht="15" customHeight="1">
      <c r="A670" s="14"/>
      <c r="B670" s="14"/>
      <c r="F670" s="46"/>
      <c r="G670" s="23"/>
      <c r="H670" s="23"/>
      <c r="I670" s="23"/>
      <c r="J670" s="23"/>
      <c r="K670" s="14"/>
      <c r="L670" s="14"/>
      <c r="P670" s="14"/>
      <c r="AG670" s="44"/>
      <c r="AH670" s="44"/>
      <c r="AI670" s="45"/>
      <c r="AJ670" s="44"/>
      <c r="AK670" s="43"/>
      <c r="AS670" s="14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  <c r="FR670" s="18"/>
      <c r="FS670" s="18"/>
      <c r="FT670" s="18"/>
      <c r="FU670" s="18"/>
      <c r="FV670" s="18"/>
      <c r="FW670" s="18"/>
      <c r="FX670" s="18"/>
      <c r="FY670" s="18"/>
      <c r="FZ670" s="18"/>
      <c r="GA670" s="18"/>
      <c r="GB670" s="18"/>
      <c r="GC670" s="18"/>
      <c r="GD670" s="18"/>
      <c r="GE670" s="18"/>
      <c r="GF670" s="18"/>
      <c r="GG670" s="18"/>
      <c r="GH670" s="18"/>
      <c r="GI670" s="18"/>
      <c r="GJ670" s="18"/>
      <c r="GK670" s="18"/>
      <c r="GL670" s="18"/>
      <c r="GM670" s="18"/>
      <c r="GN670" s="18"/>
      <c r="GO670" s="18"/>
      <c r="GP670" s="18"/>
      <c r="GQ670" s="18"/>
      <c r="GR670" s="18"/>
      <c r="GS670" s="18"/>
      <c r="GT670" s="18"/>
      <c r="GU670" s="18"/>
      <c r="GV670" s="18"/>
      <c r="GW670" s="18"/>
      <c r="GX670" s="18"/>
      <c r="GY670" s="18"/>
      <c r="GZ670" s="18"/>
      <c r="HA670" s="18"/>
      <c r="HB670" s="18"/>
      <c r="HC670" s="18"/>
      <c r="HD670" s="18"/>
      <c r="HE670" s="18"/>
      <c r="HF670" s="18"/>
      <c r="HG670" s="13"/>
      <c r="HH670" s="13"/>
      <c r="HI670" s="13"/>
      <c r="HJ670" s="13"/>
      <c r="HK670" s="13"/>
      <c r="HL670" s="13"/>
      <c r="HM670" s="13"/>
      <c r="HN670" s="13"/>
      <c r="HO670" s="13"/>
      <c r="HP670" s="13"/>
      <c r="HQ670" s="13"/>
      <c r="HR670" s="13"/>
      <c r="HS670" s="13"/>
      <c r="HT670" s="13"/>
      <c r="HU670" s="18"/>
      <c r="HV670" s="18"/>
      <c r="HW670" s="18"/>
      <c r="HX670" s="18"/>
      <c r="HY670" s="18"/>
      <c r="HZ670" s="18"/>
      <c r="IA670" s="18"/>
      <c r="IB670" s="18"/>
      <c r="IC670" s="18"/>
      <c r="ID670" s="18"/>
      <c r="IE670" s="18"/>
      <c r="IF670" s="18"/>
      <c r="IG670" s="18"/>
      <c r="IH670" s="18"/>
      <c r="II670" s="18"/>
      <c r="IJ670" s="18"/>
      <c r="IK670" s="18"/>
      <c r="IL670" s="18"/>
      <c r="IM670" s="18"/>
      <c r="IN670" s="18"/>
      <c r="IO670" s="18"/>
      <c r="IP670" s="18"/>
      <c r="IQ670" s="18"/>
      <c r="IR670" s="18"/>
      <c r="IS670" s="18"/>
      <c r="IT670" s="18"/>
      <c r="IU670" s="18"/>
      <c r="IV670" s="18"/>
      <c r="IW670" s="18"/>
      <c r="IX670" s="18"/>
      <c r="IY670" s="18"/>
      <c r="IZ670" s="18"/>
      <c r="JA670" s="18"/>
      <c r="JB670" s="18"/>
      <c r="JC670" s="18"/>
      <c r="JD670" s="18"/>
      <c r="JE670" s="18"/>
      <c r="JF670" s="18"/>
      <c r="JG670" s="18"/>
      <c r="JH670" s="18"/>
      <c r="JI670" s="18"/>
      <c r="JJ670" s="18"/>
      <c r="JK670" s="18"/>
      <c r="JL670" s="18"/>
      <c r="JM670" s="18"/>
      <c r="JN670" s="18"/>
      <c r="JO670" s="18"/>
      <c r="JP670" s="18"/>
      <c r="JQ670" s="18"/>
      <c r="JR670" s="18"/>
      <c r="JS670" s="18"/>
      <c r="JT670" s="18"/>
      <c r="JU670" s="18"/>
      <c r="JV670" s="18"/>
      <c r="JW670" s="18"/>
      <c r="JX670" s="18"/>
      <c r="JY670" s="18"/>
      <c r="JZ670" s="18"/>
      <c r="KA670" s="18"/>
      <c r="KB670" s="18"/>
      <c r="KC670" s="18"/>
      <c r="KD670" s="18"/>
      <c r="KE670" s="18"/>
      <c r="KF670" s="18"/>
      <c r="KG670" s="18"/>
      <c r="KH670" s="18"/>
      <c r="KI670" s="18"/>
      <c r="KJ670" s="18"/>
      <c r="KK670" s="18"/>
      <c r="KL670" s="18"/>
      <c r="KM670" s="18"/>
      <c r="KN670" s="18"/>
      <c r="KO670" s="18"/>
      <c r="KP670" s="18"/>
    </row>
    <row r="671" spans="1:302" ht="15" customHeight="1">
      <c r="A671" s="14"/>
      <c r="B671" s="14"/>
      <c r="F671" s="46"/>
      <c r="G671" s="23"/>
      <c r="H671" s="23"/>
      <c r="I671" s="23"/>
      <c r="J671" s="23"/>
      <c r="K671" s="14"/>
      <c r="L671" s="14"/>
      <c r="P671" s="14"/>
      <c r="AG671" s="44"/>
      <c r="AH671" s="44"/>
      <c r="AI671" s="45"/>
      <c r="AJ671" s="44"/>
      <c r="AK671" s="43"/>
      <c r="AS671" s="14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  <c r="FC671" s="18"/>
      <c r="FD671" s="18"/>
      <c r="FE671" s="18"/>
      <c r="FF671" s="18"/>
      <c r="FG671" s="18"/>
      <c r="FH671" s="18"/>
      <c r="FI671" s="18"/>
      <c r="FJ671" s="18"/>
      <c r="FK671" s="18"/>
      <c r="FL671" s="18"/>
      <c r="FM671" s="18"/>
      <c r="FN671" s="18"/>
      <c r="FO671" s="18"/>
      <c r="FP671" s="18"/>
      <c r="FQ671" s="18"/>
      <c r="FR671" s="18"/>
      <c r="FS671" s="18"/>
      <c r="FT671" s="18"/>
      <c r="FU671" s="18"/>
      <c r="FV671" s="18"/>
      <c r="FW671" s="18"/>
      <c r="FX671" s="18"/>
      <c r="FY671" s="18"/>
      <c r="FZ671" s="18"/>
      <c r="GA671" s="18"/>
      <c r="GB671" s="18"/>
      <c r="GC671" s="18"/>
      <c r="GD671" s="18"/>
      <c r="GE671" s="18"/>
      <c r="GF671" s="18"/>
      <c r="GG671" s="18"/>
      <c r="GH671" s="18"/>
      <c r="GI671" s="18"/>
      <c r="GJ671" s="18"/>
      <c r="GK671" s="18"/>
      <c r="GL671" s="18"/>
      <c r="GM671" s="18"/>
      <c r="GN671" s="18"/>
      <c r="GO671" s="18"/>
      <c r="GP671" s="18"/>
      <c r="GQ671" s="18"/>
      <c r="GR671" s="18"/>
      <c r="GS671" s="18"/>
      <c r="GT671" s="18"/>
      <c r="GU671" s="18"/>
      <c r="GV671" s="18"/>
      <c r="GW671" s="18"/>
      <c r="GX671" s="18"/>
      <c r="GY671" s="18"/>
      <c r="GZ671" s="18"/>
      <c r="HA671" s="18"/>
      <c r="HB671" s="18"/>
      <c r="HC671" s="18"/>
      <c r="HD671" s="18"/>
      <c r="HE671" s="18"/>
      <c r="HF671" s="18"/>
      <c r="HG671" s="13"/>
      <c r="HH671" s="13"/>
      <c r="HI671" s="13"/>
      <c r="HJ671" s="13"/>
      <c r="HK671" s="13"/>
      <c r="HL671" s="13"/>
      <c r="HM671" s="13"/>
      <c r="HN671" s="13"/>
      <c r="HO671" s="13"/>
      <c r="HP671" s="13"/>
      <c r="HQ671" s="13"/>
      <c r="HR671" s="13"/>
      <c r="HS671" s="13"/>
      <c r="HT671" s="13"/>
      <c r="HU671" s="18"/>
      <c r="HV671" s="18"/>
      <c r="HW671" s="18"/>
      <c r="HX671" s="18"/>
      <c r="HY671" s="18"/>
      <c r="HZ671" s="18"/>
      <c r="IA671" s="18"/>
      <c r="IB671" s="18"/>
      <c r="IC671" s="18"/>
      <c r="ID671" s="18"/>
      <c r="IE671" s="18"/>
      <c r="IF671" s="18"/>
      <c r="IG671" s="18"/>
      <c r="IH671" s="18"/>
      <c r="II671" s="18"/>
      <c r="IJ671" s="18"/>
      <c r="IK671" s="18"/>
      <c r="IL671" s="18"/>
      <c r="IM671" s="18"/>
      <c r="IN671" s="18"/>
      <c r="IO671" s="18"/>
      <c r="IP671" s="18"/>
      <c r="IQ671" s="18"/>
      <c r="IR671" s="18"/>
      <c r="IS671" s="18"/>
      <c r="IT671" s="18"/>
      <c r="IU671" s="18"/>
      <c r="IV671" s="18"/>
      <c r="IW671" s="18"/>
      <c r="IX671" s="18"/>
      <c r="IY671" s="18"/>
      <c r="IZ671" s="18"/>
      <c r="JA671" s="18"/>
      <c r="JB671" s="18"/>
      <c r="JC671" s="18"/>
      <c r="JD671" s="18"/>
      <c r="JE671" s="18"/>
      <c r="JF671" s="18"/>
      <c r="JG671" s="18"/>
      <c r="JH671" s="18"/>
      <c r="JI671" s="18"/>
      <c r="JJ671" s="18"/>
      <c r="JK671" s="18"/>
      <c r="JL671" s="18"/>
      <c r="JM671" s="18"/>
      <c r="JN671" s="18"/>
      <c r="JO671" s="18"/>
      <c r="JP671" s="18"/>
      <c r="JQ671" s="18"/>
      <c r="JR671" s="18"/>
      <c r="JS671" s="18"/>
      <c r="JT671" s="18"/>
      <c r="JU671" s="18"/>
      <c r="JV671" s="18"/>
      <c r="JW671" s="18"/>
      <c r="JX671" s="18"/>
      <c r="JY671" s="18"/>
      <c r="JZ671" s="18"/>
      <c r="KA671" s="18"/>
      <c r="KB671" s="18"/>
      <c r="KC671" s="18"/>
      <c r="KD671" s="18"/>
      <c r="KE671" s="18"/>
      <c r="KF671" s="18"/>
      <c r="KG671" s="18"/>
      <c r="KH671" s="18"/>
      <c r="KI671" s="18"/>
      <c r="KJ671" s="18"/>
      <c r="KK671" s="18"/>
      <c r="KL671" s="18"/>
      <c r="KM671" s="18"/>
      <c r="KN671" s="18"/>
      <c r="KO671" s="18"/>
      <c r="KP671" s="18"/>
    </row>
    <row r="672" spans="1:302" ht="15" customHeight="1">
      <c r="A672" s="14"/>
      <c r="B672" s="14"/>
      <c r="F672" s="46"/>
      <c r="G672" s="23"/>
      <c r="H672" s="23"/>
      <c r="I672" s="23"/>
      <c r="J672" s="23"/>
      <c r="K672" s="14"/>
      <c r="L672" s="14"/>
      <c r="P672" s="14"/>
      <c r="AG672" s="44"/>
      <c r="AH672" s="44"/>
      <c r="AI672" s="45"/>
      <c r="AJ672" s="44"/>
      <c r="AK672" s="43"/>
      <c r="AS672" s="14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  <c r="FR672" s="18"/>
      <c r="FS672" s="18"/>
      <c r="FT672" s="18"/>
      <c r="FU672" s="18"/>
      <c r="FV672" s="18"/>
      <c r="FW672" s="18"/>
      <c r="FX672" s="18"/>
      <c r="FY672" s="18"/>
      <c r="FZ672" s="18"/>
      <c r="GA672" s="18"/>
      <c r="GB672" s="18"/>
      <c r="GC672" s="18"/>
      <c r="GD672" s="18"/>
      <c r="GE672" s="18"/>
      <c r="GF672" s="18"/>
      <c r="GG672" s="18"/>
      <c r="GH672" s="18"/>
      <c r="GI672" s="18"/>
      <c r="GJ672" s="18"/>
      <c r="GK672" s="18"/>
      <c r="GL672" s="18"/>
      <c r="GM672" s="18"/>
      <c r="GN672" s="18"/>
      <c r="GO672" s="18"/>
      <c r="GP672" s="18"/>
      <c r="GQ672" s="18"/>
      <c r="GR672" s="18"/>
      <c r="GS672" s="18"/>
      <c r="GT672" s="18"/>
      <c r="GU672" s="18"/>
      <c r="GV672" s="18"/>
      <c r="GW672" s="18"/>
      <c r="GX672" s="18"/>
      <c r="GY672" s="18"/>
      <c r="GZ672" s="18"/>
      <c r="HA672" s="18"/>
      <c r="HB672" s="18"/>
      <c r="HC672" s="18"/>
      <c r="HD672" s="18"/>
      <c r="HE672" s="18"/>
      <c r="HF672" s="18"/>
      <c r="HG672" s="13"/>
      <c r="HH672" s="13"/>
      <c r="HI672" s="13"/>
      <c r="HJ672" s="13"/>
      <c r="HK672" s="13"/>
      <c r="HL672" s="13"/>
      <c r="HM672" s="13"/>
      <c r="HN672" s="13"/>
      <c r="HO672" s="13"/>
      <c r="HP672" s="13"/>
      <c r="HQ672" s="13"/>
      <c r="HR672" s="13"/>
      <c r="HS672" s="13"/>
      <c r="HT672" s="13"/>
      <c r="HU672" s="18"/>
      <c r="HV672" s="18"/>
      <c r="HW672" s="18"/>
      <c r="HX672" s="18"/>
      <c r="HY672" s="18"/>
      <c r="HZ672" s="18"/>
      <c r="IA672" s="18"/>
      <c r="IB672" s="18"/>
      <c r="IC672" s="18"/>
      <c r="ID672" s="18"/>
      <c r="IE672" s="18"/>
      <c r="IF672" s="18"/>
      <c r="IG672" s="18"/>
      <c r="IH672" s="18"/>
      <c r="II672" s="18"/>
      <c r="IJ672" s="18"/>
      <c r="IK672" s="18"/>
      <c r="IL672" s="18"/>
      <c r="IM672" s="18"/>
      <c r="IN672" s="18"/>
      <c r="IO672" s="18"/>
      <c r="IP672" s="18"/>
      <c r="IQ672" s="18"/>
      <c r="IR672" s="18"/>
      <c r="IS672" s="18"/>
      <c r="IT672" s="18"/>
      <c r="IU672" s="18"/>
      <c r="IV672" s="18"/>
      <c r="IW672" s="18"/>
      <c r="IX672" s="18"/>
      <c r="IY672" s="18"/>
      <c r="IZ672" s="18"/>
      <c r="JA672" s="18"/>
      <c r="JB672" s="18"/>
      <c r="JC672" s="18"/>
      <c r="JD672" s="18"/>
      <c r="JE672" s="18"/>
      <c r="JF672" s="18"/>
      <c r="JG672" s="18"/>
      <c r="JH672" s="18"/>
      <c r="JI672" s="18"/>
      <c r="JJ672" s="18"/>
      <c r="JK672" s="18"/>
      <c r="JL672" s="18"/>
      <c r="JM672" s="18"/>
      <c r="JN672" s="18"/>
      <c r="JO672" s="18"/>
      <c r="JP672" s="18"/>
      <c r="JQ672" s="18"/>
      <c r="JR672" s="18"/>
      <c r="JS672" s="18"/>
      <c r="JT672" s="18"/>
      <c r="JU672" s="18"/>
      <c r="JV672" s="18"/>
      <c r="JW672" s="18"/>
      <c r="JX672" s="18"/>
      <c r="JY672" s="18"/>
      <c r="JZ672" s="18"/>
      <c r="KA672" s="18"/>
      <c r="KB672" s="18"/>
      <c r="KC672" s="18"/>
      <c r="KD672" s="18"/>
      <c r="KE672" s="18"/>
      <c r="KF672" s="18"/>
      <c r="KG672" s="18"/>
      <c r="KH672" s="18"/>
      <c r="KI672" s="18"/>
      <c r="KJ672" s="18"/>
      <c r="KK672" s="18"/>
      <c r="KL672" s="18"/>
      <c r="KM672" s="18"/>
      <c r="KN672" s="18"/>
      <c r="KO672" s="18"/>
      <c r="KP672" s="18"/>
    </row>
    <row r="673" spans="1:302" ht="15" customHeight="1">
      <c r="A673" s="14"/>
      <c r="B673" s="14"/>
      <c r="F673" s="46"/>
      <c r="G673" s="23"/>
      <c r="H673" s="23"/>
      <c r="I673" s="23"/>
      <c r="J673" s="23"/>
      <c r="K673" s="14"/>
      <c r="L673" s="14"/>
      <c r="P673" s="14"/>
      <c r="AG673" s="44"/>
      <c r="AH673" s="44"/>
      <c r="AI673" s="45"/>
      <c r="AJ673" s="44"/>
      <c r="AK673" s="43"/>
      <c r="AS673" s="14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  <c r="FC673" s="18"/>
      <c r="FD673" s="18"/>
      <c r="FE673" s="18"/>
      <c r="FF673" s="18"/>
      <c r="FG673" s="18"/>
      <c r="FH673" s="18"/>
      <c r="FI673" s="18"/>
      <c r="FJ673" s="18"/>
      <c r="FK673" s="18"/>
      <c r="FL673" s="18"/>
      <c r="FM673" s="18"/>
      <c r="FN673" s="18"/>
      <c r="FO673" s="18"/>
      <c r="FP673" s="18"/>
      <c r="FQ673" s="18"/>
      <c r="FR673" s="18"/>
      <c r="FS673" s="18"/>
      <c r="FT673" s="18"/>
      <c r="FU673" s="18"/>
      <c r="FV673" s="18"/>
      <c r="FW673" s="18"/>
      <c r="FX673" s="18"/>
      <c r="FY673" s="18"/>
      <c r="FZ673" s="18"/>
      <c r="GA673" s="18"/>
      <c r="GB673" s="18"/>
      <c r="GC673" s="18"/>
      <c r="GD673" s="18"/>
      <c r="GE673" s="18"/>
      <c r="GF673" s="18"/>
      <c r="GG673" s="18"/>
      <c r="GH673" s="18"/>
      <c r="GI673" s="18"/>
      <c r="GJ673" s="18"/>
      <c r="GK673" s="18"/>
      <c r="GL673" s="18"/>
      <c r="GM673" s="18"/>
      <c r="GN673" s="18"/>
      <c r="GO673" s="18"/>
      <c r="GP673" s="18"/>
      <c r="GQ673" s="18"/>
      <c r="GR673" s="18"/>
      <c r="GS673" s="18"/>
      <c r="GT673" s="18"/>
      <c r="GU673" s="18"/>
      <c r="GV673" s="18"/>
      <c r="GW673" s="18"/>
      <c r="GX673" s="18"/>
      <c r="GY673" s="18"/>
      <c r="GZ673" s="18"/>
      <c r="HA673" s="18"/>
      <c r="HB673" s="18"/>
      <c r="HC673" s="18"/>
      <c r="HD673" s="18"/>
      <c r="HE673" s="18"/>
      <c r="HF673" s="18"/>
      <c r="HG673" s="13"/>
      <c r="HH673" s="13"/>
      <c r="HI673" s="13"/>
      <c r="HJ673" s="13"/>
      <c r="HK673" s="13"/>
      <c r="HL673" s="13"/>
      <c r="HM673" s="13"/>
      <c r="HN673" s="13"/>
      <c r="HO673" s="13"/>
      <c r="HP673" s="13"/>
      <c r="HQ673" s="13"/>
      <c r="HR673" s="13"/>
      <c r="HS673" s="13"/>
      <c r="HT673" s="13"/>
      <c r="HU673" s="18"/>
      <c r="HV673" s="18"/>
      <c r="HW673" s="18"/>
      <c r="HX673" s="18"/>
      <c r="HY673" s="18"/>
      <c r="HZ673" s="18"/>
      <c r="IA673" s="18"/>
      <c r="IB673" s="18"/>
      <c r="IC673" s="18"/>
      <c r="ID673" s="18"/>
      <c r="IE673" s="18"/>
      <c r="IF673" s="18"/>
      <c r="IG673" s="18"/>
      <c r="IH673" s="18"/>
      <c r="II673" s="18"/>
      <c r="IJ673" s="18"/>
      <c r="IK673" s="18"/>
      <c r="IL673" s="18"/>
      <c r="IM673" s="18"/>
      <c r="IN673" s="18"/>
      <c r="IO673" s="18"/>
      <c r="IP673" s="18"/>
      <c r="IQ673" s="18"/>
      <c r="IR673" s="18"/>
      <c r="IS673" s="18"/>
      <c r="IT673" s="18"/>
      <c r="IU673" s="18"/>
      <c r="IV673" s="18"/>
      <c r="IW673" s="18"/>
      <c r="IX673" s="18"/>
      <c r="IY673" s="18"/>
      <c r="IZ673" s="18"/>
      <c r="JA673" s="18"/>
      <c r="JB673" s="18"/>
      <c r="JC673" s="18"/>
      <c r="JD673" s="18"/>
      <c r="JE673" s="18"/>
      <c r="JF673" s="18"/>
      <c r="JG673" s="18"/>
      <c r="JH673" s="18"/>
      <c r="JI673" s="18"/>
      <c r="JJ673" s="18"/>
      <c r="JK673" s="18"/>
      <c r="JL673" s="18"/>
      <c r="JM673" s="18"/>
      <c r="JN673" s="18"/>
      <c r="JO673" s="18"/>
      <c r="JP673" s="18"/>
      <c r="JQ673" s="18"/>
      <c r="JR673" s="18"/>
      <c r="JS673" s="18"/>
      <c r="JT673" s="18"/>
      <c r="JU673" s="18"/>
      <c r="JV673" s="18"/>
      <c r="JW673" s="18"/>
      <c r="JX673" s="18"/>
      <c r="JY673" s="18"/>
      <c r="JZ673" s="18"/>
      <c r="KA673" s="18"/>
      <c r="KB673" s="18"/>
      <c r="KC673" s="18"/>
      <c r="KD673" s="18"/>
      <c r="KE673" s="18"/>
      <c r="KF673" s="18"/>
      <c r="KG673" s="18"/>
      <c r="KH673" s="18"/>
      <c r="KI673" s="18"/>
      <c r="KJ673" s="18"/>
      <c r="KK673" s="18"/>
      <c r="KL673" s="18"/>
      <c r="KM673" s="18"/>
      <c r="KN673" s="18"/>
      <c r="KO673" s="18"/>
      <c r="KP673" s="18"/>
    </row>
    <row r="674" spans="1:302" ht="15" customHeight="1">
      <c r="A674" s="14"/>
      <c r="B674" s="14"/>
      <c r="F674" s="46"/>
      <c r="G674" s="23"/>
      <c r="H674" s="23"/>
      <c r="I674" s="23"/>
      <c r="J674" s="23"/>
      <c r="K674" s="14"/>
      <c r="L674" s="14"/>
      <c r="P674" s="14"/>
      <c r="AG674" s="44"/>
      <c r="AH674" s="44"/>
      <c r="AI674" s="45"/>
      <c r="AJ674" s="44"/>
      <c r="AK674" s="43"/>
      <c r="AS674" s="14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  <c r="FR674" s="18"/>
      <c r="FS674" s="18"/>
      <c r="FT674" s="18"/>
      <c r="FU674" s="18"/>
      <c r="FV674" s="18"/>
      <c r="FW674" s="18"/>
      <c r="FX674" s="18"/>
      <c r="FY674" s="18"/>
      <c r="FZ674" s="18"/>
      <c r="GA674" s="18"/>
      <c r="GB674" s="18"/>
      <c r="GC674" s="18"/>
      <c r="GD674" s="18"/>
      <c r="GE674" s="18"/>
      <c r="GF674" s="18"/>
      <c r="GG674" s="18"/>
      <c r="GH674" s="18"/>
      <c r="GI674" s="18"/>
      <c r="GJ674" s="18"/>
      <c r="GK674" s="18"/>
      <c r="GL674" s="18"/>
      <c r="GM674" s="18"/>
      <c r="GN674" s="18"/>
      <c r="GO674" s="18"/>
      <c r="GP674" s="18"/>
      <c r="GQ674" s="18"/>
      <c r="GR674" s="18"/>
      <c r="GS674" s="18"/>
      <c r="GT674" s="18"/>
      <c r="GU674" s="18"/>
      <c r="GV674" s="18"/>
      <c r="GW674" s="18"/>
      <c r="GX674" s="18"/>
      <c r="GY674" s="18"/>
      <c r="GZ674" s="18"/>
      <c r="HA674" s="18"/>
      <c r="HB674" s="18"/>
      <c r="HC674" s="18"/>
      <c r="HD674" s="18"/>
      <c r="HE674" s="18"/>
      <c r="HF674" s="18"/>
      <c r="HG674" s="13"/>
      <c r="HH674" s="13"/>
      <c r="HI674" s="13"/>
      <c r="HJ674" s="13"/>
      <c r="HK674" s="13"/>
      <c r="HL674" s="13"/>
      <c r="HM674" s="13"/>
      <c r="HN674" s="13"/>
      <c r="HO674" s="13"/>
      <c r="HP674" s="13"/>
      <c r="HQ674" s="13"/>
      <c r="HR674" s="13"/>
      <c r="HS674" s="13"/>
      <c r="HT674" s="13"/>
      <c r="HU674" s="18"/>
      <c r="HV674" s="18"/>
      <c r="HW674" s="18"/>
      <c r="HX674" s="18"/>
      <c r="HY674" s="18"/>
      <c r="HZ674" s="18"/>
      <c r="IA674" s="18"/>
      <c r="IB674" s="18"/>
      <c r="IC674" s="18"/>
      <c r="ID674" s="18"/>
      <c r="IE674" s="18"/>
      <c r="IF674" s="18"/>
      <c r="IG674" s="18"/>
      <c r="IH674" s="18"/>
      <c r="II674" s="18"/>
      <c r="IJ674" s="18"/>
      <c r="IK674" s="18"/>
      <c r="IL674" s="18"/>
      <c r="IM674" s="18"/>
      <c r="IN674" s="18"/>
      <c r="IO674" s="18"/>
      <c r="IP674" s="18"/>
      <c r="IQ674" s="18"/>
      <c r="IR674" s="18"/>
      <c r="IS674" s="18"/>
      <c r="IT674" s="18"/>
      <c r="IU674" s="18"/>
      <c r="IV674" s="18"/>
      <c r="IW674" s="18"/>
      <c r="IX674" s="18"/>
      <c r="IY674" s="18"/>
      <c r="IZ674" s="18"/>
      <c r="JA674" s="18"/>
      <c r="JB674" s="18"/>
      <c r="JC674" s="18"/>
      <c r="JD674" s="18"/>
      <c r="JE674" s="18"/>
      <c r="JF674" s="18"/>
      <c r="JG674" s="18"/>
      <c r="JH674" s="18"/>
      <c r="JI674" s="18"/>
      <c r="JJ674" s="18"/>
      <c r="JK674" s="18"/>
      <c r="JL674" s="18"/>
      <c r="JM674" s="18"/>
      <c r="JN674" s="18"/>
      <c r="JO674" s="18"/>
      <c r="JP674" s="18"/>
      <c r="JQ674" s="18"/>
      <c r="JR674" s="18"/>
      <c r="JS674" s="18"/>
      <c r="JT674" s="18"/>
      <c r="JU674" s="18"/>
      <c r="JV674" s="18"/>
      <c r="JW674" s="18"/>
      <c r="JX674" s="18"/>
      <c r="JY674" s="18"/>
      <c r="JZ674" s="18"/>
      <c r="KA674" s="18"/>
      <c r="KB674" s="18"/>
      <c r="KC674" s="18"/>
      <c r="KD674" s="18"/>
      <c r="KE674" s="18"/>
      <c r="KF674" s="18"/>
      <c r="KG674" s="18"/>
      <c r="KH674" s="18"/>
      <c r="KI674" s="18"/>
      <c r="KJ674" s="18"/>
      <c r="KK674" s="18"/>
      <c r="KL674" s="18"/>
      <c r="KM674" s="18"/>
      <c r="KN674" s="18"/>
      <c r="KO674" s="18"/>
      <c r="KP674" s="18"/>
    </row>
    <row r="675" spans="1:302" ht="15" customHeight="1">
      <c r="A675" s="14"/>
      <c r="B675" s="14"/>
      <c r="F675" s="46"/>
      <c r="G675" s="23"/>
      <c r="H675" s="23"/>
      <c r="I675" s="23"/>
      <c r="J675" s="23"/>
      <c r="K675" s="14"/>
      <c r="L675" s="14"/>
      <c r="P675" s="14"/>
      <c r="AG675" s="44"/>
      <c r="AH675" s="44"/>
      <c r="AI675" s="45"/>
      <c r="AJ675" s="44"/>
      <c r="AK675" s="43"/>
      <c r="AS675" s="14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  <c r="FR675" s="18"/>
      <c r="FS675" s="18"/>
      <c r="FT675" s="18"/>
      <c r="FU675" s="18"/>
      <c r="FV675" s="18"/>
      <c r="FW675" s="18"/>
      <c r="FX675" s="18"/>
      <c r="FY675" s="18"/>
      <c r="FZ675" s="18"/>
      <c r="GA675" s="18"/>
      <c r="GB675" s="18"/>
      <c r="GC675" s="18"/>
      <c r="GD675" s="18"/>
      <c r="GE675" s="18"/>
      <c r="GF675" s="18"/>
      <c r="GG675" s="18"/>
      <c r="GH675" s="18"/>
      <c r="GI675" s="18"/>
      <c r="GJ675" s="18"/>
      <c r="GK675" s="18"/>
      <c r="GL675" s="18"/>
      <c r="GM675" s="18"/>
      <c r="GN675" s="18"/>
      <c r="GO675" s="18"/>
      <c r="GP675" s="18"/>
      <c r="GQ675" s="18"/>
      <c r="GR675" s="18"/>
      <c r="GS675" s="18"/>
      <c r="GT675" s="18"/>
      <c r="GU675" s="18"/>
      <c r="GV675" s="18"/>
      <c r="GW675" s="18"/>
      <c r="GX675" s="18"/>
      <c r="GY675" s="18"/>
      <c r="GZ675" s="18"/>
      <c r="HA675" s="18"/>
      <c r="HB675" s="18"/>
      <c r="HC675" s="18"/>
      <c r="HD675" s="18"/>
      <c r="HE675" s="18"/>
      <c r="HF675" s="18"/>
      <c r="HG675" s="13"/>
      <c r="HH675" s="13"/>
      <c r="HI675" s="13"/>
      <c r="HJ675" s="13"/>
      <c r="HK675" s="13"/>
      <c r="HL675" s="13"/>
      <c r="HM675" s="13"/>
      <c r="HN675" s="13"/>
      <c r="HO675" s="13"/>
      <c r="HP675" s="13"/>
      <c r="HQ675" s="13"/>
      <c r="HR675" s="13"/>
      <c r="HS675" s="13"/>
      <c r="HT675" s="13"/>
      <c r="HU675" s="18"/>
      <c r="HV675" s="18"/>
      <c r="HW675" s="18"/>
      <c r="HX675" s="18"/>
      <c r="HY675" s="18"/>
      <c r="HZ675" s="18"/>
      <c r="IA675" s="18"/>
      <c r="IB675" s="18"/>
      <c r="IC675" s="18"/>
      <c r="ID675" s="18"/>
      <c r="IE675" s="18"/>
      <c r="IF675" s="18"/>
      <c r="IG675" s="18"/>
      <c r="IH675" s="18"/>
      <c r="II675" s="18"/>
      <c r="IJ675" s="18"/>
      <c r="IK675" s="18"/>
      <c r="IL675" s="18"/>
      <c r="IM675" s="18"/>
      <c r="IN675" s="18"/>
      <c r="IO675" s="18"/>
      <c r="IP675" s="18"/>
      <c r="IQ675" s="18"/>
      <c r="IR675" s="18"/>
      <c r="IS675" s="18"/>
      <c r="IT675" s="18"/>
      <c r="IU675" s="18"/>
      <c r="IV675" s="18"/>
      <c r="IW675" s="18"/>
      <c r="IX675" s="18"/>
      <c r="IY675" s="18"/>
      <c r="IZ675" s="18"/>
      <c r="JA675" s="18"/>
      <c r="JB675" s="18"/>
      <c r="JC675" s="18"/>
      <c r="JD675" s="18"/>
      <c r="JE675" s="18"/>
      <c r="JF675" s="18"/>
      <c r="JG675" s="18"/>
      <c r="JH675" s="18"/>
      <c r="JI675" s="18"/>
      <c r="JJ675" s="18"/>
      <c r="JK675" s="18"/>
      <c r="JL675" s="18"/>
      <c r="JM675" s="18"/>
      <c r="JN675" s="18"/>
      <c r="JO675" s="18"/>
      <c r="JP675" s="18"/>
      <c r="JQ675" s="18"/>
      <c r="JR675" s="18"/>
      <c r="JS675" s="18"/>
      <c r="JT675" s="18"/>
      <c r="JU675" s="18"/>
      <c r="JV675" s="18"/>
      <c r="JW675" s="18"/>
      <c r="JX675" s="18"/>
      <c r="JY675" s="18"/>
      <c r="JZ675" s="18"/>
      <c r="KA675" s="18"/>
      <c r="KB675" s="18"/>
      <c r="KC675" s="18"/>
      <c r="KD675" s="18"/>
      <c r="KE675" s="18"/>
      <c r="KF675" s="18"/>
      <c r="KG675" s="18"/>
      <c r="KH675" s="18"/>
      <c r="KI675" s="18"/>
      <c r="KJ675" s="18"/>
      <c r="KK675" s="18"/>
      <c r="KL675" s="18"/>
      <c r="KM675" s="18"/>
      <c r="KN675" s="18"/>
      <c r="KO675" s="18"/>
      <c r="KP675" s="18"/>
    </row>
    <row r="676" spans="1:302" ht="15" customHeight="1">
      <c r="A676" s="14"/>
      <c r="B676" s="14"/>
      <c r="F676" s="46"/>
      <c r="G676" s="23"/>
      <c r="H676" s="23"/>
      <c r="I676" s="23"/>
      <c r="J676" s="23"/>
      <c r="K676" s="14"/>
      <c r="L676" s="14"/>
      <c r="P676" s="14"/>
      <c r="AG676" s="44"/>
      <c r="AH676" s="44"/>
      <c r="AI676" s="45"/>
      <c r="AJ676" s="44"/>
      <c r="AK676" s="43"/>
      <c r="AS676" s="14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  <c r="FC676" s="18"/>
      <c r="FD676" s="18"/>
      <c r="FE676" s="18"/>
      <c r="FF676" s="18"/>
      <c r="FG676" s="18"/>
      <c r="FH676" s="18"/>
      <c r="FI676" s="18"/>
      <c r="FJ676" s="18"/>
      <c r="FK676" s="18"/>
      <c r="FL676" s="18"/>
      <c r="FM676" s="18"/>
      <c r="FN676" s="18"/>
      <c r="FO676" s="18"/>
      <c r="FP676" s="18"/>
      <c r="FQ676" s="18"/>
      <c r="FR676" s="18"/>
      <c r="FS676" s="18"/>
      <c r="FT676" s="18"/>
      <c r="FU676" s="18"/>
      <c r="FV676" s="18"/>
      <c r="FW676" s="18"/>
      <c r="FX676" s="18"/>
      <c r="FY676" s="18"/>
      <c r="FZ676" s="18"/>
      <c r="GA676" s="18"/>
      <c r="GB676" s="18"/>
      <c r="GC676" s="18"/>
      <c r="GD676" s="18"/>
      <c r="GE676" s="18"/>
      <c r="GF676" s="18"/>
      <c r="GG676" s="18"/>
      <c r="GH676" s="18"/>
      <c r="GI676" s="18"/>
      <c r="GJ676" s="18"/>
      <c r="GK676" s="18"/>
      <c r="GL676" s="18"/>
      <c r="GM676" s="18"/>
      <c r="GN676" s="18"/>
      <c r="GO676" s="18"/>
      <c r="GP676" s="18"/>
      <c r="GQ676" s="18"/>
      <c r="GR676" s="18"/>
      <c r="GS676" s="18"/>
      <c r="GT676" s="18"/>
      <c r="GU676" s="18"/>
      <c r="GV676" s="18"/>
      <c r="GW676" s="18"/>
      <c r="GX676" s="18"/>
      <c r="GY676" s="18"/>
      <c r="GZ676" s="18"/>
      <c r="HA676" s="18"/>
      <c r="HB676" s="18"/>
      <c r="HC676" s="18"/>
      <c r="HD676" s="18"/>
      <c r="HE676" s="18"/>
      <c r="HF676" s="18"/>
      <c r="HG676" s="13"/>
      <c r="HH676" s="13"/>
      <c r="HI676" s="13"/>
      <c r="HJ676" s="13"/>
      <c r="HK676" s="13"/>
      <c r="HL676" s="13"/>
      <c r="HM676" s="13"/>
      <c r="HN676" s="13"/>
      <c r="HO676" s="13"/>
      <c r="HP676" s="13"/>
      <c r="HQ676" s="13"/>
      <c r="HR676" s="13"/>
      <c r="HS676" s="13"/>
      <c r="HT676" s="13"/>
      <c r="HU676" s="18"/>
      <c r="HV676" s="18"/>
      <c r="HW676" s="18"/>
      <c r="HX676" s="18"/>
      <c r="HY676" s="18"/>
      <c r="HZ676" s="18"/>
      <c r="IA676" s="18"/>
      <c r="IB676" s="18"/>
      <c r="IC676" s="18"/>
      <c r="ID676" s="18"/>
      <c r="IE676" s="18"/>
      <c r="IF676" s="18"/>
      <c r="IG676" s="18"/>
      <c r="IH676" s="18"/>
      <c r="II676" s="18"/>
      <c r="IJ676" s="18"/>
      <c r="IK676" s="18"/>
      <c r="IL676" s="18"/>
      <c r="IM676" s="18"/>
      <c r="IN676" s="18"/>
      <c r="IO676" s="18"/>
      <c r="IP676" s="18"/>
      <c r="IQ676" s="18"/>
      <c r="IR676" s="18"/>
      <c r="IS676" s="18"/>
      <c r="IT676" s="18"/>
      <c r="IU676" s="18"/>
      <c r="IV676" s="18"/>
      <c r="IW676" s="18"/>
      <c r="IX676" s="18"/>
      <c r="IY676" s="18"/>
      <c r="IZ676" s="18"/>
      <c r="JA676" s="18"/>
      <c r="JB676" s="18"/>
      <c r="JC676" s="18"/>
      <c r="JD676" s="18"/>
      <c r="JE676" s="18"/>
      <c r="JF676" s="18"/>
      <c r="JG676" s="18"/>
      <c r="JH676" s="18"/>
      <c r="JI676" s="18"/>
      <c r="JJ676" s="18"/>
      <c r="JK676" s="18"/>
      <c r="JL676" s="18"/>
      <c r="JM676" s="18"/>
      <c r="JN676" s="18"/>
      <c r="JO676" s="18"/>
      <c r="JP676" s="18"/>
      <c r="JQ676" s="18"/>
      <c r="JR676" s="18"/>
      <c r="JS676" s="18"/>
      <c r="JT676" s="18"/>
      <c r="JU676" s="18"/>
      <c r="JV676" s="18"/>
      <c r="JW676" s="18"/>
      <c r="JX676" s="18"/>
      <c r="JY676" s="18"/>
      <c r="JZ676" s="18"/>
      <c r="KA676" s="18"/>
      <c r="KB676" s="18"/>
      <c r="KC676" s="18"/>
      <c r="KD676" s="18"/>
      <c r="KE676" s="18"/>
      <c r="KF676" s="18"/>
      <c r="KG676" s="18"/>
      <c r="KH676" s="18"/>
      <c r="KI676" s="18"/>
      <c r="KJ676" s="18"/>
      <c r="KK676" s="18"/>
      <c r="KL676" s="18"/>
      <c r="KM676" s="18"/>
      <c r="KN676" s="18"/>
      <c r="KO676" s="18"/>
      <c r="KP676" s="18"/>
    </row>
    <row r="677" spans="1:302" ht="15" customHeight="1">
      <c r="A677" s="14"/>
      <c r="B677" s="14"/>
      <c r="F677" s="46"/>
      <c r="G677" s="23"/>
      <c r="H677" s="23"/>
      <c r="I677" s="23"/>
      <c r="J677" s="23"/>
      <c r="K677" s="14"/>
      <c r="L677" s="14"/>
      <c r="P677" s="14"/>
      <c r="AG677" s="44"/>
      <c r="AH677" s="44"/>
      <c r="AI677" s="45"/>
      <c r="AJ677" s="44"/>
      <c r="AK677" s="43"/>
      <c r="AS677" s="14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  <c r="FR677" s="18"/>
      <c r="FS677" s="18"/>
      <c r="FT677" s="18"/>
      <c r="FU677" s="18"/>
      <c r="FV677" s="18"/>
      <c r="FW677" s="18"/>
      <c r="FX677" s="18"/>
      <c r="FY677" s="18"/>
      <c r="FZ677" s="18"/>
      <c r="GA677" s="18"/>
      <c r="GB677" s="18"/>
      <c r="GC677" s="18"/>
      <c r="GD677" s="18"/>
      <c r="GE677" s="18"/>
      <c r="GF677" s="18"/>
      <c r="GG677" s="18"/>
      <c r="GH677" s="18"/>
      <c r="GI677" s="18"/>
      <c r="GJ677" s="18"/>
      <c r="GK677" s="18"/>
      <c r="GL677" s="18"/>
      <c r="GM677" s="18"/>
      <c r="GN677" s="18"/>
      <c r="GO677" s="18"/>
      <c r="GP677" s="18"/>
      <c r="GQ677" s="18"/>
      <c r="GR677" s="18"/>
      <c r="GS677" s="18"/>
      <c r="GT677" s="18"/>
      <c r="GU677" s="18"/>
      <c r="GV677" s="18"/>
      <c r="GW677" s="18"/>
      <c r="GX677" s="18"/>
      <c r="GY677" s="18"/>
      <c r="GZ677" s="18"/>
      <c r="HA677" s="18"/>
      <c r="HB677" s="18"/>
      <c r="HC677" s="18"/>
      <c r="HD677" s="18"/>
      <c r="HE677" s="18"/>
      <c r="HF677" s="18"/>
      <c r="HG677" s="13"/>
      <c r="HH677" s="13"/>
      <c r="HI677" s="13"/>
      <c r="HJ677" s="13"/>
      <c r="HK677" s="13"/>
      <c r="HL677" s="13"/>
      <c r="HM677" s="13"/>
      <c r="HN677" s="13"/>
      <c r="HO677" s="13"/>
      <c r="HP677" s="13"/>
      <c r="HQ677" s="13"/>
      <c r="HR677" s="13"/>
      <c r="HS677" s="13"/>
      <c r="HT677" s="13"/>
      <c r="HU677" s="18"/>
      <c r="HV677" s="18"/>
      <c r="HW677" s="18"/>
      <c r="HX677" s="18"/>
      <c r="HY677" s="18"/>
      <c r="HZ677" s="18"/>
      <c r="IA677" s="18"/>
      <c r="IB677" s="18"/>
      <c r="IC677" s="18"/>
      <c r="ID677" s="18"/>
      <c r="IE677" s="18"/>
      <c r="IF677" s="18"/>
      <c r="IG677" s="18"/>
      <c r="IH677" s="18"/>
      <c r="II677" s="18"/>
      <c r="IJ677" s="18"/>
      <c r="IK677" s="18"/>
      <c r="IL677" s="18"/>
      <c r="IM677" s="18"/>
      <c r="IN677" s="18"/>
      <c r="IO677" s="18"/>
      <c r="IP677" s="18"/>
      <c r="IQ677" s="18"/>
      <c r="IR677" s="18"/>
      <c r="IS677" s="18"/>
      <c r="IT677" s="18"/>
      <c r="IU677" s="18"/>
      <c r="IV677" s="18"/>
      <c r="IW677" s="18"/>
      <c r="IX677" s="18"/>
      <c r="IY677" s="18"/>
      <c r="IZ677" s="18"/>
      <c r="JA677" s="18"/>
      <c r="JB677" s="18"/>
      <c r="JC677" s="18"/>
      <c r="JD677" s="18"/>
      <c r="JE677" s="18"/>
      <c r="JF677" s="18"/>
      <c r="JG677" s="18"/>
      <c r="JH677" s="18"/>
      <c r="JI677" s="18"/>
      <c r="JJ677" s="18"/>
      <c r="JK677" s="18"/>
      <c r="JL677" s="18"/>
      <c r="JM677" s="18"/>
      <c r="JN677" s="18"/>
      <c r="JO677" s="18"/>
      <c r="JP677" s="18"/>
      <c r="JQ677" s="18"/>
      <c r="JR677" s="18"/>
      <c r="JS677" s="18"/>
      <c r="JT677" s="18"/>
      <c r="JU677" s="18"/>
      <c r="JV677" s="18"/>
      <c r="JW677" s="18"/>
      <c r="JX677" s="18"/>
      <c r="JY677" s="18"/>
      <c r="JZ677" s="18"/>
      <c r="KA677" s="18"/>
      <c r="KB677" s="18"/>
      <c r="KC677" s="18"/>
      <c r="KD677" s="18"/>
      <c r="KE677" s="18"/>
      <c r="KF677" s="18"/>
      <c r="KG677" s="18"/>
      <c r="KH677" s="18"/>
      <c r="KI677" s="18"/>
      <c r="KJ677" s="18"/>
      <c r="KK677" s="18"/>
      <c r="KL677" s="18"/>
      <c r="KM677" s="18"/>
      <c r="KN677" s="18"/>
      <c r="KO677" s="18"/>
      <c r="KP677" s="18"/>
    </row>
    <row r="678" spans="1:302" ht="15" customHeight="1">
      <c r="A678" s="14"/>
      <c r="B678" s="14"/>
      <c r="F678" s="46"/>
      <c r="G678" s="23"/>
      <c r="H678" s="23"/>
      <c r="I678" s="23"/>
      <c r="J678" s="23"/>
      <c r="K678" s="14"/>
      <c r="L678" s="14"/>
      <c r="P678" s="14"/>
      <c r="AG678" s="44"/>
      <c r="AH678" s="44"/>
      <c r="AI678" s="45"/>
      <c r="AJ678" s="44"/>
      <c r="AK678" s="43"/>
      <c r="AS678" s="14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  <c r="FC678" s="18"/>
      <c r="FD678" s="18"/>
      <c r="FE678" s="18"/>
      <c r="FF678" s="18"/>
      <c r="FG678" s="18"/>
      <c r="FH678" s="18"/>
      <c r="FI678" s="18"/>
      <c r="FJ678" s="18"/>
      <c r="FK678" s="18"/>
      <c r="FL678" s="18"/>
      <c r="FM678" s="18"/>
      <c r="FN678" s="18"/>
      <c r="FO678" s="18"/>
      <c r="FP678" s="18"/>
      <c r="FQ678" s="18"/>
      <c r="FR678" s="18"/>
      <c r="FS678" s="18"/>
      <c r="FT678" s="18"/>
      <c r="FU678" s="18"/>
      <c r="FV678" s="18"/>
      <c r="FW678" s="18"/>
      <c r="FX678" s="18"/>
      <c r="FY678" s="18"/>
      <c r="FZ678" s="18"/>
      <c r="GA678" s="18"/>
      <c r="GB678" s="18"/>
      <c r="GC678" s="18"/>
      <c r="GD678" s="18"/>
      <c r="GE678" s="18"/>
      <c r="GF678" s="18"/>
      <c r="GG678" s="18"/>
      <c r="GH678" s="18"/>
      <c r="GI678" s="18"/>
      <c r="GJ678" s="18"/>
      <c r="GK678" s="18"/>
      <c r="GL678" s="18"/>
      <c r="GM678" s="18"/>
      <c r="GN678" s="18"/>
      <c r="GO678" s="18"/>
      <c r="GP678" s="18"/>
      <c r="GQ678" s="18"/>
      <c r="GR678" s="18"/>
      <c r="GS678" s="18"/>
      <c r="GT678" s="18"/>
      <c r="GU678" s="18"/>
      <c r="GV678" s="18"/>
      <c r="GW678" s="18"/>
      <c r="GX678" s="18"/>
      <c r="GY678" s="18"/>
      <c r="GZ678" s="18"/>
      <c r="HA678" s="18"/>
      <c r="HB678" s="18"/>
      <c r="HC678" s="18"/>
      <c r="HD678" s="18"/>
      <c r="HE678" s="18"/>
      <c r="HF678" s="18"/>
      <c r="HG678" s="13"/>
      <c r="HH678" s="13"/>
      <c r="HI678" s="13"/>
      <c r="HJ678" s="13"/>
      <c r="HK678" s="13"/>
      <c r="HL678" s="13"/>
      <c r="HM678" s="13"/>
      <c r="HN678" s="13"/>
      <c r="HO678" s="13"/>
      <c r="HP678" s="13"/>
      <c r="HQ678" s="13"/>
      <c r="HR678" s="13"/>
      <c r="HS678" s="13"/>
      <c r="HT678" s="13"/>
      <c r="HU678" s="18"/>
      <c r="HV678" s="18"/>
      <c r="HW678" s="18"/>
      <c r="HX678" s="18"/>
      <c r="HY678" s="18"/>
      <c r="HZ678" s="18"/>
      <c r="IA678" s="18"/>
      <c r="IB678" s="18"/>
      <c r="IC678" s="18"/>
      <c r="ID678" s="18"/>
      <c r="IE678" s="18"/>
      <c r="IF678" s="18"/>
      <c r="IG678" s="18"/>
      <c r="IH678" s="18"/>
      <c r="II678" s="18"/>
      <c r="IJ678" s="18"/>
      <c r="IK678" s="18"/>
      <c r="IL678" s="18"/>
      <c r="IM678" s="18"/>
      <c r="IN678" s="18"/>
      <c r="IO678" s="18"/>
      <c r="IP678" s="18"/>
      <c r="IQ678" s="18"/>
      <c r="IR678" s="18"/>
      <c r="IS678" s="18"/>
      <c r="IT678" s="18"/>
      <c r="IU678" s="18"/>
      <c r="IV678" s="18"/>
      <c r="IW678" s="18"/>
      <c r="IX678" s="18"/>
      <c r="IY678" s="18"/>
      <c r="IZ678" s="18"/>
      <c r="JA678" s="18"/>
      <c r="JB678" s="18"/>
      <c r="JC678" s="18"/>
      <c r="JD678" s="18"/>
      <c r="JE678" s="18"/>
      <c r="JF678" s="18"/>
      <c r="JG678" s="18"/>
      <c r="JH678" s="18"/>
      <c r="JI678" s="18"/>
      <c r="JJ678" s="18"/>
      <c r="JK678" s="18"/>
      <c r="JL678" s="18"/>
      <c r="JM678" s="18"/>
      <c r="JN678" s="18"/>
      <c r="JO678" s="18"/>
      <c r="JP678" s="18"/>
      <c r="JQ678" s="18"/>
      <c r="JR678" s="18"/>
      <c r="JS678" s="18"/>
      <c r="JT678" s="18"/>
      <c r="JU678" s="18"/>
      <c r="JV678" s="18"/>
      <c r="JW678" s="18"/>
      <c r="JX678" s="18"/>
      <c r="JY678" s="18"/>
      <c r="JZ678" s="18"/>
      <c r="KA678" s="18"/>
      <c r="KB678" s="18"/>
      <c r="KC678" s="18"/>
      <c r="KD678" s="18"/>
      <c r="KE678" s="18"/>
      <c r="KF678" s="18"/>
      <c r="KG678" s="18"/>
      <c r="KH678" s="18"/>
      <c r="KI678" s="18"/>
      <c r="KJ678" s="18"/>
      <c r="KK678" s="18"/>
      <c r="KL678" s="18"/>
      <c r="KM678" s="18"/>
      <c r="KN678" s="18"/>
      <c r="KO678" s="18"/>
      <c r="KP678" s="18"/>
    </row>
    <row r="679" spans="1:302" ht="15" customHeight="1">
      <c r="A679" s="14"/>
      <c r="B679" s="14"/>
      <c r="F679" s="46"/>
      <c r="G679" s="23"/>
      <c r="H679" s="23"/>
      <c r="I679" s="23"/>
      <c r="J679" s="23"/>
      <c r="K679" s="14"/>
      <c r="L679" s="14"/>
      <c r="P679" s="14"/>
      <c r="AG679" s="44"/>
      <c r="AH679" s="44"/>
      <c r="AI679" s="45"/>
      <c r="AJ679" s="44"/>
      <c r="AK679" s="43"/>
      <c r="AS679" s="14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  <c r="FC679" s="18"/>
      <c r="FD679" s="18"/>
      <c r="FE679" s="18"/>
      <c r="FF679" s="18"/>
      <c r="FG679" s="18"/>
      <c r="FH679" s="18"/>
      <c r="FI679" s="18"/>
      <c r="FJ679" s="18"/>
      <c r="FK679" s="18"/>
      <c r="FL679" s="18"/>
      <c r="FM679" s="18"/>
      <c r="FN679" s="18"/>
      <c r="FO679" s="18"/>
      <c r="FP679" s="18"/>
      <c r="FQ679" s="18"/>
      <c r="FR679" s="18"/>
      <c r="FS679" s="18"/>
      <c r="FT679" s="18"/>
      <c r="FU679" s="18"/>
      <c r="FV679" s="18"/>
      <c r="FW679" s="18"/>
      <c r="FX679" s="18"/>
      <c r="FY679" s="18"/>
      <c r="FZ679" s="18"/>
      <c r="GA679" s="18"/>
      <c r="GB679" s="18"/>
      <c r="GC679" s="18"/>
      <c r="GD679" s="18"/>
      <c r="GE679" s="18"/>
      <c r="GF679" s="18"/>
      <c r="GG679" s="18"/>
      <c r="GH679" s="18"/>
      <c r="GI679" s="18"/>
      <c r="GJ679" s="18"/>
      <c r="GK679" s="18"/>
      <c r="GL679" s="18"/>
      <c r="GM679" s="18"/>
      <c r="GN679" s="18"/>
      <c r="GO679" s="18"/>
      <c r="GP679" s="18"/>
      <c r="GQ679" s="18"/>
      <c r="GR679" s="18"/>
      <c r="GS679" s="18"/>
      <c r="GT679" s="18"/>
      <c r="GU679" s="18"/>
      <c r="GV679" s="18"/>
      <c r="GW679" s="18"/>
      <c r="GX679" s="18"/>
      <c r="GY679" s="18"/>
      <c r="GZ679" s="18"/>
      <c r="HA679" s="18"/>
      <c r="HB679" s="18"/>
      <c r="HC679" s="18"/>
      <c r="HD679" s="18"/>
      <c r="HE679" s="18"/>
      <c r="HF679" s="18"/>
      <c r="HG679" s="13"/>
      <c r="HH679" s="13"/>
      <c r="HI679" s="13"/>
      <c r="HJ679" s="13"/>
      <c r="HK679" s="13"/>
      <c r="HL679" s="13"/>
      <c r="HM679" s="13"/>
      <c r="HN679" s="13"/>
      <c r="HO679" s="13"/>
      <c r="HP679" s="13"/>
      <c r="HQ679" s="13"/>
      <c r="HR679" s="13"/>
      <c r="HS679" s="13"/>
      <c r="HT679" s="13"/>
      <c r="HU679" s="18"/>
      <c r="HV679" s="18"/>
      <c r="HW679" s="18"/>
      <c r="HX679" s="18"/>
      <c r="HY679" s="18"/>
      <c r="HZ679" s="18"/>
      <c r="IA679" s="18"/>
      <c r="IB679" s="18"/>
      <c r="IC679" s="18"/>
      <c r="ID679" s="18"/>
      <c r="IE679" s="18"/>
      <c r="IF679" s="18"/>
      <c r="IG679" s="18"/>
      <c r="IH679" s="18"/>
      <c r="II679" s="18"/>
      <c r="IJ679" s="18"/>
      <c r="IK679" s="18"/>
      <c r="IL679" s="18"/>
      <c r="IM679" s="18"/>
      <c r="IN679" s="18"/>
      <c r="IO679" s="18"/>
      <c r="IP679" s="18"/>
      <c r="IQ679" s="18"/>
      <c r="IR679" s="18"/>
      <c r="IS679" s="18"/>
      <c r="IT679" s="18"/>
      <c r="IU679" s="18"/>
      <c r="IV679" s="18"/>
      <c r="IW679" s="18"/>
      <c r="IX679" s="18"/>
      <c r="IY679" s="18"/>
      <c r="IZ679" s="18"/>
      <c r="JA679" s="18"/>
      <c r="JB679" s="18"/>
      <c r="JC679" s="18"/>
      <c r="JD679" s="18"/>
      <c r="JE679" s="18"/>
      <c r="JF679" s="18"/>
      <c r="JG679" s="18"/>
      <c r="JH679" s="18"/>
      <c r="JI679" s="18"/>
      <c r="JJ679" s="18"/>
      <c r="JK679" s="18"/>
      <c r="JL679" s="18"/>
      <c r="JM679" s="18"/>
      <c r="JN679" s="18"/>
      <c r="JO679" s="18"/>
      <c r="JP679" s="18"/>
      <c r="JQ679" s="18"/>
      <c r="JR679" s="18"/>
      <c r="JS679" s="18"/>
      <c r="JT679" s="18"/>
      <c r="JU679" s="18"/>
      <c r="JV679" s="18"/>
      <c r="JW679" s="18"/>
      <c r="JX679" s="18"/>
      <c r="JY679" s="18"/>
      <c r="JZ679" s="18"/>
      <c r="KA679" s="18"/>
      <c r="KB679" s="18"/>
      <c r="KC679" s="18"/>
      <c r="KD679" s="18"/>
      <c r="KE679" s="18"/>
      <c r="KF679" s="18"/>
      <c r="KG679" s="18"/>
      <c r="KH679" s="18"/>
      <c r="KI679" s="18"/>
      <c r="KJ679" s="18"/>
      <c r="KK679" s="18"/>
      <c r="KL679" s="18"/>
      <c r="KM679" s="18"/>
      <c r="KN679" s="18"/>
      <c r="KO679" s="18"/>
      <c r="KP679" s="18"/>
    </row>
    <row r="680" spans="1:302" ht="15" customHeight="1">
      <c r="A680" s="14"/>
      <c r="B680" s="14"/>
      <c r="F680" s="46"/>
      <c r="G680" s="23"/>
      <c r="H680" s="23"/>
      <c r="I680" s="23"/>
      <c r="J680" s="23"/>
      <c r="K680" s="14"/>
      <c r="L680" s="14"/>
      <c r="P680" s="14"/>
      <c r="AG680" s="44"/>
      <c r="AH680" s="44"/>
      <c r="AI680" s="45"/>
      <c r="AJ680" s="44"/>
      <c r="AK680" s="43"/>
      <c r="AS680" s="14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  <c r="FC680" s="18"/>
      <c r="FD680" s="18"/>
      <c r="FE680" s="18"/>
      <c r="FF680" s="18"/>
      <c r="FG680" s="18"/>
      <c r="FH680" s="18"/>
      <c r="FI680" s="18"/>
      <c r="FJ680" s="18"/>
      <c r="FK680" s="18"/>
      <c r="FL680" s="18"/>
      <c r="FM680" s="18"/>
      <c r="FN680" s="18"/>
      <c r="FO680" s="18"/>
      <c r="FP680" s="18"/>
      <c r="FQ680" s="18"/>
      <c r="FR680" s="18"/>
      <c r="FS680" s="18"/>
      <c r="FT680" s="18"/>
      <c r="FU680" s="18"/>
      <c r="FV680" s="18"/>
      <c r="FW680" s="18"/>
      <c r="FX680" s="18"/>
      <c r="FY680" s="18"/>
      <c r="FZ680" s="18"/>
      <c r="GA680" s="18"/>
      <c r="GB680" s="18"/>
      <c r="GC680" s="18"/>
      <c r="GD680" s="18"/>
      <c r="GE680" s="18"/>
      <c r="GF680" s="18"/>
      <c r="GG680" s="18"/>
      <c r="GH680" s="18"/>
      <c r="GI680" s="18"/>
      <c r="GJ680" s="18"/>
      <c r="GK680" s="18"/>
      <c r="GL680" s="18"/>
      <c r="GM680" s="18"/>
      <c r="GN680" s="18"/>
      <c r="GO680" s="18"/>
      <c r="GP680" s="18"/>
      <c r="GQ680" s="18"/>
      <c r="GR680" s="18"/>
      <c r="GS680" s="18"/>
      <c r="GT680" s="18"/>
      <c r="GU680" s="18"/>
      <c r="GV680" s="18"/>
      <c r="GW680" s="18"/>
      <c r="GX680" s="18"/>
      <c r="GY680" s="18"/>
      <c r="GZ680" s="18"/>
      <c r="HA680" s="18"/>
      <c r="HB680" s="18"/>
      <c r="HC680" s="18"/>
      <c r="HD680" s="18"/>
      <c r="HE680" s="18"/>
      <c r="HF680" s="18"/>
      <c r="HG680" s="13"/>
      <c r="HH680" s="13"/>
      <c r="HI680" s="13"/>
      <c r="HJ680" s="13"/>
      <c r="HK680" s="13"/>
      <c r="HL680" s="13"/>
      <c r="HM680" s="13"/>
      <c r="HN680" s="13"/>
      <c r="HO680" s="13"/>
      <c r="HP680" s="13"/>
      <c r="HQ680" s="13"/>
      <c r="HR680" s="13"/>
      <c r="HS680" s="13"/>
      <c r="HT680" s="13"/>
      <c r="HU680" s="18"/>
      <c r="HV680" s="18"/>
      <c r="HW680" s="18"/>
      <c r="HX680" s="18"/>
      <c r="HY680" s="18"/>
      <c r="HZ680" s="18"/>
      <c r="IA680" s="18"/>
      <c r="IB680" s="18"/>
      <c r="IC680" s="18"/>
      <c r="ID680" s="18"/>
      <c r="IE680" s="18"/>
      <c r="IF680" s="18"/>
      <c r="IG680" s="18"/>
      <c r="IH680" s="18"/>
      <c r="II680" s="18"/>
      <c r="IJ680" s="18"/>
      <c r="IK680" s="18"/>
      <c r="IL680" s="18"/>
      <c r="IM680" s="18"/>
      <c r="IN680" s="18"/>
      <c r="IO680" s="18"/>
      <c r="IP680" s="18"/>
      <c r="IQ680" s="18"/>
      <c r="IR680" s="18"/>
      <c r="IS680" s="18"/>
      <c r="IT680" s="18"/>
      <c r="IU680" s="18"/>
      <c r="IV680" s="18"/>
      <c r="IW680" s="18"/>
      <c r="IX680" s="18"/>
      <c r="IY680" s="18"/>
      <c r="IZ680" s="18"/>
      <c r="JA680" s="18"/>
      <c r="JB680" s="18"/>
      <c r="JC680" s="18"/>
      <c r="JD680" s="18"/>
      <c r="JE680" s="18"/>
      <c r="JF680" s="18"/>
      <c r="JG680" s="18"/>
      <c r="JH680" s="18"/>
      <c r="JI680" s="18"/>
      <c r="JJ680" s="18"/>
      <c r="JK680" s="18"/>
      <c r="JL680" s="18"/>
      <c r="JM680" s="18"/>
      <c r="JN680" s="18"/>
      <c r="JO680" s="18"/>
      <c r="JP680" s="18"/>
      <c r="JQ680" s="18"/>
      <c r="JR680" s="18"/>
      <c r="JS680" s="18"/>
      <c r="JT680" s="18"/>
      <c r="JU680" s="18"/>
      <c r="JV680" s="18"/>
      <c r="JW680" s="18"/>
      <c r="JX680" s="18"/>
      <c r="JY680" s="18"/>
      <c r="JZ680" s="18"/>
      <c r="KA680" s="18"/>
      <c r="KB680" s="18"/>
      <c r="KC680" s="18"/>
      <c r="KD680" s="18"/>
      <c r="KE680" s="18"/>
      <c r="KF680" s="18"/>
      <c r="KG680" s="18"/>
      <c r="KH680" s="18"/>
      <c r="KI680" s="18"/>
      <c r="KJ680" s="18"/>
      <c r="KK680" s="18"/>
      <c r="KL680" s="18"/>
      <c r="KM680" s="18"/>
      <c r="KN680" s="18"/>
      <c r="KO680" s="18"/>
      <c r="KP680" s="18"/>
    </row>
    <row r="681" spans="1:302" ht="15" customHeight="1">
      <c r="A681" s="14"/>
      <c r="B681" s="14"/>
      <c r="F681" s="46"/>
      <c r="G681" s="23"/>
      <c r="H681" s="23"/>
      <c r="I681" s="23"/>
      <c r="J681" s="23"/>
      <c r="K681" s="14"/>
      <c r="L681" s="14"/>
      <c r="P681" s="14"/>
      <c r="AG681" s="44"/>
      <c r="AH681" s="44"/>
      <c r="AI681" s="45"/>
      <c r="AJ681" s="44"/>
      <c r="AK681" s="43"/>
      <c r="AS681" s="14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  <c r="FC681" s="18"/>
      <c r="FD681" s="18"/>
      <c r="FE681" s="18"/>
      <c r="FF681" s="18"/>
      <c r="FG681" s="18"/>
      <c r="FH681" s="18"/>
      <c r="FI681" s="18"/>
      <c r="FJ681" s="18"/>
      <c r="FK681" s="18"/>
      <c r="FL681" s="18"/>
      <c r="FM681" s="18"/>
      <c r="FN681" s="18"/>
      <c r="FO681" s="18"/>
      <c r="FP681" s="18"/>
      <c r="FQ681" s="18"/>
      <c r="FR681" s="18"/>
      <c r="FS681" s="18"/>
      <c r="FT681" s="18"/>
      <c r="FU681" s="18"/>
      <c r="FV681" s="18"/>
      <c r="FW681" s="18"/>
      <c r="FX681" s="18"/>
      <c r="FY681" s="18"/>
      <c r="FZ681" s="18"/>
      <c r="GA681" s="18"/>
      <c r="GB681" s="18"/>
      <c r="GC681" s="18"/>
      <c r="GD681" s="18"/>
      <c r="GE681" s="18"/>
      <c r="GF681" s="18"/>
      <c r="GG681" s="18"/>
      <c r="GH681" s="18"/>
      <c r="GI681" s="18"/>
      <c r="GJ681" s="18"/>
      <c r="GK681" s="18"/>
      <c r="GL681" s="18"/>
      <c r="GM681" s="18"/>
      <c r="GN681" s="18"/>
      <c r="GO681" s="18"/>
      <c r="GP681" s="18"/>
      <c r="GQ681" s="18"/>
      <c r="GR681" s="18"/>
      <c r="GS681" s="18"/>
      <c r="GT681" s="18"/>
      <c r="GU681" s="18"/>
      <c r="GV681" s="18"/>
      <c r="GW681" s="18"/>
      <c r="GX681" s="18"/>
      <c r="GY681" s="18"/>
      <c r="GZ681" s="18"/>
      <c r="HA681" s="18"/>
      <c r="HB681" s="18"/>
      <c r="HC681" s="18"/>
      <c r="HD681" s="18"/>
      <c r="HE681" s="18"/>
      <c r="HF681" s="18"/>
      <c r="HG681" s="13"/>
      <c r="HH681" s="13"/>
      <c r="HI681" s="13"/>
      <c r="HJ681" s="13"/>
      <c r="HK681" s="13"/>
      <c r="HL681" s="13"/>
      <c r="HM681" s="13"/>
      <c r="HN681" s="13"/>
      <c r="HO681" s="13"/>
      <c r="HP681" s="13"/>
      <c r="HQ681" s="13"/>
      <c r="HR681" s="13"/>
      <c r="HS681" s="13"/>
      <c r="HT681" s="13"/>
      <c r="HU681" s="18"/>
      <c r="HV681" s="18"/>
      <c r="HW681" s="18"/>
      <c r="HX681" s="18"/>
      <c r="HY681" s="18"/>
      <c r="HZ681" s="18"/>
      <c r="IA681" s="18"/>
      <c r="IB681" s="18"/>
      <c r="IC681" s="18"/>
      <c r="ID681" s="18"/>
      <c r="IE681" s="18"/>
      <c r="IF681" s="18"/>
      <c r="IG681" s="18"/>
      <c r="IH681" s="18"/>
      <c r="II681" s="18"/>
      <c r="IJ681" s="18"/>
      <c r="IK681" s="18"/>
      <c r="IL681" s="18"/>
      <c r="IM681" s="18"/>
      <c r="IN681" s="18"/>
      <c r="IO681" s="18"/>
      <c r="IP681" s="18"/>
      <c r="IQ681" s="18"/>
      <c r="IR681" s="18"/>
      <c r="IS681" s="18"/>
      <c r="IT681" s="18"/>
      <c r="IU681" s="18"/>
      <c r="IV681" s="18"/>
      <c r="IW681" s="18"/>
      <c r="IX681" s="18"/>
      <c r="IY681" s="18"/>
      <c r="IZ681" s="18"/>
      <c r="JA681" s="18"/>
      <c r="JB681" s="18"/>
      <c r="JC681" s="18"/>
      <c r="JD681" s="18"/>
      <c r="JE681" s="18"/>
      <c r="JF681" s="18"/>
      <c r="JG681" s="18"/>
      <c r="JH681" s="18"/>
      <c r="JI681" s="18"/>
      <c r="JJ681" s="18"/>
      <c r="JK681" s="18"/>
      <c r="JL681" s="18"/>
      <c r="JM681" s="18"/>
      <c r="JN681" s="18"/>
      <c r="JO681" s="18"/>
      <c r="JP681" s="18"/>
      <c r="JQ681" s="18"/>
      <c r="JR681" s="18"/>
      <c r="JS681" s="18"/>
      <c r="JT681" s="18"/>
      <c r="JU681" s="18"/>
      <c r="JV681" s="18"/>
      <c r="JW681" s="18"/>
      <c r="JX681" s="18"/>
      <c r="JY681" s="18"/>
      <c r="JZ681" s="18"/>
      <c r="KA681" s="18"/>
      <c r="KB681" s="18"/>
      <c r="KC681" s="18"/>
      <c r="KD681" s="18"/>
      <c r="KE681" s="18"/>
      <c r="KF681" s="18"/>
      <c r="KG681" s="18"/>
      <c r="KH681" s="18"/>
      <c r="KI681" s="18"/>
      <c r="KJ681" s="18"/>
      <c r="KK681" s="18"/>
      <c r="KL681" s="18"/>
      <c r="KM681" s="18"/>
      <c r="KN681" s="18"/>
      <c r="KO681" s="18"/>
      <c r="KP681" s="18"/>
    </row>
    <row r="682" spans="1:302" ht="15" customHeight="1">
      <c r="A682" s="14"/>
      <c r="B682" s="14"/>
      <c r="F682" s="46"/>
      <c r="G682" s="23"/>
      <c r="H682" s="23"/>
      <c r="I682" s="23"/>
      <c r="J682" s="23"/>
      <c r="K682" s="14"/>
      <c r="L682" s="14"/>
      <c r="P682" s="14"/>
      <c r="AG682" s="44"/>
      <c r="AH682" s="44"/>
      <c r="AI682" s="45"/>
      <c r="AJ682" s="44"/>
      <c r="AK682" s="43"/>
      <c r="AS682" s="14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  <c r="FC682" s="18"/>
      <c r="FD682" s="18"/>
      <c r="FE682" s="18"/>
      <c r="FF682" s="18"/>
      <c r="FG682" s="18"/>
      <c r="FH682" s="18"/>
      <c r="FI682" s="18"/>
      <c r="FJ682" s="18"/>
      <c r="FK682" s="18"/>
      <c r="FL682" s="18"/>
      <c r="FM682" s="18"/>
      <c r="FN682" s="18"/>
      <c r="FO682" s="18"/>
      <c r="FP682" s="18"/>
      <c r="FQ682" s="18"/>
      <c r="FR682" s="18"/>
      <c r="FS682" s="18"/>
      <c r="FT682" s="18"/>
      <c r="FU682" s="18"/>
      <c r="FV682" s="18"/>
      <c r="FW682" s="18"/>
      <c r="FX682" s="18"/>
      <c r="FY682" s="18"/>
      <c r="FZ682" s="18"/>
      <c r="GA682" s="18"/>
      <c r="GB682" s="18"/>
      <c r="GC682" s="18"/>
      <c r="GD682" s="18"/>
      <c r="GE682" s="18"/>
      <c r="GF682" s="18"/>
      <c r="GG682" s="18"/>
      <c r="GH682" s="18"/>
      <c r="GI682" s="18"/>
      <c r="GJ682" s="18"/>
      <c r="GK682" s="18"/>
      <c r="GL682" s="18"/>
      <c r="GM682" s="18"/>
      <c r="GN682" s="18"/>
      <c r="GO682" s="18"/>
      <c r="GP682" s="18"/>
      <c r="GQ682" s="18"/>
      <c r="GR682" s="18"/>
      <c r="GS682" s="18"/>
      <c r="GT682" s="18"/>
      <c r="GU682" s="18"/>
      <c r="GV682" s="18"/>
      <c r="GW682" s="18"/>
      <c r="GX682" s="18"/>
      <c r="GY682" s="18"/>
      <c r="GZ682" s="18"/>
      <c r="HA682" s="18"/>
      <c r="HB682" s="18"/>
      <c r="HC682" s="18"/>
      <c r="HD682" s="18"/>
      <c r="HE682" s="18"/>
      <c r="HF682" s="18"/>
      <c r="HG682" s="13"/>
      <c r="HH682" s="13"/>
      <c r="HI682" s="13"/>
      <c r="HJ682" s="13"/>
      <c r="HK682" s="13"/>
      <c r="HL682" s="13"/>
      <c r="HM682" s="13"/>
      <c r="HN682" s="13"/>
      <c r="HO682" s="13"/>
      <c r="HP682" s="13"/>
      <c r="HQ682" s="13"/>
      <c r="HR682" s="13"/>
      <c r="HS682" s="13"/>
      <c r="HT682" s="13"/>
      <c r="HU682" s="18"/>
      <c r="HV682" s="18"/>
      <c r="HW682" s="18"/>
      <c r="HX682" s="18"/>
      <c r="HY682" s="18"/>
      <c r="HZ682" s="18"/>
      <c r="IA682" s="18"/>
      <c r="IB682" s="18"/>
      <c r="IC682" s="18"/>
      <c r="ID682" s="18"/>
      <c r="IE682" s="18"/>
      <c r="IF682" s="18"/>
      <c r="IG682" s="18"/>
      <c r="IH682" s="18"/>
      <c r="II682" s="18"/>
      <c r="IJ682" s="18"/>
      <c r="IK682" s="18"/>
      <c r="IL682" s="18"/>
      <c r="IM682" s="18"/>
      <c r="IN682" s="18"/>
      <c r="IO682" s="18"/>
      <c r="IP682" s="18"/>
      <c r="IQ682" s="18"/>
      <c r="IR682" s="18"/>
      <c r="IS682" s="18"/>
      <c r="IT682" s="18"/>
      <c r="IU682" s="18"/>
      <c r="IV682" s="18"/>
      <c r="IW682" s="18"/>
      <c r="IX682" s="18"/>
      <c r="IY682" s="18"/>
      <c r="IZ682" s="18"/>
      <c r="JA682" s="18"/>
      <c r="JB682" s="18"/>
      <c r="JC682" s="18"/>
      <c r="JD682" s="18"/>
      <c r="JE682" s="18"/>
      <c r="JF682" s="18"/>
      <c r="JG682" s="18"/>
      <c r="JH682" s="18"/>
      <c r="JI682" s="18"/>
      <c r="JJ682" s="18"/>
      <c r="JK682" s="18"/>
      <c r="JL682" s="18"/>
      <c r="JM682" s="18"/>
      <c r="JN682" s="18"/>
      <c r="JO682" s="18"/>
      <c r="JP682" s="18"/>
      <c r="JQ682" s="18"/>
      <c r="JR682" s="18"/>
      <c r="JS682" s="18"/>
      <c r="JT682" s="18"/>
      <c r="JU682" s="18"/>
      <c r="JV682" s="18"/>
      <c r="JW682" s="18"/>
      <c r="JX682" s="18"/>
      <c r="JY682" s="18"/>
      <c r="JZ682" s="18"/>
      <c r="KA682" s="18"/>
      <c r="KB682" s="18"/>
      <c r="KC682" s="18"/>
      <c r="KD682" s="18"/>
      <c r="KE682" s="18"/>
      <c r="KF682" s="18"/>
      <c r="KG682" s="18"/>
      <c r="KH682" s="18"/>
      <c r="KI682" s="18"/>
      <c r="KJ682" s="18"/>
      <c r="KK682" s="18"/>
      <c r="KL682" s="18"/>
      <c r="KM682" s="18"/>
      <c r="KN682" s="18"/>
      <c r="KO682" s="18"/>
      <c r="KP682" s="18"/>
    </row>
    <row r="683" spans="1:302" ht="15" customHeight="1">
      <c r="A683" s="14"/>
      <c r="B683" s="14"/>
      <c r="F683" s="46"/>
      <c r="G683" s="23"/>
      <c r="H683" s="23"/>
      <c r="I683" s="23"/>
      <c r="J683" s="23"/>
      <c r="K683" s="14"/>
      <c r="L683" s="14"/>
      <c r="P683" s="14"/>
      <c r="AG683" s="44"/>
      <c r="AH683" s="44"/>
      <c r="AI683" s="45"/>
      <c r="AJ683" s="44"/>
      <c r="AK683" s="43"/>
      <c r="AS683" s="14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  <c r="FC683" s="18"/>
      <c r="FD683" s="18"/>
      <c r="FE683" s="18"/>
      <c r="FF683" s="18"/>
      <c r="FG683" s="18"/>
      <c r="FH683" s="18"/>
      <c r="FI683" s="18"/>
      <c r="FJ683" s="18"/>
      <c r="FK683" s="18"/>
      <c r="FL683" s="18"/>
      <c r="FM683" s="18"/>
      <c r="FN683" s="18"/>
      <c r="FO683" s="18"/>
      <c r="FP683" s="18"/>
      <c r="FQ683" s="18"/>
      <c r="FR683" s="18"/>
      <c r="FS683" s="18"/>
      <c r="FT683" s="18"/>
      <c r="FU683" s="18"/>
      <c r="FV683" s="18"/>
      <c r="FW683" s="18"/>
      <c r="FX683" s="18"/>
      <c r="FY683" s="18"/>
      <c r="FZ683" s="18"/>
      <c r="GA683" s="18"/>
      <c r="GB683" s="18"/>
      <c r="GC683" s="18"/>
      <c r="GD683" s="18"/>
      <c r="GE683" s="18"/>
      <c r="GF683" s="18"/>
      <c r="GG683" s="18"/>
      <c r="GH683" s="18"/>
      <c r="GI683" s="18"/>
      <c r="GJ683" s="18"/>
      <c r="GK683" s="18"/>
      <c r="GL683" s="18"/>
      <c r="GM683" s="18"/>
      <c r="GN683" s="18"/>
      <c r="GO683" s="18"/>
      <c r="GP683" s="18"/>
      <c r="GQ683" s="18"/>
      <c r="GR683" s="18"/>
      <c r="GS683" s="18"/>
      <c r="GT683" s="18"/>
      <c r="GU683" s="18"/>
      <c r="GV683" s="18"/>
      <c r="GW683" s="18"/>
      <c r="GX683" s="18"/>
      <c r="GY683" s="18"/>
      <c r="GZ683" s="18"/>
      <c r="HA683" s="18"/>
      <c r="HB683" s="18"/>
      <c r="HC683" s="18"/>
      <c r="HD683" s="18"/>
      <c r="HE683" s="18"/>
      <c r="HF683" s="18"/>
      <c r="HG683" s="13"/>
      <c r="HH683" s="13"/>
      <c r="HI683" s="13"/>
      <c r="HJ683" s="13"/>
      <c r="HK683" s="13"/>
      <c r="HL683" s="13"/>
      <c r="HM683" s="13"/>
      <c r="HN683" s="13"/>
      <c r="HO683" s="13"/>
      <c r="HP683" s="13"/>
      <c r="HQ683" s="13"/>
      <c r="HR683" s="13"/>
      <c r="HS683" s="13"/>
      <c r="HT683" s="13"/>
      <c r="HU683" s="18"/>
      <c r="HV683" s="18"/>
      <c r="HW683" s="18"/>
      <c r="HX683" s="18"/>
      <c r="HY683" s="18"/>
      <c r="HZ683" s="18"/>
      <c r="IA683" s="18"/>
      <c r="IB683" s="18"/>
      <c r="IC683" s="18"/>
      <c r="ID683" s="18"/>
      <c r="IE683" s="18"/>
      <c r="IF683" s="18"/>
      <c r="IG683" s="18"/>
      <c r="IH683" s="18"/>
      <c r="II683" s="18"/>
      <c r="IJ683" s="18"/>
      <c r="IK683" s="18"/>
      <c r="IL683" s="18"/>
      <c r="IM683" s="18"/>
      <c r="IN683" s="18"/>
      <c r="IO683" s="18"/>
      <c r="IP683" s="18"/>
      <c r="IQ683" s="18"/>
      <c r="IR683" s="18"/>
      <c r="IS683" s="18"/>
      <c r="IT683" s="18"/>
      <c r="IU683" s="18"/>
      <c r="IV683" s="18"/>
      <c r="IW683" s="18"/>
      <c r="IX683" s="18"/>
      <c r="IY683" s="18"/>
      <c r="IZ683" s="18"/>
      <c r="JA683" s="18"/>
      <c r="JB683" s="18"/>
      <c r="JC683" s="18"/>
      <c r="JD683" s="18"/>
      <c r="JE683" s="18"/>
      <c r="JF683" s="18"/>
      <c r="JG683" s="18"/>
      <c r="JH683" s="18"/>
      <c r="JI683" s="18"/>
      <c r="JJ683" s="18"/>
      <c r="JK683" s="18"/>
      <c r="JL683" s="18"/>
      <c r="JM683" s="18"/>
      <c r="JN683" s="18"/>
      <c r="JO683" s="18"/>
      <c r="JP683" s="18"/>
      <c r="JQ683" s="18"/>
      <c r="JR683" s="18"/>
      <c r="JS683" s="18"/>
      <c r="JT683" s="18"/>
      <c r="JU683" s="18"/>
      <c r="JV683" s="18"/>
      <c r="JW683" s="18"/>
      <c r="JX683" s="18"/>
      <c r="JY683" s="18"/>
      <c r="JZ683" s="18"/>
      <c r="KA683" s="18"/>
      <c r="KB683" s="18"/>
      <c r="KC683" s="18"/>
      <c r="KD683" s="18"/>
      <c r="KE683" s="18"/>
      <c r="KF683" s="18"/>
      <c r="KG683" s="18"/>
      <c r="KH683" s="18"/>
      <c r="KI683" s="18"/>
      <c r="KJ683" s="18"/>
      <c r="KK683" s="18"/>
      <c r="KL683" s="18"/>
      <c r="KM683" s="18"/>
      <c r="KN683" s="18"/>
      <c r="KO683" s="18"/>
      <c r="KP683" s="18"/>
    </row>
    <row r="684" spans="1:302" ht="15" customHeight="1">
      <c r="A684" s="14"/>
      <c r="B684" s="14"/>
      <c r="F684" s="46"/>
      <c r="G684" s="23"/>
      <c r="H684" s="23"/>
      <c r="I684" s="23"/>
      <c r="J684" s="23"/>
      <c r="K684" s="14"/>
      <c r="L684" s="14"/>
      <c r="P684" s="14"/>
      <c r="AG684" s="44"/>
      <c r="AH684" s="44"/>
      <c r="AI684" s="45"/>
      <c r="AJ684" s="44"/>
      <c r="AK684" s="43"/>
      <c r="AS684" s="14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  <c r="FC684" s="18"/>
      <c r="FD684" s="18"/>
      <c r="FE684" s="18"/>
      <c r="FF684" s="18"/>
      <c r="FG684" s="18"/>
      <c r="FH684" s="18"/>
      <c r="FI684" s="18"/>
      <c r="FJ684" s="18"/>
      <c r="FK684" s="18"/>
      <c r="FL684" s="18"/>
      <c r="FM684" s="18"/>
      <c r="FN684" s="18"/>
      <c r="FO684" s="18"/>
      <c r="FP684" s="18"/>
      <c r="FQ684" s="18"/>
      <c r="FR684" s="18"/>
      <c r="FS684" s="18"/>
      <c r="FT684" s="18"/>
      <c r="FU684" s="18"/>
      <c r="FV684" s="18"/>
      <c r="FW684" s="18"/>
      <c r="FX684" s="18"/>
      <c r="FY684" s="18"/>
      <c r="FZ684" s="18"/>
      <c r="GA684" s="18"/>
      <c r="GB684" s="18"/>
      <c r="GC684" s="18"/>
      <c r="GD684" s="18"/>
      <c r="GE684" s="18"/>
      <c r="GF684" s="18"/>
      <c r="GG684" s="18"/>
      <c r="GH684" s="18"/>
      <c r="GI684" s="18"/>
      <c r="GJ684" s="18"/>
      <c r="GK684" s="18"/>
      <c r="GL684" s="18"/>
      <c r="GM684" s="18"/>
      <c r="GN684" s="18"/>
      <c r="GO684" s="18"/>
      <c r="GP684" s="18"/>
      <c r="GQ684" s="18"/>
      <c r="GR684" s="18"/>
      <c r="GS684" s="18"/>
      <c r="GT684" s="18"/>
      <c r="GU684" s="18"/>
      <c r="GV684" s="18"/>
      <c r="GW684" s="18"/>
      <c r="GX684" s="18"/>
      <c r="GY684" s="18"/>
      <c r="GZ684" s="18"/>
      <c r="HA684" s="18"/>
      <c r="HB684" s="18"/>
      <c r="HC684" s="18"/>
      <c r="HD684" s="18"/>
      <c r="HE684" s="18"/>
      <c r="HF684" s="18"/>
      <c r="HG684" s="13"/>
      <c r="HH684" s="13"/>
      <c r="HI684" s="13"/>
      <c r="HJ684" s="13"/>
      <c r="HK684" s="13"/>
      <c r="HL684" s="13"/>
      <c r="HM684" s="13"/>
      <c r="HN684" s="13"/>
      <c r="HO684" s="13"/>
      <c r="HP684" s="13"/>
      <c r="HQ684" s="13"/>
      <c r="HR684" s="13"/>
      <c r="HS684" s="13"/>
      <c r="HT684" s="13"/>
      <c r="HU684" s="18"/>
      <c r="HV684" s="18"/>
      <c r="HW684" s="18"/>
      <c r="HX684" s="18"/>
      <c r="HY684" s="18"/>
      <c r="HZ684" s="18"/>
      <c r="IA684" s="18"/>
      <c r="IB684" s="18"/>
      <c r="IC684" s="18"/>
      <c r="ID684" s="18"/>
      <c r="IE684" s="18"/>
      <c r="IF684" s="18"/>
      <c r="IG684" s="18"/>
      <c r="IH684" s="18"/>
      <c r="II684" s="18"/>
      <c r="IJ684" s="18"/>
      <c r="IK684" s="18"/>
      <c r="IL684" s="18"/>
      <c r="IM684" s="18"/>
      <c r="IN684" s="18"/>
      <c r="IO684" s="18"/>
      <c r="IP684" s="18"/>
      <c r="IQ684" s="18"/>
      <c r="IR684" s="18"/>
      <c r="IS684" s="18"/>
      <c r="IT684" s="18"/>
      <c r="IU684" s="18"/>
      <c r="IV684" s="18"/>
      <c r="IW684" s="18"/>
      <c r="IX684" s="18"/>
      <c r="IY684" s="18"/>
      <c r="IZ684" s="18"/>
      <c r="JA684" s="18"/>
      <c r="JB684" s="18"/>
      <c r="JC684" s="18"/>
      <c r="JD684" s="18"/>
      <c r="JE684" s="18"/>
      <c r="JF684" s="18"/>
      <c r="JG684" s="18"/>
      <c r="JH684" s="18"/>
      <c r="JI684" s="18"/>
      <c r="JJ684" s="18"/>
      <c r="JK684" s="18"/>
      <c r="JL684" s="18"/>
      <c r="JM684" s="18"/>
      <c r="JN684" s="18"/>
      <c r="JO684" s="18"/>
      <c r="JP684" s="18"/>
      <c r="JQ684" s="18"/>
      <c r="JR684" s="18"/>
      <c r="JS684" s="18"/>
      <c r="JT684" s="18"/>
      <c r="JU684" s="18"/>
      <c r="JV684" s="18"/>
      <c r="JW684" s="18"/>
      <c r="JX684" s="18"/>
      <c r="JY684" s="18"/>
      <c r="JZ684" s="18"/>
      <c r="KA684" s="18"/>
      <c r="KB684" s="18"/>
      <c r="KC684" s="18"/>
      <c r="KD684" s="18"/>
      <c r="KE684" s="18"/>
      <c r="KF684" s="18"/>
      <c r="KG684" s="18"/>
      <c r="KH684" s="18"/>
      <c r="KI684" s="18"/>
      <c r="KJ684" s="18"/>
      <c r="KK684" s="18"/>
      <c r="KL684" s="18"/>
      <c r="KM684" s="18"/>
      <c r="KN684" s="18"/>
      <c r="KO684" s="18"/>
      <c r="KP684" s="18"/>
    </row>
    <row r="685" spans="1:302" ht="15" customHeight="1">
      <c r="A685" s="14"/>
      <c r="B685" s="14"/>
      <c r="F685" s="46"/>
      <c r="G685" s="23"/>
      <c r="H685" s="23"/>
      <c r="I685" s="23"/>
      <c r="J685" s="23"/>
      <c r="K685" s="14"/>
      <c r="L685" s="14"/>
      <c r="P685" s="14"/>
      <c r="AG685" s="44"/>
      <c r="AH685" s="44"/>
      <c r="AI685" s="45"/>
      <c r="AJ685" s="44"/>
      <c r="AK685" s="43"/>
      <c r="AS685" s="14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  <c r="FR685" s="18"/>
      <c r="FS685" s="18"/>
      <c r="FT685" s="18"/>
      <c r="FU685" s="18"/>
      <c r="FV685" s="18"/>
      <c r="FW685" s="18"/>
      <c r="FX685" s="18"/>
      <c r="FY685" s="18"/>
      <c r="FZ685" s="18"/>
      <c r="GA685" s="18"/>
      <c r="GB685" s="18"/>
      <c r="GC685" s="18"/>
      <c r="GD685" s="18"/>
      <c r="GE685" s="18"/>
      <c r="GF685" s="18"/>
      <c r="GG685" s="18"/>
      <c r="GH685" s="18"/>
      <c r="GI685" s="18"/>
      <c r="GJ685" s="18"/>
      <c r="GK685" s="18"/>
      <c r="GL685" s="18"/>
      <c r="GM685" s="18"/>
      <c r="GN685" s="18"/>
      <c r="GO685" s="18"/>
      <c r="GP685" s="18"/>
      <c r="GQ685" s="18"/>
      <c r="GR685" s="18"/>
      <c r="GS685" s="18"/>
      <c r="GT685" s="18"/>
      <c r="GU685" s="18"/>
      <c r="GV685" s="18"/>
      <c r="GW685" s="18"/>
      <c r="GX685" s="18"/>
      <c r="GY685" s="18"/>
      <c r="GZ685" s="18"/>
      <c r="HA685" s="18"/>
      <c r="HB685" s="18"/>
      <c r="HC685" s="18"/>
      <c r="HD685" s="18"/>
      <c r="HE685" s="18"/>
      <c r="HF685" s="18"/>
      <c r="HG685" s="13"/>
      <c r="HH685" s="13"/>
      <c r="HI685" s="13"/>
      <c r="HJ685" s="13"/>
      <c r="HK685" s="13"/>
      <c r="HL685" s="13"/>
      <c r="HM685" s="13"/>
      <c r="HN685" s="13"/>
      <c r="HO685" s="13"/>
      <c r="HP685" s="13"/>
      <c r="HQ685" s="13"/>
      <c r="HR685" s="13"/>
      <c r="HS685" s="13"/>
      <c r="HT685" s="13"/>
      <c r="HU685" s="18"/>
      <c r="HV685" s="18"/>
      <c r="HW685" s="18"/>
      <c r="HX685" s="18"/>
      <c r="HY685" s="18"/>
      <c r="HZ685" s="18"/>
      <c r="IA685" s="18"/>
      <c r="IB685" s="18"/>
      <c r="IC685" s="18"/>
      <c r="ID685" s="18"/>
      <c r="IE685" s="18"/>
      <c r="IF685" s="18"/>
      <c r="IG685" s="18"/>
      <c r="IH685" s="18"/>
      <c r="II685" s="18"/>
      <c r="IJ685" s="18"/>
      <c r="IK685" s="18"/>
      <c r="IL685" s="18"/>
      <c r="IM685" s="18"/>
      <c r="IN685" s="18"/>
      <c r="IO685" s="18"/>
      <c r="IP685" s="18"/>
      <c r="IQ685" s="18"/>
      <c r="IR685" s="18"/>
      <c r="IS685" s="18"/>
      <c r="IT685" s="18"/>
      <c r="IU685" s="18"/>
      <c r="IV685" s="18"/>
      <c r="IW685" s="18"/>
      <c r="IX685" s="18"/>
      <c r="IY685" s="18"/>
      <c r="IZ685" s="18"/>
      <c r="JA685" s="18"/>
      <c r="JB685" s="18"/>
      <c r="JC685" s="18"/>
      <c r="JD685" s="18"/>
      <c r="JE685" s="18"/>
      <c r="JF685" s="18"/>
      <c r="JG685" s="18"/>
      <c r="JH685" s="18"/>
      <c r="JI685" s="18"/>
      <c r="JJ685" s="18"/>
      <c r="JK685" s="18"/>
      <c r="JL685" s="18"/>
      <c r="JM685" s="18"/>
      <c r="JN685" s="18"/>
      <c r="JO685" s="18"/>
      <c r="JP685" s="18"/>
      <c r="JQ685" s="18"/>
      <c r="JR685" s="18"/>
      <c r="JS685" s="18"/>
      <c r="JT685" s="18"/>
      <c r="JU685" s="18"/>
      <c r="JV685" s="18"/>
      <c r="JW685" s="18"/>
      <c r="JX685" s="18"/>
      <c r="JY685" s="18"/>
      <c r="JZ685" s="18"/>
      <c r="KA685" s="18"/>
      <c r="KB685" s="18"/>
      <c r="KC685" s="18"/>
      <c r="KD685" s="18"/>
      <c r="KE685" s="18"/>
      <c r="KF685" s="18"/>
      <c r="KG685" s="18"/>
      <c r="KH685" s="18"/>
      <c r="KI685" s="18"/>
      <c r="KJ685" s="18"/>
      <c r="KK685" s="18"/>
      <c r="KL685" s="18"/>
      <c r="KM685" s="18"/>
      <c r="KN685" s="18"/>
      <c r="KO685" s="18"/>
      <c r="KP685" s="18"/>
    </row>
    <row r="686" spans="1:302" ht="15" customHeight="1">
      <c r="A686" s="14"/>
      <c r="B686" s="14"/>
      <c r="F686" s="46"/>
      <c r="G686" s="23"/>
      <c r="H686" s="23"/>
      <c r="I686" s="23"/>
      <c r="J686" s="23"/>
      <c r="K686" s="14"/>
      <c r="L686" s="14"/>
      <c r="P686" s="14"/>
      <c r="AG686" s="44"/>
      <c r="AH686" s="44"/>
      <c r="AI686" s="45"/>
      <c r="AJ686" s="44"/>
      <c r="AK686" s="43"/>
      <c r="AS686" s="14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  <c r="FC686" s="18"/>
      <c r="FD686" s="18"/>
      <c r="FE686" s="18"/>
      <c r="FF686" s="18"/>
      <c r="FG686" s="18"/>
      <c r="FH686" s="18"/>
      <c r="FI686" s="18"/>
      <c r="FJ686" s="18"/>
      <c r="FK686" s="18"/>
      <c r="FL686" s="18"/>
      <c r="FM686" s="18"/>
      <c r="FN686" s="18"/>
      <c r="FO686" s="18"/>
      <c r="FP686" s="18"/>
      <c r="FQ686" s="18"/>
      <c r="FR686" s="18"/>
      <c r="FS686" s="18"/>
      <c r="FT686" s="18"/>
      <c r="FU686" s="18"/>
      <c r="FV686" s="18"/>
      <c r="FW686" s="18"/>
      <c r="FX686" s="18"/>
      <c r="FY686" s="18"/>
      <c r="FZ686" s="18"/>
      <c r="GA686" s="18"/>
      <c r="GB686" s="18"/>
      <c r="GC686" s="18"/>
      <c r="GD686" s="18"/>
      <c r="GE686" s="18"/>
      <c r="GF686" s="18"/>
      <c r="GG686" s="18"/>
      <c r="GH686" s="18"/>
      <c r="GI686" s="18"/>
      <c r="GJ686" s="18"/>
      <c r="GK686" s="18"/>
      <c r="GL686" s="18"/>
      <c r="GM686" s="18"/>
      <c r="GN686" s="18"/>
      <c r="GO686" s="18"/>
      <c r="GP686" s="18"/>
      <c r="GQ686" s="18"/>
      <c r="GR686" s="18"/>
      <c r="GS686" s="18"/>
      <c r="GT686" s="18"/>
      <c r="GU686" s="18"/>
      <c r="GV686" s="18"/>
      <c r="GW686" s="18"/>
      <c r="GX686" s="18"/>
      <c r="GY686" s="18"/>
      <c r="GZ686" s="18"/>
      <c r="HA686" s="18"/>
      <c r="HB686" s="18"/>
      <c r="HC686" s="18"/>
      <c r="HD686" s="18"/>
      <c r="HE686" s="18"/>
      <c r="HF686" s="18"/>
      <c r="HG686" s="13"/>
      <c r="HH686" s="13"/>
      <c r="HI686" s="13"/>
      <c r="HJ686" s="13"/>
      <c r="HK686" s="13"/>
      <c r="HL686" s="13"/>
      <c r="HM686" s="13"/>
      <c r="HN686" s="13"/>
      <c r="HO686" s="13"/>
      <c r="HP686" s="13"/>
      <c r="HQ686" s="13"/>
      <c r="HR686" s="13"/>
      <c r="HS686" s="13"/>
      <c r="HT686" s="13"/>
      <c r="HU686" s="18"/>
      <c r="HV686" s="18"/>
      <c r="HW686" s="18"/>
      <c r="HX686" s="18"/>
      <c r="HY686" s="18"/>
      <c r="HZ686" s="18"/>
      <c r="IA686" s="18"/>
      <c r="IB686" s="18"/>
      <c r="IC686" s="18"/>
      <c r="ID686" s="18"/>
      <c r="IE686" s="18"/>
      <c r="IF686" s="18"/>
      <c r="IG686" s="18"/>
      <c r="IH686" s="18"/>
      <c r="II686" s="18"/>
      <c r="IJ686" s="18"/>
      <c r="IK686" s="18"/>
      <c r="IL686" s="18"/>
      <c r="IM686" s="18"/>
      <c r="IN686" s="18"/>
      <c r="IO686" s="18"/>
      <c r="IP686" s="18"/>
      <c r="IQ686" s="18"/>
      <c r="IR686" s="18"/>
      <c r="IS686" s="18"/>
      <c r="IT686" s="18"/>
      <c r="IU686" s="18"/>
      <c r="IV686" s="18"/>
      <c r="IW686" s="18"/>
      <c r="IX686" s="18"/>
      <c r="IY686" s="18"/>
      <c r="IZ686" s="18"/>
      <c r="JA686" s="18"/>
      <c r="JB686" s="18"/>
      <c r="JC686" s="18"/>
      <c r="JD686" s="18"/>
      <c r="JE686" s="18"/>
      <c r="JF686" s="18"/>
      <c r="JG686" s="18"/>
      <c r="JH686" s="18"/>
      <c r="JI686" s="18"/>
      <c r="JJ686" s="18"/>
      <c r="JK686" s="18"/>
      <c r="JL686" s="18"/>
      <c r="JM686" s="18"/>
      <c r="JN686" s="18"/>
      <c r="JO686" s="18"/>
      <c r="JP686" s="18"/>
      <c r="JQ686" s="18"/>
      <c r="JR686" s="18"/>
      <c r="JS686" s="18"/>
      <c r="JT686" s="18"/>
      <c r="JU686" s="18"/>
      <c r="JV686" s="18"/>
      <c r="JW686" s="18"/>
      <c r="JX686" s="18"/>
      <c r="JY686" s="18"/>
      <c r="JZ686" s="18"/>
      <c r="KA686" s="18"/>
      <c r="KB686" s="18"/>
      <c r="KC686" s="18"/>
      <c r="KD686" s="18"/>
      <c r="KE686" s="18"/>
      <c r="KF686" s="18"/>
      <c r="KG686" s="18"/>
      <c r="KH686" s="18"/>
      <c r="KI686" s="18"/>
      <c r="KJ686" s="18"/>
      <c r="KK686" s="18"/>
      <c r="KL686" s="18"/>
      <c r="KM686" s="18"/>
      <c r="KN686" s="18"/>
      <c r="KO686" s="18"/>
      <c r="KP686" s="18"/>
    </row>
    <row r="687" spans="1:302" ht="15" customHeight="1">
      <c r="A687" s="14"/>
      <c r="B687" s="14"/>
      <c r="F687" s="46"/>
      <c r="G687" s="23"/>
      <c r="H687" s="23"/>
      <c r="I687" s="23"/>
      <c r="J687" s="23"/>
      <c r="K687" s="14"/>
      <c r="L687" s="14"/>
      <c r="P687" s="14"/>
      <c r="AG687" s="44"/>
      <c r="AH687" s="44"/>
      <c r="AI687" s="45"/>
      <c r="AJ687" s="44"/>
      <c r="AK687" s="43"/>
      <c r="AS687" s="14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  <c r="FC687" s="18"/>
      <c r="FD687" s="18"/>
      <c r="FE687" s="18"/>
      <c r="FF687" s="18"/>
      <c r="FG687" s="18"/>
      <c r="FH687" s="18"/>
      <c r="FI687" s="18"/>
      <c r="FJ687" s="18"/>
      <c r="FK687" s="18"/>
      <c r="FL687" s="18"/>
      <c r="FM687" s="18"/>
      <c r="FN687" s="18"/>
      <c r="FO687" s="18"/>
      <c r="FP687" s="18"/>
      <c r="FQ687" s="18"/>
      <c r="FR687" s="18"/>
      <c r="FS687" s="18"/>
      <c r="FT687" s="18"/>
      <c r="FU687" s="18"/>
      <c r="FV687" s="18"/>
      <c r="FW687" s="18"/>
      <c r="FX687" s="18"/>
      <c r="FY687" s="18"/>
      <c r="FZ687" s="18"/>
      <c r="GA687" s="18"/>
      <c r="GB687" s="18"/>
      <c r="GC687" s="18"/>
      <c r="GD687" s="18"/>
      <c r="GE687" s="18"/>
      <c r="GF687" s="18"/>
      <c r="GG687" s="18"/>
      <c r="GH687" s="18"/>
      <c r="GI687" s="18"/>
      <c r="GJ687" s="18"/>
      <c r="GK687" s="18"/>
      <c r="GL687" s="18"/>
      <c r="GM687" s="18"/>
      <c r="GN687" s="18"/>
      <c r="GO687" s="18"/>
      <c r="GP687" s="18"/>
      <c r="GQ687" s="18"/>
      <c r="GR687" s="18"/>
      <c r="GS687" s="18"/>
      <c r="GT687" s="18"/>
      <c r="GU687" s="18"/>
      <c r="GV687" s="18"/>
      <c r="GW687" s="18"/>
      <c r="GX687" s="18"/>
      <c r="GY687" s="18"/>
      <c r="GZ687" s="18"/>
      <c r="HA687" s="18"/>
      <c r="HB687" s="18"/>
      <c r="HC687" s="18"/>
      <c r="HD687" s="18"/>
      <c r="HE687" s="18"/>
      <c r="HF687" s="18"/>
      <c r="HG687" s="13"/>
      <c r="HH687" s="13"/>
      <c r="HI687" s="13"/>
      <c r="HJ687" s="13"/>
      <c r="HK687" s="13"/>
      <c r="HL687" s="13"/>
      <c r="HM687" s="13"/>
      <c r="HN687" s="13"/>
      <c r="HO687" s="13"/>
      <c r="HP687" s="13"/>
      <c r="HQ687" s="13"/>
      <c r="HR687" s="13"/>
      <c r="HS687" s="13"/>
      <c r="HT687" s="13"/>
      <c r="HU687" s="18"/>
      <c r="HV687" s="18"/>
      <c r="HW687" s="18"/>
      <c r="HX687" s="18"/>
      <c r="HY687" s="18"/>
      <c r="HZ687" s="18"/>
      <c r="IA687" s="18"/>
      <c r="IB687" s="18"/>
      <c r="IC687" s="18"/>
      <c r="ID687" s="18"/>
      <c r="IE687" s="18"/>
      <c r="IF687" s="18"/>
      <c r="IG687" s="18"/>
      <c r="IH687" s="18"/>
      <c r="II687" s="18"/>
      <c r="IJ687" s="18"/>
      <c r="IK687" s="18"/>
      <c r="IL687" s="18"/>
      <c r="IM687" s="18"/>
      <c r="IN687" s="18"/>
      <c r="IO687" s="18"/>
      <c r="IP687" s="18"/>
      <c r="IQ687" s="18"/>
      <c r="IR687" s="18"/>
      <c r="IS687" s="18"/>
      <c r="IT687" s="18"/>
      <c r="IU687" s="18"/>
      <c r="IV687" s="18"/>
      <c r="IW687" s="18"/>
      <c r="IX687" s="18"/>
      <c r="IY687" s="18"/>
      <c r="IZ687" s="18"/>
      <c r="JA687" s="18"/>
      <c r="JB687" s="18"/>
      <c r="JC687" s="18"/>
      <c r="JD687" s="18"/>
      <c r="JE687" s="18"/>
      <c r="JF687" s="18"/>
      <c r="JG687" s="18"/>
      <c r="JH687" s="18"/>
      <c r="JI687" s="18"/>
      <c r="JJ687" s="18"/>
      <c r="JK687" s="18"/>
      <c r="JL687" s="18"/>
      <c r="JM687" s="18"/>
      <c r="JN687" s="18"/>
      <c r="JO687" s="18"/>
      <c r="JP687" s="18"/>
      <c r="JQ687" s="18"/>
      <c r="JR687" s="18"/>
      <c r="JS687" s="18"/>
      <c r="JT687" s="18"/>
      <c r="JU687" s="18"/>
      <c r="JV687" s="18"/>
      <c r="JW687" s="18"/>
      <c r="JX687" s="18"/>
      <c r="JY687" s="18"/>
      <c r="JZ687" s="18"/>
      <c r="KA687" s="18"/>
      <c r="KB687" s="18"/>
      <c r="KC687" s="18"/>
      <c r="KD687" s="18"/>
      <c r="KE687" s="18"/>
      <c r="KF687" s="18"/>
      <c r="KG687" s="18"/>
      <c r="KH687" s="18"/>
      <c r="KI687" s="18"/>
      <c r="KJ687" s="18"/>
      <c r="KK687" s="18"/>
      <c r="KL687" s="18"/>
      <c r="KM687" s="18"/>
      <c r="KN687" s="18"/>
      <c r="KO687" s="18"/>
      <c r="KP687" s="18"/>
    </row>
    <row r="688" spans="1:302" ht="15" customHeight="1">
      <c r="A688" s="14"/>
      <c r="B688" s="14"/>
      <c r="F688" s="46"/>
      <c r="G688" s="23"/>
      <c r="H688" s="23"/>
      <c r="I688" s="23"/>
      <c r="J688" s="23"/>
      <c r="K688" s="14"/>
      <c r="L688" s="14"/>
      <c r="P688" s="14"/>
      <c r="AG688" s="44"/>
      <c r="AH688" s="44"/>
      <c r="AI688" s="45"/>
      <c r="AJ688" s="44"/>
      <c r="AK688" s="43"/>
      <c r="AS688" s="14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  <c r="FC688" s="18"/>
      <c r="FD688" s="18"/>
      <c r="FE688" s="18"/>
      <c r="FF688" s="18"/>
      <c r="FG688" s="18"/>
      <c r="FH688" s="18"/>
      <c r="FI688" s="18"/>
      <c r="FJ688" s="18"/>
      <c r="FK688" s="18"/>
      <c r="FL688" s="18"/>
      <c r="FM688" s="18"/>
      <c r="FN688" s="18"/>
      <c r="FO688" s="18"/>
      <c r="FP688" s="18"/>
      <c r="FQ688" s="18"/>
      <c r="FR688" s="18"/>
      <c r="FS688" s="18"/>
      <c r="FT688" s="18"/>
      <c r="FU688" s="18"/>
      <c r="FV688" s="18"/>
      <c r="FW688" s="18"/>
      <c r="FX688" s="18"/>
      <c r="FY688" s="18"/>
      <c r="FZ688" s="18"/>
      <c r="GA688" s="18"/>
      <c r="GB688" s="18"/>
      <c r="GC688" s="18"/>
      <c r="GD688" s="18"/>
      <c r="GE688" s="18"/>
      <c r="GF688" s="18"/>
      <c r="GG688" s="18"/>
      <c r="GH688" s="18"/>
      <c r="GI688" s="18"/>
      <c r="GJ688" s="18"/>
      <c r="GK688" s="18"/>
      <c r="GL688" s="18"/>
      <c r="GM688" s="18"/>
      <c r="GN688" s="18"/>
      <c r="GO688" s="18"/>
      <c r="GP688" s="18"/>
      <c r="GQ688" s="18"/>
      <c r="GR688" s="18"/>
      <c r="GS688" s="18"/>
      <c r="GT688" s="18"/>
      <c r="GU688" s="18"/>
      <c r="GV688" s="18"/>
      <c r="GW688" s="18"/>
      <c r="GX688" s="18"/>
      <c r="GY688" s="18"/>
      <c r="GZ688" s="18"/>
      <c r="HA688" s="18"/>
      <c r="HB688" s="18"/>
      <c r="HC688" s="18"/>
      <c r="HD688" s="18"/>
      <c r="HE688" s="18"/>
      <c r="HF688" s="18"/>
      <c r="HG688" s="13"/>
      <c r="HH688" s="13"/>
      <c r="HI688" s="13"/>
      <c r="HJ688" s="13"/>
      <c r="HK688" s="13"/>
      <c r="HL688" s="13"/>
      <c r="HM688" s="13"/>
      <c r="HN688" s="13"/>
      <c r="HO688" s="13"/>
      <c r="HP688" s="13"/>
      <c r="HQ688" s="13"/>
      <c r="HR688" s="13"/>
      <c r="HS688" s="13"/>
      <c r="HT688" s="13"/>
      <c r="HU688" s="18"/>
      <c r="HV688" s="18"/>
      <c r="HW688" s="18"/>
      <c r="HX688" s="18"/>
      <c r="HY688" s="18"/>
      <c r="HZ688" s="18"/>
      <c r="IA688" s="18"/>
      <c r="IB688" s="18"/>
      <c r="IC688" s="18"/>
      <c r="ID688" s="18"/>
      <c r="IE688" s="18"/>
      <c r="IF688" s="18"/>
      <c r="IG688" s="18"/>
      <c r="IH688" s="18"/>
      <c r="II688" s="18"/>
      <c r="IJ688" s="18"/>
      <c r="IK688" s="18"/>
      <c r="IL688" s="18"/>
      <c r="IM688" s="18"/>
      <c r="IN688" s="18"/>
      <c r="IO688" s="18"/>
      <c r="IP688" s="18"/>
      <c r="IQ688" s="18"/>
      <c r="IR688" s="18"/>
      <c r="IS688" s="18"/>
      <c r="IT688" s="18"/>
      <c r="IU688" s="18"/>
      <c r="IV688" s="18"/>
      <c r="IW688" s="18"/>
      <c r="IX688" s="18"/>
      <c r="IY688" s="18"/>
      <c r="IZ688" s="18"/>
      <c r="JA688" s="18"/>
      <c r="JB688" s="18"/>
      <c r="JC688" s="18"/>
      <c r="JD688" s="18"/>
      <c r="JE688" s="18"/>
      <c r="JF688" s="18"/>
      <c r="JG688" s="18"/>
      <c r="JH688" s="18"/>
      <c r="JI688" s="18"/>
      <c r="JJ688" s="18"/>
      <c r="JK688" s="18"/>
      <c r="JL688" s="18"/>
      <c r="JM688" s="18"/>
      <c r="JN688" s="18"/>
      <c r="JO688" s="18"/>
      <c r="JP688" s="18"/>
      <c r="JQ688" s="18"/>
      <c r="JR688" s="18"/>
      <c r="JS688" s="18"/>
      <c r="JT688" s="18"/>
      <c r="JU688" s="18"/>
      <c r="JV688" s="18"/>
      <c r="JW688" s="18"/>
      <c r="JX688" s="18"/>
      <c r="JY688" s="18"/>
      <c r="JZ688" s="18"/>
      <c r="KA688" s="18"/>
      <c r="KB688" s="18"/>
      <c r="KC688" s="18"/>
      <c r="KD688" s="18"/>
      <c r="KE688" s="18"/>
      <c r="KF688" s="18"/>
      <c r="KG688" s="18"/>
      <c r="KH688" s="18"/>
      <c r="KI688" s="18"/>
      <c r="KJ688" s="18"/>
      <c r="KK688" s="18"/>
      <c r="KL688" s="18"/>
      <c r="KM688" s="18"/>
      <c r="KN688" s="18"/>
      <c r="KO688" s="18"/>
      <c r="KP688" s="18"/>
    </row>
    <row r="689" spans="1:302" ht="15" customHeight="1">
      <c r="A689" s="14"/>
      <c r="B689" s="14"/>
      <c r="F689" s="46"/>
      <c r="G689" s="23"/>
      <c r="H689" s="23"/>
      <c r="I689" s="23"/>
      <c r="J689" s="23"/>
      <c r="K689" s="14"/>
      <c r="L689" s="14"/>
      <c r="P689" s="14"/>
      <c r="AG689" s="44"/>
      <c r="AH689" s="44"/>
      <c r="AI689" s="45"/>
      <c r="AJ689" s="44"/>
      <c r="AK689" s="43"/>
      <c r="AS689" s="14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  <c r="EW689" s="18"/>
      <c r="EX689" s="18"/>
      <c r="EY689" s="18"/>
      <c r="EZ689" s="18"/>
      <c r="FA689" s="18"/>
      <c r="FB689" s="18"/>
      <c r="FC689" s="18"/>
      <c r="FD689" s="18"/>
      <c r="FE689" s="18"/>
      <c r="FF689" s="18"/>
      <c r="FG689" s="18"/>
      <c r="FH689" s="18"/>
      <c r="FI689" s="18"/>
      <c r="FJ689" s="18"/>
      <c r="FK689" s="18"/>
      <c r="FL689" s="18"/>
      <c r="FM689" s="18"/>
      <c r="FN689" s="18"/>
      <c r="FO689" s="18"/>
      <c r="FP689" s="18"/>
      <c r="FQ689" s="18"/>
      <c r="FR689" s="18"/>
      <c r="FS689" s="18"/>
      <c r="FT689" s="18"/>
      <c r="FU689" s="18"/>
      <c r="FV689" s="18"/>
      <c r="FW689" s="18"/>
      <c r="FX689" s="18"/>
      <c r="FY689" s="18"/>
      <c r="FZ689" s="18"/>
      <c r="GA689" s="18"/>
      <c r="GB689" s="18"/>
      <c r="GC689" s="18"/>
      <c r="GD689" s="18"/>
      <c r="GE689" s="18"/>
      <c r="GF689" s="18"/>
      <c r="GG689" s="18"/>
      <c r="GH689" s="18"/>
      <c r="GI689" s="18"/>
      <c r="GJ689" s="18"/>
      <c r="GK689" s="18"/>
      <c r="GL689" s="18"/>
      <c r="GM689" s="18"/>
      <c r="GN689" s="18"/>
      <c r="GO689" s="18"/>
      <c r="GP689" s="18"/>
      <c r="GQ689" s="18"/>
      <c r="GR689" s="18"/>
      <c r="GS689" s="18"/>
      <c r="GT689" s="18"/>
      <c r="GU689" s="18"/>
      <c r="GV689" s="18"/>
      <c r="GW689" s="18"/>
      <c r="GX689" s="18"/>
      <c r="GY689" s="18"/>
      <c r="GZ689" s="18"/>
      <c r="HA689" s="18"/>
      <c r="HB689" s="18"/>
      <c r="HC689" s="18"/>
      <c r="HD689" s="18"/>
      <c r="HE689" s="18"/>
      <c r="HF689" s="18"/>
      <c r="HG689" s="13"/>
      <c r="HH689" s="13"/>
      <c r="HI689" s="13"/>
      <c r="HJ689" s="13"/>
      <c r="HK689" s="13"/>
      <c r="HL689" s="13"/>
      <c r="HM689" s="13"/>
      <c r="HN689" s="13"/>
      <c r="HO689" s="13"/>
      <c r="HP689" s="13"/>
      <c r="HQ689" s="13"/>
      <c r="HR689" s="13"/>
      <c r="HS689" s="13"/>
      <c r="HT689" s="13"/>
      <c r="HU689" s="18"/>
      <c r="HV689" s="18"/>
      <c r="HW689" s="18"/>
      <c r="HX689" s="18"/>
      <c r="HY689" s="18"/>
      <c r="HZ689" s="18"/>
      <c r="IA689" s="18"/>
      <c r="IB689" s="18"/>
      <c r="IC689" s="18"/>
      <c r="ID689" s="18"/>
      <c r="IE689" s="18"/>
      <c r="IF689" s="18"/>
      <c r="IG689" s="18"/>
      <c r="IH689" s="18"/>
      <c r="II689" s="18"/>
      <c r="IJ689" s="18"/>
      <c r="IK689" s="18"/>
      <c r="IL689" s="18"/>
      <c r="IM689" s="18"/>
      <c r="IN689" s="18"/>
      <c r="IO689" s="18"/>
      <c r="IP689" s="18"/>
      <c r="IQ689" s="18"/>
      <c r="IR689" s="18"/>
      <c r="IS689" s="18"/>
      <c r="IT689" s="18"/>
      <c r="IU689" s="18"/>
      <c r="IV689" s="18"/>
      <c r="IW689" s="18"/>
      <c r="IX689" s="18"/>
      <c r="IY689" s="18"/>
      <c r="IZ689" s="18"/>
      <c r="JA689" s="18"/>
      <c r="JB689" s="18"/>
      <c r="JC689" s="18"/>
      <c r="JD689" s="18"/>
      <c r="JE689" s="18"/>
      <c r="JF689" s="18"/>
      <c r="JG689" s="18"/>
      <c r="JH689" s="18"/>
      <c r="JI689" s="18"/>
      <c r="JJ689" s="18"/>
      <c r="JK689" s="18"/>
      <c r="JL689" s="18"/>
      <c r="JM689" s="18"/>
      <c r="JN689" s="18"/>
      <c r="JO689" s="18"/>
      <c r="JP689" s="18"/>
      <c r="JQ689" s="18"/>
      <c r="JR689" s="18"/>
      <c r="JS689" s="18"/>
      <c r="JT689" s="18"/>
      <c r="JU689" s="18"/>
      <c r="JV689" s="18"/>
      <c r="JW689" s="18"/>
      <c r="JX689" s="18"/>
      <c r="JY689" s="18"/>
      <c r="JZ689" s="18"/>
      <c r="KA689" s="18"/>
      <c r="KB689" s="18"/>
      <c r="KC689" s="18"/>
      <c r="KD689" s="18"/>
      <c r="KE689" s="18"/>
      <c r="KF689" s="18"/>
      <c r="KG689" s="18"/>
      <c r="KH689" s="18"/>
      <c r="KI689" s="18"/>
      <c r="KJ689" s="18"/>
      <c r="KK689" s="18"/>
      <c r="KL689" s="18"/>
      <c r="KM689" s="18"/>
      <c r="KN689" s="18"/>
      <c r="KO689" s="18"/>
      <c r="KP689" s="18"/>
    </row>
    <row r="690" spans="1:302" ht="15" customHeight="1">
      <c r="A690" s="14"/>
      <c r="B690" s="14"/>
      <c r="F690" s="46"/>
      <c r="G690" s="23"/>
      <c r="H690" s="23"/>
      <c r="I690" s="23"/>
      <c r="J690" s="23"/>
      <c r="K690" s="14"/>
      <c r="L690" s="14"/>
      <c r="P690" s="14"/>
      <c r="AG690" s="44"/>
      <c r="AH690" s="44"/>
      <c r="AI690" s="45"/>
      <c r="AJ690" s="44"/>
      <c r="AK690" s="43"/>
      <c r="AS690" s="14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  <c r="EW690" s="18"/>
      <c r="EX690" s="18"/>
      <c r="EY690" s="18"/>
      <c r="EZ690" s="18"/>
      <c r="FA690" s="18"/>
      <c r="FB690" s="18"/>
      <c r="FC690" s="18"/>
      <c r="FD690" s="18"/>
      <c r="FE690" s="18"/>
      <c r="FF690" s="18"/>
      <c r="FG690" s="18"/>
      <c r="FH690" s="18"/>
      <c r="FI690" s="18"/>
      <c r="FJ690" s="18"/>
      <c r="FK690" s="18"/>
      <c r="FL690" s="18"/>
      <c r="FM690" s="18"/>
      <c r="FN690" s="18"/>
      <c r="FO690" s="18"/>
      <c r="FP690" s="18"/>
      <c r="FQ690" s="18"/>
      <c r="FR690" s="18"/>
      <c r="FS690" s="18"/>
      <c r="FT690" s="18"/>
      <c r="FU690" s="18"/>
      <c r="FV690" s="18"/>
      <c r="FW690" s="18"/>
      <c r="FX690" s="18"/>
      <c r="FY690" s="18"/>
      <c r="FZ690" s="18"/>
      <c r="GA690" s="18"/>
      <c r="GB690" s="18"/>
      <c r="GC690" s="18"/>
      <c r="GD690" s="18"/>
      <c r="GE690" s="18"/>
      <c r="GF690" s="18"/>
      <c r="GG690" s="18"/>
      <c r="GH690" s="18"/>
      <c r="GI690" s="18"/>
      <c r="GJ690" s="18"/>
      <c r="GK690" s="18"/>
      <c r="GL690" s="18"/>
      <c r="GM690" s="18"/>
      <c r="GN690" s="18"/>
      <c r="GO690" s="18"/>
      <c r="GP690" s="18"/>
      <c r="GQ690" s="18"/>
      <c r="GR690" s="18"/>
      <c r="GS690" s="18"/>
      <c r="GT690" s="18"/>
      <c r="GU690" s="18"/>
      <c r="GV690" s="18"/>
      <c r="GW690" s="18"/>
      <c r="GX690" s="18"/>
      <c r="GY690" s="18"/>
      <c r="GZ690" s="18"/>
      <c r="HA690" s="18"/>
      <c r="HB690" s="18"/>
      <c r="HC690" s="18"/>
      <c r="HD690" s="18"/>
      <c r="HE690" s="18"/>
      <c r="HF690" s="18"/>
      <c r="HG690" s="13"/>
      <c r="HH690" s="13"/>
      <c r="HI690" s="13"/>
      <c r="HJ690" s="13"/>
      <c r="HK690" s="13"/>
      <c r="HL690" s="13"/>
      <c r="HM690" s="13"/>
      <c r="HN690" s="13"/>
      <c r="HO690" s="13"/>
      <c r="HP690" s="13"/>
      <c r="HQ690" s="13"/>
      <c r="HR690" s="13"/>
      <c r="HS690" s="13"/>
      <c r="HT690" s="13"/>
      <c r="HU690" s="18"/>
      <c r="HV690" s="18"/>
      <c r="HW690" s="18"/>
      <c r="HX690" s="18"/>
      <c r="HY690" s="18"/>
      <c r="HZ690" s="18"/>
      <c r="IA690" s="18"/>
      <c r="IB690" s="18"/>
      <c r="IC690" s="18"/>
      <c r="ID690" s="18"/>
      <c r="IE690" s="18"/>
      <c r="IF690" s="18"/>
      <c r="IG690" s="18"/>
      <c r="IH690" s="18"/>
      <c r="II690" s="18"/>
      <c r="IJ690" s="18"/>
      <c r="IK690" s="18"/>
      <c r="IL690" s="18"/>
      <c r="IM690" s="18"/>
      <c r="IN690" s="18"/>
      <c r="IO690" s="18"/>
      <c r="IP690" s="18"/>
      <c r="IQ690" s="18"/>
      <c r="IR690" s="18"/>
      <c r="IS690" s="18"/>
      <c r="IT690" s="18"/>
      <c r="IU690" s="18"/>
      <c r="IV690" s="18"/>
      <c r="IW690" s="18"/>
      <c r="IX690" s="18"/>
      <c r="IY690" s="18"/>
      <c r="IZ690" s="18"/>
      <c r="JA690" s="18"/>
      <c r="JB690" s="18"/>
      <c r="JC690" s="18"/>
      <c r="JD690" s="18"/>
      <c r="JE690" s="18"/>
      <c r="JF690" s="18"/>
      <c r="JG690" s="18"/>
      <c r="JH690" s="18"/>
      <c r="JI690" s="18"/>
      <c r="JJ690" s="18"/>
      <c r="JK690" s="18"/>
      <c r="JL690" s="18"/>
      <c r="JM690" s="18"/>
      <c r="JN690" s="18"/>
      <c r="JO690" s="18"/>
      <c r="JP690" s="18"/>
      <c r="JQ690" s="18"/>
      <c r="JR690" s="18"/>
      <c r="JS690" s="18"/>
      <c r="JT690" s="18"/>
      <c r="JU690" s="18"/>
      <c r="JV690" s="18"/>
      <c r="JW690" s="18"/>
      <c r="JX690" s="18"/>
      <c r="JY690" s="18"/>
      <c r="JZ690" s="18"/>
      <c r="KA690" s="18"/>
      <c r="KB690" s="18"/>
      <c r="KC690" s="18"/>
      <c r="KD690" s="18"/>
      <c r="KE690" s="18"/>
      <c r="KF690" s="18"/>
      <c r="KG690" s="18"/>
      <c r="KH690" s="18"/>
      <c r="KI690" s="18"/>
      <c r="KJ690" s="18"/>
      <c r="KK690" s="18"/>
      <c r="KL690" s="18"/>
      <c r="KM690" s="18"/>
      <c r="KN690" s="18"/>
      <c r="KO690" s="18"/>
      <c r="KP690" s="18"/>
    </row>
    <row r="691" spans="1:302" ht="15" customHeight="1">
      <c r="A691" s="14"/>
      <c r="B691" s="14"/>
      <c r="F691" s="46"/>
      <c r="G691" s="23"/>
      <c r="H691" s="23"/>
      <c r="I691" s="23"/>
      <c r="J691" s="23"/>
      <c r="K691" s="14"/>
      <c r="L691" s="14"/>
      <c r="P691" s="14"/>
      <c r="AG691" s="44"/>
      <c r="AH691" s="44"/>
      <c r="AI691" s="45"/>
      <c r="AJ691" s="44"/>
      <c r="AK691" s="43"/>
      <c r="AS691" s="14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  <c r="FR691" s="18"/>
      <c r="FS691" s="18"/>
      <c r="FT691" s="18"/>
      <c r="FU691" s="18"/>
      <c r="FV691" s="18"/>
      <c r="FW691" s="18"/>
      <c r="FX691" s="18"/>
      <c r="FY691" s="18"/>
      <c r="FZ691" s="18"/>
      <c r="GA691" s="18"/>
      <c r="GB691" s="18"/>
      <c r="GC691" s="18"/>
      <c r="GD691" s="18"/>
      <c r="GE691" s="18"/>
      <c r="GF691" s="18"/>
      <c r="GG691" s="18"/>
      <c r="GH691" s="18"/>
      <c r="GI691" s="18"/>
      <c r="GJ691" s="18"/>
      <c r="GK691" s="18"/>
      <c r="GL691" s="18"/>
      <c r="GM691" s="18"/>
      <c r="GN691" s="18"/>
      <c r="GO691" s="18"/>
      <c r="GP691" s="18"/>
      <c r="GQ691" s="18"/>
      <c r="GR691" s="18"/>
      <c r="GS691" s="18"/>
      <c r="GT691" s="18"/>
      <c r="GU691" s="18"/>
      <c r="GV691" s="18"/>
      <c r="GW691" s="18"/>
      <c r="GX691" s="18"/>
      <c r="GY691" s="18"/>
      <c r="GZ691" s="18"/>
      <c r="HA691" s="18"/>
      <c r="HB691" s="18"/>
      <c r="HC691" s="18"/>
      <c r="HD691" s="18"/>
      <c r="HE691" s="18"/>
      <c r="HF691" s="18"/>
      <c r="HG691" s="13"/>
      <c r="HH691" s="13"/>
      <c r="HI691" s="13"/>
      <c r="HJ691" s="13"/>
      <c r="HK691" s="13"/>
      <c r="HL691" s="13"/>
      <c r="HM691" s="13"/>
      <c r="HN691" s="13"/>
      <c r="HO691" s="13"/>
      <c r="HP691" s="13"/>
      <c r="HQ691" s="13"/>
      <c r="HR691" s="13"/>
      <c r="HS691" s="13"/>
      <c r="HT691" s="13"/>
      <c r="HU691" s="18"/>
      <c r="HV691" s="18"/>
      <c r="HW691" s="18"/>
      <c r="HX691" s="18"/>
      <c r="HY691" s="18"/>
      <c r="HZ691" s="18"/>
      <c r="IA691" s="18"/>
      <c r="IB691" s="18"/>
      <c r="IC691" s="18"/>
      <c r="ID691" s="18"/>
      <c r="IE691" s="18"/>
      <c r="IF691" s="18"/>
      <c r="IG691" s="18"/>
      <c r="IH691" s="18"/>
      <c r="II691" s="18"/>
      <c r="IJ691" s="18"/>
      <c r="IK691" s="18"/>
      <c r="IL691" s="18"/>
      <c r="IM691" s="18"/>
      <c r="IN691" s="18"/>
      <c r="IO691" s="18"/>
      <c r="IP691" s="18"/>
      <c r="IQ691" s="18"/>
      <c r="IR691" s="18"/>
      <c r="IS691" s="18"/>
      <c r="IT691" s="18"/>
      <c r="IU691" s="18"/>
      <c r="IV691" s="18"/>
      <c r="IW691" s="18"/>
      <c r="IX691" s="18"/>
      <c r="IY691" s="18"/>
      <c r="IZ691" s="18"/>
      <c r="JA691" s="18"/>
      <c r="JB691" s="18"/>
      <c r="JC691" s="18"/>
      <c r="JD691" s="18"/>
      <c r="JE691" s="18"/>
      <c r="JF691" s="18"/>
      <c r="JG691" s="18"/>
      <c r="JH691" s="18"/>
      <c r="JI691" s="18"/>
      <c r="JJ691" s="18"/>
      <c r="JK691" s="18"/>
      <c r="JL691" s="18"/>
      <c r="JM691" s="18"/>
      <c r="JN691" s="18"/>
      <c r="JO691" s="18"/>
      <c r="JP691" s="18"/>
      <c r="JQ691" s="18"/>
      <c r="JR691" s="18"/>
      <c r="JS691" s="18"/>
      <c r="JT691" s="18"/>
      <c r="JU691" s="18"/>
      <c r="JV691" s="18"/>
      <c r="JW691" s="18"/>
      <c r="JX691" s="18"/>
      <c r="JY691" s="18"/>
      <c r="JZ691" s="18"/>
      <c r="KA691" s="18"/>
      <c r="KB691" s="18"/>
      <c r="KC691" s="18"/>
      <c r="KD691" s="18"/>
      <c r="KE691" s="18"/>
      <c r="KF691" s="18"/>
      <c r="KG691" s="18"/>
      <c r="KH691" s="18"/>
      <c r="KI691" s="18"/>
      <c r="KJ691" s="18"/>
      <c r="KK691" s="18"/>
      <c r="KL691" s="18"/>
      <c r="KM691" s="18"/>
      <c r="KN691" s="18"/>
      <c r="KO691" s="18"/>
      <c r="KP691" s="18"/>
    </row>
    <row r="692" spans="1:302" ht="15" customHeight="1">
      <c r="A692" s="14"/>
      <c r="B692" s="14"/>
      <c r="F692" s="46"/>
      <c r="G692" s="23"/>
      <c r="H692" s="23"/>
      <c r="I692" s="23"/>
      <c r="J692" s="23"/>
      <c r="K692" s="14"/>
      <c r="L692" s="14"/>
      <c r="P692" s="14"/>
      <c r="AG692" s="44"/>
      <c r="AH692" s="44"/>
      <c r="AI692" s="45"/>
      <c r="AJ692" s="44"/>
      <c r="AK692" s="43"/>
      <c r="AS692" s="14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  <c r="FC692" s="18"/>
      <c r="FD692" s="18"/>
      <c r="FE692" s="18"/>
      <c r="FF692" s="18"/>
      <c r="FG692" s="18"/>
      <c r="FH692" s="18"/>
      <c r="FI692" s="18"/>
      <c r="FJ692" s="18"/>
      <c r="FK692" s="18"/>
      <c r="FL692" s="18"/>
      <c r="FM692" s="18"/>
      <c r="FN692" s="18"/>
      <c r="FO692" s="18"/>
      <c r="FP692" s="18"/>
      <c r="FQ692" s="18"/>
      <c r="FR692" s="18"/>
      <c r="FS692" s="18"/>
      <c r="FT692" s="18"/>
      <c r="FU692" s="18"/>
      <c r="FV692" s="18"/>
      <c r="FW692" s="18"/>
      <c r="FX692" s="18"/>
      <c r="FY692" s="18"/>
      <c r="FZ692" s="18"/>
      <c r="GA692" s="18"/>
      <c r="GB692" s="18"/>
      <c r="GC692" s="18"/>
      <c r="GD692" s="18"/>
      <c r="GE692" s="18"/>
      <c r="GF692" s="18"/>
      <c r="GG692" s="18"/>
      <c r="GH692" s="18"/>
      <c r="GI692" s="18"/>
      <c r="GJ692" s="18"/>
      <c r="GK692" s="18"/>
      <c r="GL692" s="18"/>
      <c r="GM692" s="18"/>
      <c r="GN692" s="18"/>
      <c r="GO692" s="18"/>
      <c r="GP692" s="18"/>
      <c r="GQ692" s="18"/>
      <c r="GR692" s="18"/>
      <c r="GS692" s="18"/>
      <c r="GT692" s="18"/>
      <c r="GU692" s="18"/>
      <c r="GV692" s="18"/>
      <c r="GW692" s="18"/>
      <c r="GX692" s="18"/>
      <c r="GY692" s="18"/>
      <c r="GZ692" s="18"/>
      <c r="HA692" s="18"/>
      <c r="HB692" s="18"/>
      <c r="HC692" s="18"/>
      <c r="HD692" s="18"/>
      <c r="HE692" s="18"/>
      <c r="HF692" s="18"/>
      <c r="HG692" s="13"/>
      <c r="HH692" s="13"/>
      <c r="HI692" s="13"/>
      <c r="HJ692" s="13"/>
      <c r="HK692" s="13"/>
      <c r="HL692" s="13"/>
      <c r="HM692" s="13"/>
      <c r="HN692" s="13"/>
      <c r="HO692" s="13"/>
      <c r="HP692" s="13"/>
      <c r="HQ692" s="13"/>
      <c r="HR692" s="13"/>
      <c r="HS692" s="13"/>
      <c r="HT692" s="13"/>
      <c r="HU692" s="18"/>
      <c r="HV692" s="18"/>
      <c r="HW692" s="18"/>
      <c r="HX692" s="18"/>
      <c r="HY692" s="18"/>
      <c r="HZ692" s="18"/>
      <c r="IA692" s="18"/>
      <c r="IB692" s="18"/>
      <c r="IC692" s="18"/>
      <c r="ID692" s="18"/>
      <c r="IE692" s="18"/>
      <c r="IF692" s="18"/>
      <c r="IG692" s="18"/>
      <c r="IH692" s="18"/>
      <c r="II692" s="18"/>
      <c r="IJ692" s="18"/>
      <c r="IK692" s="18"/>
      <c r="IL692" s="18"/>
      <c r="IM692" s="18"/>
      <c r="IN692" s="18"/>
      <c r="IO692" s="18"/>
      <c r="IP692" s="18"/>
      <c r="IQ692" s="18"/>
      <c r="IR692" s="18"/>
      <c r="IS692" s="18"/>
      <c r="IT692" s="18"/>
      <c r="IU692" s="18"/>
      <c r="IV692" s="18"/>
      <c r="IW692" s="18"/>
      <c r="IX692" s="18"/>
      <c r="IY692" s="18"/>
      <c r="IZ692" s="18"/>
      <c r="JA692" s="18"/>
      <c r="JB692" s="18"/>
      <c r="JC692" s="18"/>
      <c r="JD692" s="18"/>
      <c r="JE692" s="18"/>
      <c r="JF692" s="18"/>
      <c r="JG692" s="18"/>
      <c r="JH692" s="18"/>
      <c r="JI692" s="18"/>
      <c r="JJ692" s="18"/>
      <c r="JK692" s="18"/>
      <c r="JL692" s="18"/>
      <c r="JM692" s="18"/>
      <c r="JN692" s="18"/>
      <c r="JO692" s="18"/>
      <c r="JP692" s="18"/>
      <c r="JQ692" s="18"/>
      <c r="JR692" s="18"/>
      <c r="JS692" s="18"/>
      <c r="JT692" s="18"/>
      <c r="JU692" s="18"/>
      <c r="JV692" s="18"/>
      <c r="JW692" s="18"/>
      <c r="JX692" s="18"/>
      <c r="JY692" s="18"/>
      <c r="JZ692" s="18"/>
      <c r="KA692" s="18"/>
      <c r="KB692" s="18"/>
      <c r="KC692" s="18"/>
      <c r="KD692" s="18"/>
      <c r="KE692" s="18"/>
      <c r="KF692" s="18"/>
      <c r="KG692" s="18"/>
      <c r="KH692" s="18"/>
      <c r="KI692" s="18"/>
      <c r="KJ692" s="18"/>
      <c r="KK692" s="18"/>
      <c r="KL692" s="18"/>
      <c r="KM692" s="18"/>
      <c r="KN692" s="18"/>
      <c r="KO692" s="18"/>
      <c r="KP692" s="18"/>
    </row>
    <row r="693" spans="1:302" ht="15" customHeight="1">
      <c r="A693" s="14"/>
      <c r="B693" s="14"/>
      <c r="F693" s="46"/>
      <c r="G693" s="23"/>
      <c r="H693" s="23"/>
      <c r="I693" s="23"/>
      <c r="J693" s="23"/>
      <c r="K693" s="14"/>
      <c r="L693" s="14"/>
      <c r="P693" s="14"/>
      <c r="AG693" s="44"/>
      <c r="AH693" s="44"/>
      <c r="AI693" s="45"/>
      <c r="AJ693" s="44"/>
      <c r="AK693" s="43"/>
      <c r="AS693" s="14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  <c r="FC693" s="18"/>
      <c r="FD693" s="18"/>
      <c r="FE693" s="18"/>
      <c r="FF693" s="18"/>
      <c r="FG693" s="18"/>
      <c r="FH693" s="18"/>
      <c r="FI693" s="18"/>
      <c r="FJ693" s="18"/>
      <c r="FK693" s="18"/>
      <c r="FL693" s="18"/>
      <c r="FM693" s="18"/>
      <c r="FN693" s="18"/>
      <c r="FO693" s="18"/>
      <c r="FP693" s="18"/>
      <c r="FQ693" s="18"/>
      <c r="FR693" s="18"/>
      <c r="FS693" s="18"/>
      <c r="FT693" s="18"/>
      <c r="FU693" s="18"/>
      <c r="FV693" s="18"/>
      <c r="FW693" s="18"/>
      <c r="FX693" s="18"/>
      <c r="FY693" s="18"/>
      <c r="FZ693" s="18"/>
      <c r="GA693" s="18"/>
      <c r="GB693" s="18"/>
      <c r="GC693" s="18"/>
      <c r="GD693" s="18"/>
      <c r="GE693" s="18"/>
      <c r="GF693" s="18"/>
      <c r="GG693" s="18"/>
      <c r="GH693" s="18"/>
      <c r="GI693" s="18"/>
      <c r="GJ693" s="18"/>
      <c r="GK693" s="18"/>
      <c r="GL693" s="18"/>
      <c r="GM693" s="18"/>
      <c r="GN693" s="18"/>
      <c r="GO693" s="18"/>
      <c r="GP693" s="18"/>
      <c r="GQ693" s="18"/>
      <c r="GR693" s="18"/>
      <c r="GS693" s="18"/>
      <c r="GT693" s="18"/>
      <c r="GU693" s="18"/>
      <c r="GV693" s="18"/>
      <c r="GW693" s="18"/>
      <c r="GX693" s="18"/>
      <c r="GY693" s="18"/>
      <c r="GZ693" s="18"/>
      <c r="HA693" s="18"/>
      <c r="HB693" s="18"/>
      <c r="HC693" s="18"/>
      <c r="HD693" s="18"/>
      <c r="HE693" s="18"/>
      <c r="HF693" s="18"/>
      <c r="HG693" s="13"/>
      <c r="HH693" s="13"/>
      <c r="HI693" s="13"/>
      <c r="HJ693" s="13"/>
      <c r="HK693" s="13"/>
      <c r="HL693" s="13"/>
      <c r="HM693" s="13"/>
      <c r="HN693" s="13"/>
      <c r="HO693" s="13"/>
      <c r="HP693" s="13"/>
      <c r="HQ693" s="13"/>
      <c r="HR693" s="13"/>
      <c r="HS693" s="13"/>
      <c r="HT693" s="13"/>
      <c r="HU693" s="18"/>
      <c r="HV693" s="18"/>
      <c r="HW693" s="18"/>
      <c r="HX693" s="18"/>
      <c r="HY693" s="18"/>
      <c r="HZ693" s="18"/>
      <c r="IA693" s="18"/>
      <c r="IB693" s="18"/>
      <c r="IC693" s="18"/>
      <c r="ID693" s="18"/>
      <c r="IE693" s="18"/>
      <c r="IF693" s="18"/>
      <c r="IG693" s="18"/>
      <c r="IH693" s="18"/>
      <c r="II693" s="18"/>
      <c r="IJ693" s="18"/>
      <c r="IK693" s="18"/>
      <c r="IL693" s="18"/>
      <c r="IM693" s="18"/>
      <c r="IN693" s="18"/>
      <c r="IO693" s="18"/>
      <c r="IP693" s="18"/>
      <c r="IQ693" s="18"/>
      <c r="IR693" s="18"/>
      <c r="IS693" s="18"/>
      <c r="IT693" s="18"/>
      <c r="IU693" s="18"/>
      <c r="IV693" s="18"/>
      <c r="IW693" s="18"/>
      <c r="IX693" s="18"/>
      <c r="IY693" s="18"/>
      <c r="IZ693" s="18"/>
      <c r="JA693" s="18"/>
      <c r="JB693" s="18"/>
      <c r="JC693" s="18"/>
      <c r="JD693" s="18"/>
      <c r="JE693" s="18"/>
      <c r="JF693" s="18"/>
      <c r="JG693" s="18"/>
      <c r="JH693" s="18"/>
      <c r="JI693" s="18"/>
      <c r="JJ693" s="18"/>
      <c r="JK693" s="18"/>
      <c r="JL693" s="18"/>
      <c r="JM693" s="18"/>
      <c r="JN693" s="18"/>
      <c r="JO693" s="18"/>
      <c r="JP693" s="18"/>
      <c r="JQ693" s="18"/>
      <c r="JR693" s="18"/>
      <c r="JS693" s="18"/>
      <c r="JT693" s="18"/>
      <c r="JU693" s="18"/>
      <c r="JV693" s="18"/>
      <c r="JW693" s="18"/>
      <c r="JX693" s="18"/>
      <c r="JY693" s="18"/>
      <c r="JZ693" s="18"/>
      <c r="KA693" s="18"/>
      <c r="KB693" s="18"/>
      <c r="KC693" s="18"/>
      <c r="KD693" s="18"/>
      <c r="KE693" s="18"/>
      <c r="KF693" s="18"/>
      <c r="KG693" s="18"/>
      <c r="KH693" s="18"/>
      <c r="KI693" s="18"/>
      <c r="KJ693" s="18"/>
      <c r="KK693" s="18"/>
      <c r="KL693" s="18"/>
      <c r="KM693" s="18"/>
      <c r="KN693" s="18"/>
      <c r="KO693" s="18"/>
      <c r="KP693" s="18"/>
    </row>
    <row r="694" spans="1:302" ht="15" customHeight="1">
      <c r="A694" s="14"/>
      <c r="B694" s="14"/>
      <c r="F694" s="46"/>
      <c r="G694" s="23"/>
      <c r="H694" s="23"/>
      <c r="I694" s="23"/>
      <c r="J694" s="23"/>
      <c r="K694" s="14"/>
      <c r="L694" s="14"/>
      <c r="P694" s="14"/>
      <c r="AG694" s="44"/>
      <c r="AH694" s="44"/>
      <c r="AI694" s="45"/>
      <c r="AJ694" s="44"/>
      <c r="AK694" s="43"/>
      <c r="AS694" s="14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  <c r="FR694" s="18"/>
      <c r="FS694" s="18"/>
      <c r="FT694" s="18"/>
      <c r="FU694" s="18"/>
      <c r="FV694" s="18"/>
      <c r="FW694" s="18"/>
      <c r="FX694" s="18"/>
      <c r="FY694" s="18"/>
      <c r="FZ694" s="18"/>
      <c r="GA694" s="18"/>
      <c r="GB694" s="18"/>
      <c r="GC694" s="18"/>
      <c r="GD694" s="18"/>
      <c r="GE694" s="18"/>
      <c r="GF694" s="18"/>
      <c r="GG694" s="18"/>
      <c r="GH694" s="18"/>
      <c r="GI694" s="18"/>
      <c r="GJ694" s="18"/>
      <c r="GK694" s="18"/>
      <c r="GL694" s="18"/>
      <c r="GM694" s="18"/>
      <c r="GN694" s="18"/>
      <c r="GO694" s="18"/>
      <c r="GP694" s="18"/>
      <c r="GQ694" s="18"/>
      <c r="GR694" s="18"/>
      <c r="GS694" s="18"/>
      <c r="GT694" s="18"/>
      <c r="GU694" s="18"/>
      <c r="GV694" s="18"/>
      <c r="GW694" s="18"/>
      <c r="GX694" s="18"/>
      <c r="GY694" s="18"/>
      <c r="GZ694" s="18"/>
      <c r="HA694" s="18"/>
      <c r="HB694" s="18"/>
      <c r="HC694" s="18"/>
      <c r="HD694" s="18"/>
      <c r="HE694" s="18"/>
      <c r="HF694" s="18"/>
      <c r="HG694" s="13"/>
      <c r="HH694" s="13"/>
      <c r="HI694" s="13"/>
      <c r="HJ694" s="13"/>
      <c r="HK694" s="13"/>
      <c r="HL694" s="13"/>
      <c r="HM694" s="13"/>
      <c r="HN694" s="13"/>
      <c r="HO694" s="13"/>
      <c r="HP694" s="13"/>
      <c r="HQ694" s="13"/>
      <c r="HR694" s="13"/>
      <c r="HS694" s="13"/>
      <c r="HT694" s="13"/>
      <c r="HU694" s="18"/>
      <c r="HV694" s="18"/>
      <c r="HW694" s="18"/>
      <c r="HX694" s="18"/>
      <c r="HY694" s="18"/>
      <c r="HZ694" s="18"/>
      <c r="IA694" s="18"/>
      <c r="IB694" s="18"/>
      <c r="IC694" s="18"/>
      <c r="ID694" s="18"/>
      <c r="IE694" s="18"/>
      <c r="IF694" s="18"/>
      <c r="IG694" s="18"/>
      <c r="IH694" s="18"/>
      <c r="II694" s="18"/>
      <c r="IJ694" s="18"/>
      <c r="IK694" s="18"/>
      <c r="IL694" s="18"/>
      <c r="IM694" s="18"/>
      <c r="IN694" s="18"/>
      <c r="IO694" s="18"/>
      <c r="IP694" s="18"/>
      <c r="IQ694" s="18"/>
      <c r="IR694" s="18"/>
      <c r="IS694" s="18"/>
      <c r="IT694" s="18"/>
      <c r="IU694" s="18"/>
      <c r="IV694" s="18"/>
      <c r="IW694" s="18"/>
      <c r="IX694" s="18"/>
      <c r="IY694" s="18"/>
      <c r="IZ694" s="18"/>
      <c r="JA694" s="18"/>
      <c r="JB694" s="18"/>
      <c r="JC694" s="18"/>
      <c r="JD694" s="18"/>
      <c r="JE694" s="18"/>
      <c r="JF694" s="18"/>
      <c r="JG694" s="18"/>
      <c r="JH694" s="18"/>
      <c r="JI694" s="18"/>
      <c r="JJ694" s="18"/>
      <c r="JK694" s="18"/>
      <c r="JL694" s="18"/>
      <c r="JM694" s="18"/>
      <c r="JN694" s="18"/>
      <c r="JO694" s="18"/>
      <c r="JP694" s="18"/>
      <c r="JQ694" s="18"/>
      <c r="JR694" s="18"/>
      <c r="JS694" s="18"/>
      <c r="JT694" s="18"/>
      <c r="JU694" s="18"/>
      <c r="JV694" s="18"/>
      <c r="JW694" s="18"/>
      <c r="JX694" s="18"/>
      <c r="JY694" s="18"/>
      <c r="JZ694" s="18"/>
      <c r="KA694" s="18"/>
      <c r="KB694" s="18"/>
      <c r="KC694" s="18"/>
      <c r="KD694" s="18"/>
      <c r="KE694" s="18"/>
      <c r="KF694" s="18"/>
      <c r="KG694" s="18"/>
      <c r="KH694" s="18"/>
      <c r="KI694" s="18"/>
      <c r="KJ694" s="18"/>
      <c r="KK694" s="18"/>
      <c r="KL694" s="18"/>
      <c r="KM694" s="18"/>
      <c r="KN694" s="18"/>
      <c r="KO694" s="18"/>
      <c r="KP694" s="18"/>
    </row>
    <row r="695" spans="1:302" ht="15" customHeight="1">
      <c r="A695" s="14"/>
      <c r="B695" s="14"/>
      <c r="F695" s="46"/>
      <c r="G695" s="23"/>
      <c r="H695" s="23"/>
      <c r="I695" s="23"/>
      <c r="J695" s="23"/>
      <c r="K695" s="14"/>
      <c r="L695" s="14"/>
      <c r="P695" s="14"/>
      <c r="AG695" s="44"/>
      <c r="AH695" s="44"/>
      <c r="AI695" s="45"/>
      <c r="AJ695" s="44"/>
      <c r="AK695" s="43"/>
      <c r="AS695" s="14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  <c r="FC695" s="18"/>
      <c r="FD695" s="18"/>
      <c r="FE695" s="18"/>
      <c r="FF695" s="18"/>
      <c r="FG695" s="18"/>
      <c r="FH695" s="18"/>
      <c r="FI695" s="18"/>
      <c r="FJ695" s="18"/>
      <c r="FK695" s="18"/>
      <c r="FL695" s="18"/>
      <c r="FM695" s="18"/>
      <c r="FN695" s="18"/>
      <c r="FO695" s="18"/>
      <c r="FP695" s="18"/>
      <c r="FQ695" s="18"/>
      <c r="FR695" s="18"/>
      <c r="FS695" s="18"/>
      <c r="FT695" s="18"/>
      <c r="FU695" s="18"/>
      <c r="FV695" s="18"/>
      <c r="FW695" s="18"/>
      <c r="FX695" s="18"/>
      <c r="FY695" s="18"/>
      <c r="FZ695" s="18"/>
      <c r="GA695" s="18"/>
      <c r="GB695" s="18"/>
      <c r="GC695" s="18"/>
      <c r="GD695" s="18"/>
      <c r="GE695" s="18"/>
      <c r="GF695" s="18"/>
      <c r="GG695" s="18"/>
      <c r="GH695" s="18"/>
      <c r="GI695" s="18"/>
      <c r="GJ695" s="18"/>
      <c r="GK695" s="18"/>
      <c r="GL695" s="18"/>
      <c r="GM695" s="18"/>
      <c r="GN695" s="18"/>
      <c r="GO695" s="18"/>
      <c r="GP695" s="18"/>
      <c r="GQ695" s="18"/>
      <c r="GR695" s="18"/>
      <c r="GS695" s="18"/>
      <c r="GT695" s="18"/>
      <c r="GU695" s="18"/>
      <c r="GV695" s="18"/>
      <c r="GW695" s="18"/>
      <c r="GX695" s="18"/>
      <c r="GY695" s="18"/>
      <c r="GZ695" s="18"/>
      <c r="HA695" s="18"/>
      <c r="HB695" s="18"/>
      <c r="HC695" s="18"/>
      <c r="HD695" s="18"/>
      <c r="HE695" s="18"/>
      <c r="HF695" s="18"/>
      <c r="HG695" s="13"/>
      <c r="HH695" s="13"/>
      <c r="HI695" s="13"/>
      <c r="HJ695" s="13"/>
      <c r="HK695" s="13"/>
      <c r="HL695" s="13"/>
      <c r="HM695" s="13"/>
      <c r="HN695" s="13"/>
      <c r="HO695" s="13"/>
      <c r="HP695" s="13"/>
      <c r="HQ695" s="13"/>
      <c r="HR695" s="13"/>
      <c r="HS695" s="13"/>
      <c r="HT695" s="13"/>
      <c r="HU695" s="18"/>
      <c r="HV695" s="18"/>
      <c r="HW695" s="18"/>
      <c r="HX695" s="18"/>
      <c r="HY695" s="18"/>
      <c r="HZ695" s="18"/>
      <c r="IA695" s="18"/>
      <c r="IB695" s="18"/>
      <c r="IC695" s="18"/>
      <c r="ID695" s="18"/>
      <c r="IE695" s="18"/>
      <c r="IF695" s="18"/>
      <c r="IG695" s="18"/>
      <c r="IH695" s="18"/>
      <c r="II695" s="18"/>
      <c r="IJ695" s="18"/>
      <c r="IK695" s="18"/>
      <c r="IL695" s="18"/>
      <c r="IM695" s="18"/>
      <c r="IN695" s="18"/>
      <c r="IO695" s="18"/>
      <c r="IP695" s="18"/>
      <c r="IQ695" s="18"/>
      <c r="IR695" s="18"/>
      <c r="IS695" s="18"/>
      <c r="IT695" s="18"/>
      <c r="IU695" s="18"/>
      <c r="IV695" s="18"/>
      <c r="IW695" s="18"/>
      <c r="IX695" s="18"/>
      <c r="IY695" s="18"/>
      <c r="IZ695" s="18"/>
      <c r="JA695" s="18"/>
      <c r="JB695" s="18"/>
      <c r="JC695" s="18"/>
      <c r="JD695" s="18"/>
      <c r="JE695" s="18"/>
      <c r="JF695" s="18"/>
      <c r="JG695" s="18"/>
      <c r="JH695" s="18"/>
      <c r="JI695" s="18"/>
      <c r="JJ695" s="18"/>
      <c r="JK695" s="18"/>
      <c r="JL695" s="18"/>
      <c r="JM695" s="18"/>
      <c r="JN695" s="18"/>
      <c r="JO695" s="18"/>
      <c r="JP695" s="18"/>
      <c r="JQ695" s="18"/>
      <c r="JR695" s="18"/>
      <c r="JS695" s="18"/>
      <c r="JT695" s="18"/>
      <c r="JU695" s="18"/>
      <c r="JV695" s="18"/>
      <c r="JW695" s="18"/>
      <c r="JX695" s="18"/>
      <c r="JY695" s="18"/>
      <c r="JZ695" s="18"/>
      <c r="KA695" s="18"/>
      <c r="KB695" s="18"/>
      <c r="KC695" s="18"/>
      <c r="KD695" s="18"/>
      <c r="KE695" s="18"/>
      <c r="KF695" s="18"/>
      <c r="KG695" s="18"/>
      <c r="KH695" s="18"/>
      <c r="KI695" s="18"/>
      <c r="KJ695" s="18"/>
      <c r="KK695" s="18"/>
      <c r="KL695" s="18"/>
      <c r="KM695" s="18"/>
      <c r="KN695" s="18"/>
      <c r="KO695" s="18"/>
      <c r="KP695" s="18"/>
    </row>
    <row r="696" spans="1:302" ht="15" customHeight="1">
      <c r="A696" s="14"/>
      <c r="B696" s="14"/>
      <c r="F696" s="46"/>
      <c r="G696" s="23"/>
      <c r="H696" s="23"/>
      <c r="I696" s="23"/>
      <c r="J696" s="23"/>
      <c r="K696" s="14"/>
      <c r="L696" s="14"/>
      <c r="P696" s="14"/>
      <c r="AG696" s="44"/>
      <c r="AH696" s="44"/>
      <c r="AI696" s="45"/>
      <c r="AJ696" s="44"/>
      <c r="AK696" s="43"/>
      <c r="AS696" s="14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  <c r="FC696" s="18"/>
      <c r="FD696" s="18"/>
      <c r="FE696" s="18"/>
      <c r="FF696" s="18"/>
      <c r="FG696" s="18"/>
      <c r="FH696" s="18"/>
      <c r="FI696" s="18"/>
      <c r="FJ696" s="18"/>
      <c r="FK696" s="18"/>
      <c r="FL696" s="18"/>
      <c r="FM696" s="18"/>
      <c r="FN696" s="18"/>
      <c r="FO696" s="18"/>
      <c r="FP696" s="18"/>
      <c r="FQ696" s="18"/>
      <c r="FR696" s="18"/>
      <c r="FS696" s="18"/>
      <c r="FT696" s="18"/>
      <c r="FU696" s="18"/>
      <c r="FV696" s="18"/>
      <c r="FW696" s="18"/>
      <c r="FX696" s="18"/>
      <c r="FY696" s="18"/>
      <c r="FZ696" s="18"/>
      <c r="GA696" s="18"/>
      <c r="GB696" s="18"/>
      <c r="GC696" s="18"/>
      <c r="GD696" s="18"/>
      <c r="GE696" s="18"/>
      <c r="GF696" s="18"/>
      <c r="GG696" s="18"/>
      <c r="GH696" s="18"/>
      <c r="GI696" s="18"/>
      <c r="GJ696" s="18"/>
      <c r="GK696" s="18"/>
      <c r="GL696" s="18"/>
      <c r="GM696" s="18"/>
      <c r="GN696" s="18"/>
      <c r="GO696" s="18"/>
      <c r="GP696" s="18"/>
      <c r="GQ696" s="18"/>
      <c r="GR696" s="18"/>
      <c r="GS696" s="18"/>
      <c r="GT696" s="18"/>
      <c r="GU696" s="18"/>
      <c r="GV696" s="18"/>
      <c r="GW696" s="18"/>
      <c r="GX696" s="18"/>
      <c r="GY696" s="18"/>
      <c r="GZ696" s="18"/>
      <c r="HA696" s="18"/>
      <c r="HB696" s="18"/>
      <c r="HC696" s="18"/>
      <c r="HD696" s="18"/>
      <c r="HE696" s="18"/>
      <c r="HF696" s="18"/>
      <c r="HG696" s="13"/>
      <c r="HH696" s="13"/>
      <c r="HI696" s="13"/>
      <c r="HJ696" s="13"/>
      <c r="HK696" s="13"/>
      <c r="HL696" s="13"/>
      <c r="HM696" s="13"/>
      <c r="HN696" s="13"/>
      <c r="HO696" s="13"/>
      <c r="HP696" s="13"/>
      <c r="HQ696" s="13"/>
      <c r="HR696" s="13"/>
      <c r="HS696" s="13"/>
      <c r="HT696" s="13"/>
      <c r="HU696" s="18"/>
      <c r="HV696" s="18"/>
      <c r="HW696" s="18"/>
      <c r="HX696" s="18"/>
      <c r="HY696" s="18"/>
      <c r="HZ696" s="18"/>
      <c r="IA696" s="18"/>
      <c r="IB696" s="18"/>
      <c r="IC696" s="18"/>
      <c r="ID696" s="18"/>
      <c r="IE696" s="18"/>
      <c r="IF696" s="18"/>
      <c r="IG696" s="18"/>
      <c r="IH696" s="18"/>
      <c r="II696" s="18"/>
      <c r="IJ696" s="18"/>
      <c r="IK696" s="18"/>
      <c r="IL696" s="18"/>
      <c r="IM696" s="18"/>
      <c r="IN696" s="18"/>
      <c r="IO696" s="18"/>
      <c r="IP696" s="18"/>
      <c r="IQ696" s="18"/>
      <c r="IR696" s="18"/>
      <c r="IS696" s="18"/>
      <c r="IT696" s="18"/>
      <c r="IU696" s="18"/>
      <c r="IV696" s="18"/>
      <c r="IW696" s="18"/>
      <c r="IX696" s="18"/>
      <c r="IY696" s="18"/>
      <c r="IZ696" s="18"/>
      <c r="JA696" s="18"/>
      <c r="JB696" s="18"/>
      <c r="JC696" s="18"/>
      <c r="JD696" s="18"/>
      <c r="JE696" s="18"/>
      <c r="JF696" s="18"/>
      <c r="JG696" s="18"/>
      <c r="JH696" s="18"/>
      <c r="JI696" s="18"/>
      <c r="JJ696" s="18"/>
      <c r="JK696" s="18"/>
      <c r="JL696" s="18"/>
      <c r="JM696" s="18"/>
      <c r="JN696" s="18"/>
      <c r="JO696" s="18"/>
      <c r="JP696" s="18"/>
      <c r="JQ696" s="18"/>
      <c r="JR696" s="18"/>
      <c r="JS696" s="18"/>
      <c r="JT696" s="18"/>
      <c r="JU696" s="18"/>
      <c r="JV696" s="18"/>
      <c r="JW696" s="18"/>
      <c r="JX696" s="18"/>
      <c r="JY696" s="18"/>
      <c r="JZ696" s="18"/>
      <c r="KA696" s="18"/>
      <c r="KB696" s="18"/>
      <c r="KC696" s="18"/>
      <c r="KD696" s="18"/>
      <c r="KE696" s="18"/>
      <c r="KF696" s="18"/>
      <c r="KG696" s="18"/>
      <c r="KH696" s="18"/>
      <c r="KI696" s="18"/>
      <c r="KJ696" s="18"/>
      <c r="KK696" s="18"/>
      <c r="KL696" s="18"/>
      <c r="KM696" s="18"/>
      <c r="KN696" s="18"/>
      <c r="KO696" s="18"/>
      <c r="KP696" s="18"/>
    </row>
    <row r="697" spans="1:302" ht="15" customHeight="1">
      <c r="A697" s="14"/>
      <c r="B697" s="14"/>
      <c r="F697" s="46"/>
      <c r="G697" s="23"/>
      <c r="H697" s="23"/>
      <c r="I697" s="23"/>
      <c r="J697" s="23"/>
      <c r="K697" s="14"/>
      <c r="L697" s="14"/>
      <c r="P697" s="14"/>
      <c r="AG697" s="44"/>
      <c r="AH697" s="44"/>
      <c r="AI697" s="45"/>
      <c r="AJ697" s="44"/>
      <c r="AK697" s="43"/>
      <c r="AS697" s="14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  <c r="FR697" s="18"/>
      <c r="FS697" s="18"/>
      <c r="FT697" s="18"/>
      <c r="FU697" s="18"/>
      <c r="FV697" s="18"/>
      <c r="FW697" s="18"/>
      <c r="FX697" s="18"/>
      <c r="FY697" s="18"/>
      <c r="FZ697" s="18"/>
      <c r="GA697" s="18"/>
      <c r="GB697" s="18"/>
      <c r="GC697" s="18"/>
      <c r="GD697" s="18"/>
      <c r="GE697" s="18"/>
      <c r="GF697" s="18"/>
      <c r="GG697" s="18"/>
      <c r="GH697" s="18"/>
      <c r="GI697" s="18"/>
      <c r="GJ697" s="18"/>
      <c r="GK697" s="18"/>
      <c r="GL697" s="18"/>
      <c r="GM697" s="18"/>
      <c r="GN697" s="18"/>
      <c r="GO697" s="18"/>
      <c r="GP697" s="18"/>
      <c r="GQ697" s="18"/>
      <c r="GR697" s="18"/>
      <c r="GS697" s="18"/>
      <c r="GT697" s="18"/>
      <c r="GU697" s="18"/>
      <c r="GV697" s="18"/>
      <c r="GW697" s="18"/>
      <c r="GX697" s="18"/>
      <c r="GY697" s="18"/>
      <c r="GZ697" s="18"/>
      <c r="HA697" s="18"/>
      <c r="HB697" s="18"/>
      <c r="HC697" s="18"/>
      <c r="HD697" s="18"/>
      <c r="HE697" s="18"/>
      <c r="HF697" s="18"/>
      <c r="HG697" s="13"/>
      <c r="HH697" s="13"/>
      <c r="HI697" s="13"/>
      <c r="HJ697" s="13"/>
      <c r="HK697" s="13"/>
      <c r="HL697" s="13"/>
      <c r="HM697" s="13"/>
      <c r="HN697" s="13"/>
      <c r="HO697" s="13"/>
      <c r="HP697" s="13"/>
      <c r="HQ697" s="13"/>
      <c r="HR697" s="13"/>
      <c r="HS697" s="13"/>
      <c r="HT697" s="13"/>
      <c r="HU697" s="18"/>
      <c r="HV697" s="18"/>
      <c r="HW697" s="18"/>
      <c r="HX697" s="18"/>
      <c r="HY697" s="18"/>
      <c r="HZ697" s="18"/>
      <c r="IA697" s="18"/>
      <c r="IB697" s="18"/>
      <c r="IC697" s="18"/>
      <c r="ID697" s="18"/>
      <c r="IE697" s="18"/>
      <c r="IF697" s="18"/>
      <c r="IG697" s="18"/>
      <c r="IH697" s="18"/>
      <c r="II697" s="18"/>
      <c r="IJ697" s="18"/>
      <c r="IK697" s="18"/>
      <c r="IL697" s="18"/>
      <c r="IM697" s="18"/>
      <c r="IN697" s="18"/>
      <c r="IO697" s="18"/>
      <c r="IP697" s="18"/>
      <c r="IQ697" s="18"/>
      <c r="IR697" s="18"/>
      <c r="IS697" s="18"/>
      <c r="IT697" s="18"/>
      <c r="IU697" s="18"/>
      <c r="IV697" s="18"/>
      <c r="IW697" s="18"/>
      <c r="IX697" s="18"/>
      <c r="IY697" s="18"/>
      <c r="IZ697" s="18"/>
      <c r="JA697" s="18"/>
      <c r="JB697" s="18"/>
      <c r="JC697" s="18"/>
      <c r="JD697" s="18"/>
      <c r="JE697" s="18"/>
      <c r="JF697" s="18"/>
      <c r="JG697" s="18"/>
      <c r="JH697" s="18"/>
      <c r="JI697" s="18"/>
      <c r="JJ697" s="18"/>
      <c r="JK697" s="18"/>
      <c r="JL697" s="18"/>
      <c r="JM697" s="18"/>
      <c r="JN697" s="18"/>
      <c r="JO697" s="18"/>
      <c r="JP697" s="18"/>
      <c r="JQ697" s="18"/>
      <c r="JR697" s="18"/>
      <c r="JS697" s="18"/>
      <c r="JT697" s="18"/>
      <c r="JU697" s="18"/>
      <c r="JV697" s="18"/>
      <c r="JW697" s="18"/>
      <c r="JX697" s="18"/>
      <c r="JY697" s="18"/>
      <c r="JZ697" s="18"/>
      <c r="KA697" s="18"/>
      <c r="KB697" s="18"/>
      <c r="KC697" s="18"/>
      <c r="KD697" s="18"/>
      <c r="KE697" s="18"/>
      <c r="KF697" s="18"/>
      <c r="KG697" s="18"/>
      <c r="KH697" s="18"/>
      <c r="KI697" s="18"/>
      <c r="KJ697" s="18"/>
      <c r="KK697" s="18"/>
      <c r="KL697" s="18"/>
      <c r="KM697" s="18"/>
      <c r="KN697" s="18"/>
      <c r="KO697" s="18"/>
      <c r="KP697" s="18"/>
    </row>
    <row r="698" spans="1:302" ht="15" customHeight="1">
      <c r="A698" s="14"/>
      <c r="B698" s="14"/>
      <c r="F698" s="46"/>
      <c r="G698" s="23"/>
      <c r="H698" s="23"/>
      <c r="I698" s="23"/>
      <c r="J698" s="23"/>
      <c r="K698" s="14"/>
      <c r="L698" s="14"/>
      <c r="P698" s="14"/>
      <c r="AG698" s="44"/>
      <c r="AH698" s="44"/>
      <c r="AI698" s="45"/>
      <c r="AJ698" s="44"/>
      <c r="AK698" s="43"/>
      <c r="AS698" s="14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  <c r="FR698" s="18"/>
      <c r="FS698" s="18"/>
      <c r="FT698" s="18"/>
      <c r="FU698" s="18"/>
      <c r="FV698" s="18"/>
      <c r="FW698" s="18"/>
      <c r="FX698" s="18"/>
      <c r="FY698" s="18"/>
      <c r="FZ698" s="18"/>
      <c r="GA698" s="18"/>
      <c r="GB698" s="18"/>
      <c r="GC698" s="18"/>
      <c r="GD698" s="18"/>
      <c r="GE698" s="18"/>
      <c r="GF698" s="18"/>
      <c r="GG698" s="18"/>
      <c r="GH698" s="18"/>
      <c r="GI698" s="18"/>
      <c r="GJ698" s="18"/>
      <c r="GK698" s="18"/>
      <c r="GL698" s="18"/>
      <c r="GM698" s="18"/>
      <c r="GN698" s="18"/>
      <c r="GO698" s="18"/>
      <c r="GP698" s="18"/>
      <c r="GQ698" s="18"/>
      <c r="GR698" s="18"/>
      <c r="GS698" s="18"/>
      <c r="GT698" s="18"/>
      <c r="GU698" s="18"/>
      <c r="GV698" s="18"/>
      <c r="GW698" s="18"/>
      <c r="GX698" s="18"/>
      <c r="GY698" s="18"/>
      <c r="GZ698" s="18"/>
      <c r="HA698" s="18"/>
      <c r="HB698" s="18"/>
      <c r="HC698" s="18"/>
      <c r="HD698" s="18"/>
      <c r="HE698" s="18"/>
      <c r="HF698" s="18"/>
      <c r="HG698" s="13"/>
      <c r="HH698" s="13"/>
      <c r="HI698" s="13"/>
      <c r="HJ698" s="13"/>
      <c r="HK698" s="13"/>
      <c r="HL698" s="13"/>
      <c r="HM698" s="13"/>
      <c r="HN698" s="13"/>
      <c r="HO698" s="13"/>
      <c r="HP698" s="13"/>
      <c r="HQ698" s="13"/>
      <c r="HR698" s="13"/>
      <c r="HS698" s="13"/>
      <c r="HT698" s="13"/>
      <c r="HU698" s="18"/>
      <c r="HV698" s="18"/>
      <c r="HW698" s="18"/>
      <c r="HX698" s="18"/>
      <c r="HY698" s="18"/>
      <c r="HZ698" s="18"/>
      <c r="IA698" s="18"/>
      <c r="IB698" s="18"/>
      <c r="IC698" s="18"/>
      <c r="ID698" s="18"/>
      <c r="IE698" s="18"/>
      <c r="IF698" s="18"/>
      <c r="IG698" s="18"/>
      <c r="IH698" s="18"/>
      <c r="II698" s="18"/>
      <c r="IJ698" s="18"/>
      <c r="IK698" s="18"/>
      <c r="IL698" s="18"/>
      <c r="IM698" s="18"/>
      <c r="IN698" s="18"/>
      <c r="IO698" s="18"/>
      <c r="IP698" s="18"/>
      <c r="IQ698" s="18"/>
      <c r="IR698" s="18"/>
      <c r="IS698" s="18"/>
      <c r="IT698" s="18"/>
      <c r="IU698" s="18"/>
      <c r="IV698" s="18"/>
      <c r="IW698" s="18"/>
      <c r="IX698" s="18"/>
      <c r="IY698" s="18"/>
      <c r="IZ698" s="18"/>
      <c r="JA698" s="18"/>
      <c r="JB698" s="18"/>
      <c r="JC698" s="18"/>
      <c r="JD698" s="18"/>
      <c r="JE698" s="18"/>
      <c r="JF698" s="18"/>
      <c r="JG698" s="18"/>
      <c r="JH698" s="18"/>
      <c r="JI698" s="18"/>
      <c r="JJ698" s="18"/>
      <c r="JK698" s="18"/>
      <c r="JL698" s="18"/>
      <c r="JM698" s="18"/>
      <c r="JN698" s="18"/>
      <c r="JO698" s="18"/>
      <c r="JP698" s="18"/>
      <c r="JQ698" s="18"/>
      <c r="JR698" s="18"/>
      <c r="JS698" s="18"/>
      <c r="JT698" s="18"/>
      <c r="JU698" s="18"/>
      <c r="JV698" s="18"/>
      <c r="JW698" s="18"/>
      <c r="JX698" s="18"/>
      <c r="JY698" s="18"/>
      <c r="JZ698" s="18"/>
      <c r="KA698" s="18"/>
      <c r="KB698" s="18"/>
      <c r="KC698" s="18"/>
      <c r="KD698" s="18"/>
      <c r="KE698" s="18"/>
      <c r="KF698" s="18"/>
      <c r="KG698" s="18"/>
      <c r="KH698" s="18"/>
      <c r="KI698" s="18"/>
      <c r="KJ698" s="18"/>
      <c r="KK698" s="18"/>
      <c r="KL698" s="18"/>
      <c r="KM698" s="18"/>
      <c r="KN698" s="18"/>
      <c r="KO698" s="18"/>
      <c r="KP698" s="18"/>
    </row>
    <row r="699" spans="1:302" ht="15" customHeight="1">
      <c r="A699" s="14"/>
      <c r="B699" s="14"/>
      <c r="F699" s="46"/>
      <c r="G699" s="23"/>
      <c r="H699" s="23"/>
      <c r="I699" s="23"/>
      <c r="J699" s="23"/>
      <c r="K699" s="14"/>
      <c r="L699" s="14"/>
      <c r="P699" s="14"/>
      <c r="AG699" s="44"/>
      <c r="AH699" s="44"/>
      <c r="AI699" s="45"/>
      <c r="AJ699" s="44"/>
      <c r="AK699" s="43"/>
      <c r="AS699" s="14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  <c r="FC699" s="18"/>
      <c r="FD699" s="18"/>
      <c r="FE699" s="18"/>
      <c r="FF699" s="18"/>
      <c r="FG699" s="18"/>
      <c r="FH699" s="18"/>
      <c r="FI699" s="18"/>
      <c r="FJ699" s="18"/>
      <c r="FK699" s="18"/>
      <c r="FL699" s="18"/>
      <c r="FM699" s="18"/>
      <c r="FN699" s="18"/>
      <c r="FO699" s="18"/>
      <c r="FP699" s="18"/>
      <c r="FQ699" s="18"/>
      <c r="FR699" s="18"/>
      <c r="FS699" s="18"/>
      <c r="FT699" s="18"/>
      <c r="FU699" s="18"/>
      <c r="FV699" s="18"/>
      <c r="FW699" s="18"/>
      <c r="FX699" s="18"/>
      <c r="FY699" s="18"/>
      <c r="FZ699" s="18"/>
      <c r="GA699" s="18"/>
      <c r="GB699" s="18"/>
      <c r="GC699" s="18"/>
      <c r="GD699" s="18"/>
      <c r="GE699" s="18"/>
      <c r="GF699" s="18"/>
      <c r="GG699" s="18"/>
      <c r="GH699" s="18"/>
      <c r="GI699" s="18"/>
      <c r="GJ699" s="18"/>
      <c r="GK699" s="18"/>
      <c r="GL699" s="18"/>
      <c r="GM699" s="18"/>
      <c r="GN699" s="18"/>
      <c r="GO699" s="18"/>
      <c r="GP699" s="18"/>
      <c r="GQ699" s="18"/>
      <c r="GR699" s="18"/>
      <c r="GS699" s="18"/>
      <c r="GT699" s="18"/>
      <c r="GU699" s="18"/>
      <c r="GV699" s="18"/>
      <c r="GW699" s="18"/>
      <c r="GX699" s="18"/>
      <c r="GY699" s="18"/>
      <c r="GZ699" s="18"/>
      <c r="HA699" s="18"/>
      <c r="HB699" s="18"/>
      <c r="HC699" s="18"/>
      <c r="HD699" s="18"/>
      <c r="HE699" s="18"/>
      <c r="HF699" s="18"/>
      <c r="HG699" s="13"/>
      <c r="HH699" s="13"/>
      <c r="HI699" s="13"/>
      <c r="HJ699" s="13"/>
      <c r="HK699" s="13"/>
      <c r="HL699" s="13"/>
      <c r="HM699" s="13"/>
      <c r="HN699" s="13"/>
      <c r="HO699" s="13"/>
      <c r="HP699" s="13"/>
      <c r="HQ699" s="13"/>
      <c r="HR699" s="13"/>
      <c r="HS699" s="13"/>
      <c r="HT699" s="13"/>
      <c r="HU699" s="18"/>
      <c r="HV699" s="18"/>
      <c r="HW699" s="18"/>
      <c r="HX699" s="18"/>
      <c r="HY699" s="18"/>
      <c r="HZ699" s="18"/>
      <c r="IA699" s="18"/>
      <c r="IB699" s="18"/>
      <c r="IC699" s="18"/>
      <c r="ID699" s="18"/>
      <c r="IE699" s="18"/>
      <c r="IF699" s="18"/>
      <c r="IG699" s="18"/>
      <c r="IH699" s="18"/>
      <c r="II699" s="18"/>
      <c r="IJ699" s="18"/>
      <c r="IK699" s="18"/>
      <c r="IL699" s="18"/>
      <c r="IM699" s="18"/>
      <c r="IN699" s="18"/>
      <c r="IO699" s="18"/>
      <c r="IP699" s="18"/>
      <c r="IQ699" s="18"/>
      <c r="IR699" s="18"/>
      <c r="IS699" s="18"/>
      <c r="IT699" s="18"/>
      <c r="IU699" s="18"/>
      <c r="IV699" s="18"/>
      <c r="IW699" s="18"/>
      <c r="IX699" s="18"/>
      <c r="IY699" s="18"/>
      <c r="IZ699" s="18"/>
      <c r="JA699" s="18"/>
      <c r="JB699" s="18"/>
      <c r="JC699" s="18"/>
      <c r="JD699" s="18"/>
      <c r="JE699" s="18"/>
      <c r="JF699" s="18"/>
      <c r="JG699" s="18"/>
      <c r="JH699" s="18"/>
      <c r="JI699" s="18"/>
      <c r="JJ699" s="18"/>
      <c r="JK699" s="18"/>
      <c r="JL699" s="18"/>
      <c r="JM699" s="18"/>
      <c r="JN699" s="18"/>
      <c r="JO699" s="18"/>
      <c r="JP699" s="18"/>
      <c r="JQ699" s="18"/>
      <c r="JR699" s="18"/>
      <c r="JS699" s="18"/>
      <c r="JT699" s="18"/>
      <c r="JU699" s="18"/>
      <c r="JV699" s="18"/>
      <c r="JW699" s="18"/>
      <c r="JX699" s="18"/>
      <c r="JY699" s="18"/>
      <c r="JZ699" s="18"/>
      <c r="KA699" s="18"/>
      <c r="KB699" s="18"/>
      <c r="KC699" s="18"/>
      <c r="KD699" s="18"/>
      <c r="KE699" s="18"/>
      <c r="KF699" s="18"/>
      <c r="KG699" s="18"/>
      <c r="KH699" s="18"/>
      <c r="KI699" s="18"/>
      <c r="KJ699" s="18"/>
      <c r="KK699" s="18"/>
      <c r="KL699" s="18"/>
      <c r="KM699" s="18"/>
      <c r="KN699" s="18"/>
      <c r="KO699" s="18"/>
      <c r="KP699" s="18"/>
    </row>
    <row r="700" spans="1:302" ht="15" customHeight="1">
      <c r="A700" s="14"/>
      <c r="B700" s="14"/>
      <c r="F700" s="46"/>
      <c r="G700" s="23"/>
      <c r="H700" s="23"/>
      <c r="I700" s="23"/>
      <c r="J700" s="23"/>
      <c r="K700" s="14"/>
      <c r="L700" s="14"/>
      <c r="P700" s="14"/>
      <c r="AG700" s="44"/>
      <c r="AH700" s="44"/>
      <c r="AI700" s="45"/>
      <c r="AJ700" s="44"/>
      <c r="AK700" s="43"/>
      <c r="AS700" s="14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  <c r="FR700" s="18"/>
      <c r="FS700" s="18"/>
      <c r="FT700" s="18"/>
      <c r="FU700" s="18"/>
      <c r="FV700" s="18"/>
      <c r="FW700" s="18"/>
      <c r="FX700" s="18"/>
      <c r="FY700" s="18"/>
      <c r="FZ700" s="18"/>
      <c r="GA700" s="18"/>
      <c r="GB700" s="18"/>
      <c r="GC700" s="18"/>
      <c r="GD700" s="18"/>
      <c r="GE700" s="18"/>
      <c r="GF700" s="18"/>
      <c r="GG700" s="18"/>
      <c r="GH700" s="18"/>
      <c r="GI700" s="18"/>
      <c r="GJ700" s="18"/>
      <c r="GK700" s="18"/>
      <c r="GL700" s="18"/>
      <c r="GM700" s="18"/>
      <c r="GN700" s="18"/>
      <c r="GO700" s="18"/>
      <c r="GP700" s="18"/>
      <c r="GQ700" s="18"/>
      <c r="GR700" s="18"/>
      <c r="GS700" s="18"/>
      <c r="GT700" s="18"/>
      <c r="GU700" s="18"/>
      <c r="GV700" s="18"/>
      <c r="GW700" s="18"/>
      <c r="GX700" s="18"/>
      <c r="GY700" s="18"/>
      <c r="GZ700" s="18"/>
      <c r="HA700" s="18"/>
      <c r="HB700" s="18"/>
      <c r="HC700" s="18"/>
      <c r="HD700" s="18"/>
      <c r="HE700" s="18"/>
      <c r="HF700" s="18"/>
      <c r="HG700" s="13"/>
      <c r="HH700" s="13"/>
      <c r="HI700" s="13"/>
      <c r="HJ700" s="13"/>
      <c r="HK700" s="13"/>
      <c r="HL700" s="13"/>
      <c r="HM700" s="13"/>
      <c r="HN700" s="13"/>
      <c r="HO700" s="13"/>
      <c r="HP700" s="13"/>
      <c r="HQ700" s="13"/>
      <c r="HR700" s="13"/>
      <c r="HS700" s="13"/>
      <c r="HT700" s="13"/>
      <c r="HU700" s="18"/>
      <c r="HV700" s="18"/>
      <c r="HW700" s="18"/>
      <c r="HX700" s="18"/>
      <c r="HY700" s="18"/>
      <c r="HZ700" s="18"/>
      <c r="IA700" s="18"/>
      <c r="IB700" s="18"/>
      <c r="IC700" s="18"/>
      <c r="ID700" s="18"/>
      <c r="IE700" s="18"/>
      <c r="IF700" s="18"/>
      <c r="IG700" s="18"/>
      <c r="IH700" s="18"/>
      <c r="II700" s="18"/>
      <c r="IJ700" s="18"/>
      <c r="IK700" s="18"/>
      <c r="IL700" s="18"/>
      <c r="IM700" s="18"/>
      <c r="IN700" s="18"/>
      <c r="IO700" s="18"/>
      <c r="IP700" s="18"/>
      <c r="IQ700" s="18"/>
      <c r="IR700" s="18"/>
      <c r="IS700" s="18"/>
      <c r="IT700" s="18"/>
      <c r="IU700" s="18"/>
      <c r="IV700" s="18"/>
      <c r="IW700" s="18"/>
      <c r="IX700" s="18"/>
      <c r="IY700" s="18"/>
      <c r="IZ700" s="18"/>
      <c r="JA700" s="18"/>
      <c r="JB700" s="18"/>
      <c r="JC700" s="18"/>
      <c r="JD700" s="18"/>
      <c r="JE700" s="18"/>
      <c r="JF700" s="18"/>
      <c r="JG700" s="18"/>
      <c r="JH700" s="18"/>
      <c r="JI700" s="18"/>
      <c r="JJ700" s="18"/>
      <c r="JK700" s="18"/>
      <c r="JL700" s="18"/>
      <c r="JM700" s="18"/>
      <c r="JN700" s="18"/>
      <c r="JO700" s="18"/>
      <c r="JP700" s="18"/>
      <c r="JQ700" s="18"/>
      <c r="JR700" s="18"/>
      <c r="JS700" s="18"/>
      <c r="JT700" s="18"/>
      <c r="JU700" s="18"/>
      <c r="JV700" s="18"/>
      <c r="JW700" s="18"/>
      <c r="JX700" s="18"/>
      <c r="JY700" s="18"/>
      <c r="JZ700" s="18"/>
      <c r="KA700" s="18"/>
      <c r="KB700" s="18"/>
      <c r="KC700" s="18"/>
      <c r="KD700" s="18"/>
      <c r="KE700" s="18"/>
      <c r="KF700" s="18"/>
      <c r="KG700" s="18"/>
      <c r="KH700" s="18"/>
      <c r="KI700" s="18"/>
      <c r="KJ700" s="18"/>
      <c r="KK700" s="18"/>
      <c r="KL700" s="18"/>
      <c r="KM700" s="18"/>
      <c r="KN700" s="18"/>
      <c r="KO700" s="18"/>
      <c r="KP700" s="18"/>
    </row>
    <row r="701" spans="1:302" ht="15" customHeight="1">
      <c r="A701" s="14"/>
      <c r="B701" s="14"/>
      <c r="F701" s="14"/>
      <c r="G701" s="23"/>
      <c r="H701" s="23"/>
      <c r="I701" s="23"/>
      <c r="J701" s="23"/>
      <c r="K701" s="14"/>
      <c r="L701" s="14"/>
      <c r="P701" s="14"/>
      <c r="AG701" s="44"/>
      <c r="AH701" s="44"/>
      <c r="AI701" s="45"/>
      <c r="AJ701" s="44"/>
      <c r="AK701" s="43"/>
      <c r="AS701" s="14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  <c r="FR701" s="18"/>
      <c r="FS701" s="18"/>
      <c r="FT701" s="18"/>
      <c r="FU701" s="18"/>
      <c r="FV701" s="18"/>
      <c r="FW701" s="18"/>
      <c r="FX701" s="18"/>
      <c r="FY701" s="18"/>
      <c r="FZ701" s="18"/>
      <c r="GA701" s="18"/>
      <c r="GB701" s="18"/>
      <c r="GC701" s="18"/>
      <c r="GD701" s="18"/>
      <c r="GE701" s="18"/>
      <c r="GF701" s="18"/>
      <c r="GG701" s="18"/>
      <c r="GH701" s="18"/>
      <c r="GI701" s="18"/>
      <c r="GJ701" s="18"/>
      <c r="GK701" s="18"/>
      <c r="GL701" s="18"/>
      <c r="GM701" s="18"/>
      <c r="GN701" s="18"/>
      <c r="GO701" s="18"/>
      <c r="GP701" s="18"/>
      <c r="GQ701" s="18"/>
      <c r="GR701" s="18"/>
      <c r="GS701" s="18"/>
      <c r="GT701" s="18"/>
      <c r="GU701" s="18"/>
      <c r="GV701" s="18"/>
      <c r="GW701" s="18"/>
      <c r="GX701" s="18"/>
      <c r="GY701" s="18"/>
      <c r="GZ701" s="18"/>
      <c r="HA701" s="18"/>
      <c r="HB701" s="18"/>
      <c r="HC701" s="18"/>
      <c r="HD701" s="18"/>
      <c r="HE701" s="18"/>
      <c r="HF701" s="18"/>
      <c r="HG701" s="13"/>
      <c r="HH701" s="13"/>
      <c r="HI701" s="13"/>
      <c r="HJ701" s="13"/>
      <c r="HK701" s="13"/>
      <c r="HL701" s="13"/>
      <c r="HM701" s="13"/>
      <c r="HN701" s="13"/>
      <c r="HO701" s="13"/>
      <c r="HP701" s="13"/>
      <c r="HQ701" s="13"/>
      <c r="HR701" s="13"/>
      <c r="HS701" s="13"/>
      <c r="HT701" s="13"/>
      <c r="HU701" s="18"/>
      <c r="HV701" s="18"/>
      <c r="HW701" s="18"/>
      <c r="HX701" s="18"/>
      <c r="HY701" s="18"/>
      <c r="HZ701" s="18"/>
      <c r="IA701" s="18"/>
      <c r="IB701" s="18"/>
      <c r="IC701" s="18"/>
      <c r="ID701" s="18"/>
      <c r="IE701" s="18"/>
      <c r="IF701" s="18"/>
      <c r="IG701" s="18"/>
      <c r="IH701" s="18"/>
      <c r="II701" s="18"/>
      <c r="IJ701" s="18"/>
      <c r="IK701" s="18"/>
      <c r="IL701" s="18"/>
      <c r="IM701" s="18"/>
      <c r="IN701" s="18"/>
      <c r="IO701" s="18"/>
      <c r="IP701" s="18"/>
      <c r="IQ701" s="18"/>
      <c r="IR701" s="18"/>
      <c r="IS701" s="18"/>
      <c r="IT701" s="18"/>
      <c r="IU701" s="18"/>
      <c r="IV701" s="18"/>
      <c r="IW701" s="18"/>
      <c r="IX701" s="18"/>
      <c r="IY701" s="18"/>
      <c r="IZ701" s="18"/>
      <c r="JA701" s="18"/>
      <c r="JB701" s="18"/>
      <c r="JC701" s="18"/>
      <c r="JD701" s="18"/>
      <c r="JE701" s="18"/>
      <c r="JF701" s="18"/>
      <c r="JG701" s="18"/>
      <c r="JH701" s="18"/>
      <c r="JI701" s="18"/>
      <c r="JJ701" s="18"/>
      <c r="JK701" s="18"/>
      <c r="JL701" s="18"/>
      <c r="JM701" s="18"/>
      <c r="JN701" s="18"/>
      <c r="JO701" s="18"/>
      <c r="JP701" s="18"/>
      <c r="JQ701" s="18"/>
      <c r="JR701" s="18"/>
      <c r="JS701" s="18"/>
      <c r="JT701" s="18"/>
      <c r="JU701" s="18"/>
      <c r="JV701" s="18"/>
      <c r="JW701" s="18"/>
      <c r="JX701" s="18"/>
      <c r="JY701" s="18"/>
      <c r="JZ701" s="18"/>
      <c r="KA701" s="18"/>
      <c r="KB701" s="18"/>
      <c r="KC701" s="18"/>
      <c r="KD701" s="18"/>
      <c r="KE701" s="18"/>
      <c r="KF701" s="18"/>
      <c r="KG701" s="18"/>
      <c r="KH701" s="18"/>
      <c r="KI701" s="18"/>
      <c r="KJ701" s="18"/>
      <c r="KK701" s="18"/>
      <c r="KL701" s="18"/>
      <c r="KM701" s="18"/>
      <c r="KN701" s="18"/>
      <c r="KO701" s="18"/>
      <c r="KP701" s="18"/>
    </row>
    <row r="702" spans="1:302" ht="15" customHeight="1">
      <c r="A702" s="14"/>
      <c r="B702" s="14"/>
      <c r="F702" s="14"/>
      <c r="G702" s="23"/>
      <c r="H702" s="23"/>
      <c r="I702" s="23"/>
      <c r="J702" s="23"/>
      <c r="K702" s="14"/>
      <c r="L702" s="14"/>
      <c r="P702" s="14"/>
      <c r="AG702" s="44"/>
      <c r="AH702" s="44"/>
      <c r="AI702" s="45"/>
      <c r="AJ702" s="44"/>
      <c r="AK702" s="43"/>
      <c r="AS702" s="14"/>
      <c r="AT702" s="18"/>
      <c r="AU702" s="18"/>
      <c r="AV702" s="18"/>
      <c r="AW702" s="18"/>
      <c r="AX702" s="18"/>
      <c r="AY702" s="18"/>
      <c r="AZ702" s="18"/>
      <c r="BA702" s="18"/>
      <c r="BB702" s="18"/>
      <c r="BC702" s="18"/>
      <c r="BD702" s="18"/>
      <c r="BE702" s="18"/>
      <c r="BF702" s="18"/>
      <c r="BG702" s="18"/>
      <c r="BH702" s="18"/>
      <c r="BI702" s="18"/>
      <c r="BJ702" s="18"/>
      <c r="BK702" s="18"/>
      <c r="BL702" s="18"/>
      <c r="BM702" s="18"/>
      <c r="BN702" s="18"/>
      <c r="BO702" s="18"/>
      <c r="BP702" s="18"/>
      <c r="BQ702" s="18"/>
      <c r="BR702" s="18"/>
      <c r="BS702" s="18"/>
      <c r="BT702" s="18"/>
      <c r="BU702" s="18"/>
      <c r="BV702" s="18"/>
      <c r="BW702" s="18"/>
      <c r="BX702" s="18"/>
      <c r="BY702" s="18"/>
      <c r="BZ702" s="18"/>
      <c r="CA702" s="18"/>
      <c r="CB702" s="18"/>
      <c r="CC702" s="18"/>
      <c r="CD702" s="18"/>
      <c r="CE702" s="18"/>
      <c r="CF702" s="18"/>
      <c r="CG702" s="18"/>
      <c r="CH702" s="18"/>
      <c r="CI702" s="18"/>
      <c r="CJ702" s="18"/>
      <c r="CK702" s="18"/>
      <c r="CL702" s="18"/>
      <c r="CM702" s="18"/>
      <c r="CN702" s="18"/>
      <c r="CO702" s="18"/>
      <c r="CP702" s="18"/>
      <c r="CQ702" s="18"/>
      <c r="CR702" s="18"/>
      <c r="CS702" s="18"/>
      <c r="CT702" s="18"/>
      <c r="CU702" s="18"/>
      <c r="CV702" s="18"/>
      <c r="CW702" s="18"/>
      <c r="CX702" s="18"/>
      <c r="CY702" s="18"/>
      <c r="CZ702" s="18"/>
      <c r="DA702" s="18"/>
      <c r="DB702" s="18"/>
      <c r="DC702" s="18"/>
      <c r="DD702" s="18"/>
      <c r="DE702" s="18"/>
      <c r="DF702" s="18"/>
      <c r="DG702" s="18"/>
      <c r="DH702" s="18"/>
      <c r="DI702" s="18"/>
      <c r="DJ702" s="18"/>
      <c r="DK702" s="18"/>
      <c r="DL702" s="18"/>
      <c r="DM702" s="18"/>
      <c r="DN702" s="18"/>
      <c r="DO702" s="18"/>
      <c r="DP702" s="18"/>
      <c r="DQ702" s="18"/>
      <c r="DR702" s="18"/>
      <c r="DS702" s="18"/>
      <c r="DT702" s="18"/>
      <c r="DU702" s="18"/>
      <c r="DV702" s="18"/>
      <c r="DW702" s="18"/>
      <c r="DX702" s="18"/>
      <c r="DY702" s="18"/>
      <c r="DZ702" s="18"/>
      <c r="EA702" s="18"/>
      <c r="EB702" s="18"/>
      <c r="EC702" s="18"/>
      <c r="ED702" s="18"/>
      <c r="EE702" s="18"/>
      <c r="EF702" s="18"/>
      <c r="EG702" s="18"/>
      <c r="EH702" s="18"/>
      <c r="EI702" s="18"/>
      <c r="EJ702" s="18"/>
      <c r="EK702" s="18"/>
      <c r="EL702" s="18"/>
      <c r="EM702" s="18"/>
      <c r="EN702" s="18"/>
      <c r="EO702" s="18"/>
      <c r="EP702" s="18"/>
      <c r="EQ702" s="18"/>
      <c r="ER702" s="18"/>
      <c r="ES702" s="18"/>
      <c r="ET702" s="18"/>
      <c r="EU702" s="18"/>
      <c r="EV702" s="18"/>
      <c r="EW702" s="18"/>
      <c r="EX702" s="18"/>
      <c r="EY702" s="18"/>
      <c r="EZ702" s="18"/>
      <c r="FA702" s="18"/>
      <c r="FB702" s="18"/>
      <c r="FC702" s="18"/>
      <c r="FD702" s="18"/>
      <c r="FE702" s="18"/>
      <c r="FF702" s="18"/>
      <c r="FG702" s="18"/>
      <c r="FH702" s="18"/>
      <c r="FI702" s="18"/>
      <c r="FJ702" s="18"/>
      <c r="FK702" s="18"/>
      <c r="FL702" s="18"/>
      <c r="FM702" s="18"/>
      <c r="FN702" s="18"/>
      <c r="FO702" s="18"/>
      <c r="FP702" s="18"/>
      <c r="FQ702" s="18"/>
      <c r="FR702" s="18"/>
      <c r="FS702" s="18"/>
      <c r="FT702" s="18"/>
      <c r="FU702" s="18"/>
      <c r="FV702" s="18"/>
      <c r="FW702" s="18"/>
      <c r="FX702" s="18"/>
      <c r="FY702" s="18"/>
      <c r="FZ702" s="18"/>
      <c r="GA702" s="18"/>
      <c r="GB702" s="18"/>
      <c r="GC702" s="18"/>
      <c r="GD702" s="18"/>
      <c r="GE702" s="18"/>
      <c r="GF702" s="18"/>
      <c r="GG702" s="18"/>
      <c r="GH702" s="18"/>
      <c r="GI702" s="18"/>
      <c r="GJ702" s="18"/>
      <c r="GK702" s="18"/>
      <c r="GL702" s="18"/>
      <c r="GM702" s="18"/>
      <c r="GN702" s="18"/>
      <c r="GO702" s="18"/>
      <c r="GP702" s="18"/>
      <c r="GQ702" s="18"/>
      <c r="GR702" s="18"/>
      <c r="GS702" s="18"/>
      <c r="GT702" s="18"/>
      <c r="GU702" s="18"/>
      <c r="GV702" s="18"/>
      <c r="GW702" s="18"/>
      <c r="GX702" s="18"/>
      <c r="GY702" s="18"/>
      <c r="GZ702" s="18"/>
      <c r="HA702" s="18"/>
      <c r="HB702" s="18"/>
      <c r="HC702" s="18"/>
      <c r="HD702" s="18"/>
      <c r="HE702" s="18"/>
      <c r="HF702" s="18"/>
      <c r="HG702" s="13"/>
      <c r="HH702" s="13"/>
      <c r="HI702" s="13"/>
      <c r="HJ702" s="13"/>
      <c r="HK702" s="13"/>
      <c r="HL702" s="13"/>
      <c r="HM702" s="13"/>
      <c r="HN702" s="13"/>
      <c r="HO702" s="13"/>
      <c r="HP702" s="13"/>
      <c r="HQ702" s="13"/>
      <c r="HR702" s="13"/>
      <c r="HS702" s="13"/>
      <c r="HT702" s="13"/>
      <c r="HU702" s="18"/>
      <c r="HV702" s="18"/>
      <c r="HW702" s="18"/>
      <c r="HX702" s="18"/>
      <c r="HY702" s="18"/>
      <c r="HZ702" s="18"/>
      <c r="IA702" s="18"/>
      <c r="IB702" s="18"/>
      <c r="IC702" s="18"/>
      <c r="ID702" s="18"/>
      <c r="IE702" s="18"/>
      <c r="IF702" s="18"/>
      <c r="IG702" s="18"/>
      <c r="IH702" s="18"/>
      <c r="II702" s="18"/>
      <c r="IJ702" s="18"/>
      <c r="IK702" s="18"/>
      <c r="IL702" s="18"/>
      <c r="IM702" s="18"/>
      <c r="IN702" s="18"/>
      <c r="IO702" s="18"/>
      <c r="IP702" s="18"/>
      <c r="IQ702" s="18"/>
      <c r="IR702" s="18"/>
      <c r="IS702" s="18"/>
      <c r="IT702" s="18"/>
      <c r="IU702" s="18"/>
      <c r="IV702" s="18"/>
      <c r="IW702" s="18"/>
      <c r="IX702" s="18"/>
      <c r="IY702" s="18"/>
      <c r="IZ702" s="18"/>
      <c r="JA702" s="18"/>
      <c r="JB702" s="18"/>
      <c r="JC702" s="18"/>
      <c r="JD702" s="18"/>
      <c r="JE702" s="18"/>
      <c r="JF702" s="18"/>
      <c r="JG702" s="18"/>
      <c r="JH702" s="18"/>
      <c r="JI702" s="18"/>
      <c r="JJ702" s="18"/>
      <c r="JK702" s="18"/>
      <c r="JL702" s="18"/>
      <c r="JM702" s="18"/>
      <c r="JN702" s="18"/>
      <c r="JO702" s="18"/>
      <c r="JP702" s="18"/>
      <c r="JQ702" s="18"/>
      <c r="JR702" s="18"/>
      <c r="JS702" s="18"/>
      <c r="JT702" s="18"/>
      <c r="JU702" s="18"/>
      <c r="JV702" s="18"/>
      <c r="JW702" s="18"/>
      <c r="JX702" s="18"/>
      <c r="JY702" s="18"/>
      <c r="JZ702" s="18"/>
      <c r="KA702" s="18"/>
      <c r="KB702" s="18"/>
      <c r="KC702" s="18"/>
      <c r="KD702" s="18"/>
      <c r="KE702" s="18"/>
      <c r="KF702" s="18"/>
      <c r="KG702" s="18"/>
      <c r="KH702" s="18"/>
      <c r="KI702" s="18"/>
      <c r="KJ702" s="18"/>
      <c r="KK702" s="18"/>
      <c r="KL702" s="18"/>
      <c r="KM702" s="18"/>
      <c r="KN702" s="18"/>
      <c r="KO702" s="18"/>
      <c r="KP702" s="18"/>
    </row>
    <row r="703" spans="1:302" ht="15" customHeight="1">
      <c r="A703" s="14"/>
      <c r="B703" s="14"/>
      <c r="F703" s="14"/>
      <c r="G703" s="23"/>
      <c r="H703" s="23"/>
      <c r="I703" s="23"/>
      <c r="J703" s="23"/>
      <c r="K703" s="14"/>
      <c r="L703" s="14"/>
      <c r="P703" s="14"/>
      <c r="AG703" s="44"/>
      <c r="AH703" s="44"/>
      <c r="AI703" s="45"/>
      <c r="AJ703" s="44"/>
      <c r="AK703" s="43"/>
      <c r="AS703" s="14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  <c r="EW703" s="18"/>
      <c r="EX703" s="18"/>
      <c r="EY703" s="18"/>
      <c r="EZ703" s="18"/>
      <c r="FA703" s="18"/>
      <c r="FB703" s="18"/>
      <c r="FC703" s="18"/>
      <c r="FD703" s="18"/>
      <c r="FE703" s="18"/>
      <c r="FF703" s="18"/>
      <c r="FG703" s="18"/>
      <c r="FH703" s="18"/>
      <c r="FI703" s="18"/>
      <c r="FJ703" s="18"/>
      <c r="FK703" s="18"/>
      <c r="FL703" s="18"/>
      <c r="FM703" s="18"/>
      <c r="FN703" s="18"/>
      <c r="FO703" s="18"/>
      <c r="FP703" s="18"/>
      <c r="FQ703" s="18"/>
      <c r="FR703" s="18"/>
      <c r="FS703" s="18"/>
      <c r="FT703" s="18"/>
      <c r="FU703" s="18"/>
      <c r="FV703" s="18"/>
      <c r="FW703" s="18"/>
      <c r="FX703" s="18"/>
      <c r="FY703" s="18"/>
      <c r="FZ703" s="18"/>
      <c r="GA703" s="18"/>
      <c r="GB703" s="18"/>
      <c r="GC703" s="18"/>
      <c r="GD703" s="18"/>
      <c r="GE703" s="18"/>
      <c r="GF703" s="18"/>
      <c r="GG703" s="18"/>
      <c r="GH703" s="18"/>
      <c r="GI703" s="18"/>
      <c r="GJ703" s="18"/>
      <c r="GK703" s="18"/>
      <c r="GL703" s="18"/>
      <c r="GM703" s="18"/>
      <c r="GN703" s="18"/>
      <c r="GO703" s="18"/>
      <c r="GP703" s="18"/>
      <c r="GQ703" s="18"/>
      <c r="GR703" s="18"/>
      <c r="GS703" s="18"/>
      <c r="GT703" s="18"/>
      <c r="GU703" s="18"/>
      <c r="GV703" s="18"/>
      <c r="GW703" s="18"/>
      <c r="GX703" s="18"/>
      <c r="GY703" s="18"/>
      <c r="GZ703" s="18"/>
      <c r="HA703" s="18"/>
      <c r="HB703" s="18"/>
      <c r="HC703" s="18"/>
      <c r="HD703" s="18"/>
      <c r="HE703" s="18"/>
      <c r="HF703" s="18"/>
      <c r="HG703" s="13"/>
      <c r="HH703" s="13"/>
      <c r="HI703" s="13"/>
      <c r="HJ703" s="13"/>
      <c r="HK703" s="13"/>
      <c r="HL703" s="13"/>
      <c r="HM703" s="13"/>
      <c r="HN703" s="13"/>
      <c r="HO703" s="13"/>
      <c r="HP703" s="13"/>
      <c r="HQ703" s="13"/>
      <c r="HR703" s="13"/>
      <c r="HS703" s="13"/>
      <c r="HT703" s="13"/>
      <c r="HU703" s="18"/>
      <c r="HV703" s="18"/>
      <c r="HW703" s="18"/>
      <c r="HX703" s="18"/>
      <c r="HY703" s="18"/>
      <c r="HZ703" s="18"/>
      <c r="IA703" s="18"/>
      <c r="IB703" s="18"/>
      <c r="IC703" s="18"/>
      <c r="ID703" s="18"/>
      <c r="IE703" s="18"/>
      <c r="IF703" s="18"/>
      <c r="IG703" s="18"/>
      <c r="IH703" s="18"/>
      <c r="II703" s="18"/>
      <c r="IJ703" s="18"/>
      <c r="IK703" s="18"/>
      <c r="IL703" s="18"/>
      <c r="IM703" s="18"/>
      <c r="IN703" s="18"/>
      <c r="IO703" s="18"/>
      <c r="IP703" s="18"/>
      <c r="IQ703" s="18"/>
      <c r="IR703" s="18"/>
      <c r="IS703" s="18"/>
      <c r="IT703" s="18"/>
      <c r="IU703" s="18"/>
      <c r="IV703" s="18"/>
      <c r="IW703" s="18"/>
      <c r="IX703" s="18"/>
      <c r="IY703" s="18"/>
      <c r="IZ703" s="18"/>
      <c r="JA703" s="18"/>
      <c r="JB703" s="18"/>
      <c r="JC703" s="18"/>
      <c r="JD703" s="18"/>
      <c r="JE703" s="18"/>
      <c r="JF703" s="18"/>
      <c r="JG703" s="18"/>
      <c r="JH703" s="18"/>
      <c r="JI703" s="18"/>
      <c r="JJ703" s="18"/>
      <c r="JK703" s="18"/>
      <c r="JL703" s="18"/>
      <c r="JM703" s="18"/>
      <c r="JN703" s="18"/>
      <c r="JO703" s="18"/>
      <c r="JP703" s="18"/>
      <c r="JQ703" s="18"/>
      <c r="JR703" s="18"/>
      <c r="JS703" s="18"/>
      <c r="JT703" s="18"/>
      <c r="JU703" s="18"/>
      <c r="JV703" s="18"/>
      <c r="JW703" s="18"/>
      <c r="JX703" s="18"/>
      <c r="JY703" s="18"/>
      <c r="JZ703" s="18"/>
      <c r="KA703" s="18"/>
      <c r="KB703" s="18"/>
      <c r="KC703" s="18"/>
      <c r="KD703" s="18"/>
      <c r="KE703" s="18"/>
      <c r="KF703" s="18"/>
      <c r="KG703" s="18"/>
      <c r="KH703" s="18"/>
      <c r="KI703" s="18"/>
      <c r="KJ703" s="18"/>
      <c r="KK703" s="18"/>
      <c r="KL703" s="18"/>
      <c r="KM703" s="18"/>
      <c r="KN703" s="18"/>
      <c r="KO703" s="18"/>
      <c r="KP703" s="18"/>
    </row>
    <row r="704" spans="1:302" ht="15" customHeight="1">
      <c r="A704" s="14"/>
      <c r="B704" s="14"/>
      <c r="F704" s="14"/>
      <c r="G704" s="23"/>
      <c r="H704" s="23"/>
      <c r="I704" s="23"/>
      <c r="J704" s="23"/>
      <c r="K704" s="14"/>
      <c r="L704" s="14"/>
      <c r="P704" s="14"/>
      <c r="AG704" s="44"/>
      <c r="AH704" s="44"/>
      <c r="AI704" s="45"/>
      <c r="AJ704" s="44"/>
      <c r="AK704" s="43"/>
      <c r="AS704" s="14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  <c r="FC704" s="18"/>
      <c r="FD704" s="18"/>
      <c r="FE704" s="18"/>
      <c r="FF704" s="18"/>
      <c r="FG704" s="18"/>
      <c r="FH704" s="18"/>
      <c r="FI704" s="18"/>
      <c r="FJ704" s="18"/>
      <c r="FK704" s="18"/>
      <c r="FL704" s="18"/>
      <c r="FM704" s="18"/>
      <c r="FN704" s="18"/>
      <c r="FO704" s="18"/>
      <c r="FP704" s="18"/>
      <c r="FQ704" s="18"/>
      <c r="FR704" s="18"/>
      <c r="FS704" s="18"/>
      <c r="FT704" s="18"/>
      <c r="FU704" s="18"/>
      <c r="FV704" s="18"/>
      <c r="FW704" s="18"/>
      <c r="FX704" s="18"/>
      <c r="FY704" s="18"/>
      <c r="FZ704" s="18"/>
      <c r="GA704" s="18"/>
      <c r="GB704" s="18"/>
      <c r="GC704" s="18"/>
      <c r="GD704" s="18"/>
      <c r="GE704" s="18"/>
      <c r="GF704" s="18"/>
      <c r="GG704" s="18"/>
      <c r="GH704" s="18"/>
      <c r="GI704" s="18"/>
      <c r="GJ704" s="18"/>
      <c r="GK704" s="18"/>
      <c r="GL704" s="18"/>
      <c r="GM704" s="18"/>
      <c r="GN704" s="18"/>
      <c r="GO704" s="18"/>
      <c r="GP704" s="18"/>
      <c r="GQ704" s="18"/>
      <c r="GR704" s="18"/>
      <c r="GS704" s="18"/>
      <c r="GT704" s="18"/>
      <c r="GU704" s="18"/>
      <c r="GV704" s="18"/>
      <c r="GW704" s="18"/>
      <c r="GX704" s="18"/>
      <c r="GY704" s="18"/>
      <c r="GZ704" s="18"/>
      <c r="HA704" s="18"/>
      <c r="HB704" s="18"/>
      <c r="HC704" s="18"/>
      <c r="HD704" s="18"/>
      <c r="HE704" s="18"/>
      <c r="HF704" s="18"/>
      <c r="HG704" s="13"/>
      <c r="HH704" s="13"/>
      <c r="HI704" s="13"/>
      <c r="HJ704" s="13"/>
      <c r="HK704" s="13"/>
      <c r="HL704" s="13"/>
      <c r="HM704" s="13"/>
      <c r="HN704" s="13"/>
      <c r="HO704" s="13"/>
      <c r="HP704" s="13"/>
      <c r="HQ704" s="13"/>
      <c r="HR704" s="13"/>
      <c r="HS704" s="13"/>
      <c r="HT704" s="13"/>
      <c r="HU704" s="18"/>
      <c r="HV704" s="18"/>
      <c r="HW704" s="18"/>
      <c r="HX704" s="18"/>
      <c r="HY704" s="18"/>
      <c r="HZ704" s="18"/>
      <c r="IA704" s="18"/>
      <c r="IB704" s="18"/>
      <c r="IC704" s="18"/>
      <c r="ID704" s="18"/>
      <c r="IE704" s="18"/>
      <c r="IF704" s="18"/>
      <c r="IG704" s="18"/>
      <c r="IH704" s="18"/>
      <c r="II704" s="18"/>
      <c r="IJ704" s="18"/>
      <c r="IK704" s="18"/>
      <c r="IL704" s="18"/>
      <c r="IM704" s="18"/>
      <c r="IN704" s="18"/>
      <c r="IO704" s="18"/>
      <c r="IP704" s="18"/>
      <c r="IQ704" s="18"/>
      <c r="IR704" s="18"/>
      <c r="IS704" s="18"/>
      <c r="IT704" s="18"/>
      <c r="IU704" s="18"/>
      <c r="IV704" s="18"/>
      <c r="IW704" s="18"/>
      <c r="IX704" s="18"/>
      <c r="IY704" s="18"/>
      <c r="IZ704" s="18"/>
      <c r="JA704" s="18"/>
      <c r="JB704" s="18"/>
      <c r="JC704" s="18"/>
      <c r="JD704" s="18"/>
      <c r="JE704" s="18"/>
      <c r="JF704" s="18"/>
      <c r="JG704" s="18"/>
      <c r="JH704" s="18"/>
      <c r="JI704" s="18"/>
      <c r="JJ704" s="18"/>
      <c r="JK704" s="18"/>
      <c r="JL704" s="18"/>
      <c r="JM704" s="18"/>
      <c r="JN704" s="18"/>
      <c r="JO704" s="18"/>
      <c r="JP704" s="18"/>
      <c r="JQ704" s="18"/>
      <c r="JR704" s="18"/>
      <c r="JS704" s="18"/>
      <c r="JT704" s="18"/>
      <c r="JU704" s="18"/>
      <c r="JV704" s="18"/>
      <c r="JW704" s="18"/>
      <c r="JX704" s="18"/>
      <c r="JY704" s="18"/>
      <c r="JZ704" s="18"/>
      <c r="KA704" s="18"/>
      <c r="KB704" s="18"/>
      <c r="KC704" s="18"/>
      <c r="KD704" s="18"/>
      <c r="KE704" s="18"/>
      <c r="KF704" s="18"/>
      <c r="KG704" s="18"/>
      <c r="KH704" s="18"/>
      <c r="KI704" s="18"/>
      <c r="KJ704" s="18"/>
      <c r="KK704" s="18"/>
      <c r="KL704" s="18"/>
      <c r="KM704" s="18"/>
      <c r="KN704" s="18"/>
      <c r="KO704" s="18"/>
      <c r="KP704" s="18"/>
    </row>
    <row r="705" spans="1:302" ht="15" customHeight="1">
      <c r="A705" s="14"/>
      <c r="B705" s="14"/>
      <c r="F705" s="14"/>
      <c r="G705" s="23"/>
      <c r="H705" s="23"/>
      <c r="I705" s="23"/>
      <c r="J705" s="23"/>
      <c r="K705" s="14"/>
      <c r="L705" s="14"/>
      <c r="P705" s="14"/>
      <c r="AG705" s="44"/>
      <c r="AH705" s="44"/>
      <c r="AI705" s="45"/>
      <c r="AJ705" s="44"/>
      <c r="AK705" s="43"/>
      <c r="AS705" s="14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  <c r="FC705" s="18"/>
      <c r="FD705" s="18"/>
      <c r="FE705" s="18"/>
      <c r="FF705" s="18"/>
      <c r="FG705" s="18"/>
      <c r="FH705" s="18"/>
      <c r="FI705" s="18"/>
      <c r="FJ705" s="18"/>
      <c r="FK705" s="18"/>
      <c r="FL705" s="18"/>
      <c r="FM705" s="18"/>
      <c r="FN705" s="18"/>
      <c r="FO705" s="18"/>
      <c r="FP705" s="18"/>
      <c r="FQ705" s="18"/>
      <c r="FR705" s="18"/>
      <c r="FS705" s="18"/>
      <c r="FT705" s="18"/>
      <c r="FU705" s="18"/>
      <c r="FV705" s="18"/>
      <c r="FW705" s="18"/>
      <c r="FX705" s="18"/>
      <c r="FY705" s="18"/>
      <c r="FZ705" s="18"/>
      <c r="GA705" s="18"/>
      <c r="GB705" s="18"/>
      <c r="GC705" s="18"/>
      <c r="GD705" s="18"/>
      <c r="GE705" s="18"/>
      <c r="GF705" s="18"/>
      <c r="GG705" s="18"/>
      <c r="GH705" s="18"/>
      <c r="GI705" s="18"/>
      <c r="GJ705" s="18"/>
      <c r="GK705" s="18"/>
      <c r="GL705" s="18"/>
      <c r="GM705" s="18"/>
      <c r="GN705" s="18"/>
      <c r="GO705" s="18"/>
      <c r="GP705" s="18"/>
      <c r="GQ705" s="18"/>
      <c r="GR705" s="18"/>
      <c r="GS705" s="18"/>
      <c r="GT705" s="18"/>
      <c r="GU705" s="18"/>
      <c r="GV705" s="18"/>
      <c r="GW705" s="18"/>
      <c r="GX705" s="18"/>
      <c r="GY705" s="18"/>
      <c r="GZ705" s="18"/>
      <c r="HA705" s="18"/>
      <c r="HB705" s="18"/>
      <c r="HC705" s="18"/>
      <c r="HD705" s="18"/>
      <c r="HE705" s="18"/>
      <c r="HF705" s="18"/>
      <c r="HG705" s="13"/>
      <c r="HH705" s="13"/>
      <c r="HI705" s="13"/>
      <c r="HJ705" s="13"/>
      <c r="HK705" s="13"/>
      <c r="HL705" s="13"/>
      <c r="HM705" s="13"/>
      <c r="HN705" s="13"/>
      <c r="HO705" s="13"/>
      <c r="HP705" s="13"/>
      <c r="HQ705" s="13"/>
      <c r="HR705" s="13"/>
      <c r="HS705" s="13"/>
      <c r="HT705" s="13"/>
      <c r="HU705" s="18"/>
      <c r="HV705" s="18"/>
      <c r="HW705" s="18"/>
      <c r="HX705" s="18"/>
      <c r="HY705" s="18"/>
      <c r="HZ705" s="18"/>
      <c r="IA705" s="18"/>
      <c r="IB705" s="18"/>
      <c r="IC705" s="18"/>
      <c r="ID705" s="18"/>
      <c r="IE705" s="18"/>
      <c r="IF705" s="18"/>
      <c r="IG705" s="18"/>
      <c r="IH705" s="18"/>
      <c r="II705" s="18"/>
      <c r="IJ705" s="18"/>
      <c r="IK705" s="18"/>
      <c r="IL705" s="18"/>
      <c r="IM705" s="18"/>
      <c r="IN705" s="18"/>
      <c r="IO705" s="18"/>
      <c r="IP705" s="18"/>
      <c r="IQ705" s="18"/>
      <c r="IR705" s="18"/>
      <c r="IS705" s="18"/>
      <c r="IT705" s="18"/>
      <c r="IU705" s="18"/>
      <c r="IV705" s="18"/>
      <c r="IW705" s="18"/>
      <c r="IX705" s="18"/>
      <c r="IY705" s="18"/>
      <c r="IZ705" s="18"/>
      <c r="JA705" s="18"/>
      <c r="JB705" s="18"/>
      <c r="JC705" s="18"/>
      <c r="JD705" s="18"/>
      <c r="JE705" s="18"/>
      <c r="JF705" s="18"/>
      <c r="JG705" s="18"/>
      <c r="JH705" s="18"/>
      <c r="JI705" s="18"/>
      <c r="JJ705" s="18"/>
      <c r="JK705" s="18"/>
      <c r="JL705" s="18"/>
      <c r="JM705" s="18"/>
      <c r="JN705" s="18"/>
      <c r="JO705" s="18"/>
      <c r="JP705" s="18"/>
      <c r="JQ705" s="18"/>
      <c r="JR705" s="18"/>
      <c r="JS705" s="18"/>
      <c r="JT705" s="18"/>
      <c r="JU705" s="18"/>
      <c r="JV705" s="18"/>
      <c r="JW705" s="18"/>
      <c r="JX705" s="18"/>
      <c r="JY705" s="18"/>
      <c r="JZ705" s="18"/>
      <c r="KA705" s="18"/>
      <c r="KB705" s="18"/>
      <c r="KC705" s="18"/>
      <c r="KD705" s="18"/>
      <c r="KE705" s="18"/>
      <c r="KF705" s="18"/>
      <c r="KG705" s="18"/>
      <c r="KH705" s="18"/>
      <c r="KI705" s="18"/>
      <c r="KJ705" s="18"/>
      <c r="KK705" s="18"/>
      <c r="KL705" s="18"/>
      <c r="KM705" s="18"/>
      <c r="KN705" s="18"/>
      <c r="KO705" s="18"/>
      <c r="KP705" s="18"/>
    </row>
    <row r="706" spans="1:302" ht="15" customHeight="1">
      <c r="A706" s="14"/>
      <c r="B706" s="14"/>
      <c r="F706" s="14"/>
      <c r="G706" s="23"/>
      <c r="H706" s="23"/>
      <c r="I706" s="23"/>
      <c r="J706" s="23"/>
      <c r="K706" s="14"/>
      <c r="L706" s="14"/>
      <c r="P706" s="14"/>
      <c r="AG706" s="44"/>
      <c r="AH706" s="44"/>
      <c r="AI706" s="45"/>
      <c r="AJ706" s="44"/>
      <c r="AK706" s="43"/>
      <c r="AS706" s="14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  <c r="FC706" s="18"/>
      <c r="FD706" s="18"/>
      <c r="FE706" s="18"/>
      <c r="FF706" s="18"/>
      <c r="FG706" s="18"/>
      <c r="FH706" s="18"/>
      <c r="FI706" s="18"/>
      <c r="FJ706" s="18"/>
      <c r="FK706" s="18"/>
      <c r="FL706" s="18"/>
      <c r="FM706" s="18"/>
      <c r="FN706" s="18"/>
      <c r="FO706" s="18"/>
      <c r="FP706" s="18"/>
      <c r="FQ706" s="18"/>
      <c r="FR706" s="18"/>
      <c r="FS706" s="18"/>
      <c r="FT706" s="18"/>
      <c r="FU706" s="18"/>
      <c r="FV706" s="18"/>
      <c r="FW706" s="18"/>
      <c r="FX706" s="18"/>
      <c r="FY706" s="18"/>
      <c r="FZ706" s="18"/>
      <c r="GA706" s="18"/>
      <c r="GB706" s="18"/>
      <c r="GC706" s="18"/>
      <c r="GD706" s="18"/>
      <c r="GE706" s="18"/>
      <c r="GF706" s="18"/>
      <c r="GG706" s="18"/>
      <c r="GH706" s="18"/>
      <c r="GI706" s="18"/>
      <c r="GJ706" s="18"/>
      <c r="GK706" s="18"/>
      <c r="GL706" s="18"/>
      <c r="GM706" s="18"/>
      <c r="GN706" s="18"/>
      <c r="GO706" s="18"/>
      <c r="GP706" s="18"/>
      <c r="GQ706" s="18"/>
      <c r="GR706" s="18"/>
      <c r="GS706" s="18"/>
      <c r="GT706" s="18"/>
      <c r="GU706" s="18"/>
      <c r="GV706" s="18"/>
      <c r="GW706" s="18"/>
      <c r="GX706" s="18"/>
      <c r="GY706" s="18"/>
      <c r="GZ706" s="18"/>
      <c r="HA706" s="18"/>
      <c r="HB706" s="18"/>
      <c r="HC706" s="18"/>
      <c r="HD706" s="18"/>
      <c r="HE706" s="18"/>
      <c r="HF706" s="18"/>
      <c r="HG706" s="13"/>
      <c r="HH706" s="13"/>
      <c r="HI706" s="13"/>
      <c r="HJ706" s="13"/>
      <c r="HK706" s="13"/>
      <c r="HL706" s="13"/>
      <c r="HM706" s="13"/>
      <c r="HN706" s="13"/>
      <c r="HO706" s="13"/>
      <c r="HP706" s="13"/>
      <c r="HQ706" s="13"/>
      <c r="HR706" s="13"/>
      <c r="HS706" s="13"/>
      <c r="HT706" s="13"/>
      <c r="HU706" s="18"/>
      <c r="HV706" s="18"/>
      <c r="HW706" s="18"/>
      <c r="HX706" s="18"/>
      <c r="HY706" s="18"/>
      <c r="HZ706" s="18"/>
      <c r="IA706" s="18"/>
      <c r="IB706" s="18"/>
      <c r="IC706" s="18"/>
      <c r="ID706" s="18"/>
      <c r="IE706" s="18"/>
      <c r="IF706" s="18"/>
      <c r="IG706" s="18"/>
      <c r="IH706" s="18"/>
      <c r="II706" s="18"/>
      <c r="IJ706" s="18"/>
      <c r="IK706" s="18"/>
      <c r="IL706" s="18"/>
      <c r="IM706" s="18"/>
      <c r="IN706" s="18"/>
      <c r="IO706" s="18"/>
      <c r="IP706" s="18"/>
      <c r="IQ706" s="18"/>
      <c r="IR706" s="18"/>
      <c r="IS706" s="18"/>
      <c r="IT706" s="18"/>
      <c r="IU706" s="18"/>
      <c r="IV706" s="18"/>
      <c r="IW706" s="18"/>
      <c r="IX706" s="18"/>
      <c r="IY706" s="18"/>
      <c r="IZ706" s="18"/>
      <c r="JA706" s="18"/>
      <c r="JB706" s="18"/>
      <c r="JC706" s="18"/>
      <c r="JD706" s="18"/>
      <c r="JE706" s="18"/>
      <c r="JF706" s="18"/>
      <c r="JG706" s="18"/>
      <c r="JH706" s="18"/>
      <c r="JI706" s="18"/>
      <c r="JJ706" s="18"/>
      <c r="JK706" s="18"/>
      <c r="JL706" s="18"/>
      <c r="JM706" s="18"/>
      <c r="JN706" s="18"/>
      <c r="JO706" s="18"/>
      <c r="JP706" s="18"/>
      <c r="JQ706" s="18"/>
      <c r="JR706" s="18"/>
      <c r="JS706" s="18"/>
      <c r="JT706" s="18"/>
      <c r="JU706" s="18"/>
      <c r="JV706" s="18"/>
      <c r="JW706" s="18"/>
      <c r="JX706" s="18"/>
      <c r="JY706" s="18"/>
      <c r="JZ706" s="18"/>
      <c r="KA706" s="18"/>
      <c r="KB706" s="18"/>
      <c r="KC706" s="18"/>
      <c r="KD706" s="18"/>
      <c r="KE706" s="18"/>
      <c r="KF706" s="18"/>
      <c r="KG706" s="18"/>
      <c r="KH706" s="18"/>
      <c r="KI706" s="18"/>
      <c r="KJ706" s="18"/>
      <c r="KK706" s="18"/>
      <c r="KL706" s="18"/>
      <c r="KM706" s="18"/>
      <c r="KN706" s="18"/>
      <c r="KO706" s="18"/>
      <c r="KP706" s="18"/>
    </row>
    <row r="707" spans="1:302" ht="15" customHeight="1">
      <c r="A707" s="14"/>
      <c r="B707" s="14"/>
      <c r="F707" s="14"/>
      <c r="G707" s="23"/>
      <c r="H707" s="23"/>
      <c r="I707" s="23"/>
      <c r="J707" s="23"/>
      <c r="K707" s="14"/>
      <c r="L707" s="14"/>
      <c r="P707" s="14"/>
      <c r="AG707" s="44"/>
      <c r="AH707" s="44"/>
      <c r="AI707" s="45"/>
      <c r="AJ707" s="44"/>
      <c r="AK707" s="43"/>
      <c r="AS707" s="14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  <c r="FR707" s="18"/>
      <c r="FS707" s="18"/>
      <c r="FT707" s="18"/>
      <c r="FU707" s="18"/>
      <c r="FV707" s="18"/>
      <c r="FW707" s="18"/>
      <c r="FX707" s="18"/>
      <c r="FY707" s="18"/>
      <c r="FZ707" s="18"/>
      <c r="GA707" s="18"/>
      <c r="GB707" s="18"/>
      <c r="GC707" s="18"/>
      <c r="GD707" s="18"/>
      <c r="GE707" s="18"/>
      <c r="GF707" s="18"/>
      <c r="GG707" s="18"/>
      <c r="GH707" s="18"/>
      <c r="GI707" s="18"/>
      <c r="GJ707" s="18"/>
      <c r="GK707" s="18"/>
      <c r="GL707" s="18"/>
      <c r="GM707" s="18"/>
      <c r="GN707" s="18"/>
      <c r="GO707" s="18"/>
      <c r="GP707" s="18"/>
      <c r="GQ707" s="18"/>
      <c r="GR707" s="18"/>
      <c r="GS707" s="18"/>
      <c r="GT707" s="18"/>
      <c r="GU707" s="18"/>
      <c r="GV707" s="18"/>
      <c r="GW707" s="18"/>
      <c r="GX707" s="18"/>
      <c r="GY707" s="18"/>
      <c r="GZ707" s="18"/>
      <c r="HA707" s="18"/>
      <c r="HB707" s="18"/>
      <c r="HC707" s="18"/>
      <c r="HD707" s="18"/>
      <c r="HE707" s="18"/>
      <c r="HF707" s="18"/>
      <c r="HG707" s="13"/>
      <c r="HH707" s="13"/>
      <c r="HI707" s="13"/>
      <c r="HJ707" s="13"/>
      <c r="HK707" s="13"/>
      <c r="HL707" s="13"/>
      <c r="HM707" s="13"/>
      <c r="HN707" s="13"/>
      <c r="HO707" s="13"/>
      <c r="HP707" s="13"/>
      <c r="HQ707" s="13"/>
      <c r="HR707" s="13"/>
      <c r="HS707" s="13"/>
      <c r="HT707" s="13"/>
      <c r="HU707" s="18"/>
      <c r="HV707" s="18"/>
      <c r="HW707" s="18"/>
      <c r="HX707" s="18"/>
      <c r="HY707" s="18"/>
      <c r="HZ707" s="18"/>
      <c r="IA707" s="18"/>
      <c r="IB707" s="18"/>
      <c r="IC707" s="18"/>
      <c r="ID707" s="18"/>
      <c r="IE707" s="18"/>
      <c r="IF707" s="18"/>
      <c r="IG707" s="18"/>
      <c r="IH707" s="18"/>
      <c r="II707" s="18"/>
      <c r="IJ707" s="18"/>
      <c r="IK707" s="18"/>
      <c r="IL707" s="18"/>
      <c r="IM707" s="18"/>
      <c r="IN707" s="18"/>
      <c r="IO707" s="18"/>
      <c r="IP707" s="18"/>
      <c r="IQ707" s="18"/>
      <c r="IR707" s="18"/>
      <c r="IS707" s="18"/>
      <c r="IT707" s="18"/>
      <c r="IU707" s="18"/>
      <c r="IV707" s="18"/>
      <c r="IW707" s="18"/>
      <c r="IX707" s="18"/>
      <c r="IY707" s="18"/>
      <c r="IZ707" s="18"/>
      <c r="JA707" s="18"/>
      <c r="JB707" s="18"/>
      <c r="JC707" s="18"/>
      <c r="JD707" s="18"/>
      <c r="JE707" s="18"/>
      <c r="JF707" s="18"/>
      <c r="JG707" s="18"/>
      <c r="JH707" s="18"/>
      <c r="JI707" s="18"/>
      <c r="JJ707" s="18"/>
      <c r="JK707" s="18"/>
      <c r="JL707" s="18"/>
      <c r="JM707" s="18"/>
      <c r="JN707" s="18"/>
      <c r="JO707" s="18"/>
      <c r="JP707" s="18"/>
      <c r="JQ707" s="18"/>
      <c r="JR707" s="18"/>
      <c r="JS707" s="18"/>
      <c r="JT707" s="18"/>
      <c r="JU707" s="18"/>
      <c r="JV707" s="18"/>
      <c r="JW707" s="18"/>
      <c r="JX707" s="18"/>
      <c r="JY707" s="18"/>
      <c r="JZ707" s="18"/>
      <c r="KA707" s="18"/>
      <c r="KB707" s="18"/>
      <c r="KC707" s="18"/>
      <c r="KD707" s="18"/>
      <c r="KE707" s="18"/>
      <c r="KF707" s="18"/>
      <c r="KG707" s="18"/>
      <c r="KH707" s="18"/>
      <c r="KI707" s="18"/>
      <c r="KJ707" s="18"/>
      <c r="KK707" s="18"/>
      <c r="KL707" s="18"/>
      <c r="KM707" s="18"/>
      <c r="KN707" s="18"/>
      <c r="KO707" s="18"/>
      <c r="KP707" s="18"/>
    </row>
    <row r="708" spans="1:302" ht="15" customHeight="1">
      <c r="A708" s="14"/>
      <c r="B708" s="14"/>
      <c r="F708" s="14"/>
      <c r="G708" s="23"/>
      <c r="H708" s="23"/>
      <c r="I708" s="23"/>
      <c r="J708" s="23"/>
      <c r="K708" s="14"/>
      <c r="L708" s="14"/>
      <c r="P708" s="14"/>
      <c r="AG708" s="44"/>
      <c r="AH708" s="44"/>
      <c r="AI708" s="45"/>
      <c r="AJ708" s="44"/>
      <c r="AK708" s="43"/>
      <c r="AS708" s="14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  <c r="FC708" s="18"/>
      <c r="FD708" s="18"/>
      <c r="FE708" s="18"/>
      <c r="FF708" s="18"/>
      <c r="FG708" s="18"/>
      <c r="FH708" s="18"/>
      <c r="FI708" s="18"/>
      <c r="FJ708" s="18"/>
      <c r="FK708" s="18"/>
      <c r="FL708" s="18"/>
      <c r="FM708" s="18"/>
      <c r="FN708" s="18"/>
      <c r="FO708" s="18"/>
      <c r="FP708" s="18"/>
      <c r="FQ708" s="18"/>
      <c r="FR708" s="18"/>
      <c r="FS708" s="18"/>
      <c r="FT708" s="18"/>
      <c r="FU708" s="18"/>
      <c r="FV708" s="18"/>
      <c r="FW708" s="18"/>
      <c r="FX708" s="18"/>
      <c r="FY708" s="18"/>
      <c r="FZ708" s="18"/>
      <c r="GA708" s="18"/>
      <c r="GB708" s="18"/>
      <c r="GC708" s="18"/>
      <c r="GD708" s="18"/>
      <c r="GE708" s="18"/>
      <c r="GF708" s="18"/>
      <c r="GG708" s="18"/>
      <c r="GH708" s="18"/>
      <c r="GI708" s="18"/>
      <c r="GJ708" s="18"/>
      <c r="GK708" s="18"/>
      <c r="GL708" s="18"/>
      <c r="GM708" s="18"/>
      <c r="GN708" s="18"/>
      <c r="GO708" s="18"/>
      <c r="GP708" s="18"/>
      <c r="GQ708" s="18"/>
      <c r="GR708" s="18"/>
      <c r="GS708" s="18"/>
      <c r="GT708" s="18"/>
      <c r="GU708" s="18"/>
      <c r="GV708" s="18"/>
      <c r="GW708" s="18"/>
      <c r="GX708" s="18"/>
      <c r="GY708" s="18"/>
      <c r="GZ708" s="18"/>
      <c r="HA708" s="18"/>
      <c r="HB708" s="18"/>
      <c r="HC708" s="18"/>
      <c r="HD708" s="18"/>
      <c r="HE708" s="18"/>
      <c r="HF708" s="18"/>
      <c r="HG708" s="13"/>
      <c r="HH708" s="13"/>
      <c r="HI708" s="13"/>
      <c r="HJ708" s="13"/>
      <c r="HK708" s="13"/>
      <c r="HL708" s="13"/>
      <c r="HM708" s="13"/>
      <c r="HN708" s="13"/>
      <c r="HO708" s="13"/>
      <c r="HP708" s="13"/>
      <c r="HQ708" s="13"/>
      <c r="HR708" s="13"/>
      <c r="HS708" s="13"/>
      <c r="HT708" s="13"/>
      <c r="HU708" s="18"/>
      <c r="HV708" s="18"/>
      <c r="HW708" s="18"/>
      <c r="HX708" s="18"/>
      <c r="HY708" s="18"/>
      <c r="HZ708" s="18"/>
      <c r="IA708" s="18"/>
      <c r="IB708" s="18"/>
      <c r="IC708" s="18"/>
      <c r="ID708" s="18"/>
      <c r="IE708" s="18"/>
      <c r="IF708" s="18"/>
      <c r="IG708" s="18"/>
      <c r="IH708" s="18"/>
      <c r="II708" s="18"/>
      <c r="IJ708" s="18"/>
      <c r="IK708" s="18"/>
      <c r="IL708" s="18"/>
      <c r="IM708" s="18"/>
      <c r="IN708" s="18"/>
      <c r="IO708" s="18"/>
      <c r="IP708" s="18"/>
      <c r="IQ708" s="18"/>
      <c r="IR708" s="18"/>
      <c r="IS708" s="18"/>
      <c r="IT708" s="18"/>
      <c r="IU708" s="18"/>
      <c r="IV708" s="18"/>
      <c r="IW708" s="18"/>
      <c r="IX708" s="18"/>
      <c r="IY708" s="18"/>
      <c r="IZ708" s="18"/>
      <c r="JA708" s="18"/>
      <c r="JB708" s="18"/>
      <c r="JC708" s="18"/>
      <c r="JD708" s="18"/>
      <c r="JE708" s="18"/>
      <c r="JF708" s="18"/>
      <c r="JG708" s="18"/>
      <c r="JH708" s="18"/>
      <c r="JI708" s="18"/>
      <c r="JJ708" s="18"/>
      <c r="JK708" s="18"/>
      <c r="JL708" s="18"/>
      <c r="JM708" s="18"/>
      <c r="JN708" s="18"/>
      <c r="JO708" s="18"/>
      <c r="JP708" s="18"/>
      <c r="JQ708" s="18"/>
      <c r="JR708" s="18"/>
      <c r="JS708" s="18"/>
      <c r="JT708" s="18"/>
      <c r="JU708" s="18"/>
      <c r="JV708" s="18"/>
      <c r="JW708" s="18"/>
      <c r="JX708" s="18"/>
      <c r="JY708" s="18"/>
      <c r="JZ708" s="18"/>
      <c r="KA708" s="18"/>
      <c r="KB708" s="18"/>
      <c r="KC708" s="18"/>
      <c r="KD708" s="18"/>
      <c r="KE708" s="18"/>
      <c r="KF708" s="18"/>
      <c r="KG708" s="18"/>
      <c r="KH708" s="18"/>
      <c r="KI708" s="18"/>
      <c r="KJ708" s="18"/>
      <c r="KK708" s="18"/>
      <c r="KL708" s="18"/>
      <c r="KM708" s="18"/>
      <c r="KN708" s="18"/>
      <c r="KO708" s="18"/>
      <c r="KP708" s="18"/>
    </row>
    <row r="709" spans="1:302" ht="15" customHeight="1">
      <c r="A709" s="14"/>
      <c r="B709" s="14"/>
      <c r="F709" s="14"/>
      <c r="G709" s="23"/>
      <c r="H709" s="23"/>
      <c r="I709" s="23"/>
      <c r="J709" s="23"/>
      <c r="K709" s="14"/>
      <c r="L709" s="14"/>
      <c r="P709" s="14"/>
      <c r="AG709" s="44"/>
      <c r="AH709" s="44"/>
      <c r="AI709" s="45"/>
      <c r="AJ709" s="44"/>
      <c r="AK709" s="43"/>
      <c r="AS709" s="14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  <c r="FC709" s="18"/>
      <c r="FD709" s="18"/>
      <c r="FE709" s="18"/>
      <c r="FF709" s="18"/>
      <c r="FG709" s="18"/>
      <c r="FH709" s="18"/>
      <c r="FI709" s="18"/>
      <c r="FJ709" s="18"/>
      <c r="FK709" s="18"/>
      <c r="FL709" s="18"/>
      <c r="FM709" s="18"/>
      <c r="FN709" s="18"/>
      <c r="FO709" s="18"/>
      <c r="FP709" s="18"/>
      <c r="FQ709" s="18"/>
      <c r="FR709" s="18"/>
      <c r="FS709" s="18"/>
      <c r="FT709" s="18"/>
      <c r="FU709" s="18"/>
      <c r="FV709" s="18"/>
      <c r="FW709" s="18"/>
      <c r="FX709" s="18"/>
      <c r="FY709" s="18"/>
      <c r="FZ709" s="18"/>
      <c r="GA709" s="18"/>
      <c r="GB709" s="18"/>
      <c r="GC709" s="18"/>
      <c r="GD709" s="18"/>
      <c r="GE709" s="18"/>
      <c r="GF709" s="18"/>
      <c r="GG709" s="18"/>
      <c r="GH709" s="18"/>
      <c r="GI709" s="18"/>
      <c r="GJ709" s="18"/>
      <c r="GK709" s="18"/>
      <c r="GL709" s="18"/>
      <c r="GM709" s="18"/>
      <c r="GN709" s="18"/>
      <c r="GO709" s="18"/>
      <c r="GP709" s="18"/>
      <c r="GQ709" s="18"/>
      <c r="GR709" s="18"/>
      <c r="GS709" s="18"/>
      <c r="GT709" s="18"/>
      <c r="GU709" s="18"/>
      <c r="GV709" s="18"/>
      <c r="GW709" s="18"/>
      <c r="GX709" s="18"/>
      <c r="GY709" s="18"/>
      <c r="GZ709" s="18"/>
      <c r="HA709" s="18"/>
      <c r="HB709" s="18"/>
      <c r="HC709" s="18"/>
      <c r="HD709" s="18"/>
      <c r="HE709" s="18"/>
      <c r="HF709" s="18"/>
      <c r="HG709" s="13"/>
      <c r="HH709" s="13"/>
      <c r="HI709" s="13"/>
      <c r="HJ709" s="13"/>
      <c r="HK709" s="13"/>
      <c r="HL709" s="13"/>
      <c r="HM709" s="13"/>
      <c r="HN709" s="13"/>
      <c r="HO709" s="13"/>
      <c r="HP709" s="13"/>
      <c r="HQ709" s="13"/>
      <c r="HR709" s="13"/>
      <c r="HS709" s="13"/>
      <c r="HT709" s="13"/>
      <c r="HU709" s="18"/>
      <c r="HV709" s="18"/>
      <c r="HW709" s="18"/>
      <c r="HX709" s="18"/>
      <c r="HY709" s="18"/>
      <c r="HZ709" s="18"/>
      <c r="IA709" s="18"/>
      <c r="IB709" s="18"/>
      <c r="IC709" s="18"/>
      <c r="ID709" s="18"/>
      <c r="IE709" s="18"/>
      <c r="IF709" s="18"/>
      <c r="IG709" s="18"/>
      <c r="IH709" s="18"/>
      <c r="II709" s="18"/>
      <c r="IJ709" s="18"/>
      <c r="IK709" s="18"/>
      <c r="IL709" s="18"/>
      <c r="IM709" s="18"/>
      <c r="IN709" s="18"/>
      <c r="IO709" s="18"/>
      <c r="IP709" s="18"/>
      <c r="IQ709" s="18"/>
      <c r="IR709" s="18"/>
      <c r="IS709" s="18"/>
      <c r="IT709" s="18"/>
      <c r="IU709" s="18"/>
      <c r="IV709" s="18"/>
      <c r="IW709" s="18"/>
      <c r="IX709" s="18"/>
      <c r="IY709" s="18"/>
      <c r="IZ709" s="18"/>
      <c r="JA709" s="18"/>
      <c r="JB709" s="18"/>
      <c r="JC709" s="18"/>
      <c r="JD709" s="18"/>
      <c r="JE709" s="18"/>
      <c r="JF709" s="18"/>
      <c r="JG709" s="18"/>
      <c r="JH709" s="18"/>
      <c r="JI709" s="18"/>
      <c r="JJ709" s="18"/>
      <c r="JK709" s="18"/>
      <c r="JL709" s="18"/>
      <c r="JM709" s="18"/>
      <c r="JN709" s="18"/>
      <c r="JO709" s="18"/>
      <c r="JP709" s="18"/>
      <c r="JQ709" s="18"/>
      <c r="JR709" s="18"/>
      <c r="JS709" s="18"/>
      <c r="JT709" s="18"/>
      <c r="JU709" s="18"/>
      <c r="JV709" s="18"/>
      <c r="JW709" s="18"/>
      <c r="JX709" s="18"/>
      <c r="JY709" s="18"/>
      <c r="JZ709" s="18"/>
      <c r="KA709" s="18"/>
      <c r="KB709" s="18"/>
      <c r="KC709" s="18"/>
      <c r="KD709" s="18"/>
      <c r="KE709" s="18"/>
      <c r="KF709" s="18"/>
      <c r="KG709" s="18"/>
      <c r="KH709" s="18"/>
      <c r="KI709" s="18"/>
      <c r="KJ709" s="18"/>
      <c r="KK709" s="18"/>
      <c r="KL709" s="18"/>
      <c r="KM709" s="18"/>
      <c r="KN709" s="18"/>
      <c r="KO709" s="18"/>
      <c r="KP709" s="18"/>
    </row>
    <row r="710" spans="1:302" ht="15" customHeight="1">
      <c r="A710" s="14"/>
      <c r="B710" s="14"/>
      <c r="F710" s="14"/>
      <c r="G710" s="23"/>
      <c r="H710" s="23"/>
      <c r="I710" s="23"/>
      <c r="J710" s="23"/>
      <c r="K710" s="14"/>
      <c r="L710" s="14"/>
      <c r="P710" s="14"/>
      <c r="AG710" s="44"/>
      <c r="AH710" s="44"/>
      <c r="AI710" s="45"/>
      <c r="AJ710" s="44"/>
      <c r="AK710" s="43"/>
      <c r="AS710" s="14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  <c r="EW710" s="18"/>
      <c r="EX710" s="18"/>
      <c r="EY710" s="18"/>
      <c r="EZ710" s="18"/>
      <c r="FA710" s="18"/>
      <c r="FB710" s="18"/>
      <c r="FC710" s="18"/>
      <c r="FD710" s="18"/>
      <c r="FE710" s="18"/>
      <c r="FF710" s="18"/>
      <c r="FG710" s="18"/>
      <c r="FH710" s="18"/>
      <c r="FI710" s="18"/>
      <c r="FJ710" s="18"/>
      <c r="FK710" s="18"/>
      <c r="FL710" s="18"/>
      <c r="FM710" s="18"/>
      <c r="FN710" s="18"/>
      <c r="FO710" s="18"/>
      <c r="FP710" s="18"/>
      <c r="FQ710" s="18"/>
      <c r="FR710" s="18"/>
      <c r="FS710" s="18"/>
      <c r="FT710" s="18"/>
      <c r="FU710" s="18"/>
      <c r="FV710" s="18"/>
      <c r="FW710" s="18"/>
      <c r="FX710" s="18"/>
      <c r="FY710" s="18"/>
      <c r="FZ710" s="18"/>
      <c r="GA710" s="18"/>
      <c r="GB710" s="18"/>
      <c r="GC710" s="18"/>
      <c r="GD710" s="18"/>
      <c r="GE710" s="18"/>
      <c r="GF710" s="18"/>
      <c r="GG710" s="18"/>
      <c r="GH710" s="18"/>
      <c r="GI710" s="18"/>
      <c r="GJ710" s="18"/>
      <c r="GK710" s="18"/>
      <c r="GL710" s="18"/>
      <c r="GM710" s="18"/>
      <c r="GN710" s="18"/>
      <c r="GO710" s="18"/>
      <c r="GP710" s="18"/>
      <c r="GQ710" s="18"/>
      <c r="GR710" s="18"/>
      <c r="GS710" s="18"/>
      <c r="GT710" s="18"/>
      <c r="GU710" s="18"/>
      <c r="GV710" s="18"/>
      <c r="GW710" s="18"/>
      <c r="GX710" s="18"/>
      <c r="GY710" s="18"/>
      <c r="GZ710" s="18"/>
      <c r="HA710" s="18"/>
      <c r="HB710" s="18"/>
      <c r="HC710" s="18"/>
      <c r="HD710" s="18"/>
      <c r="HE710" s="18"/>
      <c r="HF710" s="18"/>
      <c r="HG710" s="13"/>
      <c r="HH710" s="13"/>
      <c r="HI710" s="13"/>
      <c r="HJ710" s="13"/>
      <c r="HK710" s="13"/>
      <c r="HL710" s="13"/>
      <c r="HM710" s="13"/>
      <c r="HN710" s="13"/>
      <c r="HO710" s="13"/>
      <c r="HP710" s="13"/>
      <c r="HQ710" s="13"/>
      <c r="HR710" s="13"/>
      <c r="HS710" s="13"/>
      <c r="HT710" s="13"/>
      <c r="HU710" s="18"/>
      <c r="HV710" s="18"/>
      <c r="HW710" s="18"/>
      <c r="HX710" s="18"/>
      <c r="HY710" s="18"/>
      <c r="HZ710" s="18"/>
      <c r="IA710" s="18"/>
      <c r="IB710" s="18"/>
      <c r="IC710" s="18"/>
      <c r="ID710" s="18"/>
      <c r="IE710" s="18"/>
      <c r="IF710" s="18"/>
      <c r="IG710" s="18"/>
      <c r="IH710" s="18"/>
      <c r="II710" s="18"/>
      <c r="IJ710" s="18"/>
      <c r="IK710" s="18"/>
      <c r="IL710" s="18"/>
      <c r="IM710" s="18"/>
      <c r="IN710" s="18"/>
      <c r="IO710" s="18"/>
      <c r="IP710" s="18"/>
      <c r="IQ710" s="18"/>
      <c r="IR710" s="18"/>
      <c r="IS710" s="18"/>
      <c r="IT710" s="18"/>
      <c r="IU710" s="18"/>
      <c r="IV710" s="18"/>
      <c r="IW710" s="18"/>
      <c r="IX710" s="18"/>
      <c r="IY710" s="18"/>
      <c r="IZ710" s="18"/>
      <c r="JA710" s="18"/>
      <c r="JB710" s="18"/>
      <c r="JC710" s="18"/>
      <c r="JD710" s="18"/>
      <c r="JE710" s="18"/>
      <c r="JF710" s="18"/>
      <c r="JG710" s="18"/>
      <c r="JH710" s="18"/>
      <c r="JI710" s="18"/>
      <c r="JJ710" s="18"/>
      <c r="JK710" s="18"/>
      <c r="JL710" s="18"/>
      <c r="JM710" s="18"/>
      <c r="JN710" s="18"/>
      <c r="JO710" s="18"/>
      <c r="JP710" s="18"/>
      <c r="JQ710" s="18"/>
      <c r="JR710" s="18"/>
      <c r="JS710" s="18"/>
      <c r="JT710" s="18"/>
      <c r="JU710" s="18"/>
      <c r="JV710" s="18"/>
      <c r="JW710" s="18"/>
      <c r="JX710" s="18"/>
      <c r="JY710" s="18"/>
      <c r="JZ710" s="18"/>
      <c r="KA710" s="18"/>
      <c r="KB710" s="18"/>
      <c r="KC710" s="18"/>
      <c r="KD710" s="18"/>
      <c r="KE710" s="18"/>
      <c r="KF710" s="18"/>
      <c r="KG710" s="18"/>
      <c r="KH710" s="18"/>
      <c r="KI710" s="18"/>
      <c r="KJ710" s="18"/>
      <c r="KK710" s="18"/>
      <c r="KL710" s="18"/>
      <c r="KM710" s="18"/>
      <c r="KN710" s="18"/>
      <c r="KO710" s="18"/>
      <c r="KP710" s="18"/>
    </row>
    <row r="711" spans="1:302" ht="15" customHeight="1">
      <c r="A711" s="14"/>
      <c r="B711" s="14"/>
      <c r="F711" s="14"/>
      <c r="G711" s="23"/>
      <c r="H711" s="23"/>
      <c r="I711" s="23"/>
      <c r="J711" s="23"/>
      <c r="K711" s="14"/>
      <c r="L711" s="14"/>
      <c r="P711" s="14"/>
      <c r="AG711" s="44"/>
      <c r="AH711" s="44"/>
      <c r="AI711" s="45"/>
      <c r="AJ711" s="44"/>
      <c r="AK711" s="43"/>
      <c r="AS711" s="14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  <c r="EW711" s="18"/>
      <c r="EX711" s="18"/>
      <c r="EY711" s="18"/>
      <c r="EZ711" s="18"/>
      <c r="FA711" s="18"/>
      <c r="FB711" s="18"/>
      <c r="FC711" s="18"/>
      <c r="FD711" s="18"/>
      <c r="FE711" s="18"/>
      <c r="FF711" s="18"/>
      <c r="FG711" s="18"/>
      <c r="FH711" s="18"/>
      <c r="FI711" s="18"/>
      <c r="FJ711" s="18"/>
      <c r="FK711" s="18"/>
      <c r="FL711" s="18"/>
      <c r="FM711" s="18"/>
      <c r="FN711" s="18"/>
      <c r="FO711" s="18"/>
      <c r="FP711" s="18"/>
      <c r="FQ711" s="18"/>
      <c r="FR711" s="18"/>
      <c r="FS711" s="18"/>
      <c r="FT711" s="18"/>
      <c r="FU711" s="18"/>
      <c r="FV711" s="18"/>
      <c r="FW711" s="18"/>
      <c r="FX711" s="18"/>
      <c r="FY711" s="18"/>
      <c r="FZ711" s="18"/>
      <c r="GA711" s="18"/>
      <c r="GB711" s="18"/>
      <c r="GC711" s="18"/>
      <c r="GD711" s="18"/>
      <c r="GE711" s="18"/>
      <c r="GF711" s="18"/>
      <c r="GG711" s="18"/>
      <c r="GH711" s="18"/>
      <c r="GI711" s="18"/>
      <c r="GJ711" s="18"/>
      <c r="GK711" s="18"/>
      <c r="GL711" s="18"/>
      <c r="GM711" s="18"/>
      <c r="GN711" s="18"/>
      <c r="GO711" s="18"/>
      <c r="GP711" s="18"/>
      <c r="GQ711" s="18"/>
      <c r="GR711" s="18"/>
      <c r="GS711" s="18"/>
      <c r="GT711" s="18"/>
      <c r="GU711" s="18"/>
      <c r="GV711" s="18"/>
      <c r="GW711" s="18"/>
      <c r="GX711" s="18"/>
      <c r="GY711" s="18"/>
      <c r="GZ711" s="18"/>
      <c r="HA711" s="18"/>
      <c r="HB711" s="18"/>
      <c r="HC711" s="18"/>
      <c r="HD711" s="18"/>
      <c r="HE711" s="18"/>
      <c r="HF711" s="18"/>
      <c r="HG711" s="13"/>
      <c r="HH711" s="13"/>
      <c r="HI711" s="13"/>
      <c r="HJ711" s="13"/>
      <c r="HK711" s="13"/>
      <c r="HL711" s="13"/>
      <c r="HM711" s="13"/>
      <c r="HN711" s="13"/>
      <c r="HO711" s="13"/>
      <c r="HP711" s="13"/>
      <c r="HQ711" s="13"/>
      <c r="HR711" s="13"/>
      <c r="HS711" s="13"/>
      <c r="HT711" s="13"/>
      <c r="HU711" s="18"/>
      <c r="HV711" s="18"/>
      <c r="HW711" s="18"/>
      <c r="HX711" s="18"/>
      <c r="HY711" s="18"/>
      <c r="HZ711" s="18"/>
      <c r="IA711" s="18"/>
      <c r="IB711" s="18"/>
      <c r="IC711" s="18"/>
      <c r="ID711" s="18"/>
      <c r="IE711" s="18"/>
      <c r="IF711" s="18"/>
      <c r="IG711" s="18"/>
      <c r="IH711" s="18"/>
      <c r="II711" s="18"/>
      <c r="IJ711" s="18"/>
      <c r="IK711" s="18"/>
      <c r="IL711" s="18"/>
      <c r="IM711" s="18"/>
      <c r="IN711" s="18"/>
      <c r="IO711" s="18"/>
      <c r="IP711" s="18"/>
      <c r="IQ711" s="18"/>
      <c r="IR711" s="18"/>
      <c r="IS711" s="18"/>
      <c r="IT711" s="18"/>
      <c r="IU711" s="18"/>
      <c r="IV711" s="18"/>
      <c r="IW711" s="18"/>
      <c r="IX711" s="18"/>
      <c r="IY711" s="18"/>
      <c r="IZ711" s="18"/>
      <c r="JA711" s="18"/>
      <c r="JB711" s="18"/>
      <c r="JC711" s="18"/>
      <c r="JD711" s="18"/>
      <c r="JE711" s="18"/>
      <c r="JF711" s="18"/>
      <c r="JG711" s="18"/>
      <c r="JH711" s="18"/>
      <c r="JI711" s="18"/>
      <c r="JJ711" s="18"/>
      <c r="JK711" s="18"/>
      <c r="JL711" s="18"/>
      <c r="JM711" s="18"/>
      <c r="JN711" s="18"/>
      <c r="JO711" s="18"/>
      <c r="JP711" s="18"/>
      <c r="JQ711" s="18"/>
      <c r="JR711" s="18"/>
      <c r="JS711" s="18"/>
      <c r="JT711" s="18"/>
      <c r="JU711" s="18"/>
      <c r="JV711" s="18"/>
      <c r="JW711" s="18"/>
      <c r="JX711" s="18"/>
      <c r="JY711" s="18"/>
      <c r="JZ711" s="18"/>
      <c r="KA711" s="18"/>
      <c r="KB711" s="18"/>
      <c r="KC711" s="18"/>
      <c r="KD711" s="18"/>
      <c r="KE711" s="18"/>
      <c r="KF711" s="18"/>
      <c r="KG711" s="18"/>
      <c r="KH711" s="18"/>
      <c r="KI711" s="18"/>
      <c r="KJ711" s="18"/>
      <c r="KK711" s="18"/>
      <c r="KL711" s="18"/>
      <c r="KM711" s="18"/>
      <c r="KN711" s="18"/>
      <c r="KO711" s="18"/>
      <c r="KP711" s="18"/>
    </row>
    <row r="712" spans="1:302" ht="15" customHeight="1">
      <c r="A712" s="14"/>
      <c r="B712" s="14"/>
      <c r="F712" s="14"/>
      <c r="G712" s="23"/>
      <c r="H712" s="23"/>
      <c r="I712" s="23"/>
      <c r="J712" s="23"/>
      <c r="K712" s="14"/>
      <c r="L712" s="14"/>
      <c r="P712" s="14"/>
      <c r="AG712" s="44"/>
      <c r="AH712" s="44"/>
      <c r="AI712" s="45"/>
      <c r="AJ712" s="44"/>
      <c r="AK712" s="43"/>
      <c r="AS712" s="14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  <c r="FC712" s="18"/>
      <c r="FD712" s="18"/>
      <c r="FE712" s="18"/>
      <c r="FF712" s="18"/>
      <c r="FG712" s="18"/>
      <c r="FH712" s="18"/>
      <c r="FI712" s="18"/>
      <c r="FJ712" s="18"/>
      <c r="FK712" s="18"/>
      <c r="FL712" s="18"/>
      <c r="FM712" s="18"/>
      <c r="FN712" s="18"/>
      <c r="FO712" s="18"/>
      <c r="FP712" s="18"/>
      <c r="FQ712" s="18"/>
      <c r="FR712" s="18"/>
      <c r="FS712" s="18"/>
      <c r="FT712" s="18"/>
      <c r="FU712" s="18"/>
      <c r="FV712" s="18"/>
      <c r="FW712" s="18"/>
      <c r="FX712" s="18"/>
      <c r="FY712" s="18"/>
      <c r="FZ712" s="18"/>
      <c r="GA712" s="18"/>
      <c r="GB712" s="18"/>
      <c r="GC712" s="18"/>
      <c r="GD712" s="18"/>
      <c r="GE712" s="18"/>
      <c r="GF712" s="18"/>
      <c r="GG712" s="18"/>
      <c r="GH712" s="18"/>
      <c r="GI712" s="18"/>
      <c r="GJ712" s="18"/>
      <c r="GK712" s="18"/>
      <c r="GL712" s="18"/>
      <c r="GM712" s="18"/>
      <c r="GN712" s="18"/>
      <c r="GO712" s="18"/>
      <c r="GP712" s="18"/>
      <c r="GQ712" s="18"/>
      <c r="GR712" s="18"/>
      <c r="GS712" s="18"/>
      <c r="GT712" s="18"/>
      <c r="GU712" s="18"/>
      <c r="GV712" s="18"/>
      <c r="GW712" s="18"/>
      <c r="GX712" s="18"/>
      <c r="GY712" s="18"/>
      <c r="GZ712" s="18"/>
      <c r="HA712" s="18"/>
      <c r="HB712" s="18"/>
      <c r="HC712" s="18"/>
      <c r="HD712" s="18"/>
      <c r="HE712" s="18"/>
      <c r="HF712" s="18"/>
      <c r="HG712" s="13"/>
      <c r="HH712" s="13"/>
      <c r="HI712" s="13"/>
      <c r="HJ712" s="13"/>
      <c r="HK712" s="13"/>
      <c r="HL712" s="13"/>
      <c r="HM712" s="13"/>
      <c r="HN712" s="13"/>
      <c r="HO712" s="13"/>
      <c r="HP712" s="13"/>
      <c r="HQ712" s="13"/>
      <c r="HR712" s="13"/>
      <c r="HS712" s="13"/>
      <c r="HT712" s="13"/>
      <c r="HU712" s="18"/>
      <c r="HV712" s="18"/>
      <c r="HW712" s="18"/>
      <c r="HX712" s="18"/>
      <c r="HY712" s="18"/>
      <c r="HZ712" s="18"/>
      <c r="IA712" s="18"/>
      <c r="IB712" s="18"/>
      <c r="IC712" s="18"/>
      <c r="ID712" s="18"/>
      <c r="IE712" s="18"/>
      <c r="IF712" s="18"/>
      <c r="IG712" s="18"/>
      <c r="IH712" s="18"/>
      <c r="II712" s="18"/>
      <c r="IJ712" s="18"/>
      <c r="IK712" s="18"/>
      <c r="IL712" s="18"/>
      <c r="IM712" s="18"/>
      <c r="IN712" s="18"/>
      <c r="IO712" s="18"/>
      <c r="IP712" s="18"/>
      <c r="IQ712" s="18"/>
      <c r="IR712" s="18"/>
      <c r="IS712" s="18"/>
      <c r="IT712" s="18"/>
      <c r="IU712" s="18"/>
      <c r="IV712" s="18"/>
      <c r="IW712" s="18"/>
      <c r="IX712" s="18"/>
      <c r="IY712" s="18"/>
      <c r="IZ712" s="18"/>
      <c r="JA712" s="18"/>
      <c r="JB712" s="18"/>
      <c r="JC712" s="18"/>
      <c r="JD712" s="18"/>
      <c r="JE712" s="18"/>
      <c r="JF712" s="18"/>
      <c r="JG712" s="18"/>
      <c r="JH712" s="18"/>
      <c r="JI712" s="18"/>
      <c r="JJ712" s="18"/>
      <c r="JK712" s="18"/>
      <c r="JL712" s="18"/>
      <c r="JM712" s="18"/>
      <c r="JN712" s="18"/>
      <c r="JO712" s="18"/>
      <c r="JP712" s="18"/>
      <c r="JQ712" s="18"/>
      <c r="JR712" s="18"/>
      <c r="JS712" s="18"/>
      <c r="JT712" s="18"/>
      <c r="JU712" s="18"/>
      <c r="JV712" s="18"/>
      <c r="JW712" s="18"/>
      <c r="JX712" s="18"/>
      <c r="JY712" s="18"/>
      <c r="JZ712" s="18"/>
      <c r="KA712" s="18"/>
      <c r="KB712" s="18"/>
      <c r="KC712" s="18"/>
      <c r="KD712" s="18"/>
      <c r="KE712" s="18"/>
      <c r="KF712" s="18"/>
      <c r="KG712" s="18"/>
      <c r="KH712" s="18"/>
      <c r="KI712" s="18"/>
      <c r="KJ712" s="18"/>
      <c r="KK712" s="18"/>
      <c r="KL712" s="18"/>
      <c r="KM712" s="18"/>
      <c r="KN712" s="18"/>
      <c r="KO712" s="18"/>
      <c r="KP712" s="18"/>
    </row>
    <row r="713" spans="1:302" ht="15" customHeight="1">
      <c r="A713" s="14"/>
      <c r="B713" s="14"/>
      <c r="F713" s="14"/>
      <c r="G713" s="23"/>
      <c r="H713" s="23"/>
      <c r="I713" s="23"/>
      <c r="J713" s="23"/>
      <c r="K713" s="14"/>
      <c r="L713" s="14"/>
      <c r="P713" s="14"/>
      <c r="AG713" s="44"/>
      <c r="AH713" s="44"/>
      <c r="AI713" s="45"/>
      <c r="AJ713" s="44"/>
      <c r="AK713" s="43"/>
      <c r="AS713" s="14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  <c r="FC713" s="18"/>
      <c r="FD713" s="18"/>
      <c r="FE713" s="18"/>
      <c r="FF713" s="18"/>
      <c r="FG713" s="18"/>
      <c r="FH713" s="18"/>
      <c r="FI713" s="18"/>
      <c r="FJ713" s="18"/>
      <c r="FK713" s="18"/>
      <c r="FL713" s="18"/>
      <c r="FM713" s="18"/>
      <c r="FN713" s="18"/>
      <c r="FO713" s="18"/>
      <c r="FP713" s="18"/>
      <c r="FQ713" s="18"/>
      <c r="FR713" s="18"/>
      <c r="FS713" s="18"/>
      <c r="FT713" s="18"/>
      <c r="FU713" s="18"/>
      <c r="FV713" s="18"/>
      <c r="FW713" s="18"/>
      <c r="FX713" s="18"/>
      <c r="FY713" s="18"/>
      <c r="FZ713" s="18"/>
      <c r="GA713" s="18"/>
      <c r="GB713" s="18"/>
      <c r="GC713" s="18"/>
      <c r="GD713" s="18"/>
      <c r="GE713" s="18"/>
      <c r="GF713" s="18"/>
      <c r="GG713" s="18"/>
      <c r="GH713" s="18"/>
      <c r="GI713" s="18"/>
      <c r="GJ713" s="18"/>
      <c r="GK713" s="18"/>
      <c r="GL713" s="18"/>
      <c r="GM713" s="18"/>
      <c r="GN713" s="18"/>
      <c r="GO713" s="18"/>
      <c r="GP713" s="18"/>
      <c r="GQ713" s="18"/>
      <c r="GR713" s="18"/>
      <c r="GS713" s="18"/>
      <c r="GT713" s="18"/>
      <c r="GU713" s="18"/>
      <c r="GV713" s="18"/>
      <c r="GW713" s="18"/>
      <c r="GX713" s="18"/>
      <c r="GY713" s="18"/>
      <c r="GZ713" s="18"/>
      <c r="HA713" s="18"/>
      <c r="HB713" s="18"/>
      <c r="HC713" s="18"/>
      <c r="HD713" s="18"/>
      <c r="HE713" s="18"/>
      <c r="HF713" s="18"/>
      <c r="HG713" s="13"/>
      <c r="HH713" s="13"/>
      <c r="HI713" s="13"/>
      <c r="HJ713" s="13"/>
      <c r="HK713" s="13"/>
      <c r="HL713" s="13"/>
      <c r="HM713" s="13"/>
      <c r="HN713" s="13"/>
      <c r="HO713" s="13"/>
      <c r="HP713" s="13"/>
      <c r="HQ713" s="13"/>
      <c r="HR713" s="13"/>
      <c r="HS713" s="13"/>
      <c r="HT713" s="13"/>
      <c r="HU713" s="18"/>
      <c r="HV713" s="18"/>
      <c r="HW713" s="18"/>
      <c r="HX713" s="18"/>
      <c r="HY713" s="18"/>
      <c r="HZ713" s="18"/>
      <c r="IA713" s="18"/>
      <c r="IB713" s="18"/>
      <c r="IC713" s="18"/>
      <c r="ID713" s="18"/>
      <c r="IE713" s="18"/>
      <c r="IF713" s="18"/>
      <c r="IG713" s="18"/>
      <c r="IH713" s="18"/>
      <c r="II713" s="18"/>
      <c r="IJ713" s="18"/>
      <c r="IK713" s="18"/>
      <c r="IL713" s="18"/>
      <c r="IM713" s="18"/>
      <c r="IN713" s="18"/>
      <c r="IO713" s="18"/>
      <c r="IP713" s="18"/>
      <c r="IQ713" s="18"/>
      <c r="IR713" s="18"/>
      <c r="IS713" s="18"/>
      <c r="IT713" s="18"/>
      <c r="IU713" s="18"/>
      <c r="IV713" s="18"/>
      <c r="IW713" s="18"/>
      <c r="IX713" s="18"/>
      <c r="IY713" s="18"/>
      <c r="IZ713" s="18"/>
      <c r="JA713" s="18"/>
      <c r="JB713" s="18"/>
      <c r="JC713" s="18"/>
      <c r="JD713" s="18"/>
      <c r="JE713" s="18"/>
      <c r="JF713" s="18"/>
      <c r="JG713" s="18"/>
      <c r="JH713" s="18"/>
      <c r="JI713" s="18"/>
      <c r="JJ713" s="18"/>
      <c r="JK713" s="18"/>
      <c r="JL713" s="18"/>
      <c r="JM713" s="18"/>
      <c r="JN713" s="18"/>
      <c r="JO713" s="18"/>
      <c r="JP713" s="18"/>
      <c r="JQ713" s="18"/>
      <c r="JR713" s="18"/>
      <c r="JS713" s="18"/>
      <c r="JT713" s="18"/>
      <c r="JU713" s="18"/>
      <c r="JV713" s="18"/>
      <c r="JW713" s="18"/>
      <c r="JX713" s="18"/>
      <c r="JY713" s="18"/>
      <c r="JZ713" s="18"/>
      <c r="KA713" s="18"/>
      <c r="KB713" s="18"/>
      <c r="KC713" s="18"/>
      <c r="KD713" s="18"/>
      <c r="KE713" s="18"/>
      <c r="KF713" s="18"/>
      <c r="KG713" s="18"/>
      <c r="KH713" s="18"/>
      <c r="KI713" s="18"/>
      <c r="KJ713" s="18"/>
      <c r="KK713" s="18"/>
      <c r="KL713" s="18"/>
      <c r="KM713" s="18"/>
      <c r="KN713" s="18"/>
      <c r="KO713" s="18"/>
      <c r="KP713" s="18"/>
    </row>
    <row r="714" spans="1:302" ht="15" customHeight="1">
      <c r="A714" s="14"/>
      <c r="B714" s="14"/>
      <c r="F714" s="14"/>
      <c r="G714" s="23"/>
      <c r="H714" s="23"/>
      <c r="I714" s="23"/>
      <c r="J714" s="23"/>
      <c r="K714" s="14"/>
      <c r="L714" s="14"/>
      <c r="P714" s="14"/>
      <c r="AG714" s="44"/>
      <c r="AH714" s="44"/>
      <c r="AI714" s="45"/>
      <c r="AJ714" s="44"/>
      <c r="AK714" s="43"/>
      <c r="AS714" s="14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  <c r="FC714" s="18"/>
      <c r="FD714" s="18"/>
      <c r="FE714" s="18"/>
      <c r="FF714" s="18"/>
      <c r="FG714" s="18"/>
      <c r="FH714" s="18"/>
      <c r="FI714" s="18"/>
      <c r="FJ714" s="18"/>
      <c r="FK714" s="18"/>
      <c r="FL714" s="18"/>
      <c r="FM714" s="18"/>
      <c r="FN714" s="18"/>
      <c r="FO714" s="18"/>
      <c r="FP714" s="18"/>
      <c r="FQ714" s="18"/>
      <c r="FR714" s="18"/>
      <c r="FS714" s="18"/>
      <c r="FT714" s="18"/>
      <c r="FU714" s="18"/>
      <c r="FV714" s="18"/>
      <c r="FW714" s="18"/>
      <c r="FX714" s="18"/>
      <c r="FY714" s="18"/>
      <c r="FZ714" s="18"/>
      <c r="GA714" s="18"/>
      <c r="GB714" s="18"/>
      <c r="GC714" s="18"/>
      <c r="GD714" s="18"/>
      <c r="GE714" s="18"/>
      <c r="GF714" s="18"/>
      <c r="GG714" s="18"/>
      <c r="GH714" s="18"/>
      <c r="GI714" s="18"/>
      <c r="GJ714" s="18"/>
      <c r="GK714" s="18"/>
      <c r="GL714" s="18"/>
      <c r="GM714" s="18"/>
      <c r="GN714" s="18"/>
      <c r="GO714" s="18"/>
      <c r="GP714" s="18"/>
      <c r="GQ714" s="18"/>
      <c r="GR714" s="18"/>
      <c r="GS714" s="18"/>
      <c r="GT714" s="18"/>
      <c r="GU714" s="18"/>
      <c r="GV714" s="18"/>
      <c r="GW714" s="18"/>
      <c r="GX714" s="18"/>
      <c r="GY714" s="18"/>
      <c r="GZ714" s="18"/>
      <c r="HA714" s="18"/>
      <c r="HB714" s="18"/>
      <c r="HC714" s="18"/>
      <c r="HD714" s="18"/>
      <c r="HE714" s="18"/>
      <c r="HF714" s="18"/>
      <c r="HG714" s="13"/>
      <c r="HH714" s="13"/>
      <c r="HI714" s="13"/>
      <c r="HJ714" s="13"/>
      <c r="HK714" s="13"/>
      <c r="HL714" s="13"/>
      <c r="HM714" s="13"/>
      <c r="HN714" s="13"/>
      <c r="HO714" s="13"/>
      <c r="HP714" s="13"/>
      <c r="HQ714" s="13"/>
      <c r="HR714" s="13"/>
      <c r="HS714" s="13"/>
      <c r="HT714" s="13"/>
      <c r="HU714" s="18"/>
      <c r="HV714" s="18"/>
      <c r="HW714" s="18"/>
      <c r="HX714" s="18"/>
      <c r="HY714" s="18"/>
      <c r="HZ714" s="18"/>
      <c r="IA714" s="18"/>
      <c r="IB714" s="18"/>
      <c r="IC714" s="18"/>
      <c r="ID714" s="18"/>
      <c r="IE714" s="18"/>
      <c r="IF714" s="18"/>
      <c r="IG714" s="18"/>
      <c r="IH714" s="18"/>
      <c r="II714" s="18"/>
      <c r="IJ714" s="18"/>
      <c r="IK714" s="18"/>
      <c r="IL714" s="18"/>
      <c r="IM714" s="18"/>
      <c r="IN714" s="18"/>
      <c r="IO714" s="18"/>
      <c r="IP714" s="18"/>
      <c r="IQ714" s="18"/>
      <c r="IR714" s="18"/>
      <c r="IS714" s="18"/>
      <c r="IT714" s="18"/>
      <c r="IU714" s="18"/>
      <c r="IV714" s="18"/>
      <c r="IW714" s="18"/>
      <c r="IX714" s="18"/>
      <c r="IY714" s="18"/>
      <c r="IZ714" s="18"/>
      <c r="JA714" s="18"/>
      <c r="JB714" s="18"/>
      <c r="JC714" s="18"/>
      <c r="JD714" s="18"/>
      <c r="JE714" s="18"/>
      <c r="JF714" s="18"/>
      <c r="JG714" s="18"/>
      <c r="JH714" s="18"/>
      <c r="JI714" s="18"/>
      <c r="JJ714" s="18"/>
      <c r="JK714" s="18"/>
      <c r="JL714" s="18"/>
      <c r="JM714" s="18"/>
      <c r="JN714" s="18"/>
      <c r="JO714" s="18"/>
      <c r="JP714" s="18"/>
      <c r="JQ714" s="18"/>
      <c r="JR714" s="18"/>
      <c r="JS714" s="18"/>
      <c r="JT714" s="18"/>
      <c r="JU714" s="18"/>
      <c r="JV714" s="18"/>
      <c r="JW714" s="18"/>
      <c r="JX714" s="18"/>
      <c r="JY714" s="18"/>
      <c r="JZ714" s="18"/>
      <c r="KA714" s="18"/>
      <c r="KB714" s="18"/>
      <c r="KC714" s="18"/>
      <c r="KD714" s="18"/>
      <c r="KE714" s="18"/>
      <c r="KF714" s="18"/>
      <c r="KG714" s="18"/>
      <c r="KH714" s="18"/>
      <c r="KI714" s="18"/>
      <c r="KJ714" s="18"/>
      <c r="KK714" s="18"/>
      <c r="KL714" s="18"/>
      <c r="KM714" s="18"/>
      <c r="KN714" s="18"/>
      <c r="KO714" s="18"/>
      <c r="KP714" s="18"/>
    </row>
    <row r="715" spans="1:302" ht="15" customHeight="1">
      <c r="A715" s="14"/>
      <c r="B715" s="14"/>
      <c r="F715" s="14"/>
      <c r="G715" s="23"/>
      <c r="H715" s="23"/>
      <c r="I715" s="23"/>
      <c r="J715" s="23"/>
      <c r="K715" s="14"/>
      <c r="L715" s="14"/>
      <c r="P715" s="14"/>
      <c r="AG715" s="44"/>
      <c r="AH715" s="44"/>
      <c r="AI715" s="45"/>
      <c r="AJ715" s="44"/>
      <c r="AK715" s="43"/>
      <c r="AS715" s="14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  <c r="FC715" s="18"/>
      <c r="FD715" s="18"/>
      <c r="FE715" s="18"/>
      <c r="FF715" s="18"/>
      <c r="FG715" s="18"/>
      <c r="FH715" s="18"/>
      <c r="FI715" s="18"/>
      <c r="FJ715" s="18"/>
      <c r="FK715" s="18"/>
      <c r="FL715" s="18"/>
      <c r="FM715" s="18"/>
      <c r="FN715" s="18"/>
      <c r="FO715" s="18"/>
      <c r="FP715" s="18"/>
      <c r="FQ715" s="18"/>
      <c r="FR715" s="18"/>
      <c r="FS715" s="18"/>
      <c r="FT715" s="18"/>
      <c r="FU715" s="18"/>
      <c r="FV715" s="18"/>
      <c r="FW715" s="18"/>
      <c r="FX715" s="18"/>
      <c r="FY715" s="18"/>
      <c r="FZ715" s="18"/>
      <c r="GA715" s="18"/>
      <c r="GB715" s="18"/>
      <c r="GC715" s="18"/>
      <c r="GD715" s="18"/>
      <c r="GE715" s="18"/>
      <c r="GF715" s="18"/>
      <c r="GG715" s="18"/>
      <c r="GH715" s="18"/>
      <c r="GI715" s="18"/>
      <c r="GJ715" s="18"/>
      <c r="GK715" s="18"/>
      <c r="GL715" s="18"/>
      <c r="GM715" s="18"/>
      <c r="GN715" s="18"/>
      <c r="GO715" s="18"/>
      <c r="GP715" s="18"/>
      <c r="GQ715" s="18"/>
      <c r="GR715" s="18"/>
      <c r="GS715" s="18"/>
      <c r="GT715" s="18"/>
      <c r="GU715" s="18"/>
      <c r="GV715" s="18"/>
      <c r="GW715" s="18"/>
      <c r="GX715" s="18"/>
      <c r="GY715" s="18"/>
      <c r="GZ715" s="18"/>
      <c r="HA715" s="18"/>
      <c r="HB715" s="18"/>
      <c r="HC715" s="18"/>
      <c r="HD715" s="18"/>
      <c r="HE715" s="18"/>
      <c r="HF715" s="18"/>
      <c r="HG715" s="13"/>
      <c r="HH715" s="13"/>
      <c r="HI715" s="13"/>
      <c r="HJ715" s="13"/>
      <c r="HK715" s="13"/>
      <c r="HL715" s="13"/>
      <c r="HM715" s="13"/>
      <c r="HN715" s="13"/>
      <c r="HO715" s="13"/>
      <c r="HP715" s="13"/>
      <c r="HQ715" s="13"/>
      <c r="HR715" s="13"/>
      <c r="HS715" s="13"/>
      <c r="HT715" s="13"/>
      <c r="HU715" s="18"/>
      <c r="HV715" s="18"/>
      <c r="HW715" s="18"/>
      <c r="HX715" s="18"/>
      <c r="HY715" s="18"/>
      <c r="HZ715" s="18"/>
      <c r="IA715" s="18"/>
      <c r="IB715" s="18"/>
      <c r="IC715" s="18"/>
      <c r="ID715" s="18"/>
      <c r="IE715" s="18"/>
      <c r="IF715" s="18"/>
      <c r="IG715" s="18"/>
      <c r="IH715" s="18"/>
      <c r="II715" s="18"/>
      <c r="IJ715" s="18"/>
      <c r="IK715" s="18"/>
      <c r="IL715" s="18"/>
      <c r="IM715" s="18"/>
      <c r="IN715" s="18"/>
      <c r="IO715" s="18"/>
      <c r="IP715" s="18"/>
      <c r="IQ715" s="18"/>
      <c r="IR715" s="18"/>
      <c r="IS715" s="18"/>
      <c r="IT715" s="18"/>
      <c r="IU715" s="18"/>
      <c r="IV715" s="18"/>
      <c r="IW715" s="18"/>
      <c r="IX715" s="18"/>
      <c r="IY715" s="18"/>
      <c r="IZ715" s="18"/>
      <c r="JA715" s="18"/>
      <c r="JB715" s="18"/>
      <c r="JC715" s="18"/>
      <c r="JD715" s="18"/>
      <c r="JE715" s="18"/>
      <c r="JF715" s="18"/>
      <c r="JG715" s="18"/>
      <c r="JH715" s="18"/>
      <c r="JI715" s="18"/>
      <c r="JJ715" s="18"/>
      <c r="JK715" s="18"/>
      <c r="JL715" s="18"/>
      <c r="JM715" s="18"/>
      <c r="JN715" s="18"/>
      <c r="JO715" s="18"/>
      <c r="JP715" s="18"/>
      <c r="JQ715" s="18"/>
      <c r="JR715" s="18"/>
      <c r="JS715" s="18"/>
      <c r="JT715" s="18"/>
      <c r="JU715" s="18"/>
      <c r="JV715" s="18"/>
      <c r="JW715" s="18"/>
      <c r="JX715" s="18"/>
      <c r="JY715" s="18"/>
      <c r="JZ715" s="18"/>
      <c r="KA715" s="18"/>
      <c r="KB715" s="18"/>
      <c r="KC715" s="18"/>
      <c r="KD715" s="18"/>
      <c r="KE715" s="18"/>
      <c r="KF715" s="18"/>
      <c r="KG715" s="18"/>
      <c r="KH715" s="18"/>
      <c r="KI715" s="18"/>
      <c r="KJ715" s="18"/>
      <c r="KK715" s="18"/>
      <c r="KL715" s="18"/>
      <c r="KM715" s="18"/>
      <c r="KN715" s="18"/>
      <c r="KO715" s="18"/>
      <c r="KP715" s="18"/>
    </row>
    <row r="716" spans="1:302" ht="15" customHeight="1">
      <c r="A716" s="14"/>
      <c r="B716" s="14"/>
      <c r="F716" s="14"/>
      <c r="G716" s="23"/>
      <c r="H716" s="23"/>
      <c r="I716" s="23"/>
      <c r="J716" s="23"/>
      <c r="K716" s="14"/>
      <c r="L716" s="14"/>
      <c r="P716" s="14"/>
      <c r="AG716" s="44"/>
      <c r="AH716" s="44"/>
      <c r="AI716" s="45"/>
      <c r="AJ716" s="44"/>
      <c r="AK716" s="43"/>
      <c r="AS716" s="14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  <c r="FC716" s="18"/>
      <c r="FD716" s="18"/>
      <c r="FE716" s="18"/>
      <c r="FF716" s="18"/>
      <c r="FG716" s="18"/>
      <c r="FH716" s="18"/>
      <c r="FI716" s="18"/>
      <c r="FJ716" s="18"/>
      <c r="FK716" s="18"/>
      <c r="FL716" s="18"/>
      <c r="FM716" s="18"/>
      <c r="FN716" s="18"/>
      <c r="FO716" s="18"/>
      <c r="FP716" s="18"/>
      <c r="FQ716" s="18"/>
      <c r="FR716" s="18"/>
      <c r="FS716" s="18"/>
      <c r="FT716" s="18"/>
      <c r="FU716" s="18"/>
      <c r="FV716" s="18"/>
      <c r="FW716" s="18"/>
      <c r="FX716" s="18"/>
      <c r="FY716" s="18"/>
      <c r="FZ716" s="18"/>
      <c r="GA716" s="18"/>
      <c r="GB716" s="18"/>
      <c r="GC716" s="18"/>
      <c r="GD716" s="18"/>
      <c r="GE716" s="18"/>
      <c r="GF716" s="18"/>
      <c r="GG716" s="18"/>
      <c r="GH716" s="18"/>
      <c r="GI716" s="18"/>
      <c r="GJ716" s="18"/>
      <c r="GK716" s="18"/>
      <c r="GL716" s="18"/>
      <c r="GM716" s="18"/>
      <c r="GN716" s="18"/>
      <c r="GO716" s="18"/>
      <c r="GP716" s="18"/>
      <c r="GQ716" s="18"/>
      <c r="GR716" s="18"/>
      <c r="GS716" s="18"/>
      <c r="GT716" s="18"/>
      <c r="GU716" s="18"/>
      <c r="GV716" s="18"/>
      <c r="GW716" s="18"/>
      <c r="GX716" s="18"/>
      <c r="GY716" s="18"/>
      <c r="GZ716" s="18"/>
      <c r="HA716" s="18"/>
      <c r="HB716" s="18"/>
      <c r="HC716" s="18"/>
      <c r="HD716" s="18"/>
      <c r="HE716" s="18"/>
      <c r="HF716" s="18"/>
      <c r="HG716" s="13"/>
      <c r="HH716" s="13"/>
      <c r="HI716" s="13"/>
      <c r="HJ716" s="13"/>
      <c r="HK716" s="13"/>
      <c r="HL716" s="13"/>
      <c r="HM716" s="13"/>
      <c r="HN716" s="13"/>
      <c r="HO716" s="13"/>
      <c r="HP716" s="13"/>
      <c r="HQ716" s="13"/>
      <c r="HR716" s="13"/>
      <c r="HS716" s="13"/>
      <c r="HT716" s="13"/>
      <c r="HU716" s="18"/>
      <c r="HV716" s="18"/>
      <c r="HW716" s="18"/>
      <c r="HX716" s="18"/>
      <c r="HY716" s="18"/>
      <c r="HZ716" s="18"/>
      <c r="IA716" s="18"/>
      <c r="IB716" s="18"/>
      <c r="IC716" s="18"/>
      <c r="ID716" s="18"/>
      <c r="IE716" s="18"/>
      <c r="IF716" s="18"/>
      <c r="IG716" s="18"/>
      <c r="IH716" s="18"/>
      <c r="II716" s="18"/>
      <c r="IJ716" s="18"/>
      <c r="IK716" s="18"/>
      <c r="IL716" s="18"/>
      <c r="IM716" s="18"/>
      <c r="IN716" s="18"/>
      <c r="IO716" s="18"/>
      <c r="IP716" s="18"/>
      <c r="IQ716" s="18"/>
      <c r="IR716" s="18"/>
      <c r="IS716" s="18"/>
      <c r="IT716" s="18"/>
      <c r="IU716" s="18"/>
      <c r="IV716" s="18"/>
      <c r="IW716" s="18"/>
      <c r="IX716" s="18"/>
      <c r="IY716" s="18"/>
      <c r="IZ716" s="18"/>
      <c r="JA716" s="18"/>
      <c r="JB716" s="18"/>
      <c r="JC716" s="18"/>
      <c r="JD716" s="18"/>
      <c r="JE716" s="18"/>
      <c r="JF716" s="18"/>
      <c r="JG716" s="18"/>
      <c r="JH716" s="18"/>
      <c r="JI716" s="18"/>
      <c r="JJ716" s="18"/>
      <c r="JK716" s="18"/>
      <c r="JL716" s="18"/>
      <c r="JM716" s="18"/>
      <c r="JN716" s="18"/>
      <c r="JO716" s="18"/>
      <c r="JP716" s="18"/>
      <c r="JQ716" s="18"/>
      <c r="JR716" s="18"/>
      <c r="JS716" s="18"/>
      <c r="JT716" s="18"/>
      <c r="JU716" s="18"/>
      <c r="JV716" s="18"/>
      <c r="JW716" s="18"/>
      <c r="JX716" s="18"/>
      <c r="JY716" s="18"/>
      <c r="JZ716" s="18"/>
      <c r="KA716" s="18"/>
      <c r="KB716" s="18"/>
      <c r="KC716" s="18"/>
      <c r="KD716" s="18"/>
      <c r="KE716" s="18"/>
      <c r="KF716" s="18"/>
      <c r="KG716" s="18"/>
      <c r="KH716" s="18"/>
      <c r="KI716" s="18"/>
      <c r="KJ716" s="18"/>
      <c r="KK716" s="18"/>
      <c r="KL716" s="18"/>
      <c r="KM716" s="18"/>
      <c r="KN716" s="18"/>
      <c r="KO716" s="18"/>
      <c r="KP716" s="18"/>
    </row>
    <row r="717" spans="1:302" ht="15" customHeight="1">
      <c r="A717" s="14"/>
      <c r="B717" s="14"/>
      <c r="F717" s="14"/>
      <c r="G717" s="23"/>
      <c r="H717" s="23"/>
      <c r="I717" s="23"/>
      <c r="J717" s="23"/>
      <c r="K717" s="14"/>
      <c r="L717" s="14"/>
      <c r="P717" s="14"/>
      <c r="AG717" s="44"/>
      <c r="AH717" s="44"/>
      <c r="AI717" s="45"/>
      <c r="AJ717" s="44"/>
      <c r="AK717" s="43"/>
      <c r="AS717" s="14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  <c r="FC717" s="18"/>
      <c r="FD717" s="18"/>
      <c r="FE717" s="18"/>
      <c r="FF717" s="18"/>
      <c r="FG717" s="18"/>
      <c r="FH717" s="18"/>
      <c r="FI717" s="18"/>
      <c r="FJ717" s="18"/>
      <c r="FK717" s="18"/>
      <c r="FL717" s="18"/>
      <c r="FM717" s="18"/>
      <c r="FN717" s="18"/>
      <c r="FO717" s="18"/>
      <c r="FP717" s="18"/>
      <c r="FQ717" s="18"/>
      <c r="FR717" s="18"/>
      <c r="FS717" s="18"/>
      <c r="FT717" s="18"/>
      <c r="FU717" s="18"/>
      <c r="FV717" s="18"/>
      <c r="FW717" s="18"/>
      <c r="FX717" s="18"/>
      <c r="FY717" s="18"/>
      <c r="FZ717" s="18"/>
      <c r="GA717" s="18"/>
      <c r="GB717" s="18"/>
      <c r="GC717" s="18"/>
      <c r="GD717" s="18"/>
      <c r="GE717" s="18"/>
      <c r="GF717" s="18"/>
      <c r="GG717" s="18"/>
      <c r="GH717" s="18"/>
      <c r="GI717" s="18"/>
      <c r="GJ717" s="18"/>
      <c r="GK717" s="18"/>
      <c r="GL717" s="18"/>
      <c r="GM717" s="18"/>
      <c r="GN717" s="18"/>
      <c r="GO717" s="18"/>
      <c r="GP717" s="18"/>
      <c r="GQ717" s="18"/>
      <c r="GR717" s="18"/>
      <c r="GS717" s="18"/>
      <c r="GT717" s="18"/>
      <c r="GU717" s="18"/>
      <c r="GV717" s="18"/>
      <c r="GW717" s="18"/>
      <c r="GX717" s="18"/>
      <c r="GY717" s="18"/>
      <c r="GZ717" s="18"/>
      <c r="HA717" s="18"/>
      <c r="HB717" s="18"/>
      <c r="HC717" s="18"/>
      <c r="HD717" s="18"/>
      <c r="HE717" s="18"/>
      <c r="HF717" s="18"/>
      <c r="HG717" s="13"/>
      <c r="HH717" s="13"/>
      <c r="HI717" s="13"/>
      <c r="HJ717" s="13"/>
      <c r="HK717" s="13"/>
      <c r="HL717" s="13"/>
      <c r="HM717" s="13"/>
      <c r="HN717" s="13"/>
      <c r="HO717" s="13"/>
      <c r="HP717" s="13"/>
      <c r="HQ717" s="13"/>
      <c r="HR717" s="13"/>
      <c r="HS717" s="13"/>
      <c r="HT717" s="13"/>
      <c r="HU717" s="18"/>
      <c r="HV717" s="18"/>
      <c r="HW717" s="18"/>
      <c r="HX717" s="18"/>
      <c r="HY717" s="18"/>
      <c r="HZ717" s="18"/>
      <c r="IA717" s="18"/>
      <c r="IB717" s="18"/>
      <c r="IC717" s="18"/>
      <c r="ID717" s="18"/>
      <c r="IE717" s="18"/>
      <c r="IF717" s="18"/>
      <c r="IG717" s="18"/>
      <c r="IH717" s="18"/>
      <c r="II717" s="18"/>
      <c r="IJ717" s="18"/>
      <c r="IK717" s="18"/>
      <c r="IL717" s="18"/>
      <c r="IM717" s="18"/>
      <c r="IN717" s="18"/>
      <c r="IO717" s="18"/>
      <c r="IP717" s="18"/>
      <c r="IQ717" s="18"/>
      <c r="IR717" s="18"/>
      <c r="IS717" s="18"/>
      <c r="IT717" s="18"/>
      <c r="IU717" s="18"/>
      <c r="IV717" s="18"/>
      <c r="IW717" s="18"/>
      <c r="IX717" s="18"/>
      <c r="IY717" s="18"/>
      <c r="IZ717" s="18"/>
      <c r="JA717" s="18"/>
      <c r="JB717" s="18"/>
      <c r="JC717" s="18"/>
      <c r="JD717" s="18"/>
      <c r="JE717" s="18"/>
      <c r="JF717" s="18"/>
      <c r="JG717" s="18"/>
      <c r="JH717" s="18"/>
      <c r="JI717" s="18"/>
      <c r="JJ717" s="18"/>
      <c r="JK717" s="18"/>
      <c r="JL717" s="18"/>
      <c r="JM717" s="18"/>
      <c r="JN717" s="18"/>
      <c r="JO717" s="18"/>
      <c r="JP717" s="18"/>
      <c r="JQ717" s="18"/>
      <c r="JR717" s="18"/>
      <c r="JS717" s="18"/>
      <c r="JT717" s="18"/>
      <c r="JU717" s="18"/>
      <c r="JV717" s="18"/>
      <c r="JW717" s="18"/>
      <c r="JX717" s="18"/>
      <c r="JY717" s="18"/>
      <c r="JZ717" s="18"/>
      <c r="KA717" s="18"/>
      <c r="KB717" s="18"/>
      <c r="KC717" s="18"/>
      <c r="KD717" s="18"/>
      <c r="KE717" s="18"/>
      <c r="KF717" s="18"/>
      <c r="KG717" s="18"/>
      <c r="KH717" s="18"/>
      <c r="KI717" s="18"/>
      <c r="KJ717" s="18"/>
      <c r="KK717" s="18"/>
      <c r="KL717" s="18"/>
      <c r="KM717" s="18"/>
      <c r="KN717" s="18"/>
      <c r="KO717" s="18"/>
      <c r="KP717" s="18"/>
    </row>
    <row r="718" spans="1:302" ht="15" customHeight="1">
      <c r="A718" s="14"/>
      <c r="B718" s="14"/>
      <c r="F718" s="14"/>
      <c r="G718" s="23"/>
      <c r="H718" s="23"/>
      <c r="I718" s="23"/>
      <c r="J718" s="23"/>
      <c r="K718" s="14"/>
      <c r="L718" s="14"/>
      <c r="P718" s="14"/>
      <c r="AG718" s="44"/>
      <c r="AH718" s="44"/>
      <c r="AI718" s="45"/>
      <c r="AJ718" s="44"/>
      <c r="AK718" s="43"/>
      <c r="AS718" s="14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  <c r="FC718" s="18"/>
      <c r="FD718" s="18"/>
      <c r="FE718" s="18"/>
      <c r="FF718" s="18"/>
      <c r="FG718" s="18"/>
      <c r="FH718" s="18"/>
      <c r="FI718" s="18"/>
      <c r="FJ718" s="18"/>
      <c r="FK718" s="18"/>
      <c r="FL718" s="18"/>
      <c r="FM718" s="18"/>
      <c r="FN718" s="18"/>
      <c r="FO718" s="18"/>
      <c r="FP718" s="18"/>
      <c r="FQ718" s="18"/>
      <c r="FR718" s="18"/>
      <c r="FS718" s="18"/>
      <c r="FT718" s="18"/>
      <c r="FU718" s="18"/>
      <c r="FV718" s="18"/>
      <c r="FW718" s="18"/>
      <c r="FX718" s="18"/>
      <c r="FY718" s="18"/>
      <c r="FZ718" s="18"/>
      <c r="GA718" s="18"/>
      <c r="GB718" s="18"/>
      <c r="GC718" s="18"/>
      <c r="GD718" s="18"/>
      <c r="GE718" s="18"/>
      <c r="GF718" s="18"/>
      <c r="GG718" s="18"/>
      <c r="GH718" s="18"/>
      <c r="GI718" s="18"/>
      <c r="GJ718" s="18"/>
      <c r="GK718" s="18"/>
      <c r="GL718" s="18"/>
      <c r="GM718" s="18"/>
      <c r="GN718" s="18"/>
      <c r="GO718" s="18"/>
      <c r="GP718" s="18"/>
      <c r="GQ718" s="18"/>
      <c r="GR718" s="18"/>
      <c r="GS718" s="18"/>
      <c r="GT718" s="18"/>
      <c r="GU718" s="18"/>
      <c r="GV718" s="18"/>
      <c r="GW718" s="18"/>
      <c r="GX718" s="18"/>
      <c r="GY718" s="18"/>
      <c r="GZ718" s="18"/>
      <c r="HA718" s="18"/>
      <c r="HB718" s="18"/>
      <c r="HC718" s="18"/>
      <c r="HD718" s="18"/>
      <c r="HE718" s="18"/>
      <c r="HF718" s="18"/>
      <c r="HG718" s="13"/>
      <c r="HH718" s="13"/>
      <c r="HI718" s="13"/>
      <c r="HJ718" s="13"/>
      <c r="HK718" s="13"/>
      <c r="HL718" s="13"/>
      <c r="HM718" s="13"/>
      <c r="HN718" s="13"/>
      <c r="HO718" s="13"/>
      <c r="HP718" s="13"/>
      <c r="HQ718" s="13"/>
      <c r="HR718" s="13"/>
      <c r="HS718" s="13"/>
      <c r="HT718" s="13"/>
      <c r="HU718" s="18"/>
      <c r="HV718" s="18"/>
      <c r="HW718" s="18"/>
      <c r="HX718" s="18"/>
      <c r="HY718" s="18"/>
      <c r="HZ718" s="18"/>
      <c r="IA718" s="18"/>
      <c r="IB718" s="18"/>
      <c r="IC718" s="18"/>
      <c r="ID718" s="18"/>
      <c r="IE718" s="18"/>
      <c r="IF718" s="18"/>
      <c r="IG718" s="18"/>
      <c r="IH718" s="18"/>
      <c r="II718" s="18"/>
      <c r="IJ718" s="18"/>
      <c r="IK718" s="18"/>
      <c r="IL718" s="18"/>
      <c r="IM718" s="18"/>
      <c r="IN718" s="18"/>
      <c r="IO718" s="18"/>
      <c r="IP718" s="18"/>
      <c r="IQ718" s="18"/>
      <c r="IR718" s="18"/>
      <c r="IS718" s="18"/>
      <c r="IT718" s="18"/>
      <c r="IU718" s="18"/>
      <c r="IV718" s="18"/>
      <c r="IW718" s="18"/>
      <c r="IX718" s="18"/>
      <c r="IY718" s="18"/>
      <c r="IZ718" s="18"/>
      <c r="JA718" s="18"/>
      <c r="JB718" s="18"/>
      <c r="JC718" s="18"/>
      <c r="JD718" s="18"/>
      <c r="JE718" s="18"/>
      <c r="JF718" s="18"/>
      <c r="JG718" s="18"/>
      <c r="JH718" s="18"/>
      <c r="JI718" s="18"/>
      <c r="JJ718" s="18"/>
      <c r="JK718" s="18"/>
      <c r="JL718" s="18"/>
      <c r="JM718" s="18"/>
      <c r="JN718" s="18"/>
      <c r="JO718" s="18"/>
      <c r="JP718" s="18"/>
      <c r="JQ718" s="18"/>
      <c r="JR718" s="18"/>
      <c r="JS718" s="18"/>
      <c r="JT718" s="18"/>
      <c r="JU718" s="18"/>
      <c r="JV718" s="18"/>
      <c r="JW718" s="18"/>
      <c r="JX718" s="18"/>
      <c r="JY718" s="18"/>
      <c r="JZ718" s="18"/>
      <c r="KA718" s="18"/>
      <c r="KB718" s="18"/>
      <c r="KC718" s="18"/>
      <c r="KD718" s="18"/>
      <c r="KE718" s="18"/>
      <c r="KF718" s="18"/>
      <c r="KG718" s="18"/>
      <c r="KH718" s="18"/>
      <c r="KI718" s="18"/>
      <c r="KJ718" s="18"/>
      <c r="KK718" s="18"/>
      <c r="KL718" s="18"/>
      <c r="KM718" s="18"/>
      <c r="KN718" s="18"/>
      <c r="KO718" s="18"/>
      <c r="KP718" s="18"/>
    </row>
    <row r="719" spans="1:302" ht="15" customHeight="1">
      <c r="A719" s="14"/>
      <c r="B719" s="14"/>
      <c r="F719" s="14"/>
      <c r="G719" s="23"/>
      <c r="H719" s="23"/>
      <c r="I719" s="23"/>
      <c r="J719" s="23"/>
      <c r="K719" s="14"/>
      <c r="L719" s="14"/>
      <c r="P719" s="14"/>
      <c r="AG719" s="44"/>
      <c r="AH719" s="44"/>
      <c r="AI719" s="45"/>
      <c r="AJ719" s="44"/>
      <c r="AK719" s="43"/>
      <c r="AS719" s="14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  <c r="FR719" s="18"/>
      <c r="FS719" s="18"/>
      <c r="FT719" s="18"/>
      <c r="FU719" s="18"/>
      <c r="FV719" s="18"/>
      <c r="FW719" s="18"/>
      <c r="FX719" s="18"/>
      <c r="FY719" s="18"/>
      <c r="FZ719" s="18"/>
      <c r="GA719" s="18"/>
      <c r="GB719" s="18"/>
      <c r="GC719" s="18"/>
      <c r="GD719" s="18"/>
      <c r="GE719" s="18"/>
      <c r="GF719" s="18"/>
      <c r="GG719" s="18"/>
      <c r="GH719" s="18"/>
      <c r="GI719" s="18"/>
      <c r="GJ719" s="18"/>
      <c r="GK719" s="18"/>
      <c r="GL719" s="18"/>
      <c r="GM719" s="18"/>
      <c r="GN719" s="18"/>
      <c r="GO719" s="18"/>
      <c r="GP719" s="18"/>
      <c r="GQ719" s="18"/>
      <c r="GR719" s="18"/>
      <c r="GS719" s="18"/>
      <c r="GT719" s="18"/>
      <c r="GU719" s="18"/>
      <c r="GV719" s="18"/>
      <c r="GW719" s="18"/>
      <c r="GX719" s="18"/>
      <c r="GY719" s="18"/>
      <c r="GZ719" s="18"/>
      <c r="HA719" s="18"/>
      <c r="HB719" s="18"/>
      <c r="HC719" s="18"/>
      <c r="HD719" s="18"/>
      <c r="HE719" s="18"/>
      <c r="HF719" s="18"/>
      <c r="HG719" s="13"/>
      <c r="HH719" s="13"/>
      <c r="HI719" s="13"/>
      <c r="HJ719" s="13"/>
      <c r="HK719" s="13"/>
      <c r="HL719" s="13"/>
      <c r="HM719" s="13"/>
      <c r="HN719" s="13"/>
      <c r="HO719" s="13"/>
      <c r="HP719" s="13"/>
      <c r="HQ719" s="13"/>
      <c r="HR719" s="13"/>
      <c r="HS719" s="13"/>
      <c r="HT719" s="13"/>
      <c r="HU719" s="18"/>
      <c r="HV719" s="18"/>
      <c r="HW719" s="18"/>
      <c r="HX719" s="18"/>
      <c r="HY719" s="18"/>
      <c r="HZ719" s="18"/>
      <c r="IA719" s="18"/>
      <c r="IB719" s="18"/>
      <c r="IC719" s="18"/>
      <c r="ID719" s="18"/>
      <c r="IE719" s="18"/>
      <c r="IF719" s="18"/>
      <c r="IG719" s="18"/>
      <c r="IH719" s="18"/>
      <c r="II719" s="18"/>
      <c r="IJ719" s="18"/>
      <c r="IK719" s="18"/>
      <c r="IL719" s="18"/>
      <c r="IM719" s="18"/>
      <c r="IN719" s="18"/>
      <c r="IO719" s="18"/>
      <c r="IP719" s="18"/>
      <c r="IQ719" s="18"/>
      <c r="IR719" s="18"/>
      <c r="IS719" s="18"/>
      <c r="IT719" s="18"/>
      <c r="IU719" s="18"/>
      <c r="IV719" s="18"/>
      <c r="IW719" s="18"/>
      <c r="IX719" s="18"/>
      <c r="IY719" s="18"/>
      <c r="IZ719" s="18"/>
      <c r="JA719" s="18"/>
      <c r="JB719" s="18"/>
      <c r="JC719" s="18"/>
      <c r="JD719" s="18"/>
      <c r="JE719" s="18"/>
      <c r="JF719" s="18"/>
      <c r="JG719" s="18"/>
      <c r="JH719" s="18"/>
      <c r="JI719" s="18"/>
      <c r="JJ719" s="18"/>
      <c r="JK719" s="18"/>
      <c r="JL719" s="18"/>
      <c r="JM719" s="18"/>
      <c r="JN719" s="18"/>
      <c r="JO719" s="18"/>
      <c r="JP719" s="18"/>
      <c r="JQ719" s="18"/>
      <c r="JR719" s="18"/>
      <c r="JS719" s="18"/>
      <c r="JT719" s="18"/>
      <c r="JU719" s="18"/>
      <c r="JV719" s="18"/>
      <c r="JW719" s="18"/>
      <c r="JX719" s="18"/>
      <c r="JY719" s="18"/>
      <c r="JZ719" s="18"/>
      <c r="KA719" s="18"/>
      <c r="KB719" s="18"/>
      <c r="KC719" s="18"/>
      <c r="KD719" s="18"/>
      <c r="KE719" s="18"/>
      <c r="KF719" s="18"/>
      <c r="KG719" s="18"/>
      <c r="KH719" s="18"/>
      <c r="KI719" s="18"/>
      <c r="KJ719" s="18"/>
      <c r="KK719" s="18"/>
      <c r="KL719" s="18"/>
      <c r="KM719" s="18"/>
      <c r="KN719" s="18"/>
      <c r="KO719" s="18"/>
      <c r="KP719" s="18"/>
    </row>
    <row r="720" spans="1:302" ht="15" customHeight="1">
      <c r="A720" s="14"/>
      <c r="B720" s="14"/>
      <c r="F720" s="14"/>
      <c r="G720" s="23"/>
      <c r="H720" s="23"/>
      <c r="I720" s="23"/>
      <c r="J720" s="23"/>
      <c r="K720" s="14"/>
      <c r="L720" s="14"/>
      <c r="P720" s="14"/>
      <c r="AG720" s="44"/>
      <c r="AH720" s="44"/>
      <c r="AI720" s="45"/>
      <c r="AJ720" s="44"/>
      <c r="AK720" s="43"/>
      <c r="AS720" s="14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  <c r="FC720" s="18"/>
      <c r="FD720" s="18"/>
      <c r="FE720" s="18"/>
      <c r="FF720" s="18"/>
      <c r="FG720" s="18"/>
      <c r="FH720" s="18"/>
      <c r="FI720" s="18"/>
      <c r="FJ720" s="18"/>
      <c r="FK720" s="18"/>
      <c r="FL720" s="18"/>
      <c r="FM720" s="18"/>
      <c r="FN720" s="18"/>
      <c r="FO720" s="18"/>
      <c r="FP720" s="18"/>
      <c r="FQ720" s="18"/>
      <c r="FR720" s="18"/>
      <c r="FS720" s="18"/>
      <c r="FT720" s="18"/>
      <c r="FU720" s="18"/>
      <c r="FV720" s="18"/>
      <c r="FW720" s="18"/>
      <c r="FX720" s="18"/>
      <c r="FY720" s="18"/>
      <c r="FZ720" s="18"/>
      <c r="GA720" s="18"/>
      <c r="GB720" s="18"/>
      <c r="GC720" s="18"/>
      <c r="GD720" s="18"/>
      <c r="GE720" s="18"/>
      <c r="GF720" s="18"/>
      <c r="GG720" s="18"/>
      <c r="GH720" s="18"/>
      <c r="GI720" s="18"/>
      <c r="GJ720" s="18"/>
      <c r="GK720" s="18"/>
      <c r="GL720" s="18"/>
      <c r="GM720" s="18"/>
      <c r="GN720" s="18"/>
      <c r="GO720" s="18"/>
      <c r="GP720" s="18"/>
      <c r="GQ720" s="18"/>
      <c r="GR720" s="18"/>
      <c r="GS720" s="18"/>
      <c r="GT720" s="18"/>
      <c r="GU720" s="18"/>
      <c r="GV720" s="18"/>
      <c r="GW720" s="18"/>
      <c r="GX720" s="18"/>
      <c r="GY720" s="18"/>
      <c r="GZ720" s="18"/>
      <c r="HA720" s="18"/>
      <c r="HB720" s="18"/>
      <c r="HC720" s="18"/>
      <c r="HD720" s="18"/>
      <c r="HE720" s="18"/>
      <c r="HF720" s="18"/>
      <c r="HG720" s="13"/>
      <c r="HH720" s="13"/>
      <c r="HI720" s="13"/>
      <c r="HJ720" s="13"/>
      <c r="HK720" s="13"/>
      <c r="HL720" s="13"/>
      <c r="HM720" s="13"/>
      <c r="HN720" s="13"/>
      <c r="HO720" s="13"/>
      <c r="HP720" s="13"/>
      <c r="HQ720" s="13"/>
      <c r="HR720" s="13"/>
      <c r="HS720" s="13"/>
      <c r="HT720" s="13"/>
      <c r="HU720" s="18"/>
      <c r="HV720" s="18"/>
      <c r="HW720" s="18"/>
      <c r="HX720" s="18"/>
      <c r="HY720" s="18"/>
      <c r="HZ720" s="18"/>
      <c r="IA720" s="18"/>
      <c r="IB720" s="18"/>
      <c r="IC720" s="18"/>
      <c r="ID720" s="18"/>
      <c r="IE720" s="18"/>
      <c r="IF720" s="18"/>
      <c r="IG720" s="18"/>
      <c r="IH720" s="18"/>
      <c r="II720" s="18"/>
      <c r="IJ720" s="18"/>
      <c r="IK720" s="18"/>
      <c r="IL720" s="18"/>
      <c r="IM720" s="18"/>
      <c r="IN720" s="18"/>
      <c r="IO720" s="18"/>
      <c r="IP720" s="18"/>
      <c r="IQ720" s="18"/>
      <c r="IR720" s="18"/>
      <c r="IS720" s="18"/>
      <c r="IT720" s="18"/>
      <c r="IU720" s="18"/>
      <c r="IV720" s="18"/>
      <c r="IW720" s="18"/>
      <c r="IX720" s="18"/>
      <c r="IY720" s="18"/>
      <c r="IZ720" s="18"/>
      <c r="JA720" s="18"/>
      <c r="JB720" s="18"/>
      <c r="JC720" s="18"/>
      <c r="JD720" s="18"/>
      <c r="JE720" s="18"/>
      <c r="JF720" s="18"/>
      <c r="JG720" s="18"/>
      <c r="JH720" s="18"/>
      <c r="JI720" s="18"/>
      <c r="JJ720" s="18"/>
      <c r="JK720" s="18"/>
      <c r="JL720" s="18"/>
      <c r="JM720" s="18"/>
      <c r="JN720" s="18"/>
      <c r="JO720" s="18"/>
      <c r="JP720" s="18"/>
      <c r="JQ720" s="18"/>
      <c r="JR720" s="18"/>
      <c r="JS720" s="18"/>
      <c r="JT720" s="18"/>
      <c r="JU720" s="18"/>
      <c r="JV720" s="18"/>
      <c r="JW720" s="18"/>
      <c r="JX720" s="18"/>
      <c r="JY720" s="18"/>
      <c r="JZ720" s="18"/>
      <c r="KA720" s="18"/>
      <c r="KB720" s="18"/>
      <c r="KC720" s="18"/>
      <c r="KD720" s="18"/>
      <c r="KE720" s="18"/>
      <c r="KF720" s="18"/>
      <c r="KG720" s="18"/>
      <c r="KH720" s="18"/>
      <c r="KI720" s="18"/>
      <c r="KJ720" s="18"/>
      <c r="KK720" s="18"/>
      <c r="KL720" s="18"/>
      <c r="KM720" s="18"/>
      <c r="KN720" s="18"/>
      <c r="KO720" s="18"/>
      <c r="KP720" s="18"/>
    </row>
    <row r="721" spans="1:302" ht="15" customHeight="1">
      <c r="A721" s="14"/>
      <c r="B721" s="14"/>
      <c r="F721" s="14"/>
      <c r="G721" s="23"/>
      <c r="H721" s="23"/>
      <c r="I721" s="23"/>
      <c r="J721" s="23"/>
      <c r="K721" s="14"/>
      <c r="L721" s="14"/>
      <c r="P721" s="14"/>
      <c r="AG721" s="44"/>
      <c r="AH721" s="44"/>
      <c r="AI721" s="45"/>
      <c r="AJ721" s="44"/>
      <c r="AK721" s="43"/>
      <c r="AS721" s="14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  <c r="FC721" s="18"/>
      <c r="FD721" s="18"/>
      <c r="FE721" s="18"/>
      <c r="FF721" s="18"/>
      <c r="FG721" s="18"/>
      <c r="FH721" s="18"/>
      <c r="FI721" s="18"/>
      <c r="FJ721" s="18"/>
      <c r="FK721" s="18"/>
      <c r="FL721" s="18"/>
      <c r="FM721" s="18"/>
      <c r="FN721" s="18"/>
      <c r="FO721" s="18"/>
      <c r="FP721" s="18"/>
      <c r="FQ721" s="18"/>
      <c r="FR721" s="18"/>
      <c r="FS721" s="18"/>
      <c r="FT721" s="18"/>
      <c r="FU721" s="18"/>
      <c r="FV721" s="18"/>
      <c r="FW721" s="18"/>
      <c r="FX721" s="18"/>
      <c r="FY721" s="18"/>
      <c r="FZ721" s="18"/>
      <c r="GA721" s="18"/>
      <c r="GB721" s="18"/>
      <c r="GC721" s="18"/>
      <c r="GD721" s="18"/>
      <c r="GE721" s="18"/>
      <c r="GF721" s="18"/>
      <c r="GG721" s="18"/>
      <c r="GH721" s="18"/>
      <c r="GI721" s="18"/>
      <c r="GJ721" s="18"/>
      <c r="GK721" s="18"/>
      <c r="GL721" s="18"/>
      <c r="GM721" s="18"/>
      <c r="GN721" s="18"/>
      <c r="GO721" s="18"/>
      <c r="GP721" s="18"/>
      <c r="GQ721" s="18"/>
      <c r="GR721" s="18"/>
      <c r="GS721" s="18"/>
      <c r="GT721" s="18"/>
      <c r="GU721" s="18"/>
      <c r="GV721" s="18"/>
      <c r="GW721" s="18"/>
      <c r="GX721" s="18"/>
      <c r="GY721" s="18"/>
      <c r="GZ721" s="18"/>
      <c r="HA721" s="18"/>
      <c r="HB721" s="18"/>
      <c r="HC721" s="18"/>
      <c r="HD721" s="18"/>
      <c r="HE721" s="18"/>
      <c r="HF721" s="18"/>
      <c r="HG721" s="13"/>
      <c r="HH721" s="13"/>
      <c r="HI721" s="13"/>
      <c r="HJ721" s="13"/>
      <c r="HK721" s="13"/>
      <c r="HL721" s="13"/>
      <c r="HM721" s="13"/>
      <c r="HN721" s="13"/>
      <c r="HO721" s="13"/>
      <c r="HP721" s="13"/>
      <c r="HQ721" s="13"/>
      <c r="HR721" s="13"/>
      <c r="HS721" s="13"/>
      <c r="HT721" s="13"/>
      <c r="HU721" s="18"/>
      <c r="HV721" s="18"/>
      <c r="HW721" s="18"/>
      <c r="HX721" s="18"/>
      <c r="HY721" s="18"/>
      <c r="HZ721" s="18"/>
      <c r="IA721" s="18"/>
      <c r="IB721" s="18"/>
      <c r="IC721" s="18"/>
      <c r="ID721" s="18"/>
      <c r="IE721" s="18"/>
      <c r="IF721" s="18"/>
      <c r="IG721" s="18"/>
      <c r="IH721" s="18"/>
      <c r="II721" s="18"/>
      <c r="IJ721" s="18"/>
      <c r="IK721" s="18"/>
      <c r="IL721" s="18"/>
      <c r="IM721" s="18"/>
      <c r="IN721" s="18"/>
      <c r="IO721" s="18"/>
      <c r="IP721" s="18"/>
      <c r="IQ721" s="18"/>
      <c r="IR721" s="18"/>
      <c r="IS721" s="18"/>
      <c r="IT721" s="18"/>
      <c r="IU721" s="18"/>
      <c r="IV721" s="18"/>
      <c r="IW721" s="18"/>
      <c r="IX721" s="18"/>
      <c r="IY721" s="18"/>
      <c r="IZ721" s="18"/>
      <c r="JA721" s="18"/>
      <c r="JB721" s="18"/>
      <c r="JC721" s="18"/>
      <c r="JD721" s="18"/>
      <c r="JE721" s="18"/>
      <c r="JF721" s="18"/>
      <c r="JG721" s="18"/>
      <c r="JH721" s="18"/>
      <c r="JI721" s="18"/>
      <c r="JJ721" s="18"/>
      <c r="JK721" s="18"/>
      <c r="JL721" s="18"/>
      <c r="JM721" s="18"/>
      <c r="JN721" s="18"/>
      <c r="JO721" s="18"/>
      <c r="JP721" s="18"/>
      <c r="JQ721" s="18"/>
      <c r="JR721" s="18"/>
      <c r="JS721" s="18"/>
      <c r="JT721" s="18"/>
      <c r="JU721" s="18"/>
      <c r="JV721" s="18"/>
      <c r="JW721" s="18"/>
      <c r="JX721" s="18"/>
      <c r="JY721" s="18"/>
      <c r="JZ721" s="18"/>
      <c r="KA721" s="18"/>
      <c r="KB721" s="18"/>
      <c r="KC721" s="18"/>
      <c r="KD721" s="18"/>
      <c r="KE721" s="18"/>
      <c r="KF721" s="18"/>
      <c r="KG721" s="18"/>
      <c r="KH721" s="18"/>
      <c r="KI721" s="18"/>
      <c r="KJ721" s="18"/>
      <c r="KK721" s="18"/>
      <c r="KL721" s="18"/>
      <c r="KM721" s="18"/>
      <c r="KN721" s="18"/>
      <c r="KO721" s="18"/>
      <c r="KP721" s="18"/>
    </row>
    <row r="722" spans="1:302" ht="15" customHeight="1">
      <c r="A722" s="14"/>
      <c r="B722" s="14"/>
      <c r="F722" s="14"/>
      <c r="G722" s="23"/>
      <c r="H722" s="23"/>
      <c r="I722" s="23"/>
      <c r="J722" s="23"/>
      <c r="K722" s="14"/>
      <c r="L722" s="14"/>
      <c r="P722" s="14"/>
      <c r="AG722" s="44"/>
      <c r="AH722" s="44"/>
      <c r="AI722" s="45"/>
      <c r="AJ722" s="44"/>
      <c r="AK722" s="43"/>
      <c r="AS722" s="14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  <c r="FC722" s="18"/>
      <c r="FD722" s="18"/>
      <c r="FE722" s="18"/>
      <c r="FF722" s="18"/>
      <c r="FG722" s="18"/>
      <c r="FH722" s="18"/>
      <c r="FI722" s="18"/>
      <c r="FJ722" s="18"/>
      <c r="FK722" s="18"/>
      <c r="FL722" s="18"/>
      <c r="FM722" s="18"/>
      <c r="FN722" s="18"/>
      <c r="FO722" s="18"/>
      <c r="FP722" s="18"/>
      <c r="FQ722" s="18"/>
      <c r="FR722" s="18"/>
      <c r="FS722" s="18"/>
      <c r="FT722" s="18"/>
      <c r="FU722" s="18"/>
      <c r="FV722" s="18"/>
      <c r="FW722" s="18"/>
      <c r="FX722" s="18"/>
      <c r="FY722" s="18"/>
      <c r="FZ722" s="18"/>
      <c r="GA722" s="18"/>
      <c r="GB722" s="18"/>
      <c r="GC722" s="18"/>
      <c r="GD722" s="18"/>
      <c r="GE722" s="18"/>
      <c r="GF722" s="18"/>
      <c r="GG722" s="18"/>
      <c r="GH722" s="18"/>
      <c r="GI722" s="18"/>
      <c r="GJ722" s="18"/>
      <c r="GK722" s="18"/>
      <c r="GL722" s="18"/>
      <c r="GM722" s="18"/>
      <c r="GN722" s="18"/>
      <c r="GO722" s="18"/>
      <c r="GP722" s="18"/>
      <c r="GQ722" s="18"/>
      <c r="GR722" s="18"/>
      <c r="GS722" s="18"/>
      <c r="GT722" s="18"/>
      <c r="GU722" s="18"/>
      <c r="GV722" s="18"/>
      <c r="GW722" s="18"/>
      <c r="GX722" s="18"/>
      <c r="GY722" s="18"/>
      <c r="GZ722" s="18"/>
      <c r="HA722" s="18"/>
      <c r="HB722" s="18"/>
      <c r="HC722" s="18"/>
      <c r="HD722" s="18"/>
      <c r="HE722" s="18"/>
      <c r="HF722" s="18"/>
      <c r="HG722" s="13"/>
      <c r="HH722" s="13"/>
      <c r="HI722" s="13"/>
      <c r="HJ722" s="13"/>
      <c r="HK722" s="13"/>
      <c r="HL722" s="13"/>
      <c r="HM722" s="13"/>
      <c r="HN722" s="13"/>
      <c r="HO722" s="13"/>
      <c r="HP722" s="13"/>
      <c r="HQ722" s="13"/>
      <c r="HR722" s="13"/>
      <c r="HS722" s="13"/>
      <c r="HT722" s="13"/>
      <c r="HU722" s="18"/>
      <c r="HV722" s="18"/>
      <c r="HW722" s="18"/>
      <c r="HX722" s="18"/>
      <c r="HY722" s="18"/>
      <c r="HZ722" s="18"/>
      <c r="IA722" s="18"/>
      <c r="IB722" s="18"/>
      <c r="IC722" s="18"/>
      <c r="ID722" s="18"/>
      <c r="IE722" s="18"/>
      <c r="IF722" s="18"/>
      <c r="IG722" s="18"/>
      <c r="IH722" s="18"/>
      <c r="II722" s="18"/>
      <c r="IJ722" s="18"/>
      <c r="IK722" s="18"/>
      <c r="IL722" s="18"/>
      <c r="IM722" s="18"/>
      <c r="IN722" s="18"/>
      <c r="IO722" s="18"/>
      <c r="IP722" s="18"/>
      <c r="IQ722" s="18"/>
      <c r="IR722" s="18"/>
      <c r="IS722" s="18"/>
      <c r="IT722" s="18"/>
      <c r="IU722" s="18"/>
      <c r="IV722" s="18"/>
      <c r="IW722" s="18"/>
      <c r="IX722" s="18"/>
      <c r="IY722" s="18"/>
      <c r="IZ722" s="18"/>
      <c r="JA722" s="18"/>
      <c r="JB722" s="18"/>
      <c r="JC722" s="18"/>
      <c r="JD722" s="18"/>
      <c r="JE722" s="18"/>
      <c r="JF722" s="18"/>
      <c r="JG722" s="18"/>
      <c r="JH722" s="18"/>
      <c r="JI722" s="18"/>
      <c r="JJ722" s="18"/>
      <c r="JK722" s="18"/>
      <c r="JL722" s="18"/>
      <c r="JM722" s="18"/>
      <c r="JN722" s="18"/>
      <c r="JO722" s="18"/>
      <c r="JP722" s="18"/>
      <c r="JQ722" s="18"/>
      <c r="JR722" s="18"/>
      <c r="JS722" s="18"/>
      <c r="JT722" s="18"/>
      <c r="JU722" s="18"/>
      <c r="JV722" s="18"/>
      <c r="JW722" s="18"/>
      <c r="JX722" s="18"/>
      <c r="JY722" s="18"/>
      <c r="JZ722" s="18"/>
      <c r="KA722" s="18"/>
      <c r="KB722" s="18"/>
      <c r="KC722" s="18"/>
      <c r="KD722" s="18"/>
      <c r="KE722" s="18"/>
      <c r="KF722" s="18"/>
      <c r="KG722" s="18"/>
      <c r="KH722" s="18"/>
      <c r="KI722" s="18"/>
      <c r="KJ722" s="18"/>
      <c r="KK722" s="18"/>
      <c r="KL722" s="18"/>
      <c r="KM722" s="18"/>
      <c r="KN722" s="18"/>
      <c r="KO722" s="18"/>
      <c r="KP722" s="18"/>
    </row>
    <row r="723" spans="1:302" ht="15" customHeight="1">
      <c r="A723" s="14"/>
      <c r="B723" s="14"/>
      <c r="F723" s="14"/>
      <c r="G723" s="23"/>
      <c r="H723" s="23"/>
      <c r="I723" s="23"/>
      <c r="J723" s="23"/>
      <c r="K723" s="14"/>
      <c r="L723" s="14"/>
      <c r="P723" s="14"/>
      <c r="AG723" s="44"/>
      <c r="AH723" s="44"/>
      <c r="AI723" s="45"/>
      <c r="AJ723" s="44"/>
      <c r="AK723" s="43"/>
      <c r="AS723" s="14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  <c r="FC723" s="18"/>
      <c r="FD723" s="18"/>
      <c r="FE723" s="18"/>
      <c r="FF723" s="18"/>
      <c r="FG723" s="18"/>
      <c r="FH723" s="18"/>
      <c r="FI723" s="18"/>
      <c r="FJ723" s="18"/>
      <c r="FK723" s="18"/>
      <c r="FL723" s="18"/>
      <c r="FM723" s="18"/>
      <c r="FN723" s="18"/>
      <c r="FO723" s="18"/>
      <c r="FP723" s="18"/>
      <c r="FQ723" s="18"/>
      <c r="FR723" s="18"/>
      <c r="FS723" s="18"/>
      <c r="FT723" s="18"/>
      <c r="FU723" s="18"/>
      <c r="FV723" s="18"/>
      <c r="FW723" s="18"/>
      <c r="FX723" s="18"/>
      <c r="FY723" s="18"/>
      <c r="FZ723" s="18"/>
      <c r="GA723" s="18"/>
      <c r="GB723" s="18"/>
      <c r="GC723" s="18"/>
      <c r="GD723" s="18"/>
      <c r="GE723" s="18"/>
      <c r="GF723" s="18"/>
      <c r="GG723" s="18"/>
      <c r="GH723" s="18"/>
      <c r="GI723" s="18"/>
      <c r="GJ723" s="18"/>
      <c r="GK723" s="18"/>
      <c r="GL723" s="18"/>
      <c r="GM723" s="18"/>
      <c r="GN723" s="18"/>
      <c r="GO723" s="18"/>
      <c r="GP723" s="18"/>
      <c r="GQ723" s="18"/>
      <c r="GR723" s="18"/>
      <c r="GS723" s="18"/>
      <c r="GT723" s="18"/>
      <c r="GU723" s="18"/>
      <c r="GV723" s="18"/>
      <c r="GW723" s="18"/>
      <c r="GX723" s="18"/>
      <c r="GY723" s="18"/>
      <c r="GZ723" s="18"/>
      <c r="HA723" s="18"/>
      <c r="HB723" s="18"/>
      <c r="HC723" s="18"/>
      <c r="HD723" s="18"/>
      <c r="HE723" s="18"/>
      <c r="HF723" s="18"/>
      <c r="HG723" s="13"/>
      <c r="HH723" s="13"/>
      <c r="HI723" s="13"/>
      <c r="HJ723" s="13"/>
      <c r="HK723" s="13"/>
      <c r="HL723" s="13"/>
      <c r="HM723" s="13"/>
      <c r="HN723" s="13"/>
      <c r="HO723" s="13"/>
      <c r="HP723" s="13"/>
      <c r="HQ723" s="13"/>
      <c r="HR723" s="13"/>
      <c r="HS723" s="13"/>
      <c r="HT723" s="13"/>
      <c r="HU723" s="18"/>
      <c r="HV723" s="18"/>
      <c r="HW723" s="18"/>
      <c r="HX723" s="18"/>
      <c r="HY723" s="18"/>
      <c r="HZ723" s="18"/>
      <c r="IA723" s="18"/>
      <c r="IB723" s="18"/>
      <c r="IC723" s="18"/>
      <c r="ID723" s="18"/>
      <c r="IE723" s="18"/>
      <c r="IF723" s="18"/>
      <c r="IG723" s="18"/>
      <c r="IH723" s="18"/>
      <c r="II723" s="18"/>
      <c r="IJ723" s="18"/>
      <c r="IK723" s="18"/>
      <c r="IL723" s="18"/>
      <c r="IM723" s="18"/>
      <c r="IN723" s="18"/>
      <c r="IO723" s="18"/>
      <c r="IP723" s="18"/>
      <c r="IQ723" s="18"/>
      <c r="IR723" s="18"/>
      <c r="IS723" s="18"/>
      <c r="IT723" s="18"/>
      <c r="IU723" s="18"/>
      <c r="IV723" s="18"/>
      <c r="IW723" s="18"/>
      <c r="IX723" s="18"/>
      <c r="IY723" s="18"/>
      <c r="IZ723" s="18"/>
      <c r="JA723" s="18"/>
      <c r="JB723" s="18"/>
      <c r="JC723" s="18"/>
      <c r="JD723" s="18"/>
      <c r="JE723" s="18"/>
      <c r="JF723" s="18"/>
      <c r="JG723" s="18"/>
      <c r="JH723" s="18"/>
      <c r="JI723" s="18"/>
      <c r="JJ723" s="18"/>
      <c r="JK723" s="18"/>
      <c r="JL723" s="18"/>
      <c r="JM723" s="18"/>
      <c r="JN723" s="18"/>
      <c r="JO723" s="18"/>
      <c r="JP723" s="18"/>
      <c r="JQ723" s="18"/>
      <c r="JR723" s="18"/>
      <c r="JS723" s="18"/>
      <c r="JT723" s="18"/>
      <c r="JU723" s="18"/>
      <c r="JV723" s="18"/>
      <c r="JW723" s="18"/>
      <c r="JX723" s="18"/>
      <c r="JY723" s="18"/>
      <c r="JZ723" s="18"/>
      <c r="KA723" s="18"/>
      <c r="KB723" s="18"/>
      <c r="KC723" s="18"/>
      <c r="KD723" s="18"/>
      <c r="KE723" s="18"/>
      <c r="KF723" s="18"/>
      <c r="KG723" s="18"/>
      <c r="KH723" s="18"/>
      <c r="KI723" s="18"/>
      <c r="KJ723" s="18"/>
      <c r="KK723" s="18"/>
      <c r="KL723" s="18"/>
      <c r="KM723" s="18"/>
      <c r="KN723" s="18"/>
      <c r="KO723" s="18"/>
      <c r="KP723" s="18"/>
    </row>
    <row r="724" spans="1:302" ht="15" customHeight="1">
      <c r="A724" s="14"/>
      <c r="B724" s="14"/>
      <c r="F724" s="14"/>
      <c r="G724" s="23"/>
      <c r="H724" s="23"/>
      <c r="I724" s="23"/>
      <c r="J724" s="23"/>
      <c r="K724" s="14"/>
      <c r="L724" s="14"/>
      <c r="P724" s="14"/>
      <c r="AG724" s="44"/>
      <c r="AH724" s="44"/>
      <c r="AI724" s="45"/>
      <c r="AJ724" s="44"/>
      <c r="AK724" s="43"/>
      <c r="AS724" s="14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  <c r="FC724" s="18"/>
      <c r="FD724" s="18"/>
      <c r="FE724" s="18"/>
      <c r="FF724" s="18"/>
      <c r="FG724" s="18"/>
      <c r="FH724" s="18"/>
      <c r="FI724" s="18"/>
      <c r="FJ724" s="18"/>
      <c r="FK724" s="18"/>
      <c r="FL724" s="18"/>
      <c r="FM724" s="18"/>
      <c r="FN724" s="18"/>
      <c r="FO724" s="18"/>
      <c r="FP724" s="18"/>
      <c r="FQ724" s="18"/>
      <c r="FR724" s="18"/>
      <c r="FS724" s="18"/>
      <c r="FT724" s="18"/>
      <c r="FU724" s="18"/>
      <c r="FV724" s="18"/>
      <c r="FW724" s="18"/>
      <c r="FX724" s="18"/>
      <c r="FY724" s="18"/>
      <c r="FZ724" s="18"/>
      <c r="GA724" s="18"/>
      <c r="GB724" s="18"/>
      <c r="GC724" s="18"/>
      <c r="GD724" s="18"/>
      <c r="GE724" s="18"/>
      <c r="GF724" s="18"/>
      <c r="GG724" s="18"/>
      <c r="GH724" s="18"/>
      <c r="GI724" s="18"/>
      <c r="GJ724" s="18"/>
      <c r="GK724" s="18"/>
      <c r="GL724" s="18"/>
      <c r="GM724" s="18"/>
      <c r="GN724" s="18"/>
      <c r="GO724" s="18"/>
      <c r="GP724" s="18"/>
      <c r="GQ724" s="18"/>
      <c r="GR724" s="18"/>
      <c r="GS724" s="18"/>
      <c r="GT724" s="18"/>
      <c r="GU724" s="18"/>
      <c r="GV724" s="18"/>
      <c r="GW724" s="18"/>
      <c r="GX724" s="18"/>
      <c r="GY724" s="18"/>
      <c r="GZ724" s="18"/>
      <c r="HA724" s="18"/>
      <c r="HB724" s="18"/>
      <c r="HC724" s="18"/>
      <c r="HD724" s="18"/>
      <c r="HE724" s="18"/>
      <c r="HF724" s="18"/>
      <c r="HG724" s="13"/>
      <c r="HH724" s="13"/>
      <c r="HI724" s="13"/>
      <c r="HJ724" s="13"/>
      <c r="HK724" s="13"/>
      <c r="HL724" s="13"/>
      <c r="HM724" s="13"/>
      <c r="HN724" s="13"/>
      <c r="HO724" s="13"/>
      <c r="HP724" s="13"/>
      <c r="HQ724" s="13"/>
      <c r="HR724" s="13"/>
      <c r="HS724" s="13"/>
      <c r="HT724" s="13"/>
      <c r="HU724" s="18"/>
      <c r="HV724" s="18"/>
      <c r="HW724" s="18"/>
      <c r="HX724" s="18"/>
      <c r="HY724" s="18"/>
      <c r="HZ724" s="18"/>
      <c r="IA724" s="18"/>
      <c r="IB724" s="18"/>
      <c r="IC724" s="18"/>
      <c r="ID724" s="18"/>
      <c r="IE724" s="18"/>
      <c r="IF724" s="18"/>
      <c r="IG724" s="18"/>
      <c r="IH724" s="18"/>
      <c r="II724" s="18"/>
      <c r="IJ724" s="18"/>
      <c r="IK724" s="18"/>
      <c r="IL724" s="18"/>
      <c r="IM724" s="18"/>
      <c r="IN724" s="18"/>
      <c r="IO724" s="18"/>
      <c r="IP724" s="18"/>
      <c r="IQ724" s="18"/>
      <c r="IR724" s="18"/>
      <c r="IS724" s="18"/>
      <c r="IT724" s="18"/>
      <c r="IU724" s="18"/>
      <c r="IV724" s="18"/>
      <c r="IW724" s="18"/>
      <c r="IX724" s="18"/>
      <c r="IY724" s="18"/>
      <c r="IZ724" s="18"/>
      <c r="JA724" s="18"/>
      <c r="JB724" s="18"/>
      <c r="JC724" s="18"/>
      <c r="JD724" s="18"/>
      <c r="JE724" s="18"/>
      <c r="JF724" s="18"/>
      <c r="JG724" s="18"/>
      <c r="JH724" s="18"/>
      <c r="JI724" s="18"/>
      <c r="JJ724" s="18"/>
      <c r="JK724" s="18"/>
      <c r="JL724" s="18"/>
      <c r="JM724" s="18"/>
      <c r="JN724" s="18"/>
      <c r="JO724" s="18"/>
      <c r="JP724" s="18"/>
      <c r="JQ724" s="18"/>
      <c r="JR724" s="18"/>
      <c r="JS724" s="18"/>
      <c r="JT724" s="18"/>
      <c r="JU724" s="18"/>
      <c r="JV724" s="18"/>
      <c r="JW724" s="18"/>
      <c r="JX724" s="18"/>
      <c r="JY724" s="18"/>
      <c r="JZ724" s="18"/>
      <c r="KA724" s="18"/>
      <c r="KB724" s="18"/>
      <c r="KC724" s="18"/>
      <c r="KD724" s="18"/>
      <c r="KE724" s="18"/>
      <c r="KF724" s="18"/>
      <c r="KG724" s="18"/>
      <c r="KH724" s="18"/>
      <c r="KI724" s="18"/>
      <c r="KJ724" s="18"/>
      <c r="KK724" s="18"/>
      <c r="KL724" s="18"/>
      <c r="KM724" s="18"/>
      <c r="KN724" s="18"/>
      <c r="KO724" s="18"/>
      <c r="KP724" s="18"/>
    </row>
    <row r="725" spans="1:302" ht="15" customHeight="1">
      <c r="A725" s="14"/>
      <c r="B725" s="14"/>
      <c r="F725" s="14"/>
      <c r="G725" s="23"/>
      <c r="H725" s="23"/>
      <c r="I725" s="23"/>
      <c r="J725" s="23"/>
      <c r="K725" s="14"/>
      <c r="L725" s="14"/>
      <c r="P725" s="14"/>
      <c r="AG725" s="44"/>
      <c r="AH725" s="44"/>
      <c r="AI725" s="45"/>
      <c r="AJ725" s="44"/>
      <c r="AK725" s="43"/>
      <c r="AS725" s="14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  <c r="FC725" s="18"/>
      <c r="FD725" s="18"/>
      <c r="FE725" s="18"/>
      <c r="FF725" s="18"/>
      <c r="FG725" s="18"/>
      <c r="FH725" s="18"/>
      <c r="FI725" s="18"/>
      <c r="FJ725" s="18"/>
      <c r="FK725" s="18"/>
      <c r="FL725" s="18"/>
      <c r="FM725" s="18"/>
      <c r="FN725" s="18"/>
      <c r="FO725" s="18"/>
      <c r="FP725" s="18"/>
      <c r="FQ725" s="18"/>
      <c r="FR725" s="18"/>
      <c r="FS725" s="18"/>
      <c r="FT725" s="18"/>
      <c r="FU725" s="18"/>
      <c r="FV725" s="18"/>
      <c r="FW725" s="18"/>
      <c r="FX725" s="18"/>
      <c r="FY725" s="18"/>
      <c r="FZ725" s="18"/>
      <c r="GA725" s="18"/>
      <c r="GB725" s="18"/>
      <c r="GC725" s="18"/>
      <c r="GD725" s="18"/>
      <c r="GE725" s="18"/>
      <c r="GF725" s="18"/>
      <c r="GG725" s="18"/>
      <c r="GH725" s="18"/>
      <c r="GI725" s="18"/>
      <c r="GJ725" s="18"/>
      <c r="GK725" s="18"/>
      <c r="GL725" s="18"/>
      <c r="GM725" s="18"/>
      <c r="GN725" s="18"/>
      <c r="GO725" s="18"/>
      <c r="GP725" s="18"/>
      <c r="GQ725" s="18"/>
      <c r="GR725" s="18"/>
      <c r="GS725" s="18"/>
      <c r="GT725" s="18"/>
      <c r="GU725" s="18"/>
      <c r="GV725" s="18"/>
      <c r="GW725" s="18"/>
      <c r="GX725" s="18"/>
      <c r="GY725" s="18"/>
      <c r="GZ725" s="18"/>
      <c r="HA725" s="18"/>
      <c r="HB725" s="18"/>
      <c r="HC725" s="18"/>
      <c r="HD725" s="18"/>
      <c r="HE725" s="18"/>
      <c r="HF725" s="18"/>
      <c r="HG725" s="13"/>
      <c r="HH725" s="13"/>
      <c r="HI725" s="13"/>
      <c r="HJ725" s="13"/>
      <c r="HK725" s="13"/>
      <c r="HL725" s="13"/>
      <c r="HM725" s="13"/>
      <c r="HN725" s="13"/>
      <c r="HO725" s="13"/>
      <c r="HP725" s="13"/>
      <c r="HQ725" s="13"/>
      <c r="HR725" s="13"/>
      <c r="HS725" s="13"/>
      <c r="HT725" s="13"/>
      <c r="HU725" s="18"/>
      <c r="HV725" s="18"/>
      <c r="HW725" s="18"/>
      <c r="HX725" s="18"/>
      <c r="HY725" s="18"/>
      <c r="HZ725" s="18"/>
      <c r="IA725" s="18"/>
      <c r="IB725" s="18"/>
      <c r="IC725" s="18"/>
      <c r="ID725" s="18"/>
      <c r="IE725" s="18"/>
      <c r="IF725" s="18"/>
      <c r="IG725" s="18"/>
      <c r="IH725" s="18"/>
      <c r="II725" s="18"/>
      <c r="IJ725" s="18"/>
      <c r="IK725" s="18"/>
      <c r="IL725" s="18"/>
      <c r="IM725" s="18"/>
      <c r="IN725" s="18"/>
      <c r="IO725" s="18"/>
      <c r="IP725" s="18"/>
      <c r="IQ725" s="18"/>
      <c r="IR725" s="18"/>
      <c r="IS725" s="18"/>
      <c r="IT725" s="18"/>
      <c r="IU725" s="18"/>
      <c r="IV725" s="18"/>
      <c r="IW725" s="18"/>
      <c r="IX725" s="18"/>
      <c r="IY725" s="18"/>
      <c r="IZ725" s="18"/>
      <c r="JA725" s="18"/>
      <c r="JB725" s="18"/>
      <c r="JC725" s="18"/>
      <c r="JD725" s="18"/>
      <c r="JE725" s="18"/>
      <c r="JF725" s="18"/>
      <c r="JG725" s="18"/>
      <c r="JH725" s="18"/>
      <c r="JI725" s="18"/>
      <c r="JJ725" s="18"/>
      <c r="JK725" s="18"/>
      <c r="JL725" s="18"/>
      <c r="JM725" s="18"/>
      <c r="JN725" s="18"/>
      <c r="JO725" s="18"/>
      <c r="JP725" s="18"/>
      <c r="JQ725" s="18"/>
      <c r="JR725" s="18"/>
      <c r="JS725" s="18"/>
      <c r="JT725" s="18"/>
      <c r="JU725" s="18"/>
      <c r="JV725" s="18"/>
      <c r="JW725" s="18"/>
      <c r="JX725" s="18"/>
      <c r="JY725" s="18"/>
      <c r="JZ725" s="18"/>
      <c r="KA725" s="18"/>
      <c r="KB725" s="18"/>
      <c r="KC725" s="18"/>
      <c r="KD725" s="18"/>
      <c r="KE725" s="18"/>
      <c r="KF725" s="18"/>
      <c r="KG725" s="18"/>
      <c r="KH725" s="18"/>
      <c r="KI725" s="18"/>
      <c r="KJ725" s="18"/>
      <c r="KK725" s="18"/>
      <c r="KL725" s="18"/>
      <c r="KM725" s="18"/>
      <c r="KN725" s="18"/>
      <c r="KO725" s="18"/>
      <c r="KP725" s="18"/>
    </row>
    <row r="726" spans="1:302" ht="15" customHeight="1">
      <c r="A726" s="14"/>
      <c r="B726" s="14"/>
      <c r="F726" s="14"/>
      <c r="G726" s="23"/>
      <c r="H726" s="23"/>
      <c r="I726" s="23"/>
      <c r="J726" s="23"/>
      <c r="K726" s="14"/>
      <c r="L726" s="14"/>
      <c r="P726" s="14"/>
      <c r="AG726" s="44"/>
      <c r="AH726" s="44"/>
      <c r="AI726" s="45"/>
      <c r="AJ726" s="44"/>
      <c r="AK726" s="43"/>
      <c r="AS726" s="14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  <c r="FC726" s="18"/>
      <c r="FD726" s="18"/>
      <c r="FE726" s="18"/>
      <c r="FF726" s="18"/>
      <c r="FG726" s="18"/>
      <c r="FH726" s="18"/>
      <c r="FI726" s="18"/>
      <c r="FJ726" s="18"/>
      <c r="FK726" s="18"/>
      <c r="FL726" s="18"/>
      <c r="FM726" s="18"/>
      <c r="FN726" s="18"/>
      <c r="FO726" s="18"/>
      <c r="FP726" s="18"/>
      <c r="FQ726" s="18"/>
      <c r="FR726" s="18"/>
      <c r="FS726" s="18"/>
      <c r="FT726" s="18"/>
      <c r="FU726" s="18"/>
      <c r="FV726" s="18"/>
      <c r="FW726" s="18"/>
      <c r="FX726" s="18"/>
      <c r="FY726" s="18"/>
      <c r="FZ726" s="18"/>
      <c r="GA726" s="18"/>
      <c r="GB726" s="18"/>
      <c r="GC726" s="18"/>
      <c r="GD726" s="18"/>
      <c r="GE726" s="18"/>
      <c r="GF726" s="18"/>
      <c r="GG726" s="18"/>
      <c r="GH726" s="18"/>
      <c r="GI726" s="18"/>
      <c r="GJ726" s="18"/>
      <c r="GK726" s="18"/>
      <c r="GL726" s="18"/>
      <c r="GM726" s="18"/>
      <c r="GN726" s="18"/>
      <c r="GO726" s="18"/>
      <c r="GP726" s="18"/>
      <c r="GQ726" s="18"/>
      <c r="GR726" s="18"/>
      <c r="GS726" s="18"/>
      <c r="GT726" s="18"/>
      <c r="GU726" s="18"/>
      <c r="GV726" s="18"/>
      <c r="GW726" s="18"/>
      <c r="GX726" s="18"/>
      <c r="GY726" s="18"/>
      <c r="GZ726" s="18"/>
      <c r="HA726" s="18"/>
      <c r="HB726" s="18"/>
      <c r="HC726" s="18"/>
      <c r="HD726" s="18"/>
      <c r="HE726" s="18"/>
      <c r="HF726" s="18"/>
      <c r="HG726" s="13"/>
      <c r="HH726" s="13"/>
      <c r="HI726" s="13"/>
      <c r="HJ726" s="13"/>
      <c r="HK726" s="13"/>
      <c r="HL726" s="13"/>
      <c r="HM726" s="13"/>
      <c r="HN726" s="13"/>
      <c r="HO726" s="13"/>
      <c r="HP726" s="13"/>
      <c r="HQ726" s="13"/>
      <c r="HR726" s="13"/>
      <c r="HS726" s="13"/>
      <c r="HT726" s="13"/>
      <c r="HU726" s="18"/>
      <c r="HV726" s="18"/>
      <c r="HW726" s="18"/>
      <c r="HX726" s="18"/>
      <c r="HY726" s="18"/>
      <c r="HZ726" s="18"/>
      <c r="IA726" s="18"/>
      <c r="IB726" s="18"/>
      <c r="IC726" s="18"/>
      <c r="ID726" s="18"/>
      <c r="IE726" s="18"/>
      <c r="IF726" s="18"/>
      <c r="IG726" s="18"/>
      <c r="IH726" s="18"/>
      <c r="II726" s="18"/>
      <c r="IJ726" s="18"/>
      <c r="IK726" s="18"/>
      <c r="IL726" s="18"/>
      <c r="IM726" s="18"/>
      <c r="IN726" s="18"/>
      <c r="IO726" s="18"/>
      <c r="IP726" s="18"/>
      <c r="IQ726" s="18"/>
      <c r="IR726" s="18"/>
      <c r="IS726" s="18"/>
      <c r="IT726" s="18"/>
      <c r="IU726" s="18"/>
      <c r="IV726" s="18"/>
      <c r="IW726" s="18"/>
      <c r="IX726" s="18"/>
      <c r="IY726" s="18"/>
      <c r="IZ726" s="18"/>
      <c r="JA726" s="18"/>
      <c r="JB726" s="18"/>
      <c r="JC726" s="18"/>
      <c r="JD726" s="18"/>
      <c r="JE726" s="18"/>
      <c r="JF726" s="18"/>
      <c r="JG726" s="18"/>
      <c r="JH726" s="18"/>
      <c r="JI726" s="18"/>
      <c r="JJ726" s="18"/>
      <c r="JK726" s="18"/>
      <c r="JL726" s="18"/>
      <c r="JM726" s="18"/>
      <c r="JN726" s="18"/>
      <c r="JO726" s="18"/>
      <c r="JP726" s="18"/>
      <c r="JQ726" s="18"/>
      <c r="JR726" s="18"/>
      <c r="JS726" s="18"/>
      <c r="JT726" s="18"/>
      <c r="JU726" s="18"/>
      <c r="JV726" s="18"/>
      <c r="JW726" s="18"/>
      <c r="JX726" s="18"/>
      <c r="JY726" s="18"/>
      <c r="JZ726" s="18"/>
      <c r="KA726" s="18"/>
      <c r="KB726" s="18"/>
      <c r="KC726" s="18"/>
      <c r="KD726" s="18"/>
      <c r="KE726" s="18"/>
      <c r="KF726" s="18"/>
      <c r="KG726" s="18"/>
      <c r="KH726" s="18"/>
      <c r="KI726" s="18"/>
      <c r="KJ726" s="18"/>
      <c r="KK726" s="18"/>
      <c r="KL726" s="18"/>
      <c r="KM726" s="18"/>
      <c r="KN726" s="18"/>
      <c r="KO726" s="18"/>
      <c r="KP726" s="18"/>
    </row>
    <row r="727" spans="1:302" ht="15" customHeight="1">
      <c r="A727" s="14"/>
      <c r="B727" s="14"/>
      <c r="F727" s="14"/>
      <c r="G727" s="23"/>
      <c r="H727" s="23"/>
      <c r="I727" s="23"/>
      <c r="J727" s="23"/>
      <c r="K727" s="14"/>
      <c r="L727" s="14"/>
      <c r="P727" s="14"/>
      <c r="AG727" s="44"/>
      <c r="AH727" s="44"/>
      <c r="AI727" s="45"/>
      <c r="AJ727" s="44"/>
      <c r="AK727" s="43"/>
      <c r="AS727" s="14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  <c r="FC727" s="18"/>
      <c r="FD727" s="18"/>
      <c r="FE727" s="18"/>
      <c r="FF727" s="18"/>
      <c r="FG727" s="18"/>
      <c r="FH727" s="18"/>
      <c r="FI727" s="18"/>
      <c r="FJ727" s="18"/>
      <c r="FK727" s="18"/>
      <c r="FL727" s="18"/>
      <c r="FM727" s="18"/>
      <c r="FN727" s="18"/>
      <c r="FO727" s="18"/>
      <c r="FP727" s="18"/>
      <c r="FQ727" s="18"/>
      <c r="FR727" s="18"/>
      <c r="FS727" s="18"/>
      <c r="FT727" s="18"/>
      <c r="FU727" s="18"/>
      <c r="FV727" s="18"/>
      <c r="FW727" s="18"/>
      <c r="FX727" s="18"/>
      <c r="FY727" s="18"/>
      <c r="FZ727" s="18"/>
      <c r="GA727" s="18"/>
      <c r="GB727" s="18"/>
      <c r="GC727" s="18"/>
      <c r="GD727" s="18"/>
      <c r="GE727" s="18"/>
      <c r="GF727" s="18"/>
      <c r="GG727" s="18"/>
      <c r="GH727" s="18"/>
      <c r="GI727" s="18"/>
      <c r="GJ727" s="18"/>
      <c r="GK727" s="18"/>
      <c r="GL727" s="18"/>
      <c r="GM727" s="18"/>
      <c r="GN727" s="18"/>
      <c r="GO727" s="18"/>
      <c r="GP727" s="18"/>
      <c r="GQ727" s="18"/>
      <c r="GR727" s="18"/>
      <c r="GS727" s="18"/>
      <c r="GT727" s="18"/>
      <c r="GU727" s="18"/>
      <c r="GV727" s="18"/>
      <c r="GW727" s="18"/>
      <c r="GX727" s="18"/>
      <c r="GY727" s="18"/>
      <c r="GZ727" s="18"/>
      <c r="HA727" s="18"/>
      <c r="HB727" s="18"/>
      <c r="HC727" s="18"/>
      <c r="HD727" s="18"/>
      <c r="HE727" s="18"/>
      <c r="HF727" s="18"/>
      <c r="HG727" s="13"/>
      <c r="HH727" s="13"/>
      <c r="HI727" s="13"/>
      <c r="HJ727" s="13"/>
      <c r="HK727" s="13"/>
      <c r="HL727" s="13"/>
      <c r="HM727" s="13"/>
      <c r="HN727" s="13"/>
      <c r="HO727" s="13"/>
      <c r="HP727" s="13"/>
      <c r="HQ727" s="13"/>
      <c r="HR727" s="13"/>
      <c r="HS727" s="13"/>
      <c r="HT727" s="13"/>
      <c r="HU727" s="18"/>
      <c r="HV727" s="18"/>
      <c r="HW727" s="18"/>
      <c r="HX727" s="18"/>
      <c r="HY727" s="18"/>
      <c r="HZ727" s="18"/>
      <c r="IA727" s="18"/>
      <c r="IB727" s="18"/>
      <c r="IC727" s="18"/>
      <c r="ID727" s="18"/>
      <c r="IE727" s="18"/>
      <c r="IF727" s="18"/>
      <c r="IG727" s="18"/>
      <c r="IH727" s="18"/>
      <c r="II727" s="18"/>
      <c r="IJ727" s="18"/>
      <c r="IK727" s="18"/>
      <c r="IL727" s="18"/>
      <c r="IM727" s="18"/>
      <c r="IN727" s="18"/>
      <c r="IO727" s="18"/>
      <c r="IP727" s="18"/>
      <c r="IQ727" s="18"/>
      <c r="IR727" s="18"/>
      <c r="IS727" s="18"/>
      <c r="IT727" s="18"/>
      <c r="IU727" s="18"/>
      <c r="IV727" s="18"/>
      <c r="IW727" s="18"/>
      <c r="IX727" s="18"/>
      <c r="IY727" s="18"/>
      <c r="IZ727" s="18"/>
      <c r="JA727" s="18"/>
      <c r="JB727" s="18"/>
      <c r="JC727" s="18"/>
      <c r="JD727" s="18"/>
      <c r="JE727" s="18"/>
      <c r="JF727" s="18"/>
      <c r="JG727" s="18"/>
      <c r="JH727" s="18"/>
      <c r="JI727" s="18"/>
      <c r="JJ727" s="18"/>
      <c r="JK727" s="18"/>
      <c r="JL727" s="18"/>
      <c r="JM727" s="18"/>
      <c r="JN727" s="18"/>
      <c r="JO727" s="18"/>
      <c r="JP727" s="18"/>
      <c r="JQ727" s="18"/>
      <c r="JR727" s="18"/>
      <c r="JS727" s="18"/>
      <c r="JT727" s="18"/>
      <c r="JU727" s="18"/>
      <c r="JV727" s="18"/>
      <c r="JW727" s="18"/>
      <c r="JX727" s="18"/>
      <c r="JY727" s="18"/>
      <c r="JZ727" s="18"/>
      <c r="KA727" s="18"/>
      <c r="KB727" s="18"/>
      <c r="KC727" s="18"/>
      <c r="KD727" s="18"/>
      <c r="KE727" s="18"/>
      <c r="KF727" s="18"/>
      <c r="KG727" s="18"/>
      <c r="KH727" s="18"/>
      <c r="KI727" s="18"/>
      <c r="KJ727" s="18"/>
      <c r="KK727" s="18"/>
      <c r="KL727" s="18"/>
      <c r="KM727" s="18"/>
      <c r="KN727" s="18"/>
      <c r="KO727" s="18"/>
      <c r="KP727" s="18"/>
    </row>
    <row r="728" spans="1:302" ht="15" customHeight="1">
      <c r="A728" s="14"/>
      <c r="B728" s="14"/>
      <c r="F728" s="14"/>
      <c r="G728" s="23"/>
      <c r="H728" s="23"/>
      <c r="I728" s="23"/>
      <c r="J728" s="23"/>
      <c r="K728" s="14"/>
      <c r="L728" s="14"/>
      <c r="P728" s="14"/>
      <c r="AG728" s="44"/>
      <c r="AH728" s="44"/>
      <c r="AI728" s="45"/>
      <c r="AJ728" s="44"/>
      <c r="AK728" s="43"/>
      <c r="AS728" s="14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  <c r="FC728" s="18"/>
      <c r="FD728" s="18"/>
      <c r="FE728" s="18"/>
      <c r="FF728" s="18"/>
      <c r="FG728" s="18"/>
      <c r="FH728" s="18"/>
      <c r="FI728" s="18"/>
      <c r="FJ728" s="18"/>
      <c r="FK728" s="18"/>
      <c r="FL728" s="18"/>
      <c r="FM728" s="18"/>
      <c r="FN728" s="18"/>
      <c r="FO728" s="18"/>
      <c r="FP728" s="18"/>
      <c r="FQ728" s="18"/>
      <c r="FR728" s="18"/>
      <c r="FS728" s="18"/>
      <c r="FT728" s="18"/>
      <c r="FU728" s="18"/>
      <c r="FV728" s="18"/>
      <c r="FW728" s="18"/>
      <c r="FX728" s="18"/>
      <c r="FY728" s="18"/>
      <c r="FZ728" s="18"/>
      <c r="GA728" s="18"/>
      <c r="GB728" s="18"/>
      <c r="GC728" s="18"/>
      <c r="GD728" s="18"/>
      <c r="GE728" s="18"/>
      <c r="GF728" s="18"/>
      <c r="GG728" s="18"/>
      <c r="GH728" s="18"/>
      <c r="GI728" s="18"/>
      <c r="GJ728" s="18"/>
      <c r="GK728" s="18"/>
      <c r="GL728" s="18"/>
      <c r="GM728" s="18"/>
      <c r="GN728" s="18"/>
      <c r="GO728" s="18"/>
      <c r="GP728" s="18"/>
      <c r="GQ728" s="18"/>
      <c r="GR728" s="18"/>
      <c r="GS728" s="18"/>
      <c r="GT728" s="18"/>
      <c r="GU728" s="18"/>
      <c r="GV728" s="18"/>
      <c r="GW728" s="18"/>
      <c r="GX728" s="18"/>
      <c r="GY728" s="18"/>
      <c r="GZ728" s="18"/>
      <c r="HA728" s="18"/>
      <c r="HB728" s="18"/>
      <c r="HC728" s="18"/>
      <c r="HD728" s="18"/>
      <c r="HE728" s="18"/>
      <c r="HF728" s="18"/>
      <c r="HG728" s="13"/>
      <c r="HH728" s="13"/>
      <c r="HI728" s="13"/>
      <c r="HJ728" s="13"/>
      <c r="HK728" s="13"/>
      <c r="HL728" s="13"/>
      <c r="HM728" s="13"/>
      <c r="HN728" s="13"/>
      <c r="HO728" s="13"/>
      <c r="HP728" s="13"/>
      <c r="HQ728" s="13"/>
      <c r="HR728" s="13"/>
      <c r="HS728" s="13"/>
      <c r="HT728" s="13"/>
      <c r="HU728" s="18"/>
      <c r="HV728" s="18"/>
      <c r="HW728" s="18"/>
      <c r="HX728" s="18"/>
      <c r="HY728" s="18"/>
      <c r="HZ728" s="18"/>
      <c r="IA728" s="18"/>
      <c r="IB728" s="18"/>
      <c r="IC728" s="18"/>
      <c r="ID728" s="18"/>
      <c r="IE728" s="18"/>
      <c r="IF728" s="18"/>
      <c r="IG728" s="18"/>
      <c r="IH728" s="18"/>
      <c r="II728" s="18"/>
      <c r="IJ728" s="18"/>
      <c r="IK728" s="18"/>
      <c r="IL728" s="18"/>
      <c r="IM728" s="18"/>
      <c r="IN728" s="18"/>
      <c r="IO728" s="18"/>
      <c r="IP728" s="18"/>
      <c r="IQ728" s="18"/>
      <c r="IR728" s="18"/>
      <c r="IS728" s="18"/>
      <c r="IT728" s="18"/>
      <c r="IU728" s="18"/>
      <c r="IV728" s="18"/>
      <c r="IW728" s="18"/>
      <c r="IX728" s="18"/>
      <c r="IY728" s="18"/>
      <c r="IZ728" s="18"/>
      <c r="JA728" s="18"/>
      <c r="JB728" s="18"/>
      <c r="JC728" s="18"/>
      <c r="JD728" s="18"/>
      <c r="JE728" s="18"/>
      <c r="JF728" s="18"/>
      <c r="JG728" s="18"/>
      <c r="JH728" s="18"/>
      <c r="JI728" s="18"/>
      <c r="JJ728" s="18"/>
      <c r="JK728" s="18"/>
      <c r="JL728" s="18"/>
      <c r="JM728" s="18"/>
      <c r="JN728" s="18"/>
      <c r="JO728" s="18"/>
      <c r="JP728" s="18"/>
      <c r="JQ728" s="18"/>
      <c r="JR728" s="18"/>
      <c r="JS728" s="18"/>
      <c r="JT728" s="18"/>
      <c r="JU728" s="18"/>
      <c r="JV728" s="18"/>
      <c r="JW728" s="18"/>
      <c r="JX728" s="18"/>
      <c r="JY728" s="18"/>
      <c r="JZ728" s="18"/>
      <c r="KA728" s="18"/>
      <c r="KB728" s="18"/>
      <c r="KC728" s="18"/>
      <c r="KD728" s="18"/>
      <c r="KE728" s="18"/>
      <c r="KF728" s="18"/>
      <c r="KG728" s="18"/>
      <c r="KH728" s="18"/>
      <c r="KI728" s="18"/>
      <c r="KJ728" s="18"/>
      <c r="KK728" s="18"/>
      <c r="KL728" s="18"/>
      <c r="KM728" s="18"/>
      <c r="KN728" s="18"/>
      <c r="KO728" s="18"/>
      <c r="KP728" s="18"/>
    </row>
    <row r="729" spans="1:302" ht="15" customHeight="1">
      <c r="A729" s="14"/>
      <c r="B729" s="14"/>
      <c r="F729" s="14"/>
      <c r="G729" s="23"/>
      <c r="H729" s="23"/>
      <c r="I729" s="23"/>
      <c r="J729" s="23"/>
      <c r="K729" s="14"/>
      <c r="L729" s="14"/>
      <c r="P729" s="14"/>
      <c r="AG729" s="44"/>
      <c r="AH729" s="44"/>
      <c r="AI729" s="45"/>
      <c r="AJ729" s="44"/>
      <c r="AK729" s="43"/>
      <c r="AS729" s="14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  <c r="FC729" s="18"/>
      <c r="FD729" s="18"/>
      <c r="FE729" s="18"/>
      <c r="FF729" s="18"/>
      <c r="FG729" s="18"/>
      <c r="FH729" s="18"/>
      <c r="FI729" s="18"/>
      <c r="FJ729" s="18"/>
      <c r="FK729" s="18"/>
      <c r="FL729" s="18"/>
      <c r="FM729" s="18"/>
      <c r="FN729" s="18"/>
      <c r="FO729" s="18"/>
      <c r="FP729" s="18"/>
      <c r="FQ729" s="18"/>
      <c r="FR729" s="18"/>
      <c r="FS729" s="18"/>
      <c r="FT729" s="18"/>
      <c r="FU729" s="18"/>
      <c r="FV729" s="18"/>
      <c r="FW729" s="18"/>
      <c r="FX729" s="18"/>
      <c r="FY729" s="18"/>
      <c r="FZ729" s="18"/>
      <c r="GA729" s="18"/>
      <c r="GB729" s="18"/>
      <c r="GC729" s="18"/>
      <c r="GD729" s="18"/>
      <c r="GE729" s="18"/>
      <c r="GF729" s="18"/>
      <c r="GG729" s="18"/>
      <c r="GH729" s="18"/>
      <c r="GI729" s="18"/>
      <c r="GJ729" s="18"/>
      <c r="GK729" s="18"/>
      <c r="GL729" s="18"/>
      <c r="GM729" s="18"/>
      <c r="GN729" s="18"/>
      <c r="GO729" s="18"/>
      <c r="GP729" s="18"/>
      <c r="GQ729" s="18"/>
      <c r="GR729" s="18"/>
      <c r="GS729" s="18"/>
      <c r="GT729" s="18"/>
      <c r="GU729" s="18"/>
      <c r="GV729" s="18"/>
      <c r="GW729" s="18"/>
      <c r="GX729" s="18"/>
      <c r="GY729" s="18"/>
      <c r="GZ729" s="18"/>
      <c r="HA729" s="18"/>
      <c r="HB729" s="18"/>
      <c r="HC729" s="18"/>
      <c r="HD729" s="18"/>
      <c r="HE729" s="18"/>
      <c r="HF729" s="18"/>
      <c r="HG729" s="13"/>
      <c r="HH729" s="13"/>
      <c r="HI729" s="13"/>
      <c r="HJ729" s="13"/>
      <c r="HK729" s="13"/>
      <c r="HL729" s="13"/>
      <c r="HM729" s="13"/>
      <c r="HN729" s="13"/>
      <c r="HO729" s="13"/>
      <c r="HP729" s="13"/>
      <c r="HQ729" s="13"/>
      <c r="HR729" s="13"/>
      <c r="HS729" s="13"/>
      <c r="HT729" s="13"/>
      <c r="HU729" s="18"/>
      <c r="HV729" s="18"/>
      <c r="HW729" s="18"/>
      <c r="HX729" s="18"/>
      <c r="HY729" s="18"/>
      <c r="HZ729" s="18"/>
      <c r="IA729" s="18"/>
      <c r="IB729" s="18"/>
      <c r="IC729" s="18"/>
      <c r="ID729" s="18"/>
      <c r="IE729" s="18"/>
      <c r="IF729" s="18"/>
      <c r="IG729" s="18"/>
      <c r="IH729" s="18"/>
      <c r="II729" s="18"/>
      <c r="IJ729" s="18"/>
      <c r="IK729" s="18"/>
      <c r="IL729" s="18"/>
      <c r="IM729" s="18"/>
      <c r="IN729" s="18"/>
      <c r="IO729" s="18"/>
      <c r="IP729" s="18"/>
      <c r="IQ729" s="18"/>
      <c r="IR729" s="18"/>
      <c r="IS729" s="18"/>
      <c r="IT729" s="18"/>
      <c r="IU729" s="18"/>
      <c r="IV729" s="18"/>
      <c r="IW729" s="18"/>
      <c r="IX729" s="18"/>
      <c r="IY729" s="18"/>
      <c r="IZ729" s="18"/>
      <c r="JA729" s="18"/>
      <c r="JB729" s="18"/>
      <c r="JC729" s="18"/>
      <c r="JD729" s="18"/>
      <c r="JE729" s="18"/>
      <c r="JF729" s="18"/>
      <c r="JG729" s="18"/>
      <c r="JH729" s="18"/>
      <c r="JI729" s="18"/>
      <c r="JJ729" s="18"/>
      <c r="JK729" s="18"/>
      <c r="JL729" s="18"/>
      <c r="JM729" s="18"/>
      <c r="JN729" s="18"/>
      <c r="JO729" s="18"/>
      <c r="JP729" s="18"/>
      <c r="JQ729" s="18"/>
      <c r="JR729" s="18"/>
      <c r="JS729" s="18"/>
      <c r="JT729" s="18"/>
      <c r="JU729" s="18"/>
      <c r="JV729" s="18"/>
      <c r="JW729" s="18"/>
      <c r="JX729" s="18"/>
      <c r="JY729" s="18"/>
      <c r="JZ729" s="18"/>
      <c r="KA729" s="18"/>
      <c r="KB729" s="18"/>
      <c r="KC729" s="18"/>
      <c r="KD729" s="18"/>
      <c r="KE729" s="18"/>
      <c r="KF729" s="18"/>
      <c r="KG729" s="18"/>
      <c r="KH729" s="18"/>
      <c r="KI729" s="18"/>
      <c r="KJ729" s="18"/>
      <c r="KK729" s="18"/>
      <c r="KL729" s="18"/>
      <c r="KM729" s="18"/>
      <c r="KN729" s="18"/>
      <c r="KO729" s="18"/>
      <c r="KP729" s="18"/>
    </row>
    <row r="730" spans="1:302" ht="15" customHeight="1">
      <c r="A730" s="14"/>
      <c r="B730" s="14"/>
      <c r="F730" s="14"/>
      <c r="G730" s="23"/>
      <c r="H730" s="23"/>
      <c r="I730" s="23"/>
      <c r="J730" s="23"/>
      <c r="K730" s="14"/>
      <c r="L730" s="14"/>
      <c r="P730" s="14"/>
      <c r="AG730" s="44"/>
      <c r="AH730" s="44"/>
      <c r="AI730" s="45"/>
      <c r="AJ730" s="44"/>
      <c r="AK730" s="43"/>
      <c r="AS730" s="14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  <c r="FC730" s="18"/>
      <c r="FD730" s="18"/>
      <c r="FE730" s="18"/>
      <c r="FF730" s="18"/>
      <c r="FG730" s="18"/>
      <c r="FH730" s="18"/>
      <c r="FI730" s="18"/>
      <c r="FJ730" s="18"/>
      <c r="FK730" s="18"/>
      <c r="FL730" s="18"/>
      <c r="FM730" s="18"/>
      <c r="FN730" s="18"/>
      <c r="FO730" s="18"/>
      <c r="FP730" s="18"/>
      <c r="FQ730" s="18"/>
      <c r="FR730" s="18"/>
      <c r="FS730" s="18"/>
      <c r="FT730" s="18"/>
      <c r="FU730" s="18"/>
      <c r="FV730" s="18"/>
      <c r="FW730" s="18"/>
      <c r="FX730" s="18"/>
      <c r="FY730" s="18"/>
      <c r="FZ730" s="18"/>
      <c r="GA730" s="18"/>
      <c r="GB730" s="18"/>
      <c r="GC730" s="18"/>
      <c r="GD730" s="18"/>
      <c r="GE730" s="18"/>
      <c r="GF730" s="18"/>
      <c r="GG730" s="18"/>
      <c r="GH730" s="18"/>
      <c r="GI730" s="18"/>
      <c r="GJ730" s="18"/>
      <c r="GK730" s="18"/>
      <c r="GL730" s="18"/>
      <c r="GM730" s="18"/>
      <c r="GN730" s="18"/>
      <c r="GO730" s="18"/>
      <c r="GP730" s="18"/>
      <c r="GQ730" s="18"/>
      <c r="GR730" s="18"/>
      <c r="GS730" s="18"/>
      <c r="GT730" s="18"/>
      <c r="GU730" s="18"/>
      <c r="GV730" s="18"/>
      <c r="GW730" s="18"/>
      <c r="GX730" s="18"/>
      <c r="GY730" s="18"/>
      <c r="GZ730" s="18"/>
      <c r="HA730" s="18"/>
      <c r="HB730" s="18"/>
      <c r="HC730" s="18"/>
      <c r="HD730" s="18"/>
      <c r="HE730" s="18"/>
      <c r="HF730" s="18"/>
      <c r="HG730" s="13"/>
      <c r="HH730" s="13"/>
      <c r="HI730" s="13"/>
      <c r="HJ730" s="13"/>
      <c r="HK730" s="13"/>
      <c r="HL730" s="13"/>
      <c r="HM730" s="13"/>
      <c r="HN730" s="13"/>
      <c r="HO730" s="13"/>
      <c r="HP730" s="13"/>
      <c r="HQ730" s="13"/>
      <c r="HR730" s="13"/>
      <c r="HS730" s="13"/>
      <c r="HT730" s="13"/>
      <c r="HU730" s="18"/>
      <c r="HV730" s="18"/>
      <c r="HW730" s="18"/>
      <c r="HX730" s="18"/>
      <c r="HY730" s="18"/>
      <c r="HZ730" s="18"/>
      <c r="IA730" s="18"/>
      <c r="IB730" s="18"/>
      <c r="IC730" s="18"/>
      <c r="ID730" s="18"/>
      <c r="IE730" s="18"/>
      <c r="IF730" s="18"/>
      <c r="IG730" s="18"/>
      <c r="IH730" s="18"/>
      <c r="II730" s="18"/>
      <c r="IJ730" s="18"/>
      <c r="IK730" s="18"/>
      <c r="IL730" s="18"/>
      <c r="IM730" s="18"/>
      <c r="IN730" s="18"/>
      <c r="IO730" s="18"/>
      <c r="IP730" s="18"/>
      <c r="IQ730" s="18"/>
      <c r="IR730" s="18"/>
      <c r="IS730" s="18"/>
      <c r="IT730" s="18"/>
      <c r="IU730" s="18"/>
      <c r="IV730" s="18"/>
      <c r="IW730" s="18"/>
      <c r="IX730" s="18"/>
      <c r="IY730" s="18"/>
      <c r="IZ730" s="18"/>
      <c r="JA730" s="18"/>
      <c r="JB730" s="18"/>
      <c r="JC730" s="18"/>
      <c r="JD730" s="18"/>
      <c r="JE730" s="18"/>
      <c r="JF730" s="18"/>
      <c r="JG730" s="18"/>
      <c r="JH730" s="18"/>
      <c r="JI730" s="18"/>
      <c r="JJ730" s="18"/>
      <c r="JK730" s="18"/>
      <c r="JL730" s="18"/>
      <c r="JM730" s="18"/>
      <c r="JN730" s="18"/>
      <c r="JO730" s="18"/>
      <c r="JP730" s="18"/>
      <c r="JQ730" s="18"/>
      <c r="JR730" s="18"/>
      <c r="JS730" s="18"/>
      <c r="JT730" s="18"/>
      <c r="JU730" s="18"/>
      <c r="JV730" s="18"/>
      <c r="JW730" s="18"/>
      <c r="JX730" s="18"/>
      <c r="JY730" s="18"/>
      <c r="JZ730" s="18"/>
      <c r="KA730" s="18"/>
      <c r="KB730" s="18"/>
      <c r="KC730" s="18"/>
      <c r="KD730" s="18"/>
      <c r="KE730" s="18"/>
      <c r="KF730" s="18"/>
      <c r="KG730" s="18"/>
      <c r="KH730" s="18"/>
      <c r="KI730" s="18"/>
      <c r="KJ730" s="18"/>
      <c r="KK730" s="18"/>
      <c r="KL730" s="18"/>
      <c r="KM730" s="18"/>
      <c r="KN730" s="18"/>
      <c r="KO730" s="18"/>
      <c r="KP730" s="18"/>
    </row>
    <row r="731" spans="1:302" ht="15" customHeight="1">
      <c r="A731" s="14"/>
      <c r="B731" s="14"/>
      <c r="F731" s="14"/>
      <c r="G731" s="23"/>
      <c r="H731" s="23"/>
      <c r="I731" s="23"/>
      <c r="J731" s="23"/>
      <c r="K731" s="14"/>
      <c r="L731" s="14"/>
      <c r="P731" s="14"/>
      <c r="AG731" s="44"/>
      <c r="AH731" s="44"/>
      <c r="AI731" s="45"/>
      <c r="AJ731" s="44"/>
      <c r="AK731" s="43"/>
      <c r="AS731" s="14"/>
      <c r="AT731" s="18"/>
      <c r="AU731" s="18"/>
      <c r="AV731" s="18"/>
      <c r="AW731" s="18"/>
      <c r="AX731" s="18"/>
      <c r="AY731" s="18"/>
      <c r="AZ731" s="18"/>
      <c r="BA731" s="18"/>
      <c r="BB731" s="18"/>
      <c r="BC731" s="18"/>
      <c r="BD731" s="18"/>
      <c r="BE731" s="18"/>
      <c r="BF731" s="18"/>
      <c r="BG731" s="18"/>
      <c r="BH731" s="18"/>
      <c r="BI731" s="18"/>
      <c r="BJ731" s="18"/>
      <c r="BK731" s="18"/>
      <c r="BL731" s="18"/>
      <c r="BM731" s="18"/>
      <c r="BN731" s="18"/>
      <c r="BO731" s="18"/>
      <c r="BP731" s="18"/>
      <c r="BQ731" s="18"/>
      <c r="BR731" s="18"/>
      <c r="BS731" s="18"/>
      <c r="BT731" s="18"/>
      <c r="BU731" s="18"/>
      <c r="BV731" s="18"/>
      <c r="BW731" s="18"/>
      <c r="BX731" s="18"/>
      <c r="BY731" s="18"/>
      <c r="BZ731" s="18"/>
      <c r="CA731" s="18"/>
      <c r="CB731" s="18"/>
      <c r="CC731" s="18"/>
      <c r="CD731" s="18"/>
      <c r="CE731" s="18"/>
      <c r="CF731" s="18"/>
      <c r="CG731" s="18"/>
      <c r="CH731" s="18"/>
      <c r="CI731" s="18"/>
      <c r="CJ731" s="18"/>
      <c r="CK731" s="18"/>
      <c r="CL731" s="18"/>
      <c r="CM731" s="18"/>
      <c r="CN731" s="18"/>
      <c r="CO731" s="18"/>
      <c r="CP731" s="18"/>
      <c r="CQ731" s="18"/>
      <c r="CR731" s="18"/>
      <c r="CS731" s="18"/>
      <c r="CT731" s="18"/>
      <c r="CU731" s="18"/>
      <c r="CV731" s="18"/>
      <c r="CW731" s="18"/>
      <c r="CX731" s="18"/>
      <c r="CY731" s="18"/>
      <c r="CZ731" s="18"/>
      <c r="DA731" s="18"/>
      <c r="DB731" s="18"/>
      <c r="DC731" s="18"/>
      <c r="DD731" s="18"/>
      <c r="DE731" s="18"/>
      <c r="DF731" s="18"/>
      <c r="DG731" s="18"/>
      <c r="DH731" s="18"/>
      <c r="DI731" s="18"/>
      <c r="DJ731" s="18"/>
      <c r="DK731" s="18"/>
      <c r="DL731" s="18"/>
      <c r="DM731" s="18"/>
      <c r="DN731" s="18"/>
      <c r="DO731" s="18"/>
      <c r="DP731" s="18"/>
      <c r="DQ731" s="18"/>
      <c r="DR731" s="18"/>
      <c r="DS731" s="18"/>
      <c r="DT731" s="18"/>
      <c r="DU731" s="18"/>
      <c r="DV731" s="18"/>
      <c r="DW731" s="18"/>
      <c r="DX731" s="18"/>
      <c r="DY731" s="18"/>
      <c r="DZ731" s="18"/>
      <c r="EA731" s="18"/>
      <c r="EB731" s="18"/>
      <c r="EC731" s="18"/>
      <c r="ED731" s="18"/>
      <c r="EE731" s="18"/>
      <c r="EF731" s="18"/>
      <c r="EG731" s="18"/>
      <c r="EH731" s="18"/>
      <c r="EI731" s="18"/>
      <c r="EJ731" s="18"/>
      <c r="EK731" s="18"/>
      <c r="EL731" s="18"/>
      <c r="EM731" s="18"/>
      <c r="EN731" s="18"/>
      <c r="EO731" s="18"/>
      <c r="EP731" s="18"/>
      <c r="EQ731" s="18"/>
      <c r="ER731" s="18"/>
      <c r="ES731" s="18"/>
      <c r="ET731" s="18"/>
      <c r="EU731" s="18"/>
      <c r="EV731" s="18"/>
      <c r="EW731" s="18"/>
      <c r="EX731" s="18"/>
      <c r="EY731" s="18"/>
      <c r="EZ731" s="18"/>
      <c r="FA731" s="18"/>
      <c r="FB731" s="18"/>
      <c r="FC731" s="18"/>
      <c r="FD731" s="18"/>
      <c r="FE731" s="18"/>
      <c r="FF731" s="18"/>
      <c r="FG731" s="18"/>
      <c r="FH731" s="18"/>
      <c r="FI731" s="18"/>
      <c r="FJ731" s="18"/>
      <c r="FK731" s="18"/>
      <c r="FL731" s="18"/>
      <c r="FM731" s="18"/>
      <c r="FN731" s="18"/>
      <c r="FO731" s="18"/>
      <c r="FP731" s="18"/>
      <c r="FQ731" s="18"/>
      <c r="FR731" s="18"/>
      <c r="FS731" s="18"/>
      <c r="FT731" s="18"/>
      <c r="FU731" s="18"/>
      <c r="FV731" s="18"/>
      <c r="FW731" s="18"/>
      <c r="FX731" s="18"/>
      <c r="FY731" s="18"/>
      <c r="FZ731" s="18"/>
      <c r="GA731" s="18"/>
      <c r="GB731" s="18"/>
      <c r="GC731" s="18"/>
      <c r="GD731" s="18"/>
      <c r="GE731" s="18"/>
      <c r="GF731" s="18"/>
      <c r="GG731" s="18"/>
      <c r="GH731" s="18"/>
      <c r="GI731" s="18"/>
      <c r="GJ731" s="18"/>
      <c r="GK731" s="18"/>
      <c r="GL731" s="18"/>
      <c r="GM731" s="18"/>
      <c r="GN731" s="18"/>
      <c r="GO731" s="18"/>
      <c r="GP731" s="18"/>
      <c r="GQ731" s="18"/>
      <c r="GR731" s="18"/>
      <c r="GS731" s="18"/>
      <c r="GT731" s="18"/>
      <c r="GU731" s="18"/>
      <c r="GV731" s="18"/>
      <c r="GW731" s="18"/>
      <c r="GX731" s="18"/>
      <c r="GY731" s="18"/>
      <c r="GZ731" s="18"/>
      <c r="HA731" s="18"/>
      <c r="HB731" s="18"/>
      <c r="HC731" s="18"/>
      <c r="HD731" s="18"/>
      <c r="HE731" s="18"/>
      <c r="HF731" s="18"/>
      <c r="HG731" s="13"/>
      <c r="HH731" s="13"/>
      <c r="HI731" s="13"/>
      <c r="HJ731" s="13"/>
      <c r="HK731" s="13"/>
      <c r="HL731" s="13"/>
      <c r="HM731" s="13"/>
      <c r="HN731" s="13"/>
      <c r="HO731" s="13"/>
      <c r="HP731" s="13"/>
      <c r="HQ731" s="13"/>
      <c r="HR731" s="13"/>
      <c r="HS731" s="13"/>
      <c r="HT731" s="13"/>
      <c r="HU731" s="18"/>
      <c r="HV731" s="18"/>
      <c r="HW731" s="18"/>
      <c r="HX731" s="18"/>
      <c r="HY731" s="18"/>
      <c r="HZ731" s="18"/>
      <c r="IA731" s="18"/>
      <c r="IB731" s="18"/>
      <c r="IC731" s="18"/>
      <c r="ID731" s="18"/>
      <c r="IE731" s="18"/>
      <c r="IF731" s="18"/>
      <c r="IG731" s="18"/>
      <c r="IH731" s="18"/>
      <c r="II731" s="18"/>
      <c r="IJ731" s="18"/>
      <c r="IK731" s="18"/>
      <c r="IL731" s="18"/>
      <c r="IM731" s="18"/>
      <c r="IN731" s="18"/>
      <c r="IO731" s="18"/>
      <c r="IP731" s="18"/>
      <c r="IQ731" s="18"/>
      <c r="IR731" s="18"/>
      <c r="IS731" s="18"/>
      <c r="IT731" s="18"/>
      <c r="IU731" s="18"/>
      <c r="IV731" s="18"/>
      <c r="IW731" s="18"/>
      <c r="IX731" s="18"/>
      <c r="IY731" s="18"/>
      <c r="IZ731" s="18"/>
      <c r="JA731" s="18"/>
      <c r="JB731" s="18"/>
      <c r="JC731" s="18"/>
      <c r="JD731" s="18"/>
      <c r="JE731" s="18"/>
      <c r="JF731" s="18"/>
      <c r="JG731" s="18"/>
      <c r="JH731" s="18"/>
      <c r="JI731" s="18"/>
      <c r="JJ731" s="18"/>
      <c r="JK731" s="18"/>
      <c r="JL731" s="18"/>
      <c r="JM731" s="18"/>
      <c r="JN731" s="18"/>
      <c r="JO731" s="18"/>
      <c r="JP731" s="18"/>
      <c r="JQ731" s="18"/>
      <c r="JR731" s="18"/>
      <c r="JS731" s="18"/>
      <c r="JT731" s="18"/>
      <c r="JU731" s="18"/>
      <c r="JV731" s="18"/>
      <c r="JW731" s="18"/>
      <c r="JX731" s="18"/>
      <c r="JY731" s="18"/>
      <c r="JZ731" s="18"/>
      <c r="KA731" s="18"/>
      <c r="KB731" s="18"/>
      <c r="KC731" s="18"/>
      <c r="KD731" s="18"/>
      <c r="KE731" s="18"/>
      <c r="KF731" s="18"/>
      <c r="KG731" s="18"/>
      <c r="KH731" s="18"/>
      <c r="KI731" s="18"/>
      <c r="KJ731" s="18"/>
      <c r="KK731" s="18"/>
      <c r="KL731" s="18"/>
      <c r="KM731" s="18"/>
      <c r="KN731" s="18"/>
      <c r="KO731" s="18"/>
      <c r="KP731" s="18"/>
    </row>
    <row r="732" spans="1:302" ht="15" customHeight="1">
      <c r="A732" s="14"/>
      <c r="B732" s="14"/>
      <c r="F732" s="14"/>
      <c r="G732" s="23"/>
      <c r="H732" s="23"/>
      <c r="I732" s="23"/>
      <c r="J732" s="23"/>
      <c r="K732" s="14"/>
      <c r="L732" s="14"/>
      <c r="P732" s="14"/>
      <c r="AG732" s="44"/>
      <c r="AH732" s="44"/>
      <c r="AI732" s="45"/>
      <c r="AJ732" s="44"/>
      <c r="AK732" s="43"/>
      <c r="AS732" s="14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  <c r="EW732" s="18"/>
      <c r="EX732" s="18"/>
      <c r="EY732" s="18"/>
      <c r="EZ732" s="18"/>
      <c r="FA732" s="18"/>
      <c r="FB732" s="18"/>
      <c r="FC732" s="18"/>
      <c r="FD732" s="18"/>
      <c r="FE732" s="18"/>
      <c r="FF732" s="18"/>
      <c r="FG732" s="18"/>
      <c r="FH732" s="18"/>
      <c r="FI732" s="18"/>
      <c r="FJ732" s="18"/>
      <c r="FK732" s="18"/>
      <c r="FL732" s="18"/>
      <c r="FM732" s="18"/>
      <c r="FN732" s="18"/>
      <c r="FO732" s="18"/>
      <c r="FP732" s="18"/>
      <c r="FQ732" s="18"/>
      <c r="FR732" s="18"/>
      <c r="FS732" s="18"/>
      <c r="FT732" s="18"/>
      <c r="FU732" s="18"/>
      <c r="FV732" s="18"/>
      <c r="FW732" s="18"/>
      <c r="FX732" s="18"/>
      <c r="FY732" s="18"/>
      <c r="FZ732" s="18"/>
      <c r="GA732" s="18"/>
      <c r="GB732" s="18"/>
      <c r="GC732" s="18"/>
      <c r="GD732" s="18"/>
      <c r="GE732" s="18"/>
      <c r="GF732" s="18"/>
      <c r="GG732" s="18"/>
      <c r="GH732" s="18"/>
      <c r="GI732" s="18"/>
      <c r="GJ732" s="18"/>
      <c r="GK732" s="18"/>
      <c r="GL732" s="18"/>
      <c r="GM732" s="18"/>
      <c r="GN732" s="18"/>
      <c r="GO732" s="18"/>
      <c r="GP732" s="18"/>
      <c r="GQ732" s="18"/>
      <c r="GR732" s="18"/>
      <c r="GS732" s="18"/>
      <c r="GT732" s="18"/>
      <c r="GU732" s="18"/>
      <c r="GV732" s="18"/>
      <c r="GW732" s="18"/>
      <c r="GX732" s="18"/>
      <c r="GY732" s="18"/>
      <c r="GZ732" s="18"/>
      <c r="HA732" s="18"/>
      <c r="HB732" s="18"/>
      <c r="HC732" s="18"/>
      <c r="HD732" s="18"/>
      <c r="HE732" s="18"/>
      <c r="HF732" s="18"/>
      <c r="HG732" s="13"/>
      <c r="HH732" s="13"/>
      <c r="HI732" s="13"/>
      <c r="HJ732" s="13"/>
      <c r="HK732" s="13"/>
      <c r="HL732" s="13"/>
      <c r="HM732" s="13"/>
      <c r="HN732" s="13"/>
      <c r="HO732" s="13"/>
      <c r="HP732" s="13"/>
      <c r="HQ732" s="13"/>
      <c r="HR732" s="13"/>
      <c r="HS732" s="13"/>
      <c r="HT732" s="13"/>
      <c r="HU732" s="18"/>
      <c r="HV732" s="18"/>
      <c r="HW732" s="18"/>
      <c r="HX732" s="18"/>
      <c r="HY732" s="18"/>
      <c r="HZ732" s="18"/>
      <c r="IA732" s="18"/>
      <c r="IB732" s="18"/>
      <c r="IC732" s="18"/>
      <c r="ID732" s="18"/>
      <c r="IE732" s="18"/>
      <c r="IF732" s="18"/>
      <c r="IG732" s="18"/>
      <c r="IH732" s="18"/>
      <c r="II732" s="18"/>
      <c r="IJ732" s="18"/>
      <c r="IK732" s="18"/>
      <c r="IL732" s="18"/>
      <c r="IM732" s="18"/>
      <c r="IN732" s="18"/>
      <c r="IO732" s="18"/>
      <c r="IP732" s="18"/>
      <c r="IQ732" s="18"/>
      <c r="IR732" s="18"/>
      <c r="IS732" s="18"/>
      <c r="IT732" s="18"/>
      <c r="IU732" s="18"/>
      <c r="IV732" s="18"/>
      <c r="IW732" s="18"/>
      <c r="IX732" s="18"/>
      <c r="IY732" s="18"/>
      <c r="IZ732" s="18"/>
      <c r="JA732" s="18"/>
      <c r="JB732" s="18"/>
      <c r="JC732" s="18"/>
      <c r="JD732" s="18"/>
      <c r="JE732" s="18"/>
      <c r="JF732" s="18"/>
      <c r="JG732" s="18"/>
      <c r="JH732" s="18"/>
      <c r="JI732" s="18"/>
      <c r="JJ732" s="18"/>
      <c r="JK732" s="18"/>
      <c r="JL732" s="18"/>
      <c r="JM732" s="18"/>
      <c r="JN732" s="18"/>
      <c r="JO732" s="18"/>
      <c r="JP732" s="18"/>
      <c r="JQ732" s="18"/>
      <c r="JR732" s="18"/>
      <c r="JS732" s="18"/>
      <c r="JT732" s="18"/>
      <c r="JU732" s="18"/>
      <c r="JV732" s="18"/>
      <c r="JW732" s="18"/>
      <c r="JX732" s="18"/>
      <c r="JY732" s="18"/>
      <c r="JZ732" s="18"/>
      <c r="KA732" s="18"/>
      <c r="KB732" s="18"/>
      <c r="KC732" s="18"/>
      <c r="KD732" s="18"/>
      <c r="KE732" s="18"/>
      <c r="KF732" s="18"/>
      <c r="KG732" s="18"/>
      <c r="KH732" s="18"/>
      <c r="KI732" s="18"/>
      <c r="KJ732" s="18"/>
      <c r="KK732" s="18"/>
      <c r="KL732" s="18"/>
      <c r="KM732" s="18"/>
      <c r="KN732" s="18"/>
      <c r="KO732" s="18"/>
      <c r="KP732" s="18"/>
    </row>
    <row r="733" spans="1:302" ht="15" customHeight="1">
      <c r="A733" s="14"/>
      <c r="B733" s="14"/>
      <c r="F733" s="14"/>
      <c r="G733" s="23"/>
      <c r="H733" s="23"/>
      <c r="I733" s="23"/>
      <c r="J733" s="23"/>
      <c r="K733" s="14"/>
      <c r="L733" s="14"/>
      <c r="P733" s="14"/>
      <c r="AG733" s="44"/>
      <c r="AH733" s="44"/>
      <c r="AI733" s="45"/>
      <c r="AJ733" s="44"/>
      <c r="AK733" s="43"/>
      <c r="AS733" s="14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  <c r="EW733" s="18"/>
      <c r="EX733" s="18"/>
      <c r="EY733" s="18"/>
      <c r="EZ733" s="18"/>
      <c r="FA733" s="18"/>
      <c r="FB733" s="18"/>
      <c r="FC733" s="18"/>
      <c r="FD733" s="18"/>
      <c r="FE733" s="18"/>
      <c r="FF733" s="18"/>
      <c r="FG733" s="18"/>
      <c r="FH733" s="18"/>
      <c r="FI733" s="18"/>
      <c r="FJ733" s="18"/>
      <c r="FK733" s="18"/>
      <c r="FL733" s="18"/>
      <c r="FM733" s="18"/>
      <c r="FN733" s="18"/>
      <c r="FO733" s="18"/>
      <c r="FP733" s="18"/>
      <c r="FQ733" s="18"/>
      <c r="FR733" s="18"/>
      <c r="FS733" s="18"/>
      <c r="FT733" s="18"/>
      <c r="FU733" s="18"/>
      <c r="FV733" s="18"/>
      <c r="FW733" s="18"/>
      <c r="FX733" s="18"/>
      <c r="FY733" s="18"/>
      <c r="FZ733" s="18"/>
      <c r="GA733" s="18"/>
      <c r="GB733" s="18"/>
      <c r="GC733" s="18"/>
      <c r="GD733" s="18"/>
      <c r="GE733" s="18"/>
      <c r="GF733" s="18"/>
      <c r="GG733" s="18"/>
      <c r="GH733" s="18"/>
      <c r="GI733" s="18"/>
      <c r="GJ733" s="18"/>
      <c r="GK733" s="18"/>
      <c r="GL733" s="18"/>
      <c r="GM733" s="18"/>
      <c r="GN733" s="18"/>
      <c r="GO733" s="18"/>
      <c r="GP733" s="18"/>
      <c r="GQ733" s="18"/>
      <c r="GR733" s="18"/>
      <c r="GS733" s="18"/>
      <c r="GT733" s="18"/>
      <c r="GU733" s="18"/>
      <c r="GV733" s="18"/>
      <c r="GW733" s="18"/>
      <c r="GX733" s="18"/>
      <c r="GY733" s="18"/>
      <c r="GZ733" s="18"/>
      <c r="HA733" s="18"/>
      <c r="HB733" s="18"/>
      <c r="HC733" s="18"/>
      <c r="HD733" s="18"/>
      <c r="HE733" s="18"/>
      <c r="HF733" s="18"/>
      <c r="HG733" s="13"/>
      <c r="HH733" s="13"/>
      <c r="HI733" s="13"/>
      <c r="HJ733" s="13"/>
      <c r="HK733" s="13"/>
      <c r="HL733" s="13"/>
      <c r="HM733" s="13"/>
      <c r="HN733" s="13"/>
      <c r="HO733" s="13"/>
      <c r="HP733" s="13"/>
      <c r="HQ733" s="13"/>
      <c r="HR733" s="13"/>
      <c r="HS733" s="13"/>
      <c r="HT733" s="13"/>
      <c r="HU733" s="18"/>
      <c r="HV733" s="18"/>
      <c r="HW733" s="18"/>
      <c r="HX733" s="18"/>
      <c r="HY733" s="18"/>
      <c r="HZ733" s="18"/>
      <c r="IA733" s="18"/>
      <c r="IB733" s="18"/>
      <c r="IC733" s="18"/>
      <c r="ID733" s="18"/>
      <c r="IE733" s="18"/>
      <c r="IF733" s="18"/>
      <c r="IG733" s="18"/>
      <c r="IH733" s="18"/>
      <c r="II733" s="18"/>
      <c r="IJ733" s="18"/>
      <c r="IK733" s="18"/>
      <c r="IL733" s="18"/>
      <c r="IM733" s="18"/>
      <c r="IN733" s="18"/>
      <c r="IO733" s="18"/>
      <c r="IP733" s="18"/>
      <c r="IQ733" s="18"/>
      <c r="IR733" s="18"/>
      <c r="IS733" s="18"/>
      <c r="IT733" s="18"/>
      <c r="IU733" s="18"/>
      <c r="IV733" s="18"/>
      <c r="IW733" s="18"/>
      <c r="IX733" s="18"/>
      <c r="IY733" s="18"/>
      <c r="IZ733" s="18"/>
      <c r="JA733" s="18"/>
      <c r="JB733" s="18"/>
      <c r="JC733" s="18"/>
      <c r="JD733" s="18"/>
      <c r="JE733" s="18"/>
      <c r="JF733" s="18"/>
      <c r="JG733" s="18"/>
      <c r="JH733" s="18"/>
      <c r="JI733" s="18"/>
      <c r="JJ733" s="18"/>
      <c r="JK733" s="18"/>
      <c r="JL733" s="18"/>
      <c r="JM733" s="18"/>
      <c r="JN733" s="18"/>
      <c r="JO733" s="18"/>
      <c r="JP733" s="18"/>
      <c r="JQ733" s="18"/>
      <c r="JR733" s="18"/>
      <c r="JS733" s="18"/>
      <c r="JT733" s="18"/>
      <c r="JU733" s="18"/>
      <c r="JV733" s="18"/>
      <c r="JW733" s="18"/>
      <c r="JX733" s="18"/>
      <c r="JY733" s="18"/>
      <c r="JZ733" s="18"/>
      <c r="KA733" s="18"/>
      <c r="KB733" s="18"/>
      <c r="KC733" s="18"/>
      <c r="KD733" s="18"/>
      <c r="KE733" s="18"/>
      <c r="KF733" s="18"/>
      <c r="KG733" s="18"/>
      <c r="KH733" s="18"/>
      <c r="KI733" s="18"/>
      <c r="KJ733" s="18"/>
      <c r="KK733" s="18"/>
      <c r="KL733" s="18"/>
      <c r="KM733" s="18"/>
      <c r="KN733" s="18"/>
      <c r="KO733" s="18"/>
      <c r="KP733" s="18"/>
    </row>
    <row r="734" spans="1:302" ht="15" customHeight="1">
      <c r="A734" s="14"/>
      <c r="B734" s="14"/>
      <c r="F734" s="14"/>
      <c r="G734" s="23"/>
      <c r="H734" s="23"/>
      <c r="I734" s="23"/>
      <c r="J734" s="23"/>
      <c r="K734" s="14"/>
      <c r="L734" s="14"/>
      <c r="P734" s="14"/>
      <c r="AG734" s="44"/>
      <c r="AH734" s="44"/>
      <c r="AI734" s="45"/>
      <c r="AJ734" s="44"/>
      <c r="AK734" s="43"/>
      <c r="AS734" s="14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  <c r="EW734" s="18"/>
      <c r="EX734" s="18"/>
      <c r="EY734" s="18"/>
      <c r="EZ734" s="18"/>
      <c r="FA734" s="18"/>
      <c r="FB734" s="18"/>
      <c r="FC734" s="18"/>
      <c r="FD734" s="18"/>
      <c r="FE734" s="18"/>
      <c r="FF734" s="18"/>
      <c r="FG734" s="18"/>
      <c r="FH734" s="18"/>
      <c r="FI734" s="18"/>
      <c r="FJ734" s="18"/>
      <c r="FK734" s="18"/>
      <c r="FL734" s="18"/>
      <c r="FM734" s="18"/>
      <c r="FN734" s="18"/>
      <c r="FO734" s="18"/>
      <c r="FP734" s="18"/>
      <c r="FQ734" s="18"/>
      <c r="FR734" s="18"/>
      <c r="FS734" s="18"/>
      <c r="FT734" s="18"/>
      <c r="FU734" s="18"/>
      <c r="FV734" s="18"/>
      <c r="FW734" s="18"/>
      <c r="FX734" s="18"/>
      <c r="FY734" s="18"/>
      <c r="FZ734" s="18"/>
      <c r="GA734" s="18"/>
      <c r="GB734" s="18"/>
      <c r="GC734" s="18"/>
      <c r="GD734" s="18"/>
      <c r="GE734" s="18"/>
      <c r="GF734" s="18"/>
      <c r="GG734" s="18"/>
      <c r="GH734" s="18"/>
      <c r="GI734" s="18"/>
      <c r="GJ734" s="18"/>
      <c r="GK734" s="18"/>
      <c r="GL734" s="18"/>
      <c r="GM734" s="18"/>
      <c r="GN734" s="18"/>
      <c r="GO734" s="18"/>
      <c r="GP734" s="18"/>
      <c r="GQ734" s="18"/>
      <c r="GR734" s="18"/>
      <c r="GS734" s="18"/>
      <c r="GT734" s="18"/>
      <c r="GU734" s="18"/>
      <c r="GV734" s="18"/>
      <c r="GW734" s="18"/>
      <c r="GX734" s="18"/>
      <c r="GY734" s="18"/>
      <c r="GZ734" s="18"/>
      <c r="HA734" s="18"/>
      <c r="HB734" s="18"/>
      <c r="HC734" s="18"/>
      <c r="HD734" s="18"/>
      <c r="HE734" s="18"/>
      <c r="HF734" s="18"/>
      <c r="HG734" s="13"/>
      <c r="HH734" s="13"/>
      <c r="HI734" s="13"/>
      <c r="HJ734" s="13"/>
      <c r="HK734" s="13"/>
      <c r="HL734" s="13"/>
      <c r="HM734" s="13"/>
      <c r="HN734" s="13"/>
      <c r="HO734" s="13"/>
      <c r="HP734" s="13"/>
      <c r="HQ734" s="13"/>
      <c r="HR734" s="13"/>
      <c r="HS734" s="13"/>
      <c r="HT734" s="13"/>
      <c r="HU734" s="18"/>
      <c r="HV734" s="18"/>
      <c r="HW734" s="18"/>
      <c r="HX734" s="18"/>
      <c r="HY734" s="18"/>
      <c r="HZ734" s="18"/>
      <c r="IA734" s="18"/>
      <c r="IB734" s="18"/>
      <c r="IC734" s="18"/>
      <c r="ID734" s="18"/>
      <c r="IE734" s="18"/>
      <c r="IF734" s="18"/>
      <c r="IG734" s="18"/>
      <c r="IH734" s="18"/>
      <c r="II734" s="18"/>
      <c r="IJ734" s="18"/>
      <c r="IK734" s="18"/>
      <c r="IL734" s="18"/>
      <c r="IM734" s="18"/>
      <c r="IN734" s="18"/>
      <c r="IO734" s="18"/>
      <c r="IP734" s="18"/>
      <c r="IQ734" s="18"/>
      <c r="IR734" s="18"/>
      <c r="IS734" s="18"/>
      <c r="IT734" s="18"/>
      <c r="IU734" s="18"/>
      <c r="IV734" s="18"/>
      <c r="IW734" s="18"/>
      <c r="IX734" s="18"/>
      <c r="IY734" s="18"/>
      <c r="IZ734" s="18"/>
      <c r="JA734" s="18"/>
      <c r="JB734" s="18"/>
      <c r="JC734" s="18"/>
      <c r="JD734" s="18"/>
      <c r="JE734" s="18"/>
      <c r="JF734" s="18"/>
      <c r="JG734" s="18"/>
      <c r="JH734" s="18"/>
      <c r="JI734" s="18"/>
      <c r="JJ734" s="18"/>
      <c r="JK734" s="18"/>
      <c r="JL734" s="18"/>
      <c r="JM734" s="18"/>
      <c r="JN734" s="18"/>
      <c r="JO734" s="18"/>
      <c r="JP734" s="18"/>
      <c r="JQ734" s="18"/>
      <c r="JR734" s="18"/>
      <c r="JS734" s="18"/>
      <c r="JT734" s="18"/>
      <c r="JU734" s="18"/>
      <c r="JV734" s="18"/>
      <c r="JW734" s="18"/>
      <c r="JX734" s="18"/>
      <c r="JY734" s="18"/>
      <c r="JZ734" s="18"/>
      <c r="KA734" s="18"/>
      <c r="KB734" s="18"/>
      <c r="KC734" s="18"/>
      <c r="KD734" s="18"/>
      <c r="KE734" s="18"/>
      <c r="KF734" s="18"/>
      <c r="KG734" s="18"/>
      <c r="KH734" s="18"/>
      <c r="KI734" s="18"/>
      <c r="KJ734" s="18"/>
      <c r="KK734" s="18"/>
      <c r="KL734" s="18"/>
      <c r="KM734" s="18"/>
      <c r="KN734" s="18"/>
      <c r="KO734" s="18"/>
      <c r="KP734" s="18"/>
    </row>
    <row r="735" spans="1:302" ht="15" customHeight="1">
      <c r="A735" s="14"/>
      <c r="B735" s="14"/>
      <c r="F735" s="14"/>
      <c r="G735" s="23"/>
      <c r="H735" s="23"/>
      <c r="I735" s="23"/>
      <c r="J735" s="23"/>
      <c r="K735" s="14"/>
      <c r="L735" s="14"/>
      <c r="P735" s="14"/>
      <c r="AG735" s="44"/>
      <c r="AH735" s="44"/>
      <c r="AI735" s="45"/>
      <c r="AJ735" s="44"/>
      <c r="AK735" s="43"/>
      <c r="AS735" s="14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  <c r="FC735" s="18"/>
      <c r="FD735" s="18"/>
      <c r="FE735" s="18"/>
      <c r="FF735" s="18"/>
      <c r="FG735" s="18"/>
      <c r="FH735" s="18"/>
      <c r="FI735" s="18"/>
      <c r="FJ735" s="18"/>
      <c r="FK735" s="18"/>
      <c r="FL735" s="18"/>
      <c r="FM735" s="18"/>
      <c r="FN735" s="18"/>
      <c r="FO735" s="18"/>
      <c r="FP735" s="18"/>
      <c r="FQ735" s="18"/>
      <c r="FR735" s="18"/>
      <c r="FS735" s="18"/>
      <c r="FT735" s="18"/>
      <c r="FU735" s="18"/>
      <c r="FV735" s="18"/>
      <c r="FW735" s="18"/>
      <c r="FX735" s="18"/>
      <c r="FY735" s="18"/>
      <c r="FZ735" s="18"/>
      <c r="GA735" s="18"/>
      <c r="GB735" s="18"/>
      <c r="GC735" s="18"/>
      <c r="GD735" s="18"/>
      <c r="GE735" s="18"/>
      <c r="GF735" s="18"/>
      <c r="GG735" s="18"/>
      <c r="GH735" s="18"/>
      <c r="GI735" s="18"/>
      <c r="GJ735" s="18"/>
      <c r="GK735" s="18"/>
      <c r="GL735" s="18"/>
      <c r="GM735" s="18"/>
      <c r="GN735" s="18"/>
      <c r="GO735" s="18"/>
      <c r="GP735" s="18"/>
      <c r="GQ735" s="18"/>
      <c r="GR735" s="18"/>
      <c r="GS735" s="18"/>
      <c r="GT735" s="18"/>
      <c r="GU735" s="18"/>
      <c r="GV735" s="18"/>
      <c r="GW735" s="18"/>
      <c r="GX735" s="18"/>
      <c r="GY735" s="18"/>
      <c r="GZ735" s="18"/>
      <c r="HA735" s="18"/>
      <c r="HB735" s="18"/>
      <c r="HC735" s="18"/>
      <c r="HD735" s="18"/>
      <c r="HE735" s="18"/>
      <c r="HF735" s="18"/>
      <c r="HG735" s="13"/>
      <c r="HH735" s="13"/>
      <c r="HI735" s="13"/>
      <c r="HJ735" s="13"/>
      <c r="HK735" s="13"/>
      <c r="HL735" s="13"/>
      <c r="HM735" s="13"/>
      <c r="HN735" s="13"/>
      <c r="HO735" s="13"/>
      <c r="HP735" s="13"/>
      <c r="HQ735" s="13"/>
      <c r="HR735" s="13"/>
      <c r="HS735" s="13"/>
      <c r="HT735" s="13"/>
      <c r="HU735" s="18"/>
      <c r="HV735" s="18"/>
      <c r="HW735" s="18"/>
      <c r="HX735" s="18"/>
      <c r="HY735" s="18"/>
      <c r="HZ735" s="18"/>
      <c r="IA735" s="18"/>
      <c r="IB735" s="18"/>
      <c r="IC735" s="18"/>
      <c r="ID735" s="18"/>
      <c r="IE735" s="18"/>
      <c r="IF735" s="18"/>
      <c r="IG735" s="18"/>
      <c r="IH735" s="18"/>
      <c r="II735" s="18"/>
      <c r="IJ735" s="18"/>
      <c r="IK735" s="18"/>
      <c r="IL735" s="18"/>
      <c r="IM735" s="18"/>
      <c r="IN735" s="18"/>
      <c r="IO735" s="18"/>
      <c r="IP735" s="18"/>
      <c r="IQ735" s="18"/>
      <c r="IR735" s="18"/>
      <c r="IS735" s="18"/>
      <c r="IT735" s="18"/>
      <c r="IU735" s="18"/>
      <c r="IV735" s="18"/>
      <c r="IW735" s="18"/>
      <c r="IX735" s="18"/>
      <c r="IY735" s="18"/>
      <c r="IZ735" s="18"/>
      <c r="JA735" s="18"/>
      <c r="JB735" s="18"/>
      <c r="JC735" s="18"/>
      <c r="JD735" s="18"/>
      <c r="JE735" s="18"/>
      <c r="JF735" s="18"/>
      <c r="JG735" s="18"/>
      <c r="JH735" s="18"/>
      <c r="JI735" s="18"/>
      <c r="JJ735" s="18"/>
      <c r="JK735" s="18"/>
      <c r="JL735" s="18"/>
      <c r="JM735" s="18"/>
      <c r="JN735" s="18"/>
      <c r="JO735" s="18"/>
      <c r="JP735" s="18"/>
      <c r="JQ735" s="18"/>
      <c r="JR735" s="18"/>
      <c r="JS735" s="18"/>
      <c r="JT735" s="18"/>
      <c r="JU735" s="18"/>
      <c r="JV735" s="18"/>
      <c r="JW735" s="18"/>
      <c r="JX735" s="18"/>
      <c r="JY735" s="18"/>
      <c r="JZ735" s="18"/>
      <c r="KA735" s="18"/>
      <c r="KB735" s="18"/>
      <c r="KC735" s="18"/>
      <c r="KD735" s="18"/>
      <c r="KE735" s="18"/>
      <c r="KF735" s="18"/>
      <c r="KG735" s="18"/>
      <c r="KH735" s="18"/>
      <c r="KI735" s="18"/>
      <c r="KJ735" s="18"/>
      <c r="KK735" s="18"/>
      <c r="KL735" s="18"/>
      <c r="KM735" s="18"/>
      <c r="KN735" s="18"/>
      <c r="KO735" s="18"/>
      <c r="KP735" s="18"/>
    </row>
    <row r="736" spans="1:302" ht="15" customHeight="1">
      <c r="A736" s="14"/>
      <c r="B736" s="14"/>
      <c r="F736" s="14"/>
      <c r="G736" s="23"/>
      <c r="H736" s="23"/>
      <c r="I736" s="23"/>
      <c r="J736" s="23"/>
      <c r="K736" s="14"/>
      <c r="L736" s="14"/>
      <c r="P736" s="14"/>
      <c r="AG736" s="44"/>
      <c r="AH736" s="44"/>
      <c r="AI736" s="45"/>
      <c r="AJ736" s="44"/>
      <c r="AK736" s="43"/>
      <c r="AS736" s="14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  <c r="FC736" s="18"/>
      <c r="FD736" s="18"/>
      <c r="FE736" s="18"/>
      <c r="FF736" s="18"/>
      <c r="FG736" s="18"/>
      <c r="FH736" s="18"/>
      <c r="FI736" s="18"/>
      <c r="FJ736" s="18"/>
      <c r="FK736" s="18"/>
      <c r="FL736" s="18"/>
      <c r="FM736" s="18"/>
      <c r="FN736" s="18"/>
      <c r="FO736" s="18"/>
      <c r="FP736" s="18"/>
      <c r="FQ736" s="18"/>
      <c r="FR736" s="18"/>
      <c r="FS736" s="18"/>
      <c r="FT736" s="18"/>
      <c r="FU736" s="18"/>
      <c r="FV736" s="18"/>
      <c r="FW736" s="18"/>
      <c r="FX736" s="18"/>
      <c r="FY736" s="18"/>
      <c r="FZ736" s="18"/>
      <c r="GA736" s="18"/>
      <c r="GB736" s="18"/>
      <c r="GC736" s="18"/>
      <c r="GD736" s="18"/>
      <c r="GE736" s="18"/>
      <c r="GF736" s="18"/>
      <c r="GG736" s="18"/>
      <c r="GH736" s="18"/>
      <c r="GI736" s="18"/>
      <c r="GJ736" s="18"/>
      <c r="GK736" s="18"/>
      <c r="GL736" s="18"/>
      <c r="GM736" s="18"/>
      <c r="GN736" s="18"/>
      <c r="GO736" s="18"/>
      <c r="GP736" s="18"/>
      <c r="GQ736" s="18"/>
      <c r="GR736" s="18"/>
      <c r="GS736" s="18"/>
      <c r="GT736" s="18"/>
      <c r="GU736" s="18"/>
      <c r="GV736" s="18"/>
      <c r="GW736" s="18"/>
      <c r="GX736" s="18"/>
      <c r="GY736" s="18"/>
      <c r="GZ736" s="18"/>
      <c r="HA736" s="18"/>
      <c r="HB736" s="18"/>
      <c r="HC736" s="18"/>
      <c r="HD736" s="18"/>
      <c r="HE736" s="18"/>
      <c r="HF736" s="18"/>
      <c r="HG736" s="13"/>
      <c r="HH736" s="13"/>
      <c r="HI736" s="13"/>
      <c r="HJ736" s="13"/>
      <c r="HK736" s="13"/>
      <c r="HL736" s="13"/>
      <c r="HM736" s="13"/>
      <c r="HN736" s="13"/>
      <c r="HO736" s="13"/>
      <c r="HP736" s="13"/>
      <c r="HQ736" s="13"/>
      <c r="HR736" s="13"/>
      <c r="HS736" s="13"/>
      <c r="HT736" s="13"/>
      <c r="HU736" s="18"/>
      <c r="HV736" s="18"/>
      <c r="HW736" s="18"/>
      <c r="HX736" s="18"/>
      <c r="HY736" s="18"/>
      <c r="HZ736" s="18"/>
      <c r="IA736" s="18"/>
      <c r="IB736" s="18"/>
      <c r="IC736" s="18"/>
      <c r="ID736" s="18"/>
      <c r="IE736" s="18"/>
      <c r="IF736" s="18"/>
      <c r="IG736" s="18"/>
      <c r="IH736" s="18"/>
      <c r="II736" s="18"/>
      <c r="IJ736" s="18"/>
      <c r="IK736" s="18"/>
      <c r="IL736" s="18"/>
      <c r="IM736" s="18"/>
      <c r="IN736" s="18"/>
      <c r="IO736" s="18"/>
      <c r="IP736" s="18"/>
      <c r="IQ736" s="18"/>
      <c r="IR736" s="18"/>
      <c r="IS736" s="18"/>
      <c r="IT736" s="18"/>
      <c r="IU736" s="18"/>
      <c r="IV736" s="18"/>
      <c r="IW736" s="18"/>
      <c r="IX736" s="18"/>
      <c r="IY736" s="18"/>
      <c r="IZ736" s="18"/>
      <c r="JA736" s="18"/>
      <c r="JB736" s="18"/>
      <c r="JC736" s="18"/>
      <c r="JD736" s="18"/>
      <c r="JE736" s="18"/>
      <c r="JF736" s="18"/>
      <c r="JG736" s="18"/>
      <c r="JH736" s="18"/>
      <c r="JI736" s="18"/>
      <c r="JJ736" s="18"/>
      <c r="JK736" s="18"/>
      <c r="JL736" s="18"/>
      <c r="JM736" s="18"/>
      <c r="JN736" s="18"/>
      <c r="JO736" s="18"/>
      <c r="JP736" s="18"/>
      <c r="JQ736" s="18"/>
      <c r="JR736" s="18"/>
      <c r="JS736" s="18"/>
      <c r="JT736" s="18"/>
      <c r="JU736" s="18"/>
      <c r="JV736" s="18"/>
      <c r="JW736" s="18"/>
      <c r="JX736" s="18"/>
      <c r="JY736" s="18"/>
      <c r="JZ736" s="18"/>
      <c r="KA736" s="18"/>
      <c r="KB736" s="18"/>
      <c r="KC736" s="18"/>
      <c r="KD736" s="18"/>
      <c r="KE736" s="18"/>
      <c r="KF736" s="18"/>
      <c r="KG736" s="18"/>
      <c r="KH736" s="18"/>
      <c r="KI736" s="18"/>
      <c r="KJ736" s="18"/>
      <c r="KK736" s="18"/>
      <c r="KL736" s="18"/>
      <c r="KM736" s="18"/>
      <c r="KN736" s="18"/>
      <c r="KO736" s="18"/>
      <c r="KP736" s="18"/>
    </row>
    <row r="737" spans="1:302" ht="15" customHeight="1">
      <c r="A737" s="14"/>
      <c r="B737" s="14"/>
      <c r="F737" s="14"/>
      <c r="G737" s="23"/>
      <c r="H737" s="23"/>
      <c r="I737" s="23"/>
      <c r="J737" s="23"/>
      <c r="K737" s="14"/>
      <c r="L737" s="14"/>
      <c r="P737" s="14"/>
      <c r="AG737" s="44"/>
      <c r="AH737" s="44"/>
      <c r="AI737" s="45"/>
      <c r="AJ737" s="44"/>
      <c r="AK737" s="43"/>
      <c r="AS737" s="14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  <c r="FC737" s="18"/>
      <c r="FD737" s="18"/>
      <c r="FE737" s="18"/>
      <c r="FF737" s="18"/>
      <c r="FG737" s="18"/>
      <c r="FH737" s="18"/>
      <c r="FI737" s="18"/>
      <c r="FJ737" s="18"/>
      <c r="FK737" s="18"/>
      <c r="FL737" s="18"/>
      <c r="FM737" s="18"/>
      <c r="FN737" s="18"/>
      <c r="FO737" s="18"/>
      <c r="FP737" s="18"/>
      <c r="FQ737" s="18"/>
      <c r="FR737" s="18"/>
      <c r="FS737" s="18"/>
      <c r="FT737" s="18"/>
      <c r="FU737" s="18"/>
      <c r="FV737" s="18"/>
      <c r="FW737" s="18"/>
      <c r="FX737" s="18"/>
      <c r="FY737" s="18"/>
      <c r="FZ737" s="18"/>
      <c r="GA737" s="18"/>
      <c r="GB737" s="18"/>
      <c r="GC737" s="18"/>
      <c r="GD737" s="18"/>
      <c r="GE737" s="18"/>
      <c r="GF737" s="18"/>
      <c r="GG737" s="18"/>
      <c r="GH737" s="18"/>
      <c r="GI737" s="18"/>
      <c r="GJ737" s="18"/>
      <c r="GK737" s="18"/>
      <c r="GL737" s="18"/>
      <c r="GM737" s="18"/>
      <c r="GN737" s="18"/>
      <c r="GO737" s="18"/>
      <c r="GP737" s="18"/>
      <c r="GQ737" s="18"/>
      <c r="GR737" s="18"/>
      <c r="GS737" s="18"/>
      <c r="GT737" s="18"/>
      <c r="GU737" s="18"/>
      <c r="GV737" s="18"/>
      <c r="GW737" s="18"/>
      <c r="GX737" s="18"/>
      <c r="GY737" s="18"/>
      <c r="GZ737" s="18"/>
      <c r="HA737" s="18"/>
      <c r="HB737" s="18"/>
      <c r="HC737" s="18"/>
      <c r="HD737" s="18"/>
      <c r="HE737" s="18"/>
      <c r="HF737" s="18"/>
      <c r="HG737" s="13"/>
      <c r="HH737" s="13"/>
      <c r="HI737" s="13"/>
      <c r="HJ737" s="13"/>
      <c r="HK737" s="13"/>
      <c r="HL737" s="13"/>
      <c r="HM737" s="13"/>
      <c r="HN737" s="13"/>
      <c r="HO737" s="13"/>
      <c r="HP737" s="13"/>
      <c r="HQ737" s="13"/>
      <c r="HR737" s="13"/>
      <c r="HS737" s="13"/>
      <c r="HT737" s="13"/>
      <c r="HU737" s="18"/>
      <c r="HV737" s="18"/>
      <c r="HW737" s="18"/>
      <c r="HX737" s="18"/>
      <c r="HY737" s="18"/>
      <c r="HZ737" s="18"/>
      <c r="IA737" s="18"/>
      <c r="IB737" s="18"/>
      <c r="IC737" s="18"/>
      <c r="ID737" s="18"/>
      <c r="IE737" s="18"/>
      <c r="IF737" s="18"/>
      <c r="IG737" s="18"/>
      <c r="IH737" s="18"/>
      <c r="II737" s="18"/>
      <c r="IJ737" s="18"/>
      <c r="IK737" s="18"/>
      <c r="IL737" s="18"/>
      <c r="IM737" s="18"/>
      <c r="IN737" s="18"/>
      <c r="IO737" s="18"/>
      <c r="IP737" s="18"/>
      <c r="IQ737" s="18"/>
      <c r="IR737" s="18"/>
      <c r="IS737" s="18"/>
      <c r="IT737" s="18"/>
      <c r="IU737" s="18"/>
      <c r="IV737" s="18"/>
      <c r="IW737" s="18"/>
      <c r="IX737" s="18"/>
      <c r="IY737" s="18"/>
      <c r="IZ737" s="18"/>
      <c r="JA737" s="18"/>
      <c r="JB737" s="18"/>
      <c r="JC737" s="18"/>
      <c r="JD737" s="18"/>
      <c r="JE737" s="18"/>
      <c r="JF737" s="18"/>
      <c r="JG737" s="18"/>
      <c r="JH737" s="18"/>
      <c r="JI737" s="18"/>
      <c r="JJ737" s="18"/>
      <c r="JK737" s="18"/>
      <c r="JL737" s="18"/>
      <c r="JM737" s="18"/>
      <c r="JN737" s="18"/>
      <c r="JO737" s="18"/>
      <c r="JP737" s="18"/>
      <c r="JQ737" s="18"/>
      <c r="JR737" s="18"/>
      <c r="JS737" s="18"/>
      <c r="JT737" s="18"/>
      <c r="JU737" s="18"/>
      <c r="JV737" s="18"/>
      <c r="JW737" s="18"/>
      <c r="JX737" s="18"/>
      <c r="JY737" s="18"/>
      <c r="JZ737" s="18"/>
      <c r="KA737" s="18"/>
      <c r="KB737" s="18"/>
      <c r="KC737" s="18"/>
      <c r="KD737" s="18"/>
      <c r="KE737" s="18"/>
      <c r="KF737" s="18"/>
      <c r="KG737" s="18"/>
      <c r="KH737" s="18"/>
      <c r="KI737" s="18"/>
      <c r="KJ737" s="18"/>
      <c r="KK737" s="18"/>
      <c r="KL737" s="18"/>
      <c r="KM737" s="18"/>
      <c r="KN737" s="18"/>
      <c r="KO737" s="18"/>
      <c r="KP737" s="18"/>
    </row>
    <row r="738" spans="1:302" ht="15" customHeight="1">
      <c r="A738" s="14"/>
      <c r="B738" s="14"/>
      <c r="F738" s="14"/>
      <c r="G738" s="23"/>
      <c r="H738" s="23"/>
      <c r="I738" s="23"/>
      <c r="J738" s="23"/>
      <c r="K738" s="14"/>
      <c r="L738" s="14"/>
      <c r="P738" s="14"/>
      <c r="AG738" s="44"/>
      <c r="AH738" s="44"/>
      <c r="AI738" s="45"/>
      <c r="AJ738" s="44"/>
      <c r="AK738" s="43"/>
      <c r="AS738" s="14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  <c r="FC738" s="18"/>
      <c r="FD738" s="18"/>
      <c r="FE738" s="18"/>
      <c r="FF738" s="18"/>
      <c r="FG738" s="18"/>
      <c r="FH738" s="18"/>
      <c r="FI738" s="18"/>
      <c r="FJ738" s="18"/>
      <c r="FK738" s="18"/>
      <c r="FL738" s="18"/>
      <c r="FM738" s="18"/>
      <c r="FN738" s="18"/>
      <c r="FO738" s="18"/>
      <c r="FP738" s="18"/>
      <c r="FQ738" s="18"/>
      <c r="FR738" s="18"/>
      <c r="FS738" s="18"/>
      <c r="FT738" s="18"/>
      <c r="FU738" s="18"/>
      <c r="FV738" s="18"/>
      <c r="FW738" s="18"/>
      <c r="FX738" s="18"/>
      <c r="FY738" s="18"/>
      <c r="FZ738" s="18"/>
      <c r="GA738" s="18"/>
      <c r="GB738" s="18"/>
      <c r="GC738" s="18"/>
      <c r="GD738" s="18"/>
      <c r="GE738" s="18"/>
      <c r="GF738" s="18"/>
      <c r="GG738" s="18"/>
      <c r="GH738" s="18"/>
      <c r="GI738" s="18"/>
      <c r="GJ738" s="18"/>
      <c r="GK738" s="18"/>
      <c r="GL738" s="18"/>
      <c r="GM738" s="18"/>
      <c r="GN738" s="18"/>
      <c r="GO738" s="18"/>
      <c r="GP738" s="18"/>
      <c r="GQ738" s="18"/>
      <c r="GR738" s="18"/>
      <c r="GS738" s="18"/>
      <c r="GT738" s="18"/>
      <c r="GU738" s="18"/>
      <c r="GV738" s="18"/>
      <c r="GW738" s="18"/>
      <c r="GX738" s="18"/>
      <c r="GY738" s="18"/>
      <c r="GZ738" s="18"/>
      <c r="HA738" s="18"/>
      <c r="HB738" s="18"/>
      <c r="HC738" s="18"/>
      <c r="HD738" s="18"/>
      <c r="HE738" s="18"/>
      <c r="HF738" s="18"/>
      <c r="HG738" s="13"/>
      <c r="HH738" s="13"/>
      <c r="HI738" s="13"/>
      <c r="HJ738" s="13"/>
      <c r="HK738" s="13"/>
      <c r="HL738" s="13"/>
      <c r="HM738" s="13"/>
      <c r="HN738" s="13"/>
      <c r="HO738" s="13"/>
      <c r="HP738" s="13"/>
      <c r="HQ738" s="13"/>
      <c r="HR738" s="13"/>
      <c r="HS738" s="13"/>
      <c r="HT738" s="13"/>
      <c r="HU738" s="18"/>
      <c r="HV738" s="18"/>
      <c r="HW738" s="18"/>
      <c r="HX738" s="18"/>
      <c r="HY738" s="18"/>
      <c r="HZ738" s="18"/>
      <c r="IA738" s="18"/>
      <c r="IB738" s="18"/>
      <c r="IC738" s="18"/>
      <c r="ID738" s="18"/>
      <c r="IE738" s="18"/>
      <c r="IF738" s="18"/>
      <c r="IG738" s="18"/>
      <c r="IH738" s="18"/>
      <c r="II738" s="18"/>
      <c r="IJ738" s="18"/>
      <c r="IK738" s="18"/>
      <c r="IL738" s="18"/>
      <c r="IM738" s="18"/>
      <c r="IN738" s="18"/>
      <c r="IO738" s="18"/>
      <c r="IP738" s="18"/>
      <c r="IQ738" s="18"/>
      <c r="IR738" s="18"/>
      <c r="IS738" s="18"/>
      <c r="IT738" s="18"/>
      <c r="IU738" s="18"/>
      <c r="IV738" s="18"/>
      <c r="IW738" s="18"/>
      <c r="IX738" s="18"/>
      <c r="IY738" s="18"/>
      <c r="IZ738" s="18"/>
      <c r="JA738" s="18"/>
      <c r="JB738" s="18"/>
      <c r="JC738" s="18"/>
      <c r="JD738" s="18"/>
      <c r="JE738" s="18"/>
      <c r="JF738" s="18"/>
      <c r="JG738" s="18"/>
      <c r="JH738" s="18"/>
      <c r="JI738" s="18"/>
      <c r="JJ738" s="18"/>
      <c r="JK738" s="18"/>
      <c r="JL738" s="18"/>
      <c r="JM738" s="18"/>
      <c r="JN738" s="18"/>
      <c r="JO738" s="18"/>
      <c r="JP738" s="18"/>
      <c r="JQ738" s="18"/>
      <c r="JR738" s="18"/>
      <c r="JS738" s="18"/>
      <c r="JT738" s="18"/>
      <c r="JU738" s="18"/>
      <c r="JV738" s="18"/>
      <c r="JW738" s="18"/>
      <c r="JX738" s="18"/>
      <c r="JY738" s="18"/>
      <c r="JZ738" s="18"/>
      <c r="KA738" s="18"/>
      <c r="KB738" s="18"/>
      <c r="KC738" s="18"/>
      <c r="KD738" s="18"/>
      <c r="KE738" s="18"/>
      <c r="KF738" s="18"/>
      <c r="KG738" s="18"/>
      <c r="KH738" s="18"/>
      <c r="KI738" s="18"/>
      <c r="KJ738" s="18"/>
      <c r="KK738" s="18"/>
      <c r="KL738" s="18"/>
      <c r="KM738" s="18"/>
      <c r="KN738" s="18"/>
      <c r="KO738" s="18"/>
      <c r="KP738" s="18"/>
    </row>
    <row r="739" spans="1:302" ht="15" customHeight="1">
      <c r="A739" s="14"/>
      <c r="B739" s="14"/>
      <c r="F739" s="14"/>
      <c r="G739" s="23"/>
      <c r="H739" s="23"/>
      <c r="I739" s="23"/>
      <c r="J739" s="23"/>
      <c r="K739" s="14"/>
      <c r="L739" s="14"/>
      <c r="P739" s="14"/>
      <c r="AG739" s="44"/>
      <c r="AH739" s="44"/>
      <c r="AI739" s="45"/>
      <c r="AJ739" s="44"/>
      <c r="AK739" s="43"/>
      <c r="AS739" s="14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  <c r="FC739" s="18"/>
      <c r="FD739" s="18"/>
      <c r="FE739" s="18"/>
      <c r="FF739" s="18"/>
      <c r="FG739" s="18"/>
      <c r="FH739" s="18"/>
      <c r="FI739" s="18"/>
      <c r="FJ739" s="18"/>
      <c r="FK739" s="18"/>
      <c r="FL739" s="18"/>
      <c r="FM739" s="18"/>
      <c r="FN739" s="18"/>
      <c r="FO739" s="18"/>
      <c r="FP739" s="18"/>
      <c r="FQ739" s="18"/>
      <c r="FR739" s="18"/>
      <c r="FS739" s="18"/>
      <c r="FT739" s="18"/>
      <c r="FU739" s="18"/>
      <c r="FV739" s="18"/>
      <c r="FW739" s="18"/>
      <c r="FX739" s="18"/>
      <c r="FY739" s="18"/>
      <c r="FZ739" s="18"/>
      <c r="GA739" s="18"/>
      <c r="GB739" s="18"/>
      <c r="GC739" s="18"/>
      <c r="GD739" s="18"/>
      <c r="GE739" s="18"/>
      <c r="GF739" s="18"/>
      <c r="GG739" s="18"/>
      <c r="GH739" s="18"/>
      <c r="GI739" s="18"/>
      <c r="GJ739" s="18"/>
      <c r="GK739" s="18"/>
      <c r="GL739" s="18"/>
      <c r="GM739" s="18"/>
      <c r="GN739" s="18"/>
      <c r="GO739" s="18"/>
      <c r="GP739" s="18"/>
      <c r="GQ739" s="18"/>
      <c r="GR739" s="18"/>
      <c r="GS739" s="18"/>
      <c r="GT739" s="18"/>
      <c r="GU739" s="18"/>
      <c r="GV739" s="18"/>
      <c r="GW739" s="18"/>
      <c r="GX739" s="18"/>
      <c r="GY739" s="18"/>
      <c r="GZ739" s="18"/>
      <c r="HA739" s="18"/>
      <c r="HB739" s="18"/>
      <c r="HC739" s="18"/>
      <c r="HD739" s="18"/>
      <c r="HE739" s="18"/>
      <c r="HF739" s="18"/>
      <c r="HG739" s="13"/>
      <c r="HH739" s="13"/>
      <c r="HI739" s="13"/>
      <c r="HJ739" s="13"/>
      <c r="HK739" s="13"/>
      <c r="HL739" s="13"/>
      <c r="HM739" s="13"/>
      <c r="HN739" s="13"/>
      <c r="HO739" s="13"/>
      <c r="HP739" s="13"/>
      <c r="HQ739" s="13"/>
      <c r="HR739" s="13"/>
      <c r="HS739" s="13"/>
      <c r="HT739" s="13"/>
      <c r="HU739" s="18"/>
      <c r="HV739" s="18"/>
      <c r="HW739" s="18"/>
      <c r="HX739" s="18"/>
      <c r="HY739" s="18"/>
      <c r="HZ739" s="18"/>
      <c r="IA739" s="18"/>
      <c r="IB739" s="18"/>
      <c r="IC739" s="18"/>
      <c r="ID739" s="18"/>
      <c r="IE739" s="18"/>
      <c r="IF739" s="18"/>
      <c r="IG739" s="18"/>
      <c r="IH739" s="18"/>
      <c r="II739" s="18"/>
      <c r="IJ739" s="18"/>
      <c r="IK739" s="18"/>
      <c r="IL739" s="18"/>
      <c r="IM739" s="18"/>
      <c r="IN739" s="18"/>
      <c r="IO739" s="18"/>
      <c r="IP739" s="18"/>
      <c r="IQ739" s="18"/>
      <c r="IR739" s="18"/>
      <c r="IS739" s="18"/>
      <c r="IT739" s="18"/>
      <c r="IU739" s="18"/>
      <c r="IV739" s="18"/>
      <c r="IW739" s="18"/>
      <c r="IX739" s="18"/>
      <c r="IY739" s="18"/>
      <c r="IZ739" s="18"/>
      <c r="JA739" s="18"/>
      <c r="JB739" s="18"/>
      <c r="JC739" s="18"/>
      <c r="JD739" s="18"/>
      <c r="JE739" s="18"/>
      <c r="JF739" s="18"/>
      <c r="JG739" s="18"/>
      <c r="JH739" s="18"/>
      <c r="JI739" s="18"/>
      <c r="JJ739" s="18"/>
      <c r="JK739" s="18"/>
      <c r="JL739" s="18"/>
      <c r="JM739" s="18"/>
      <c r="JN739" s="18"/>
      <c r="JO739" s="18"/>
      <c r="JP739" s="18"/>
      <c r="JQ739" s="18"/>
      <c r="JR739" s="18"/>
      <c r="JS739" s="18"/>
      <c r="JT739" s="18"/>
      <c r="JU739" s="18"/>
      <c r="JV739" s="18"/>
      <c r="JW739" s="18"/>
      <c r="JX739" s="18"/>
      <c r="JY739" s="18"/>
      <c r="JZ739" s="18"/>
      <c r="KA739" s="18"/>
      <c r="KB739" s="18"/>
      <c r="KC739" s="18"/>
      <c r="KD739" s="18"/>
      <c r="KE739" s="18"/>
      <c r="KF739" s="18"/>
      <c r="KG739" s="18"/>
      <c r="KH739" s="18"/>
      <c r="KI739" s="18"/>
      <c r="KJ739" s="18"/>
      <c r="KK739" s="18"/>
      <c r="KL739" s="18"/>
      <c r="KM739" s="18"/>
      <c r="KN739" s="18"/>
      <c r="KO739" s="18"/>
      <c r="KP739" s="18"/>
    </row>
    <row r="740" spans="1:302" ht="15" customHeight="1">
      <c r="A740" s="14"/>
      <c r="B740" s="14"/>
      <c r="F740" s="14"/>
      <c r="G740" s="23"/>
      <c r="H740" s="23"/>
      <c r="I740" s="23"/>
      <c r="J740" s="23"/>
      <c r="K740" s="14"/>
      <c r="L740" s="14"/>
      <c r="P740" s="14"/>
      <c r="AG740" s="44"/>
      <c r="AH740" s="44"/>
      <c r="AI740" s="45"/>
      <c r="AJ740" s="44"/>
      <c r="AK740" s="43"/>
      <c r="AS740" s="14"/>
      <c r="AT740" s="18"/>
      <c r="AU740" s="18"/>
      <c r="AV740" s="18"/>
      <c r="AW740" s="18"/>
      <c r="AX740" s="18"/>
      <c r="AY740" s="18"/>
      <c r="AZ740" s="18"/>
      <c r="BA740" s="18"/>
      <c r="BB740" s="18"/>
      <c r="BC740" s="18"/>
      <c r="BD740" s="18"/>
      <c r="BE740" s="18"/>
      <c r="BF740" s="18"/>
      <c r="BG740" s="18"/>
      <c r="BH740" s="18"/>
      <c r="BI740" s="18"/>
      <c r="BJ740" s="18"/>
      <c r="BK740" s="18"/>
      <c r="BL740" s="18"/>
      <c r="BM740" s="18"/>
      <c r="BN740" s="18"/>
      <c r="BO740" s="18"/>
      <c r="BP740" s="18"/>
      <c r="BQ740" s="18"/>
      <c r="BR740" s="18"/>
      <c r="BS740" s="18"/>
      <c r="BT740" s="18"/>
      <c r="BU740" s="18"/>
      <c r="BV740" s="18"/>
      <c r="BW740" s="18"/>
      <c r="BX740" s="18"/>
      <c r="BY740" s="18"/>
      <c r="BZ740" s="18"/>
      <c r="CA740" s="18"/>
      <c r="CB740" s="18"/>
      <c r="CC740" s="18"/>
      <c r="CD740" s="18"/>
      <c r="CE740" s="18"/>
      <c r="CF740" s="18"/>
      <c r="CG740" s="18"/>
      <c r="CH740" s="18"/>
      <c r="CI740" s="18"/>
      <c r="CJ740" s="18"/>
      <c r="CK740" s="18"/>
      <c r="CL740" s="18"/>
      <c r="CM740" s="18"/>
      <c r="CN740" s="18"/>
      <c r="CO740" s="18"/>
      <c r="CP740" s="18"/>
      <c r="CQ740" s="18"/>
      <c r="CR740" s="18"/>
      <c r="CS740" s="18"/>
      <c r="CT740" s="18"/>
      <c r="CU740" s="18"/>
      <c r="CV740" s="18"/>
      <c r="CW740" s="18"/>
      <c r="CX740" s="18"/>
      <c r="CY740" s="18"/>
      <c r="CZ740" s="18"/>
      <c r="DA740" s="18"/>
      <c r="DB740" s="18"/>
      <c r="DC740" s="18"/>
      <c r="DD740" s="18"/>
      <c r="DE740" s="18"/>
      <c r="DF740" s="18"/>
      <c r="DG740" s="18"/>
      <c r="DH740" s="18"/>
      <c r="DI740" s="18"/>
      <c r="DJ740" s="18"/>
      <c r="DK740" s="18"/>
      <c r="DL740" s="18"/>
      <c r="DM740" s="18"/>
      <c r="DN740" s="18"/>
      <c r="DO740" s="18"/>
      <c r="DP740" s="18"/>
      <c r="DQ740" s="18"/>
      <c r="DR740" s="18"/>
      <c r="DS740" s="18"/>
      <c r="DT740" s="18"/>
      <c r="DU740" s="18"/>
      <c r="DV740" s="18"/>
      <c r="DW740" s="18"/>
      <c r="DX740" s="18"/>
      <c r="DY740" s="18"/>
      <c r="DZ740" s="18"/>
      <c r="EA740" s="18"/>
      <c r="EB740" s="18"/>
      <c r="EC740" s="18"/>
      <c r="ED740" s="18"/>
      <c r="EE740" s="18"/>
      <c r="EF740" s="18"/>
      <c r="EG740" s="18"/>
      <c r="EH740" s="18"/>
      <c r="EI740" s="18"/>
      <c r="EJ740" s="18"/>
      <c r="EK740" s="18"/>
      <c r="EL740" s="18"/>
      <c r="EM740" s="18"/>
      <c r="EN740" s="18"/>
      <c r="EO740" s="18"/>
      <c r="EP740" s="18"/>
      <c r="EQ740" s="18"/>
      <c r="ER740" s="18"/>
      <c r="ES740" s="18"/>
      <c r="ET740" s="18"/>
      <c r="EU740" s="18"/>
      <c r="EV740" s="18"/>
      <c r="EW740" s="18"/>
      <c r="EX740" s="18"/>
      <c r="EY740" s="18"/>
      <c r="EZ740" s="18"/>
      <c r="FA740" s="18"/>
      <c r="FB740" s="18"/>
      <c r="FC740" s="18"/>
      <c r="FD740" s="18"/>
      <c r="FE740" s="18"/>
      <c r="FF740" s="18"/>
      <c r="FG740" s="18"/>
      <c r="FH740" s="18"/>
      <c r="FI740" s="18"/>
      <c r="FJ740" s="18"/>
      <c r="FK740" s="18"/>
      <c r="FL740" s="18"/>
      <c r="FM740" s="18"/>
      <c r="FN740" s="18"/>
      <c r="FO740" s="18"/>
      <c r="FP740" s="18"/>
      <c r="FQ740" s="18"/>
      <c r="FR740" s="18"/>
      <c r="FS740" s="18"/>
      <c r="FT740" s="18"/>
      <c r="FU740" s="18"/>
      <c r="FV740" s="18"/>
      <c r="FW740" s="18"/>
      <c r="FX740" s="18"/>
      <c r="FY740" s="18"/>
      <c r="FZ740" s="18"/>
      <c r="GA740" s="18"/>
      <c r="GB740" s="18"/>
      <c r="GC740" s="18"/>
      <c r="GD740" s="18"/>
      <c r="GE740" s="18"/>
      <c r="GF740" s="18"/>
      <c r="GG740" s="18"/>
      <c r="GH740" s="18"/>
      <c r="GI740" s="18"/>
      <c r="GJ740" s="18"/>
      <c r="GK740" s="18"/>
      <c r="GL740" s="18"/>
      <c r="GM740" s="18"/>
      <c r="GN740" s="18"/>
      <c r="GO740" s="18"/>
      <c r="GP740" s="18"/>
      <c r="GQ740" s="18"/>
      <c r="GR740" s="18"/>
      <c r="GS740" s="18"/>
      <c r="GT740" s="18"/>
      <c r="GU740" s="18"/>
      <c r="GV740" s="18"/>
      <c r="GW740" s="18"/>
      <c r="GX740" s="18"/>
      <c r="GY740" s="18"/>
      <c r="GZ740" s="18"/>
      <c r="HA740" s="18"/>
      <c r="HB740" s="18"/>
      <c r="HC740" s="18"/>
      <c r="HD740" s="18"/>
      <c r="HE740" s="18"/>
      <c r="HF740" s="18"/>
      <c r="HG740" s="13"/>
      <c r="HH740" s="13"/>
      <c r="HI740" s="13"/>
      <c r="HJ740" s="13"/>
      <c r="HK740" s="13"/>
      <c r="HL740" s="13"/>
      <c r="HM740" s="13"/>
      <c r="HN740" s="13"/>
      <c r="HO740" s="13"/>
      <c r="HP740" s="13"/>
      <c r="HQ740" s="13"/>
      <c r="HR740" s="13"/>
      <c r="HS740" s="13"/>
      <c r="HT740" s="13"/>
      <c r="HU740" s="18"/>
      <c r="HV740" s="18"/>
      <c r="HW740" s="18"/>
      <c r="HX740" s="18"/>
      <c r="HY740" s="18"/>
      <c r="HZ740" s="18"/>
      <c r="IA740" s="18"/>
      <c r="IB740" s="18"/>
      <c r="IC740" s="18"/>
      <c r="ID740" s="18"/>
      <c r="IE740" s="18"/>
      <c r="IF740" s="18"/>
      <c r="IG740" s="18"/>
      <c r="IH740" s="18"/>
      <c r="II740" s="18"/>
      <c r="IJ740" s="18"/>
      <c r="IK740" s="18"/>
      <c r="IL740" s="18"/>
      <c r="IM740" s="18"/>
      <c r="IN740" s="18"/>
      <c r="IO740" s="18"/>
      <c r="IP740" s="18"/>
      <c r="IQ740" s="18"/>
      <c r="IR740" s="18"/>
      <c r="IS740" s="18"/>
      <c r="IT740" s="18"/>
      <c r="IU740" s="18"/>
      <c r="IV740" s="18"/>
      <c r="IW740" s="18"/>
      <c r="IX740" s="18"/>
      <c r="IY740" s="18"/>
      <c r="IZ740" s="18"/>
      <c r="JA740" s="18"/>
      <c r="JB740" s="18"/>
      <c r="JC740" s="18"/>
      <c r="JD740" s="18"/>
      <c r="JE740" s="18"/>
      <c r="JF740" s="18"/>
      <c r="JG740" s="18"/>
      <c r="JH740" s="18"/>
      <c r="JI740" s="18"/>
      <c r="JJ740" s="18"/>
      <c r="JK740" s="18"/>
      <c r="JL740" s="18"/>
      <c r="JM740" s="18"/>
      <c r="JN740" s="18"/>
      <c r="JO740" s="18"/>
      <c r="JP740" s="18"/>
      <c r="JQ740" s="18"/>
      <c r="JR740" s="18"/>
      <c r="JS740" s="18"/>
      <c r="JT740" s="18"/>
      <c r="JU740" s="18"/>
      <c r="JV740" s="18"/>
      <c r="JW740" s="18"/>
      <c r="JX740" s="18"/>
      <c r="JY740" s="18"/>
      <c r="JZ740" s="18"/>
      <c r="KA740" s="18"/>
      <c r="KB740" s="18"/>
      <c r="KC740" s="18"/>
      <c r="KD740" s="18"/>
      <c r="KE740" s="18"/>
      <c r="KF740" s="18"/>
      <c r="KG740" s="18"/>
      <c r="KH740" s="18"/>
      <c r="KI740" s="18"/>
      <c r="KJ740" s="18"/>
      <c r="KK740" s="18"/>
      <c r="KL740" s="18"/>
      <c r="KM740" s="18"/>
      <c r="KN740" s="18"/>
      <c r="KO740" s="18"/>
      <c r="KP740" s="18"/>
    </row>
    <row r="741" spans="1:302" ht="15" customHeight="1">
      <c r="A741" s="14"/>
      <c r="B741" s="14"/>
      <c r="F741" s="14"/>
      <c r="G741" s="23"/>
      <c r="H741" s="23"/>
      <c r="I741" s="23"/>
      <c r="J741" s="23"/>
      <c r="K741" s="14"/>
      <c r="L741" s="14"/>
      <c r="P741" s="14"/>
      <c r="AG741" s="44"/>
      <c r="AH741" s="44"/>
      <c r="AI741" s="45"/>
      <c r="AJ741" s="44"/>
      <c r="AK741" s="43"/>
      <c r="AS741" s="14"/>
      <c r="AT741" s="18"/>
      <c r="AU741" s="18"/>
      <c r="AV741" s="18"/>
      <c r="AW741" s="18"/>
      <c r="AX741" s="18"/>
      <c r="AY741" s="18"/>
      <c r="AZ741" s="18"/>
      <c r="BA741" s="18"/>
      <c r="BB741" s="18"/>
      <c r="BC741" s="18"/>
      <c r="BD741" s="18"/>
      <c r="BE741" s="18"/>
      <c r="BF741" s="18"/>
      <c r="BG741" s="18"/>
      <c r="BH741" s="18"/>
      <c r="BI741" s="18"/>
      <c r="BJ741" s="18"/>
      <c r="BK741" s="18"/>
      <c r="BL741" s="18"/>
      <c r="BM741" s="18"/>
      <c r="BN741" s="18"/>
      <c r="BO741" s="18"/>
      <c r="BP741" s="18"/>
      <c r="BQ741" s="18"/>
      <c r="BR741" s="18"/>
      <c r="BS741" s="18"/>
      <c r="BT741" s="18"/>
      <c r="BU741" s="18"/>
      <c r="BV741" s="18"/>
      <c r="BW741" s="18"/>
      <c r="BX741" s="18"/>
      <c r="BY741" s="18"/>
      <c r="BZ741" s="18"/>
      <c r="CA741" s="18"/>
      <c r="CB741" s="18"/>
      <c r="CC741" s="18"/>
      <c r="CD741" s="18"/>
      <c r="CE741" s="18"/>
      <c r="CF741" s="18"/>
      <c r="CG741" s="18"/>
      <c r="CH741" s="18"/>
      <c r="CI741" s="18"/>
      <c r="CJ741" s="18"/>
      <c r="CK741" s="18"/>
      <c r="CL741" s="18"/>
      <c r="CM741" s="18"/>
      <c r="CN741" s="18"/>
      <c r="CO741" s="18"/>
      <c r="CP741" s="18"/>
      <c r="CQ741" s="18"/>
      <c r="CR741" s="18"/>
      <c r="CS741" s="18"/>
      <c r="CT741" s="18"/>
      <c r="CU741" s="18"/>
      <c r="CV741" s="18"/>
      <c r="CW741" s="18"/>
      <c r="CX741" s="18"/>
      <c r="CY741" s="18"/>
      <c r="CZ741" s="18"/>
      <c r="DA741" s="18"/>
      <c r="DB741" s="18"/>
      <c r="DC741" s="18"/>
      <c r="DD741" s="18"/>
      <c r="DE741" s="18"/>
      <c r="DF741" s="18"/>
      <c r="DG741" s="18"/>
      <c r="DH741" s="18"/>
      <c r="DI741" s="18"/>
      <c r="DJ741" s="18"/>
      <c r="DK741" s="18"/>
      <c r="DL741" s="18"/>
      <c r="DM741" s="18"/>
      <c r="DN741" s="18"/>
      <c r="DO741" s="18"/>
      <c r="DP741" s="18"/>
      <c r="DQ741" s="18"/>
      <c r="DR741" s="18"/>
      <c r="DS741" s="18"/>
      <c r="DT741" s="18"/>
      <c r="DU741" s="18"/>
      <c r="DV741" s="18"/>
      <c r="DW741" s="18"/>
      <c r="DX741" s="18"/>
      <c r="DY741" s="18"/>
      <c r="DZ741" s="18"/>
      <c r="EA741" s="18"/>
      <c r="EB741" s="18"/>
      <c r="EC741" s="18"/>
      <c r="ED741" s="18"/>
      <c r="EE741" s="18"/>
      <c r="EF741" s="18"/>
      <c r="EG741" s="18"/>
      <c r="EH741" s="18"/>
      <c r="EI741" s="18"/>
      <c r="EJ741" s="18"/>
      <c r="EK741" s="18"/>
      <c r="EL741" s="18"/>
      <c r="EM741" s="18"/>
      <c r="EN741" s="18"/>
      <c r="EO741" s="18"/>
      <c r="EP741" s="18"/>
      <c r="EQ741" s="18"/>
      <c r="ER741" s="18"/>
      <c r="ES741" s="18"/>
      <c r="ET741" s="18"/>
      <c r="EU741" s="18"/>
      <c r="EV741" s="18"/>
      <c r="EW741" s="18"/>
      <c r="EX741" s="18"/>
      <c r="EY741" s="18"/>
      <c r="EZ741" s="18"/>
      <c r="FA741" s="18"/>
      <c r="FB741" s="18"/>
      <c r="FC741" s="18"/>
      <c r="FD741" s="18"/>
      <c r="FE741" s="18"/>
      <c r="FF741" s="18"/>
      <c r="FG741" s="18"/>
      <c r="FH741" s="18"/>
      <c r="FI741" s="18"/>
      <c r="FJ741" s="18"/>
      <c r="FK741" s="18"/>
      <c r="FL741" s="18"/>
      <c r="FM741" s="18"/>
      <c r="FN741" s="18"/>
      <c r="FO741" s="18"/>
      <c r="FP741" s="18"/>
      <c r="FQ741" s="18"/>
      <c r="FR741" s="18"/>
      <c r="FS741" s="18"/>
      <c r="FT741" s="18"/>
      <c r="FU741" s="18"/>
      <c r="FV741" s="18"/>
      <c r="FW741" s="18"/>
      <c r="FX741" s="18"/>
      <c r="FY741" s="18"/>
      <c r="FZ741" s="18"/>
      <c r="GA741" s="18"/>
      <c r="GB741" s="18"/>
      <c r="GC741" s="18"/>
      <c r="GD741" s="18"/>
      <c r="GE741" s="18"/>
      <c r="GF741" s="18"/>
      <c r="GG741" s="18"/>
      <c r="GH741" s="18"/>
      <c r="GI741" s="18"/>
      <c r="GJ741" s="18"/>
      <c r="GK741" s="18"/>
      <c r="GL741" s="18"/>
      <c r="GM741" s="18"/>
      <c r="GN741" s="18"/>
      <c r="GO741" s="18"/>
      <c r="GP741" s="18"/>
      <c r="GQ741" s="18"/>
      <c r="GR741" s="18"/>
      <c r="GS741" s="18"/>
      <c r="GT741" s="18"/>
      <c r="GU741" s="18"/>
      <c r="GV741" s="18"/>
      <c r="GW741" s="18"/>
      <c r="GX741" s="18"/>
      <c r="GY741" s="18"/>
      <c r="GZ741" s="18"/>
      <c r="HA741" s="18"/>
      <c r="HB741" s="18"/>
      <c r="HC741" s="18"/>
      <c r="HD741" s="18"/>
      <c r="HE741" s="18"/>
      <c r="HF741" s="18"/>
      <c r="HG741" s="13"/>
      <c r="HH741" s="13"/>
      <c r="HI741" s="13"/>
      <c r="HJ741" s="13"/>
      <c r="HK741" s="13"/>
      <c r="HL741" s="13"/>
      <c r="HM741" s="13"/>
      <c r="HN741" s="13"/>
      <c r="HO741" s="13"/>
      <c r="HP741" s="13"/>
      <c r="HQ741" s="13"/>
      <c r="HR741" s="13"/>
      <c r="HS741" s="13"/>
      <c r="HT741" s="13"/>
      <c r="HU741" s="18"/>
      <c r="HV741" s="18"/>
      <c r="HW741" s="18"/>
      <c r="HX741" s="18"/>
      <c r="HY741" s="18"/>
      <c r="HZ741" s="18"/>
      <c r="IA741" s="18"/>
      <c r="IB741" s="18"/>
      <c r="IC741" s="18"/>
      <c r="ID741" s="18"/>
      <c r="IE741" s="18"/>
      <c r="IF741" s="18"/>
      <c r="IG741" s="18"/>
      <c r="IH741" s="18"/>
      <c r="II741" s="18"/>
      <c r="IJ741" s="18"/>
      <c r="IK741" s="18"/>
      <c r="IL741" s="18"/>
      <c r="IM741" s="18"/>
      <c r="IN741" s="18"/>
      <c r="IO741" s="18"/>
      <c r="IP741" s="18"/>
      <c r="IQ741" s="18"/>
      <c r="IR741" s="18"/>
      <c r="IS741" s="18"/>
      <c r="IT741" s="18"/>
      <c r="IU741" s="18"/>
      <c r="IV741" s="18"/>
      <c r="IW741" s="18"/>
      <c r="IX741" s="18"/>
      <c r="IY741" s="18"/>
      <c r="IZ741" s="18"/>
      <c r="JA741" s="18"/>
      <c r="JB741" s="18"/>
      <c r="JC741" s="18"/>
      <c r="JD741" s="18"/>
      <c r="JE741" s="18"/>
      <c r="JF741" s="18"/>
      <c r="JG741" s="18"/>
      <c r="JH741" s="18"/>
      <c r="JI741" s="18"/>
      <c r="JJ741" s="18"/>
      <c r="JK741" s="18"/>
      <c r="JL741" s="18"/>
      <c r="JM741" s="18"/>
      <c r="JN741" s="18"/>
      <c r="JO741" s="18"/>
      <c r="JP741" s="18"/>
      <c r="JQ741" s="18"/>
      <c r="JR741" s="18"/>
      <c r="JS741" s="18"/>
      <c r="JT741" s="18"/>
      <c r="JU741" s="18"/>
      <c r="JV741" s="18"/>
      <c r="JW741" s="18"/>
      <c r="JX741" s="18"/>
      <c r="JY741" s="18"/>
      <c r="JZ741" s="18"/>
      <c r="KA741" s="18"/>
      <c r="KB741" s="18"/>
      <c r="KC741" s="18"/>
      <c r="KD741" s="18"/>
      <c r="KE741" s="18"/>
      <c r="KF741" s="18"/>
      <c r="KG741" s="18"/>
      <c r="KH741" s="18"/>
      <c r="KI741" s="18"/>
      <c r="KJ741" s="18"/>
      <c r="KK741" s="18"/>
      <c r="KL741" s="18"/>
      <c r="KM741" s="18"/>
      <c r="KN741" s="18"/>
      <c r="KO741" s="18"/>
      <c r="KP741" s="18"/>
    </row>
    <row r="742" spans="1:302" ht="15" customHeight="1">
      <c r="A742" s="14"/>
      <c r="B742" s="14"/>
      <c r="F742" s="14"/>
      <c r="G742" s="23"/>
      <c r="H742" s="23"/>
      <c r="I742" s="23"/>
      <c r="J742" s="23"/>
      <c r="K742" s="14"/>
      <c r="L742" s="14"/>
      <c r="P742" s="14"/>
      <c r="AG742" s="44"/>
      <c r="AH742" s="44"/>
      <c r="AI742" s="45"/>
      <c r="AJ742" s="44"/>
      <c r="AK742" s="43"/>
      <c r="AS742" s="14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  <c r="GK742" s="18"/>
      <c r="GL742" s="18"/>
      <c r="GM742" s="18"/>
      <c r="GN742" s="18"/>
      <c r="GO742" s="18"/>
      <c r="GP742" s="18"/>
      <c r="GQ742" s="18"/>
      <c r="GR742" s="18"/>
      <c r="GS742" s="18"/>
      <c r="GT742" s="18"/>
      <c r="GU742" s="18"/>
      <c r="GV742" s="18"/>
      <c r="GW742" s="18"/>
      <c r="GX742" s="18"/>
      <c r="GY742" s="18"/>
      <c r="GZ742" s="18"/>
      <c r="HA742" s="18"/>
      <c r="HB742" s="18"/>
      <c r="HC742" s="18"/>
      <c r="HD742" s="18"/>
      <c r="HE742" s="18"/>
      <c r="HF742" s="18"/>
      <c r="HG742" s="13"/>
      <c r="HH742" s="13"/>
      <c r="HI742" s="13"/>
      <c r="HJ742" s="13"/>
      <c r="HK742" s="13"/>
      <c r="HL742" s="13"/>
      <c r="HM742" s="13"/>
      <c r="HN742" s="13"/>
      <c r="HO742" s="13"/>
      <c r="HP742" s="13"/>
      <c r="HQ742" s="13"/>
      <c r="HR742" s="13"/>
      <c r="HS742" s="13"/>
      <c r="HT742" s="13"/>
      <c r="HU742" s="18"/>
      <c r="HV742" s="18"/>
      <c r="HW742" s="18"/>
      <c r="HX742" s="18"/>
      <c r="HY742" s="18"/>
      <c r="HZ742" s="18"/>
      <c r="IA742" s="18"/>
      <c r="IB742" s="18"/>
      <c r="IC742" s="18"/>
      <c r="ID742" s="18"/>
      <c r="IE742" s="18"/>
      <c r="IF742" s="18"/>
      <c r="IG742" s="18"/>
      <c r="IH742" s="18"/>
      <c r="II742" s="18"/>
      <c r="IJ742" s="18"/>
      <c r="IK742" s="18"/>
      <c r="IL742" s="18"/>
      <c r="IM742" s="18"/>
      <c r="IN742" s="18"/>
      <c r="IO742" s="18"/>
      <c r="IP742" s="18"/>
      <c r="IQ742" s="18"/>
      <c r="IR742" s="18"/>
      <c r="IS742" s="18"/>
      <c r="IT742" s="18"/>
      <c r="IU742" s="18"/>
      <c r="IV742" s="18"/>
      <c r="IW742" s="18"/>
      <c r="IX742" s="18"/>
      <c r="IY742" s="18"/>
      <c r="IZ742" s="18"/>
      <c r="JA742" s="18"/>
      <c r="JB742" s="18"/>
      <c r="JC742" s="18"/>
      <c r="JD742" s="18"/>
      <c r="JE742" s="18"/>
      <c r="JF742" s="18"/>
      <c r="JG742" s="18"/>
      <c r="JH742" s="18"/>
      <c r="JI742" s="18"/>
      <c r="JJ742" s="18"/>
      <c r="JK742" s="18"/>
      <c r="JL742" s="18"/>
      <c r="JM742" s="18"/>
      <c r="JN742" s="18"/>
      <c r="JO742" s="18"/>
      <c r="JP742" s="18"/>
      <c r="JQ742" s="18"/>
      <c r="JR742" s="18"/>
      <c r="JS742" s="18"/>
      <c r="JT742" s="18"/>
      <c r="JU742" s="18"/>
      <c r="JV742" s="18"/>
      <c r="JW742" s="18"/>
      <c r="JX742" s="18"/>
      <c r="JY742" s="18"/>
      <c r="JZ742" s="18"/>
      <c r="KA742" s="18"/>
      <c r="KB742" s="18"/>
      <c r="KC742" s="18"/>
      <c r="KD742" s="18"/>
      <c r="KE742" s="18"/>
      <c r="KF742" s="18"/>
      <c r="KG742" s="18"/>
      <c r="KH742" s="18"/>
      <c r="KI742" s="18"/>
      <c r="KJ742" s="18"/>
      <c r="KK742" s="18"/>
      <c r="KL742" s="18"/>
      <c r="KM742" s="18"/>
      <c r="KN742" s="18"/>
      <c r="KO742" s="18"/>
      <c r="KP742" s="18"/>
    </row>
    <row r="743" spans="1:302" ht="15" customHeight="1">
      <c r="A743" s="14"/>
      <c r="B743" s="14"/>
      <c r="F743" s="14"/>
      <c r="G743" s="23"/>
      <c r="H743" s="23"/>
      <c r="I743" s="23"/>
      <c r="J743" s="23"/>
      <c r="K743" s="14"/>
      <c r="L743" s="14"/>
      <c r="P743" s="14"/>
      <c r="AG743" s="44"/>
      <c r="AH743" s="44"/>
      <c r="AI743" s="45"/>
      <c r="AJ743" s="44"/>
      <c r="AK743" s="43"/>
      <c r="AS743" s="14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  <c r="GK743" s="18"/>
      <c r="GL743" s="18"/>
      <c r="GM743" s="18"/>
      <c r="GN743" s="18"/>
      <c r="GO743" s="18"/>
      <c r="GP743" s="18"/>
      <c r="GQ743" s="18"/>
      <c r="GR743" s="18"/>
      <c r="GS743" s="18"/>
      <c r="GT743" s="18"/>
      <c r="GU743" s="18"/>
      <c r="GV743" s="18"/>
      <c r="GW743" s="18"/>
      <c r="GX743" s="18"/>
      <c r="GY743" s="18"/>
      <c r="GZ743" s="18"/>
      <c r="HA743" s="18"/>
      <c r="HB743" s="18"/>
      <c r="HC743" s="18"/>
      <c r="HD743" s="18"/>
      <c r="HE743" s="18"/>
      <c r="HF743" s="18"/>
      <c r="HG743" s="13"/>
      <c r="HH743" s="13"/>
      <c r="HI743" s="13"/>
      <c r="HJ743" s="13"/>
      <c r="HK743" s="13"/>
      <c r="HL743" s="13"/>
      <c r="HM743" s="13"/>
      <c r="HN743" s="13"/>
      <c r="HO743" s="13"/>
      <c r="HP743" s="13"/>
      <c r="HQ743" s="13"/>
      <c r="HR743" s="13"/>
      <c r="HS743" s="13"/>
      <c r="HT743" s="13"/>
      <c r="HU743" s="18"/>
      <c r="HV743" s="18"/>
      <c r="HW743" s="18"/>
      <c r="HX743" s="18"/>
      <c r="HY743" s="18"/>
      <c r="HZ743" s="18"/>
      <c r="IA743" s="18"/>
      <c r="IB743" s="18"/>
      <c r="IC743" s="18"/>
      <c r="ID743" s="18"/>
      <c r="IE743" s="18"/>
      <c r="IF743" s="18"/>
      <c r="IG743" s="18"/>
      <c r="IH743" s="18"/>
      <c r="II743" s="18"/>
      <c r="IJ743" s="18"/>
      <c r="IK743" s="18"/>
      <c r="IL743" s="18"/>
      <c r="IM743" s="18"/>
      <c r="IN743" s="18"/>
      <c r="IO743" s="18"/>
      <c r="IP743" s="18"/>
      <c r="IQ743" s="18"/>
      <c r="IR743" s="18"/>
      <c r="IS743" s="18"/>
      <c r="IT743" s="18"/>
      <c r="IU743" s="18"/>
      <c r="IV743" s="18"/>
      <c r="IW743" s="18"/>
      <c r="IX743" s="18"/>
      <c r="IY743" s="18"/>
      <c r="IZ743" s="18"/>
      <c r="JA743" s="18"/>
      <c r="JB743" s="18"/>
      <c r="JC743" s="18"/>
      <c r="JD743" s="18"/>
      <c r="JE743" s="18"/>
      <c r="JF743" s="18"/>
      <c r="JG743" s="18"/>
      <c r="JH743" s="18"/>
      <c r="JI743" s="18"/>
      <c r="JJ743" s="18"/>
      <c r="JK743" s="18"/>
      <c r="JL743" s="18"/>
      <c r="JM743" s="18"/>
      <c r="JN743" s="18"/>
      <c r="JO743" s="18"/>
      <c r="JP743" s="18"/>
      <c r="JQ743" s="18"/>
      <c r="JR743" s="18"/>
      <c r="JS743" s="18"/>
      <c r="JT743" s="18"/>
      <c r="JU743" s="18"/>
      <c r="JV743" s="18"/>
      <c r="JW743" s="18"/>
      <c r="JX743" s="18"/>
      <c r="JY743" s="18"/>
      <c r="JZ743" s="18"/>
      <c r="KA743" s="18"/>
      <c r="KB743" s="18"/>
      <c r="KC743" s="18"/>
      <c r="KD743" s="18"/>
      <c r="KE743" s="18"/>
      <c r="KF743" s="18"/>
      <c r="KG743" s="18"/>
      <c r="KH743" s="18"/>
      <c r="KI743" s="18"/>
      <c r="KJ743" s="18"/>
      <c r="KK743" s="18"/>
      <c r="KL743" s="18"/>
      <c r="KM743" s="18"/>
      <c r="KN743" s="18"/>
      <c r="KO743" s="18"/>
      <c r="KP743" s="18"/>
    </row>
    <row r="744" spans="1:302" ht="15" customHeight="1">
      <c r="A744" s="14"/>
      <c r="B744" s="14"/>
      <c r="F744" s="14"/>
      <c r="G744" s="23"/>
      <c r="H744" s="23"/>
      <c r="I744" s="23"/>
      <c r="J744" s="23"/>
      <c r="K744" s="14"/>
      <c r="L744" s="14"/>
      <c r="P744" s="14"/>
      <c r="AG744" s="44"/>
      <c r="AH744" s="44"/>
      <c r="AI744" s="45"/>
      <c r="AJ744" s="44"/>
      <c r="AK744" s="43"/>
      <c r="AS744" s="14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  <c r="GK744" s="18"/>
      <c r="GL744" s="18"/>
      <c r="GM744" s="18"/>
      <c r="GN744" s="18"/>
      <c r="GO744" s="18"/>
      <c r="GP744" s="18"/>
      <c r="GQ744" s="18"/>
      <c r="GR744" s="18"/>
      <c r="GS744" s="18"/>
      <c r="GT744" s="18"/>
      <c r="GU744" s="18"/>
      <c r="GV744" s="18"/>
      <c r="GW744" s="18"/>
      <c r="GX744" s="18"/>
      <c r="GY744" s="18"/>
      <c r="GZ744" s="18"/>
      <c r="HA744" s="18"/>
      <c r="HB744" s="18"/>
      <c r="HC744" s="18"/>
      <c r="HD744" s="18"/>
      <c r="HE744" s="18"/>
      <c r="HF744" s="18"/>
      <c r="HG744" s="13"/>
      <c r="HH744" s="13"/>
      <c r="HI744" s="13"/>
      <c r="HJ744" s="13"/>
      <c r="HK744" s="13"/>
      <c r="HL744" s="13"/>
      <c r="HM744" s="13"/>
      <c r="HN744" s="13"/>
      <c r="HO744" s="13"/>
      <c r="HP744" s="13"/>
      <c r="HQ744" s="13"/>
      <c r="HR744" s="13"/>
      <c r="HS744" s="13"/>
      <c r="HT744" s="13"/>
      <c r="HU744" s="18"/>
      <c r="HV744" s="18"/>
      <c r="HW744" s="18"/>
      <c r="HX744" s="18"/>
      <c r="HY744" s="18"/>
      <c r="HZ744" s="18"/>
      <c r="IA744" s="18"/>
      <c r="IB744" s="18"/>
      <c r="IC744" s="18"/>
      <c r="ID744" s="18"/>
      <c r="IE744" s="18"/>
      <c r="IF744" s="18"/>
      <c r="IG744" s="18"/>
      <c r="IH744" s="18"/>
      <c r="II744" s="18"/>
      <c r="IJ744" s="18"/>
      <c r="IK744" s="18"/>
      <c r="IL744" s="18"/>
      <c r="IM744" s="18"/>
      <c r="IN744" s="18"/>
      <c r="IO744" s="18"/>
      <c r="IP744" s="18"/>
      <c r="IQ744" s="18"/>
      <c r="IR744" s="18"/>
      <c r="IS744" s="18"/>
      <c r="IT744" s="18"/>
      <c r="IU744" s="18"/>
      <c r="IV744" s="18"/>
      <c r="IW744" s="18"/>
      <c r="IX744" s="18"/>
      <c r="IY744" s="18"/>
      <c r="IZ744" s="18"/>
      <c r="JA744" s="18"/>
      <c r="JB744" s="18"/>
      <c r="JC744" s="18"/>
      <c r="JD744" s="18"/>
      <c r="JE744" s="18"/>
      <c r="JF744" s="18"/>
      <c r="JG744" s="18"/>
      <c r="JH744" s="18"/>
      <c r="JI744" s="18"/>
      <c r="JJ744" s="18"/>
      <c r="JK744" s="18"/>
      <c r="JL744" s="18"/>
      <c r="JM744" s="18"/>
      <c r="JN744" s="18"/>
      <c r="JO744" s="18"/>
      <c r="JP744" s="18"/>
      <c r="JQ744" s="18"/>
      <c r="JR744" s="18"/>
      <c r="JS744" s="18"/>
      <c r="JT744" s="18"/>
      <c r="JU744" s="18"/>
      <c r="JV744" s="18"/>
      <c r="JW744" s="18"/>
      <c r="JX744" s="18"/>
      <c r="JY744" s="18"/>
      <c r="JZ744" s="18"/>
      <c r="KA744" s="18"/>
      <c r="KB744" s="18"/>
      <c r="KC744" s="18"/>
      <c r="KD744" s="18"/>
      <c r="KE744" s="18"/>
      <c r="KF744" s="18"/>
      <c r="KG744" s="18"/>
      <c r="KH744" s="18"/>
      <c r="KI744" s="18"/>
      <c r="KJ744" s="18"/>
      <c r="KK744" s="18"/>
      <c r="KL744" s="18"/>
      <c r="KM744" s="18"/>
      <c r="KN744" s="18"/>
      <c r="KO744" s="18"/>
      <c r="KP744" s="18"/>
    </row>
    <row r="745" spans="1:302" ht="15" customHeight="1">
      <c r="A745" s="14"/>
      <c r="B745" s="14"/>
      <c r="F745" s="14"/>
      <c r="G745" s="23"/>
      <c r="H745" s="23"/>
      <c r="I745" s="23"/>
      <c r="J745" s="23"/>
      <c r="K745" s="14"/>
      <c r="L745" s="14"/>
      <c r="P745" s="14"/>
      <c r="AG745" s="44"/>
      <c r="AH745" s="44"/>
      <c r="AI745" s="45"/>
      <c r="AJ745" s="44"/>
      <c r="AK745" s="43"/>
      <c r="AS745" s="14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  <c r="EW745" s="18"/>
      <c r="EX745" s="18"/>
      <c r="EY745" s="18"/>
      <c r="EZ745" s="18"/>
      <c r="FA745" s="18"/>
      <c r="FB745" s="18"/>
      <c r="FC745" s="18"/>
      <c r="FD745" s="18"/>
      <c r="FE745" s="18"/>
      <c r="FF745" s="18"/>
      <c r="FG745" s="18"/>
      <c r="FH745" s="18"/>
      <c r="FI745" s="18"/>
      <c r="FJ745" s="18"/>
      <c r="FK745" s="18"/>
      <c r="FL745" s="18"/>
      <c r="FM745" s="18"/>
      <c r="FN745" s="18"/>
      <c r="FO745" s="18"/>
      <c r="FP745" s="18"/>
      <c r="FQ745" s="18"/>
      <c r="FR745" s="18"/>
      <c r="FS745" s="18"/>
      <c r="FT745" s="18"/>
      <c r="FU745" s="18"/>
      <c r="FV745" s="18"/>
      <c r="FW745" s="18"/>
      <c r="FX745" s="18"/>
      <c r="FY745" s="18"/>
      <c r="FZ745" s="18"/>
      <c r="GA745" s="18"/>
      <c r="GB745" s="18"/>
      <c r="GC745" s="18"/>
      <c r="GD745" s="18"/>
      <c r="GE745" s="18"/>
      <c r="GF745" s="18"/>
      <c r="GG745" s="18"/>
      <c r="GH745" s="18"/>
      <c r="GI745" s="18"/>
      <c r="GJ745" s="18"/>
      <c r="GK745" s="18"/>
      <c r="GL745" s="18"/>
      <c r="GM745" s="18"/>
      <c r="GN745" s="18"/>
      <c r="GO745" s="18"/>
      <c r="GP745" s="18"/>
      <c r="GQ745" s="18"/>
      <c r="GR745" s="18"/>
      <c r="GS745" s="18"/>
      <c r="GT745" s="18"/>
      <c r="GU745" s="18"/>
      <c r="GV745" s="18"/>
      <c r="GW745" s="18"/>
      <c r="GX745" s="18"/>
      <c r="GY745" s="18"/>
      <c r="GZ745" s="18"/>
      <c r="HA745" s="18"/>
      <c r="HB745" s="18"/>
      <c r="HC745" s="18"/>
      <c r="HD745" s="18"/>
      <c r="HE745" s="18"/>
      <c r="HF745" s="18"/>
      <c r="HG745" s="13"/>
      <c r="HH745" s="13"/>
      <c r="HI745" s="13"/>
      <c r="HJ745" s="13"/>
      <c r="HK745" s="13"/>
      <c r="HL745" s="13"/>
      <c r="HM745" s="13"/>
      <c r="HN745" s="13"/>
      <c r="HO745" s="13"/>
      <c r="HP745" s="13"/>
      <c r="HQ745" s="13"/>
      <c r="HR745" s="13"/>
      <c r="HS745" s="13"/>
      <c r="HT745" s="13"/>
      <c r="HU745" s="18"/>
      <c r="HV745" s="18"/>
      <c r="HW745" s="18"/>
      <c r="HX745" s="18"/>
      <c r="HY745" s="18"/>
      <c r="HZ745" s="18"/>
      <c r="IA745" s="18"/>
      <c r="IB745" s="18"/>
      <c r="IC745" s="18"/>
      <c r="ID745" s="18"/>
      <c r="IE745" s="18"/>
      <c r="IF745" s="18"/>
      <c r="IG745" s="18"/>
      <c r="IH745" s="18"/>
      <c r="II745" s="18"/>
      <c r="IJ745" s="18"/>
      <c r="IK745" s="18"/>
      <c r="IL745" s="18"/>
      <c r="IM745" s="18"/>
      <c r="IN745" s="18"/>
      <c r="IO745" s="18"/>
      <c r="IP745" s="18"/>
      <c r="IQ745" s="18"/>
      <c r="IR745" s="18"/>
      <c r="IS745" s="18"/>
      <c r="IT745" s="18"/>
      <c r="IU745" s="18"/>
      <c r="IV745" s="18"/>
      <c r="IW745" s="18"/>
      <c r="IX745" s="18"/>
      <c r="IY745" s="18"/>
      <c r="IZ745" s="18"/>
      <c r="JA745" s="18"/>
      <c r="JB745" s="18"/>
      <c r="JC745" s="18"/>
      <c r="JD745" s="18"/>
      <c r="JE745" s="18"/>
      <c r="JF745" s="18"/>
      <c r="JG745" s="18"/>
      <c r="JH745" s="18"/>
      <c r="JI745" s="18"/>
      <c r="JJ745" s="18"/>
      <c r="JK745" s="18"/>
      <c r="JL745" s="18"/>
      <c r="JM745" s="18"/>
      <c r="JN745" s="18"/>
      <c r="JO745" s="18"/>
      <c r="JP745" s="18"/>
      <c r="JQ745" s="18"/>
      <c r="JR745" s="18"/>
      <c r="JS745" s="18"/>
      <c r="JT745" s="18"/>
      <c r="JU745" s="18"/>
      <c r="JV745" s="18"/>
      <c r="JW745" s="18"/>
      <c r="JX745" s="18"/>
      <c r="JY745" s="18"/>
      <c r="JZ745" s="18"/>
      <c r="KA745" s="18"/>
      <c r="KB745" s="18"/>
      <c r="KC745" s="18"/>
      <c r="KD745" s="18"/>
      <c r="KE745" s="18"/>
      <c r="KF745" s="18"/>
      <c r="KG745" s="18"/>
      <c r="KH745" s="18"/>
      <c r="KI745" s="18"/>
      <c r="KJ745" s="18"/>
      <c r="KK745" s="18"/>
      <c r="KL745" s="18"/>
      <c r="KM745" s="18"/>
      <c r="KN745" s="18"/>
      <c r="KO745" s="18"/>
      <c r="KP745" s="18"/>
    </row>
    <row r="746" spans="1:302" ht="15" customHeight="1">
      <c r="A746" s="14"/>
      <c r="B746" s="14"/>
      <c r="F746" s="14"/>
      <c r="G746" s="23"/>
      <c r="H746" s="23"/>
      <c r="I746" s="23"/>
      <c r="J746" s="23"/>
      <c r="K746" s="14"/>
      <c r="L746" s="14"/>
      <c r="P746" s="14"/>
      <c r="AG746" s="44"/>
      <c r="AH746" s="44"/>
      <c r="AI746" s="45"/>
      <c r="AJ746" s="44"/>
      <c r="AK746" s="43"/>
      <c r="AS746" s="14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  <c r="EW746" s="18"/>
      <c r="EX746" s="18"/>
      <c r="EY746" s="18"/>
      <c r="EZ746" s="18"/>
      <c r="FA746" s="18"/>
      <c r="FB746" s="18"/>
      <c r="FC746" s="18"/>
      <c r="FD746" s="18"/>
      <c r="FE746" s="18"/>
      <c r="FF746" s="18"/>
      <c r="FG746" s="18"/>
      <c r="FH746" s="18"/>
      <c r="FI746" s="18"/>
      <c r="FJ746" s="18"/>
      <c r="FK746" s="18"/>
      <c r="FL746" s="18"/>
      <c r="FM746" s="18"/>
      <c r="FN746" s="18"/>
      <c r="FO746" s="18"/>
      <c r="FP746" s="18"/>
      <c r="FQ746" s="18"/>
      <c r="FR746" s="18"/>
      <c r="FS746" s="18"/>
      <c r="FT746" s="18"/>
      <c r="FU746" s="18"/>
      <c r="FV746" s="18"/>
      <c r="FW746" s="18"/>
      <c r="FX746" s="18"/>
      <c r="FY746" s="18"/>
      <c r="FZ746" s="18"/>
      <c r="GA746" s="18"/>
      <c r="GB746" s="18"/>
      <c r="GC746" s="18"/>
      <c r="GD746" s="18"/>
      <c r="GE746" s="18"/>
      <c r="GF746" s="18"/>
      <c r="GG746" s="18"/>
      <c r="GH746" s="18"/>
      <c r="GI746" s="18"/>
      <c r="GJ746" s="18"/>
      <c r="GK746" s="18"/>
      <c r="GL746" s="18"/>
      <c r="GM746" s="18"/>
      <c r="GN746" s="18"/>
      <c r="GO746" s="18"/>
      <c r="GP746" s="18"/>
      <c r="GQ746" s="18"/>
      <c r="GR746" s="18"/>
      <c r="GS746" s="18"/>
      <c r="GT746" s="18"/>
      <c r="GU746" s="18"/>
      <c r="GV746" s="18"/>
      <c r="GW746" s="18"/>
      <c r="GX746" s="18"/>
      <c r="GY746" s="18"/>
      <c r="GZ746" s="18"/>
      <c r="HA746" s="18"/>
      <c r="HB746" s="18"/>
      <c r="HC746" s="18"/>
      <c r="HD746" s="18"/>
      <c r="HE746" s="18"/>
      <c r="HF746" s="18"/>
      <c r="HG746" s="13"/>
      <c r="HH746" s="13"/>
      <c r="HI746" s="13"/>
      <c r="HJ746" s="13"/>
      <c r="HK746" s="13"/>
      <c r="HL746" s="13"/>
      <c r="HM746" s="13"/>
      <c r="HN746" s="13"/>
      <c r="HO746" s="13"/>
      <c r="HP746" s="13"/>
      <c r="HQ746" s="13"/>
      <c r="HR746" s="13"/>
      <c r="HS746" s="13"/>
      <c r="HT746" s="13"/>
      <c r="HU746" s="18"/>
      <c r="HV746" s="18"/>
      <c r="HW746" s="18"/>
      <c r="HX746" s="18"/>
      <c r="HY746" s="18"/>
      <c r="HZ746" s="18"/>
      <c r="IA746" s="18"/>
      <c r="IB746" s="18"/>
      <c r="IC746" s="18"/>
      <c r="ID746" s="18"/>
      <c r="IE746" s="18"/>
      <c r="IF746" s="18"/>
      <c r="IG746" s="18"/>
      <c r="IH746" s="18"/>
      <c r="II746" s="18"/>
      <c r="IJ746" s="18"/>
      <c r="IK746" s="18"/>
      <c r="IL746" s="18"/>
      <c r="IM746" s="18"/>
      <c r="IN746" s="18"/>
      <c r="IO746" s="18"/>
      <c r="IP746" s="18"/>
      <c r="IQ746" s="18"/>
      <c r="IR746" s="18"/>
      <c r="IS746" s="18"/>
      <c r="IT746" s="18"/>
      <c r="IU746" s="18"/>
      <c r="IV746" s="18"/>
      <c r="IW746" s="18"/>
      <c r="IX746" s="18"/>
      <c r="IY746" s="18"/>
      <c r="IZ746" s="18"/>
      <c r="JA746" s="18"/>
      <c r="JB746" s="18"/>
      <c r="JC746" s="18"/>
      <c r="JD746" s="18"/>
      <c r="JE746" s="18"/>
      <c r="JF746" s="18"/>
      <c r="JG746" s="18"/>
      <c r="JH746" s="18"/>
      <c r="JI746" s="18"/>
      <c r="JJ746" s="18"/>
      <c r="JK746" s="18"/>
      <c r="JL746" s="18"/>
      <c r="JM746" s="18"/>
      <c r="JN746" s="18"/>
      <c r="JO746" s="18"/>
      <c r="JP746" s="18"/>
      <c r="JQ746" s="18"/>
      <c r="JR746" s="18"/>
      <c r="JS746" s="18"/>
      <c r="JT746" s="18"/>
      <c r="JU746" s="18"/>
      <c r="JV746" s="18"/>
      <c r="JW746" s="18"/>
      <c r="JX746" s="18"/>
      <c r="JY746" s="18"/>
      <c r="JZ746" s="18"/>
      <c r="KA746" s="18"/>
      <c r="KB746" s="18"/>
      <c r="KC746" s="18"/>
      <c r="KD746" s="18"/>
      <c r="KE746" s="18"/>
      <c r="KF746" s="18"/>
      <c r="KG746" s="18"/>
      <c r="KH746" s="18"/>
      <c r="KI746" s="18"/>
      <c r="KJ746" s="18"/>
      <c r="KK746" s="18"/>
      <c r="KL746" s="18"/>
      <c r="KM746" s="18"/>
      <c r="KN746" s="18"/>
      <c r="KO746" s="18"/>
      <c r="KP746" s="18"/>
    </row>
    <row r="747" spans="1:302" ht="15" customHeight="1">
      <c r="A747" s="14"/>
      <c r="B747" s="14"/>
      <c r="F747" s="14"/>
      <c r="G747" s="23"/>
      <c r="H747" s="23"/>
      <c r="I747" s="23"/>
      <c r="J747" s="23"/>
      <c r="K747" s="14"/>
      <c r="L747" s="14"/>
      <c r="P747" s="14"/>
      <c r="AG747" s="44"/>
      <c r="AH747" s="44"/>
      <c r="AI747" s="45"/>
      <c r="AJ747" s="44"/>
      <c r="AK747" s="43"/>
      <c r="AS747" s="14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  <c r="EW747" s="18"/>
      <c r="EX747" s="18"/>
      <c r="EY747" s="18"/>
      <c r="EZ747" s="18"/>
      <c r="FA747" s="18"/>
      <c r="FB747" s="18"/>
      <c r="FC747" s="18"/>
      <c r="FD747" s="18"/>
      <c r="FE747" s="18"/>
      <c r="FF747" s="18"/>
      <c r="FG747" s="18"/>
      <c r="FH747" s="18"/>
      <c r="FI747" s="18"/>
      <c r="FJ747" s="18"/>
      <c r="FK747" s="18"/>
      <c r="FL747" s="18"/>
      <c r="FM747" s="18"/>
      <c r="FN747" s="18"/>
      <c r="FO747" s="18"/>
      <c r="FP747" s="18"/>
      <c r="FQ747" s="18"/>
      <c r="FR747" s="18"/>
      <c r="FS747" s="18"/>
      <c r="FT747" s="18"/>
      <c r="FU747" s="18"/>
      <c r="FV747" s="18"/>
      <c r="FW747" s="18"/>
      <c r="FX747" s="18"/>
      <c r="FY747" s="18"/>
      <c r="FZ747" s="18"/>
      <c r="GA747" s="18"/>
      <c r="GB747" s="18"/>
      <c r="GC747" s="18"/>
      <c r="GD747" s="18"/>
      <c r="GE747" s="18"/>
      <c r="GF747" s="18"/>
      <c r="GG747" s="18"/>
      <c r="GH747" s="18"/>
      <c r="GI747" s="18"/>
      <c r="GJ747" s="18"/>
      <c r="GK747" s="18"/>
      <c r="GL747" s="18"/>
      <c r="GM747" s="18"/>
      <c r="GN747" s="18"/>
      <c r="GO747" s="18"/>
      <c r="GP747" s="18"/>
      <c r="GQ747" s="18"/>
      <c r="GR747" s="18"/>
      <c r="GS747" s="18"/>
      <c r="GT747" s="18"/>
      <c r="GU747" s="18"/>
      <c r="GV747" s="18"/>
      <c r="GW747" s="18"/>
      <c r="GX747" s="18"/>
      <c r="GY747" s="18"/>
      <c r="GZ747" s="18"/>
      <c r="HA747" s="18"/>
      <c r="HB747" s="18"/>
      <c r="HC747" s="18"/>
      <c r="HD747" s="18"/>
      <c r="HE747" s="18"/>
      <c r="HF747" s="18"/>
      <c r="HG747" s="13"/>
      <c r="HH747" s="13"/>
      <c r="HI747" s="13"/>
      <c r="HJ747" s="13"/>
      <c r="HK747" s="13"/>
      <c r="HL747" s="13"/>
      <c r="HM747" s="13"/>
      <c r="HN747" s="13"/>
      <c r="HO747" s="13"/>
      <c r="HP747" s="13"/>
      <c r="HQ747" s="13"/>
      <c r="HR747" s="13"/>
      <c r="HS747" s="13"/>
      <c r="HT747" s="13"/>
      <c r="HU747" s="18"/>
      <c r="HV747" s="18"/>
      <c r="HW747" s="18"/>
      <c r="HX747" s="18"/>
      <c r="HY747" s="18"/>
      <c r="HZ747" s="18"/>
      <c r="IA747" s="18"/>
      <c r="IB747" s="18"/>
      <c r="IC747" s="18"/>
      <c r="ID747" s="18"/>
      <c r="IE747" s="18"/>
      <c r="IF747" s="18"/>
      <c r="IG747" s="18"/>
      <c r="IH747" s="18"/>
      <c r="II747" s="18"/>
      <c r="IJ747" s="18"/>
      <c r="IK747" s="18"/>
      <c r="IL747" s="18"/>
      <c r="IM747" s="18"/>
      <c r="IN747" s="18"/>
      <c r="IO747" s="18"/>
      <c r="IP747" s="18"/>
      <c r="IQ747" s="18"/>
      <c r="IR747" s="18"/>
      <c r="IS747" s="18"/>
      <c r="IT747" s="18"/>
      <c r="IU747" s="18"/>
      <c r="IV747" s="18"/>
      <c r="IW747" s="18"/>
      <c r="IX747" s="18"/>
      <c r="IY747" s="18"/>
      <c r="IZ747" s="18"/>
      <c r="JA747" s="18"/>
      <c r="JB747" s="18"/>
      <c r="JC747" s="18"/>
      <c r="JD747" s="18"/>
      <c r="JE747" s="18"/>
      <c r="JF747" s="18"/>
      <c r="JG747" s="18"/>
      <c r="JH747" s="18"/>
      <c r="JI747" s="18"/>
      <c r="JJ747" s="18"/>
      <c r="JK747" s="18"/>
      <c r="JL747" s="18"/>
      <c r="JM747" s="18"/>
      <c r="JN747" s="18"/>
      <c r="JO747" s="18"/>
      <c r="JP747" s="18"/>
      <c r="JQ747" s="18"/>
      <c r="JR747" s="18"/>
      <c r="JS747" s="18"/>
      <c r="JT747" s="18"/>
      <c r="JU747" s="18"/>
      <c r="JV747" s="18"/>
      <c r="JW747" s="18"/>
      <c r="JX747" s="18"/>
      <c r="JY747" s="18"/>
      <c r="JZ747" s="18"/>
      <c r="KA747" s="18"/>
      <c r="KB747" s="18"/>
      <c r="KC747" s="18"/>
      <c r="KD747" s="18"/>
      <c r="KE747" s="18"/>
      <c r="KF747" s="18"/>
      <c r="KG747" s="18"/>
      <c r="KH747" s="18"/>
      <c r="KI747" s="18"/>
      <c r="KJ747" s="18"/>
      <c r="KK747" s="18"/>
      <c r="KL747" s="18"/>
      <c r="KM747" s="18"/>
      <c r="KN747" s="18"/>
      <c r="KO747" s="18"/>
      <c r="KP747" s="18"/>
    </row>
    <row r="748" spans="1:302" ht="15" customHeight="1">
      <c r="A748" s="14"/>
      <c r="B748" s="14"/>
      <c r="F748" s="14"/>
      <c r="G748" s="23"/>
      <c r="H748" s="23"/>
      <c r="I748" s="23"/>
      <c r="J748" s="23"/>
      <c r="K748" s="14"/>
      <c r="L748" s="14"/>
      <c r="P748" s="14"/>
      <c r="AG748" s="44"/>
      <c r="AH748" s="44"/>
      <c r="AI748" s="45"/>
      <c r="AJ748" s="44"/>
      <c r="AK748" s="43"/>
      <c r="AS748" s="14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  <c r="EW748" s="18"/>
      <c r="EX748" s="18"/>
      <c r="EY748" s="18"/>
      <c r="EZ748" s="18"/>
      <c r="FA748" s="18"/>
      <c r="FB748" s="18"/>
      <c r="FC748" s="18"/>
      <c r="FD748" s="18"/>
      <c r="FE748" s="18"/>
      <c r="FF748" s="18"/>
      <c r="FG748" s="18"/>
      <c r="FH748" s="18"/>
      <c r="FI748" s="18"/>
      <c r="FJ748" s="18"/>
      <c r="FK748" s="18"/>
      <c r="FL748" s="18"/>
      <c r="FM748" s="18"/>
      <c r="FN748" s="18"/>
      <c r="FO748" s="18"/>
      <c r="FP748" s="18"/>
      <c r="FQ748" s="18"/>
      <c r="FR748" s="18"/>
      <c r="FS748" s="18"/>
      <c r="FT748" s="18"/>
      <c r="FU748" s="18"/>
      <c r="FV748" s="18"/>
      <c r="FW748" s="18"/>
      <c r="FX748" s="18"/>
      <c r="FY748" s="18"/>
      <c r="FZ748" s="18"/>
      <c r="GA748" s="18"/>
      <c r="GB748" s="18"/>
      <c r="GC748" s="18"/>
      <c r="GD748" s="18"/>
      <c r="GE748" s="18"/>
      <c r="GF748" s="18"/>
      <c r="GG748" s="18"/>
      <c r="GH748" s="18"/>
      <c r="GI748" s="18"/>
      <c r="GJ748" s="18"/>
      <c r="GK748" s="18"/>
      <c r="GL748" s="18"/>
      <c r="GM748" s="18"/>
      <c r="GN748" s="18"/>
      <c r="GO748" s="18"/>
      <c r="GP748" s="18"/>
      <c r="GQ748" s="18"/>
      <c r="GR748" s="18"/>
      <c r="GS748" s="18"/>
      <c r="GT748" s="18"/>
      <c r="GU748" s="18"/>
      <c r="GV748" s="18"/>
      <c r="GW748" s="18"/>
      <c r="GX748" s="18"/>
      <c r="GY748" s="18"/>
      <c r="GZ748" s="18"/>
      <c r="HA748" s="18"/>
      <c r="HB748" s="18"/>
      <c r="HC748" s="18"/>
      <c r="HD748" s="18"/>
      <c r="HE748" s="18"/>
      <c r="HF748" s="18"/>
      <c r="HG748" s="13"/>
      <c r="HH748" s="13"/>
      <c r="HI748" s="13"/>
      <c r="HJ748" s="13"/>
      <c r="HK748" s="13"/>
      <c r="HL748" s="13"/>
      <c r="HM748" s="13"/>
      <c r="HN748" s="13"/>
      <c r="HO748" s="13"/>
      <c r="HP748" s="13"/>
      <c r="HQ748" s="13"/>
      <c r="HR748" s="13"/>
      <c r="HS748" s="13"/>
      <c r="HT748" s="13"/>
      <c r="HU748" s="18"/>
      <c r="HV748" s="18"/>
      <c r="HW748" s="18"/>
      <c r="HX748" s="18"/>
      <c r="HY748" s="18"/>
      <c r="HZ748" s="18"/>
      <c r="IA748" s="18"/>
      <c r="IB748" s="18"/>
      <c r="IC748" s="18"/>
      <c r="ID748" s="18"/>
      <c r="IE748" s="18"/>
      <c r="IF748" s="18"/>
      <c r="IG748" s="18"/>
      <c r="IH748" s="18"/>
      <c r="II748" s="18"/>
      <c r="IJ748" s="18"/>
      <c r="IK748" s="18"/>
      <c r="IL748" s="18"/>
      <c r="IM748" s="18"/>
      <c r="IN748" s="18"/>
      <c r="IO748" s="18"/>
      <c r="IP748" s="18"/>
      <c r="IQ748" s="18"/>
      <c r="IR748" s="18"/>
      <c r="IS748" s="18"/>
      <c r="IT748" s="18"/>
      <c r="IU748" s="18"/>
      <c r="IV748" s="18"/>
      <c r="IW748" s="18"/>
      <c r="IX748" s="18"/>
      <c r="IY748" s="18"/>
      <c r="IZ748" s="18"/>
      <c r="JA748" s="18"/>
      <c r="JB748" s="18"/>
      <c r="JC748" s="18"/>
      <c r="JD748" s="18"/>
      <c r="JE748" s="18"/>
      <c r="JF748" s="18"/>
      <c r="JG748" s="18"/>
      <c r="JH748" s="18"/>
      <c r="JI748" s="18"/>
      <c r="JJ748" s="18"/>
      <c r="JK748" s="18"/>
      <c r="JL748" s="18"/>
      <c r="JM748" s="18"/>
      <c r="JN748" s="18"/>
      <c r="JO748" s="18"/>
      <c r="JP748" s="18"/>
      <c r="JQ748" s="18"/>
      <c r="JR748" s="18"/>
      <c r="JS748" s="18"/>
      <c r="JT748" s="18"/>
      <c r="JU748" s="18"/>
      <c r="JV748" s="18"/>
      <c r="JW748" s="18"/>
      <c r="JX748" s="18"/>
      <c r="JY748" s="18"/>
      <c r="JZ748" s="18"/>
      <c r="KA748" s="18"/>
      <c r="KB748" s="18"/>
      <c r="KC748" s="18"/>
      <c r="KD748" s="18"/>
      <c r="KE748" s="18"/>
      <c r="KF748" s="18"/>
      <c r="KG748" s="18"/>
      <c r="KH748" s="18"/>
      <c r="KI748" s="18"/>
      <c r="KJ748" s="18"/>
      <c r="KK748" s="18"/>
      <c r="KL748" s="18"/>
      <c r="KM748" s="18"/>
      <c r="KN748" s="18"/>
      <c r="KO748" s="18"/>
      <c r="KP748" s="18"/>
    </row>
    <row r="749" spans="1:302" ht="15" customHeight="1">
      <c r="A749" s="14"/>
      <c r="B749" s="14"/>
      <c r="F749" s="14"/>
      <c r="G749" s="23"/>
      <c r="H749" s="23"/>
      <c r="I749" s="23"/>
      <c r="J749" s="23"/>
      <c r="K749" s="14"/>
      <c r="L749" s="14"/>
      <c r="P749" s="14"/>
      <c r="AG749" s="44"/>
      <c r="AH749" s="44"/>
      <c r="AI749" s="45"/>
      <c r="AJ749" s="44"/>
      <c r="AK749" s="43"/>
      <c r="AS749" s="14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  <c r="EW749" s="18"/>
      <c r="EX749" s="18"/>
      <c r="EY749" s="18"/>
      <c r="EZ749" s="18"/>
      <c r="FA749" s="18"/>
      <c r="FB749" s="18"/>
      <c r="FC749" s="18"/>
      <c r="FD749" s="18"/>
      <c r="FE749" s="18"/>
      <c r="FF749" s="18"/>
      <c r="FG749" s="18"/>
      <c r="FH749" s="18"/>
      <c r="FI749" s="18"/>
      <c r="FJ749" s="18"/>
      <c r="FK749" s="18"/>
      <c r="FL749" s="18"/>
      <c r="FM749" s="18"/>
      <c r="FN749" s="18"/>
      <c r="FO749" s="18"/>
      <c r="FP749" s="18"/>
      <c r="FQ749" s="18"/>
      <c r="FR749" s="18"/>
      <c r="FS749" s="18"/>
      <c r="FT749" s="18"/>
      <c r="FU749" s="18"/>
      <c r="FV749" s="18"/>
      <c r="FW749" s="18"/>
      <c r="FX749" s="18"/>
      <c r="FY749" s="18"/>
      <c r="FZ749" s="18"/>
      <c r="GA749" s="18"/>
      <c r="GB749" s="18"/>
      <c r="GC749" s="18"/>
      <c r="GD749" s="18"/>
      <c r="GE749" s="18"/>
      <c r="GF749" s="18"/>
      <c r="GG749" s="18"/>
      <c r="GH749" s="18"/>
      <c r="GI749" s="18"/>
      <c r="GJ749" s="18"/>
      <c r="GK749" s="18"/>
      <c r="GL749" s="18"/>
      <c r="GM749" s="18"/>
      <c r="GN749" s="18"/>
      <c r="GO749" s="18"/>
      <c r="GP749" s="18"/>
      <c r="GQ749" s="18"/>
      <c r="GR749" s="18"/>
      <c r="GS749" s="18"/>
      <c r="GT749" s="18"/>
      <c r="GU749" s="18"/>
      <c r="GV749" s="18"/>
      <c r="GW749" s="18"/>
      <c r="GX749" s="18"/>
      <c r="GY749" s="18"/>
      <c r="GZ749" s="18"/>
      <c r="HA749" s="18"/>
      <c r="HB749" s="18"/>
      <c r="HC749" s="18"/>
      <c r="HD749" s="18"/>
      <c r="HE749" s="18"/>
      <c r="HF749" s="18"/>
      <c r="HG749" s="13"/>
      <c r="HH749" s="13"/>
      <c r="HI749" s="13"/>
      <c r="HJ749" s="13"/>
      <c r="HK749" s="13"/>
      <c r="HL749" s="13"/>
      <c r="HM749" s="13"/>
      <c r="HN749" s="13"/>
      <c r="HO749" s="13"/>
      <c r="HP749" s="13"/>
      <c r="HQ749" s="13"/>
      <c r="HR749" s="13"/>
      <c r="HS749" s="13"/>
      <c r="HT749" s="13"/>
      <c r="HU749" s="18"/>
      <c r="HV749" s="18"/>
      <c r="HW749" s="18"/>
      <c r="HX749" s="18"/>
      <c r="HY749" s="18"/>
      <c r="HZ749" s="18"/>
      <c r="IA749" s="18"/>
      <c r="IB749" s="18"/>
      <c r="IC749" s="18"/>
      <c r="ID749" s="18"/>
      <c r="IE749" s="18"/>
      <c r="IF749" s="18"/>
      <c r="IG749" s="18"/>
      <c r="IH749" s="18"/>
      <c r="II749" s="18"/>
      <c r="IJ749" s="18"/>
      <c r="IK749" s="18"/>
      <c r="IL749" s="18"/>
      <c r="IM749" s="18"/>
      <c r="IN749" s="18"/>
      <c r="IO749" s="18"/>
      <c r="IP749" s="18"/>
      <c r="IQ749" s="18"/>
      <c r="IR749" s="18"/>
      <c r="IS749" s="18"/>
      <c r="IT749" s="18"/>
      <c r="IU749" s="18"/>
      <c r="IV749" s="18"/>
      <c r="IW749" s="18"/>
      <c r="IX749" s="18"/>
      <c r="IY749" s="18"/>
      <c r="IZ749" s="18"/>
      <c r="JA749" s="18"/>
      <c r="JB749" s="18"/>
      <c r="JC749" s="18"/>
      <c r="JD749" s="18"/>
      <c r="JE749" s="18"/>
      <c r="JF749" s="18"/>
      <c r="JG749" s="18"/>
      <c r="JH749" s="18"/>
      <c r="JI749" s="18"/>
      <c r="JJ749" s="18"/>
      <c r="JK749" s="18"/>
      <c r="JL749" s="18"/>
      <c r="JM749" s="18"/>
      <c r="JN749" s="18"/>
      <c r="JO749" s="18"/>
      <c r="JP749" s="18"/>
      <c r="JQ749" s="18"/>
      <c r="JR749" s="18"/>
      <c r="JS749" s="18"/>
      <c r="JT749" s="18"/>
      <c r="JU749" s="18"/>
      <c r="JV749" s="18"/>
      <c r="JW749" s="18"/>
      <c r="JX749" s="18"/>
      <c r="JY749" s="18"/>
      <c r="JZ749" s="18"/>
      <c r="KA749" s="18"/>
      <c r="KB749" s="18"/>
      <c r="KC749" s="18"/>
      <c r="KD749" s="18"/>
      <c r="KE749" s="18"/>
      <c r="KF749" s="18"/>
      <c r="KG749" s="18"/>
      <c r="KH749" s="18"/>
      <c r="KI749" s="18"/>
      <c r="KJ749" s="18"/>
      <c r="KK749" s="18"/>
      <c r="KL749" s="18"/>
      <c r="KM749" s="18"/>
      <c r="KN749" s="18"/>
      <c r="KO749" s="18"/>
      <c r="KP749" s="18"/>
    </row>
    <row r="750" spans="1:302" ht="15" customHeight="1">
      <c r="A750" s="14"/>
      <c r="B750" s="14"/>
      <c r="F750" s="14"/>
      <c r="G750" s="23"/>
      <c r="H750" s="23"/>
      <c r="I750" s="23"/>
      <c r="J750" s="23"/>
      <c r="K750" s="14"/>
      <c r="L750" s="14"/>
      <c r="P750" s="14"/>
      <c r="AG750" s="44"/>
      <c r="AH750" s="44"/>
      <c r="AI750" s="45"/>
      <c r="AJ750" s="44"/>
      <c r="AK750" s="43"/>
      <c r="AS750" s="14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  <c r="EW750" s="18"/>
      <c r="EX750" s="18"/>
      <c r="EY750" s="18"/>
      <c r="EZ750" s="18"/>
      <c r="FA750" s="18"/>
      <c r="FB750" s="18"/>
      <c r="FC750" s="18"/>
      <c r="FD750" s="18"/>
      <c r="FE750" s="18"/>
      <c r="FF750" s="18"/>
      <c r="FG750" s="18"/>
      <c r="FH750" s="18"/>
      <c r="FI750" s="18"/>
      <c r="FJ750" s="18"/>
      <c r="FK750" s="18"/>
      <c r="FL750" s="18"/>
      <c r="FM750" s="18"/>
      <c r="FN750" s="18"/>
      <c r="FO750" s="18"/>
      <c r="FP750" s="18"/>
      <c r="FQ750" s="18"/>
      <c r="FR750" s="18"/>
      <c r="FS750" s="18"/>
      <c r="FT750" s="18"/>
      <c r="FU750" s="18"/>
      <c r="FV750" s="18"/>
      <c r="FW750" s="18"/>
      <c r="FX750" s="18"/>
      <c r="FY750" s="18"/>
      <c r="FZ750" s="18"/>
      <c r="GA750" s="18"/>
      <c r="GB750" s="18"/>
      <c r="GC750" s="18"/>
      <c r="GD750" s="18"/>
      <c r="GE750" s="18"/>
      <c r="GF750" s="18"/>
      <c r="GG750" s="18"/>
      <c r="GH750" s="18"/>
      <c r="GI750" s="18"/>
      <c r="GJ750" s="18"/>
      <c r="GK750" s="18"/>
      <c r="GL750" s="18"/>
      <c r="GM750" s="18"/>
      <c r="GN750" s="18"/>
      <c r="GO750" s="18"/>
      <c r="GP750" s="18"/>
      <c r="GQ750" s="18"/>
      <c r="GR750" s="18"/>
      <c r="GS750" s="18"/>
      <c r="GT750" s="18"/>
      <c r="GU750" s="18"/>
      <c r="GV750" s="18"/>
      <c r="GW750" s="18"/>
      <c r="GX750" s="18"/>
      <c r="GY750" s="18"/>
      <c r="GZ750" s="18"/>
      <c r="HA750" s="18"/>
      <c r="HB750" s="18"/>
      <c r="HC750" s="18"/>
      <c r="HD750" s="18"/>
      <c r="HE750" s="18"/>
      <c r="HF750" s="18"/>
      <c r="HG750" s="13"/>
      <c r="HH750" s="13"/>
      <c r="HI750" s="13"/>
      <c r="HJ750" s="13"/>
      <c r="HK750" s="13"/>
      <c r="HL750" s="13"/>
      <c r="HM750" s="13"/>
      <c r="HN750" s="13"/>
      <c r="HO750" s="13"/>
      <c r="HP750" s="13"/>
      <c r="HQ750" s="13"/>
      <c r="HR750" s="13"/>
      <c r="HS750" s="13"/>
      <c r="HT750" s="13"/>
      <c r="HU750" s="18"/>
      <c r="HV750" s="18"/>
      <c r="HW750" s="18"/>
      <c r="HX750" s="18"/>
      <c r="HY750" s="18"/>
      <c r="HZ750" s="18"/>
      <c r="IA750" s="18"/>
      <c r="IB750" s="18"/>
      <c r="IC750" s="18"/>
      <c r="ID750" s="18"/>
      <c r="IE750" s="18"/>
      <c r="IF750" s="18"/>
      <c r="IG750" s="18"/>
      <c r="IH750" s="18"/>
      <c r="II750" s="18"/>
      <c r="IJ750" s="18"/>
      <c r="IK750" s="18"/>
      <c r="IL750" s="18"/>
      <c r="IM750" s="18"/>
      <c r="IN750" s="18"/>
      <c r="IO750" s="18"/>
      <c r="IP750" s="18"/>
      <c r="IQ750" s="18"/>
      <c r="IR750" s="18"/>
      <c r="IS750" s="18"/>
      <c r="IT750" s="18"/>
      <c r="IU750" s="18"/>
      <c r="IV750" s="18"/>
      <c r="IW750" s="18"/>
      <c r="IX750" s="18"/>
      <c r="IY750" s="18"/>
      <c r="IZ750" s="18"/>
      <c r="JA750" s="18"/>
      <c r="JB750" s="18"/>
      <c r="JC750" s="18"/>
      <c r="JD750" s="18"/>
      <c r="JE750" s="18"/>
      <c r="JF750" s="18"/>
      <c r="JG750" s="18"/>
      <c r="JH750" s="18"/>
      <c r="JI750" s="18"/>
      <c r="JJ750" s="18"/>
      <c r="JK750" s="18"/>
      <c r="JL750" s="18"/>
      <c r="JM750" s="18"/>
      <c r="JN750" s="18"/>
      <c r="JO750" s="18"/>
      <c r="JP750" s="18"/>
      <c r="JQ750" s="18"/>
      <c r="JR750" s="18"/>
      <c r="JS750" s="18"/>
      <c r="JT750" s="18"/>
      <c r="JU750" s="18"/>
      <c r="JV750" s="18"/>
      <c r="JW750" s="18"/>
      <c r="JX750" s="18"/>
      <c r="JY750" s="18"/>
      <c r="JZ750" s="18"/>
      <c r="KA750" s="18"/>
      <c r="KB750" s="18"/>
      <c r="KC750" s="18"/>
      <c r="KD750" s="18"/>
      <c r="KE750" s="18"/>
      <c r="KF750" s="18"/>
      <c r="KG750" s="18"/>
      <c r="KH750" s="18"/>
      <c r="KI750" s="18"/>
      <c r="KJ750" s="18"/>
      <c r="KK750" s="18"/>
      <c r="KL750" s="18"/>
      <c r="KM750" s="18"/>
      <c r="KN750" s="18"/>
      <c r="KO750" s="18"/>
      <c r="KP750" s="18"/>
    </row>
    <row r="751" spans="1:302" ht="15" customHeight="1">
      <c r="A751" s="14"/>
      <c r="B751" s="14"/>
      <c r="F751" s="14"/>
      <c r="G751" s="23"/>
      <c r="H751" s="23"/>
      <c r="I751" s="23"/>
      <c r="J751" s="23"/>
      <c r="K751" s="14"/>
      <c r="L751" s="14"/>
      <c r="P751" s="14"/>
      <c r="AG751" s="44"/>
      <c r="AH751" s="44"/>
      <c r="AI751" s="45"/>
      <c r="AJ751" s="44"/>
      <c r="AK751" s="43"/>
      <c r="AS751" s="14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  <c r="EW751" s="18"/>
      <c r="EX751" s="18"/>
      <c r="EY751" s="18"/>
      <c r="EZ751" s="18"/>
      <c r="FA751" s="18"/>
      <c r="FB751" s="18"/>
      <c r="FC751" s="18"/>
      <c r="FD751" s="18"/>
      <c r="FE751" s="18"/>
      <c r="FF751" s="18"/>
      <c r="FG751" s="18"/>
      <c r="FH751" s="18"/>
      <c r="FI751" s="18"/>
      <c r="FJ751" s="18"/>
      <c r="FK751" s="18"/>
      <c r="FL751" s="18"/>
      <c r="FM751" s="18"/>
      <c r="FN751" s="18"/>
      <c r="FO751" s="18"/>
      <c r="FP751" s="18"/>
      <c r="FQ751" s="18"/>
      <c r="FR751" s="18"/>
      <c r="FS751" s="18"/>
      <c r="FT751" s="18"/>
      <c r="FU751" s="18"/>
      <c r="FV751" s="18"/>
      <c r="FW751" s="18"/>
      <c r="FX751" s="18"/>
      <c r="FY751" s="18"/>
      <c r="FZ751" s="18"/>
      <c r="GA751" s="18"/>
      <c r="GB751" s="18"/>
      <c r="GC751" s="18"/>
      <c r="GD751" s="18"/>
      <c r="GE751" s="18"/>
      <c r="GF751" s="18"/>
      <c r="GG751" s="18"/>
      <c r="GH751" s="18"/>
      <c r="GI751" s="18"/>
      <c r="GJ751" s="18"/>
      <c r="GK751" s="18"/>
      <c r="GL751" s="18"/>
      <c r="GM751" s="18"/>
      <c r="GN751" s="18"/>
      <c r="GO751" s="18"/>
      <c r="GP751" s="18"/>
      <c r="GQ751" s="18"/>
      <c r="GR751" s="18"/>
      <c r="GS751" s="18"/>
      <c r="GT751" s="18"/>
      <c r="GU751" s="18"/>
      <c r="GV751" s="18"/>
      <c r="GW751" s="18"/>
      <c r="GX751" s="18"/>
      <c r="GY751" s="18"/>
      <c r="GZ751" s="18"/>
      <c r="HA751" s="18"/>
      <c r="HB751" s="18"/>
      <c r="HC751" s="18"/>
      <c r="HD751" s="18"/>
      <c r="HE751" s="18"/>
      <c r="HF751" s="18"/>
      <c r="HG751" s="13"/>
      <c r="HH751" s="13"/>
      <c r="HI751" s="13"/>
      <c r="HJ751" s="13"/>
      <c r="HK751" s="13"/>
      <c r="HL751" s="13"/>
      <c r="HM751" s="13"/>
      <c r="HN751" s="13"/>
      <c r="HO751" s="13"/>
      <c r="HP751" s="13"/>
      <c r="HQ751" s="13"/>
      <c r="HR751" s="13"/>
      <c r="HS751" s="13"/>
      <c r="HT751" s="13"/>
      <c r="HU751" s="18"/>
      <c r="HV751" s="18"/>
      <c r="HW751" s="18"/>
      <c r="HX751" s="18"/>
      <c r="HY751" s="18"/>
      <c r="HZ751" s="18"/>
      <c r="IA751" s="18"/>
      <c r="IB751" s="18"/>
      <c r="IC751" s="18"/>
      <c r="ID751" s="18"/>
      <c r="IE751" s="18"/>
      <c r="IF751" s="18"/>
      <c r="IG751" s="18"/>
      <c r="IH751" s="18"/>
      <c r="II751" s="18"/>
      <c r="IJ751" s="18"/>
      <c r="IK751" s="18"/>
      <c r="IL751" s="18"/>
      <c r="IM751" s="18"/>
      <c r="IN751" s="18"/>
      <c r="IO751" s="18"/>
      <c r="IP751" s="18"/>
      <c r="IQ751" s="18"/>
      <c r="IR751" s="18"/>
      <c r="IS751" s="18"/>
      <c r="IT751" s="18"/>
      <c r="IU751" s="18"/>
      <c r="IV751" s="18"/>
      <c r="IW751" s="18"/>
      <c r="IX751" s="18"/>
      <c r="IY751" s="18"/>
      <c r="IZ751" s="18"/>
      <c r="JA751" s="18"/>
      <c r="JB751" s="18"/>
      <c r="JC751" s="18"/>
      <c r="JD751" s="18"/>
      <c r="JE751" s="18"/>
      <c r="JF751" s="18"/>
      <c r="JG751" s="18"/>
      <c r="JH751" s="18"/>
      <c r="JI751" s="18"/>
      <c r="JJ751" s="18"/>
      <c r="JK751" s="18"/>
      <c r="JL751" s="18"/>
      <c r="JM751" s="18"/>
      <c r="JN751" s="18"/>
      <c r="JO751" s="18"/>
      <c r="JP751" s="18"/>
      <c r="JQ751" s="18"/>
      <c r="JR751" s="18"/>
      <c r="JS751" s="18"/>
      <c r="JT751" s="18"/>
      <c r="JU751" s="18"/>
      <c r="JV751" s="18"/>
      <c r="JW751" s="18"/>
      <c r="JX751" s="18"/>
      <c r="JY751" s="18"/>
      <c r="JZ751" s="18"/>
      <c r="KA751" s="18"/>
      <c r="KB751" s="18"/>
      <c r="KC751" s="18"/>
      <c r="KD751" s="18"/>
      <c r="KE751" s="18"/>
      <c r="KF751" s="18"/>
      <c r="KG751" s="18"/>
      <c r="KH751" s="18"/>
      <c r="KI751" s="18"/>
      <c r="KJ751" s="18"/>
      <c r="KK751" s="18"/>
      <c r="KL751" s="18"/>
      <c r="KM751" s="18"/>
      <c r="KN751" s="18"/>
      <c r="KO751" s="18"/>
      <c r="KP751" s="18"/>
    </row>
    <row r="752" spans="1:302" ht="15" customHeight="1">
      <c r="A752" s="14"/>
      <c r="B752" s="14"/>
      <c r="F752" s="14"/>
      <c r="G752" s="23"/>
      <c r="H752" s="23"/>
      <c r="I752" s="23"/>
      <c r="J752" s="23"/>
      <c r="K752" s="14"/>
      <c r="L752" s="14"/>
      <c r="P752" s="14"/>
      <c r="AG752" s="44"/>
      <c r="AH752" s="44"/>
      <c r="AI752" s="45"/>
      <c r="AJ752" s="44"/>
      <c r="AK752" s="43"/>
      <c r="AS752" s="14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  <c r="EW752" s="18"/>
      <c r="EX752" s="18"/>
      <c r="EY752" s="18"/>
      <c r="EZ752" s="18"/>
      <c r="FA752" s="18"/>
      <c r="FB752" s="18"/>
      <c r="FC752" s="18"/>
      <c r="FD752" s="18"/>
      <c r="FE752" s="18"/>
      <c r="FF752" s="18"/>
      <c r="FG752" s="18"/>
      <c r="FH752" s="18"/>
      <c r="FI752" s="18"/>
      <c r="FJ752" s="18"/>
      <c r="FK752" s="18"/>
      <c r="FL752" s="18"/>
      <c r="FM752" s="18"/>
      <c r="FN752" s="18"/>
      <c r="FO752" s="18"/>
      <c r="FP752" s="18"/>
      <c r="FQ752" s="18"/>
      <c r="FR752" s="18"/>
      <c r="FS752" s="18"/>
      <c r="FT752" s="18"/>
      <c r="FU752" s="18"/>
      <c r="FV752" s="18"/>
      <c r="FW752" s="18"/>
      <c r="FX752" s="18"/>
      <c r="FY752" s="18"/>
      <c r="FZ752" s="18"/>
      <c r="GA752" s="18"/>
      <c r="GB752" s="18"/>
      <c r="GC752" s="18"/>
      <c r="GD752" s="18"/>
      <c r="GE752" s="18"/>
      <c r="GF752" s="18"/>
      <c r="GG752" s="18"/>
      <c r="GH752" s="18"/>
      <c r="GI752" s="18"/>
      <c r="GJ752" s="18"/>
      <c r="GK752" s="18"/>
      <c r="GL752" s="18"/>
      <c r="GM752" s="18"/>
      <c r="GN752" s="18"/>
      <c r="GO752" s="18"/>
      <c r="GP752" s="18"/>
      <c r="GQ752" s="18"/>
      <c r="GR752" s="18"/>
      <c r="GS752" s="18"/>
      <c r="GT752" s="18"/>
      <c r="GU752" s="18"/>
      <c r="GV752" s="18"/>
      <c r="GW752" s="18"/>
      <c r="GX752" s="18"/>
      <c r="GY752" s="18"/>
      <c r="GZ752" s="18"/>
      <c r="HA752" s="18"/>
      <c r="HB752" s="18"/>
      <c r="HC752" s="18"/>
      <c r="HD752" s="18"/>
      <c r="HE752" s="18"/>
      <c r="HF752" s="18"/>
      <c r="HG752" s="13"/>
      <c r="HH752" s="13"/>
      <c r="HI752" s="13"/>
      <c r="HJ752" s="13"/>
      <c r="HK752" s="13"/>
      <c r="HL752" s="13"/>
      <c r="HM752" s="13"/>
      <c r="HN752" s="13"/>
      <c r="HO752" s="13"/>
      <c r="HP752" s="13"/>
      <c r="HQ752" s="13"/>
      <c r="HR752" s="13"/>
      <c r="HS752" s="13"/>
      <c r="HT752" s="13"/>
      <c r="HU752" s="18"/>
      <c r="HV752" s="18"/>
      <c r="HW752" s="18"/>
      <c r="HX752" s="18"/>
      <c r="HY752" s="18"/>
      <c r="HZ752" s="18"/>
      <c r="IA752" s="18"/>
      <c r="IB752" s="18"/>
      <c r="IC752" s="18"/>
      <c r="ID752" s="18"/>
      <c r="IE752" s="18"/>
      <c r="IF752" s="18"/>
      <c r="IG752" s="18"/>
      <c r="IH752" s="18"/>
      <c r="II752" s="18"/>
      <c r="IJ752" s="18"/>
      <c r="IK752" s="18"/>
      <c r="IL752" s="18"/>
      <c r="IM752" s="18"/>
      <c r="IN752" s="18"/>
      <c r="IO752" s="18"/>
      <c r="IP752" s="18"/>
      <c r="IQ752" s="18"/>
      <c r="IR752" s="18"/>
      <c r="IS752" s="18"/>
      <c r="IT752" s="18"/>
      <c r="IU752" s="18"/>
      <c r="IV752" s="18"/>
      <c r="IW752" s="18"/>
      <c r="IX752" s="18"/>
      <c r="IY752" s="18"/>
      <c r="IZ752" s="18"/>
      <c r="JA752" s="18"/>
      <c r="JB752" s="18"/>
      <c r="JC752" s="18"/>
      <c r="JD752" s="18"/>
      <c r="JE752" s="18"/>
      <c r="JF752" s="18"/>
      <c r="JG752" s="18"/>
      <c r="JH752" s="18"/>
      <c r="JI752" s="18"/>
      <c r="JJ752" s="18"/>
      <c r="JK752" s="18"/>
      <c r="JL752" s="18"/>
      <c r="JM752" s="18"/>
      <c r="JN752" s="18"/>
      <c r="JO752" s="18"/>
      <c r="JP752" s="18"/>
      <c r="JQ752" s="18"/>
      <c r="JR752" s="18"/>
      <c r="JS752" s="18"/>
      <c r="JT752" s="18"/>
      <c r="JU752" s="18"/>
      <c r="JV752" s="18"/>
      <c r="JW752" s="18"/>
      <c r="JX752" s="18"/>
      <c r="JY752" s="18"/>
      <c r="JZ752" s="18"/>
      <c r="KA752" s="18"/>
      <c r="KB752" s="18"/>
      <c r="KC752" s="18"/>
      <c r="KD752" s="18"/>
      <c r="KE752" s="18"/>
      <c r="KF752" s="18"/>
      <c r="KG752" s="18"/>
      <c r="KH752" s="18"/>
      <c r="KI752" s="18"/>
      <c r="KJ752" s="18"/>
      <c r="KK752" s="18"/>
      <c r="KL752" s="18"/>
      <c r="KM752" s="18"/>
      <c r="KN752" s="18"/>
      <c r="KO752" s="18"/>
      <c r="KP752" s="18"/>
    </row>
    <row r="753" spans="1:302">
      <c r="A753" s="14"/>
      <c r="B753" s="14"/>
      <c r="F753" s="14"/>
      <c r="G753" s="23"/>
      <c r="H753" s="23"/>
      <c r="I753" s="23"/>
      <c r="J753" s="23"/>
      <c r="K753" s="14"/>
      <c r="L753" s="14"/>
      <c r="P753" s="14"/>
      <c r="AG753" s="44"/>
      <c r="AH753" s="44"/>
      <c r="AI753" s="45"/>
      <c r="AJ753" s="44"/>
      <c r="AK753" s="43"/>
      <c r="AS753" s="14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  <c r="EW753" s="18"/>
      <c r="EX753" s="18"/>
      <c r="EY753" s="18"/>
      <c r="EZ753" s="18"/>
      <c r="FA753" s="18"/>
      <c r="FB753" s="18"/>
      <c r="FC753" s="18"/>
      <c r="FD753" s="18"/>
      <c r="FE753" s="18"/>
      <c r="FF753" s="18"/>
      <c r="FG753" s="18"/>
      <c r="FH753" s="18"/>
      <c r="FI753" s="18"/>
      <c r="FJ753" s="18"/>
      <c r="FK753" s="18"/>
      <c r="FL753" s="18"/>
      <c r="FM753" s="18"/>
      <c r="FN753" s="18"/>
      <c r="FO753" s="18"/>
      <c r="FP753" s="18"/>
      <c r="FQ753" s="18"/>
      <c r="FR753" s="18"/>
      <c r="FS753" s="18"/>
      <c r="FT753" s="18"/>
      <c r="FU753" s="18"/>
      <c r="FV753" s="18"/>
      <c r="FW753" s="18"/>
      <c r="FX753" s="18"/>
      <c r="FY753" s="18"/>
      <c r="FZ753" s="18"/>
      <c r="GA753" s="18"/>
      <c r="GB753" s="18"/>
      <c r="GC753" s="18"/>
      <c r="GD753" s="18"/>
      <c r="GE753" s="18"/>
      <c r="GF753" s="18"/>
      <c r="GG753" s="18"/>
      <c r="GH753" s="18"/>
      <c r="GI753" s="18"/>
      <c r="GJ753" s="18"/>
      <c r="GK753" s="18"/>
      <c r="GL753" s="18"/>
      <c r="GM753" s="18"/>
      <c r="GN753" s="18"/>
      <c r="GO753" s="18"/>
      <c r="GP753" s="18"/>
      <c r="GQ753" s="18"/>
      <c r="GR753" s="18"/>
      <c r="GS753" s="18"/>
      <c r="GT753" s="18"/>
      <c r="GU753" s="18"/>
      <c r="GV753" s="18"/>
      <c r="GW753" s="18"/>
      <c r="GX753" s="18"/>
      <c r="GY753" s="18"/>
      <c r="GZ753" s="18"/>
      <c r="HA753" s="18"/>
      <c r="HB753" s="18"/>
      <c r="HC753" s="18"/>
      <c r="HD753" s="18"/>
      <c r="HE753" s="18"/>
      <c r="HF753" s="18"/>
      <c r="HG753" s="13"/>
      <c r="HH753" s="13"/>
      <c r="HI753" s="13"/>
      <c r="HJ753" s="13"/>
      <c r="HK753" s="13"/>
      <c r="HL753" s="13"/>
      <c r="HM753" s="13"/>
      <c r="HN753" s="13"/>
      <c r="HO753" s="13"/>
      <c r="HP753" s="13"/>
      <c r="HQ753" s="13"/>
      <c r="HR753" s="13"/>
      <c r="HS753" s="13"/>
      <c r="HT753" s="13"/>
      <c r="HU753" s="18"/>
      <c r="HV753" s="18"/>
      <c r="HW753" s="18"/>
      <c r="HX753" s="18"/>
      <c r="HY753" s="18"/>
      <c r="HZ753" s="18"/>
      <c r="IA753" s="18"/>
      <c r="IB753" s="18"/>
      <c r="IC753" s="18"/>
      <c r="ID753" s="18"/>
      <c r="IE753" s="18"/>
      <c r="IF753" s="18"/>
      <c r="IG753" s="18"/>
      <c r="IH753" s="18"/>
      <c r="II753" s="18"/>
      <c r="IJ753" s="18"/>
      <c r="IK753" s="18"/>
      <c r="IL753" s="18"/>
      <c r="IM753" s="18"/>
      <c r="IN753" s="18"/>
      <c r="IO753" s="18"/>
      <c r="IP753" s="18"/>
      <c r="IQ753" s="18"/>
      <c r="IR753" s="18"/>
      <c r="IS753" s="18"/>
      <c r="IT753" s="18"/>
      <c r="IU753" s="18"/>
      <c r="IV753" s="18"/>
      <c r="IW753" s="18"/>
      <c r="IX753" s="18"/>
      <c r="IY753" s="18"/>
      <c r="IZ753" s="18"/>
      <c r="JA753" s="18"/>
      <c r="JB753" s="18"/>
      <c r="JC753" s="18"/>
      <c r="JD753" s="18"/>
      <c r="JE753" s="18"/>
      <c r="JF753" s="18"/>
      <c r="JG753" s="18"/>
      <c r="JH753" s="18"/>
      <c r="JI753" s="18"/>
      <c r="JJ753" s="18"/>
      <c r="JK753" s="18"/>
      <c r="JL753" s="18"/>
      <c r="JM753" s="18"/>
      <c r="JN753" s="18"/>
      <c r="JO753" s="18"/>
      <c r="JP753" s="18"/>
      <c r="JQ753" s="18"/>
      <c r="JR753" s="18"/>
      <c r="JS753" s="18"/>
      <c r="JT753" s="18"/>
      <c r="JU753" s="18"/>
      <c r="JV753" s="18"/>
      <c r="JW753" s="18"/>
      <c r="JX753" s="18"/>
      <c r="JY753" s="18"/>
      <c r="JZ753" s="18"/>
      <c r="KA753" s="18"/>
      <c r="KB753" s="18"/>
      <c r="KC753" s="18"/>
      <c r="KD753" s="18"/>
      <c r="KE753" s="18"/>
      <c r="KF753" s="18"/>
      <c r="KG753" s="18"/>
      <c r="KH753" s="18"/>
      <c r="KI753" s="18"/>
      <c r="KJ753" s="18"/>
      <c r="KK753" s="18"/>
      <c r="KL753" s="18"/>
      <c r="KM753" s="18"/>
      <c r="KN753" s="18"/>
      <c r="KO753" s="18"/>
      <c r="KP753" s="18"/>
    </row>
    <row r="754" spans="1:302">
      <c r="A754" s="14"/>
      <c r="B754" s="14"/>
      <c r="F754" s="14"/>
      <c r="G754" s="23"/>
      <c r="H754" s="23"/>
      <c r="I754" s="23"/>
      <c r="J754" s="23"/>
      <c r="K754" s="14"/>
      <c r="L754" s="14"/>
      <c r="P754" s="14"/>
      <c r="AG754" s="44"/>
      <c r="AH754" s="44"/>
      <c r="AI754" s="45"/>
      <c r="AJ754" s="44"/>
      <c r="AK754" s="43"/>
      <c r="AS754" s="14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  <c r="EW754" s="18"/>
      <c r="EX754" s="18"/>
      <c r="EY754" s="18"/>
      <c r="EZ754" s="18"/>
      <c r="FA754" s="18"/>
      <c r="FB754" s="18"/>
      <c r="FC754" s="18"/>
      <c r="FD754" s="18"/>
      <c r="FE754" s="18"/>
      <c r="FF754" s="18"/>
      <c r="FG754" s="18"/>
      <c r="FH754" s="18"/>
      <c r="FI754" s="18"/>
      <c r="FJ754" s="18"/>
      <c r="FK754" s="18"/>
      <c r="FL754" s="18"/>
      <c r="FM754" s="18"/>
      <c r="FN754" s="18"/>
      <c r="FO754" s="18"/>
      <c r="FP754" s="18"/>
      <c r="FQ754" s="18"/>
      <c r="FR754" s="18"/>
      <c r="FS754" s="18"/>
      <c r="FT754" s="18"/>
      <c r="FU754" s="18"/>
      <c r="FV754" s="18"/>
      <c r="FW754" s="18"/>
      <c r="FX754" s="18"/>
      <c r="FY754" s="18"/>
      <c r="FZ754" s="18"/>
      <c r="GA754" s="18"/>
      <c r="GB754" s="18"/>
      <c r="GC754" s="18"/>
      <c r="GD754" s="18"/>
      <c r="GE754" s="18"/>
      <c r="GF754" s="18"/>
      <c r="GG754" s="18"/>
      <c r="GH754" s="18"/>
      <c r="GI754" s="18"/>
      <c r="GJ754" s="18"/>
      <c r="GK754" s="18"/>
      <c r="GL754" s="18"/>
      <c r="GM754" s="18"/>
      <c r="GN754" s="18"/>
      <c r="GO754" s="18"/>
      <c r="GP754" s="18"/>
      <c r="GQ754" s="18"/>
      <c r="GR754" s="18"/>
      <c r="GS754" s="18"/>
      <c r="GT754" s="18"/>
      <c r="GU754" s="18"/>
      <c r="GV754" s="18"/>
      <c r="GW754" s="18"/>
      <c r="GX754" s="18"/>
      <c r="GY754" s="18"/>
      <c r="GZ754" s="18"/>
      <c r="HA754" s="18"/>
      <c r="HB754" s="18"/>
      <c r="HC754" s="18"/>
      <c r="HD754" s="18"/>
      <c r="HE754" s="18"/>
      <c r="HF754" s="18"/>
      <c r="HG754" s="13"/>
      <c r="HH754" s="13"/>
      <c r="HI754" s="13"/>
      <c r="HJ754" s="13"/>
      <c r="HK754" s="13"/>
      <c r="HL754" s="13"/>
      <c r="HM754" s="13"/>
      <c r="HN754" s="13"/>
      <c r="HO754" s="13"/>
      <c r="HP754" s="13"/>
      <c r="HQ754" s="13"/>
      <c r="HR754" s="13"/>
      <c r="HS754" s="13"/>
      <c r="HT754" s="13"/>
      <c r="HU754" s="18"/>
      <c r="HV754" s="18"/>
      <c r="HW754" s="18"/>
      <c r="HX754" s="18"/>
      <c r="HY754" s="18"/>
      <c r="HZ754" s="18"/>
      <c r="IA754" s="18"/>
      <c r="IB754" s="18"/>
      <c r="IC754" s="18"/>
      <c r="ID754" s="18"/>
      <c r="IE754" s="18"/>
      <c r="IF754" s="18"/>
      <c r="IG754" s="18"/>
      <c r="IH754" s="18"/>
      <c r="II754" s="18"/>
      <c r="IJ754" s="18"/>
      <c r="IK754" s="18"/>
      <c r="IL754" s="18"/>
      <c r="IM754" s="18"/>
      <c r="IN754" s="18"/>
      <c r="IO754" s="18"/>
      <c r="IP754" s="18"/>
      <c r="IQ754" s="18"/>
      <c r="IR754" s="18"/>
      <c r="IS754" s="18"/>
      <c r="IT754" s="18"/>
      <c r="IU754" s="18"/>
      <c r="IV754" s="18"/>
      <c r="IW754" s="18"/>
      <c r="IX754" s="18"/>
      <c r="IY754" s="18"/>
      <c r="IZ754" s="18"/>
      <c r="JA754" s="18"/>
      <c r="JB754" s="18"/>
      <c r="JC754" s="18"/>
      <c r="JD754" s="18"/>
      <c r="JE754" s="18"/>
      <c r="JF754" s="18"/>
      <c r="JG754" s="18"/>
      <c r="JH754" s="18"/>
      <c r="JI754" s="18"/>
      <c r="JJ754" s="18"/>
      <c r="JK754" s="18"/>
      <c r="JL754" s="18"/>
      <c r="JM754" s="18"/>
      <c r="JN754" s="18"/>
      <c r="JO754" s="18"/>
      <c r="JP754" s="18"/>
      <c r="JQ754" s="18"/>
      <c r="JR754" s="18"/>
      <c r="JS754" s="18"/>
      <c r="JT754" s="18"/>
      <c r="JU754" s="18"/>
      <c r="JV754" s="18"/>
      <c r="JW754" s="18"/>
      <c r="JX754" s="18"/>
      <c r="JY754" s="18"/>
      <c r="JZ754" s="18"/>
      <c r="KA754" s="18"/>
      <c r="KB754" s="18"/>
      <c r="KC754" s="18"/>
      <c r="KD754" s="18"/>
      <c r="KE754" s="18"/>
      <c r="KF754" s="18"/>
      <c r="KG754" s="18"/>
      <c r="KH754" s="18"/>
      <c r="KI754" s="18"/>
      <c r="KJ754" s="18"/>
      <c r="KK754" s="18"/>
      <c r="KL754" s="18"/>
      <c r="KM754" s="18"/>
      <c r="KN754" s="18"/>
      <c r="KO754" s="18"/>
      <c r="KP754" s="18"/>
    </row>
    <row r="755" spans="1:302">
      <c r="A755" s="14"/>
      <c r="B755" s="14"/>
      <c r="F755" s="14"/>
      <c r="G755" s="23"/>
      <c r="H755" s="23"/>
      <c r="I755" s="23"/>
      <c r="J755" s="23"/>
      <c r="K755" s="14"/>
      <c r="L755" s="14"/>
      <c r="P755" s="14"/>
      <c r="AG755" s="44"/>
      <c r="AH755" s="44"/>
      <c r="AI755" s="45"/>
      <c r="AJ755" s="44"/>
      <c r="AK755" s="43"/>
      <c r="AS755" s="14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  <c r="EW755" s="18"/>
      <c r="EX755" s="18"/>
      <c r="EY755" s="18"/>
      <c r="EZ755" s="18"/>
      <c r="FA755" s="18"/>
      <c r="FB755" s="18"/>
      <c r="FC755" s="18"/>
      <c r="FD755" s="18"/>
      <c r="FE755" s="18"/>
      <c r="FF755" s="18"/>
      <c r="FG755" s="18"/>
      <c r="FH755" s="18"/>
      <c r="FI755" s="18"/>
      <c r="FJ755" s="18"/>
      <c r="FK755" s="18"/>
      <c r="FL755" s="18"/>
      <c r="FM755" s="18"/>
      <c r="FN755" s="18"/>
      <c r="FO755" s="18"/>
      <c r="FP755" s="18"/>
      <c r="FQ755" s="18"/>
      <c r="FR755" s="18"/>
      <c r="FS755" s="18"/>
      <c r="FT755" s="18"/>
      <c r="FU755" s="18"/>
      <c r="FV755" s="18"/>
      <c r="FW755" s="18"/>
      <c r="FX755" s="18"/>
      <c r="FY755" s="18"/>
      <c r="FZ755" s="18"/>
      <c r="GA755" s="18"/>
      <c r="GB755" s="18"/>
      <c r="GC755" s="18"/>
      <c r="GD755" s="18"/>
      <c r="GE755" s="18"/>
      <c r="GF755" s="18"/>
      <c r="GG755" s="18"/>
      <c r="GH755" s="18"/>
      <c r="GI755" s="18"/>
      <c r="GJ755" s="18"/>
      <c r="GK755" s="18"/>
      <c r="GL755" s="18"/>
      <c r="GM755" s="18"/>
      <c r="GN755" s="18"/>
      <c r="GO755" s="18"/>
      <c r="GP755" s="18"/>
      <c r="GQ755" s="18"/>
      <c r="GR755" s="18"/>
      <c r="GS755" s="18"/>
      <c r="GT755" s="18"/>
      <c r="GU755" s="18"/>
      <c r="GV755" s="18"/>
      <c r="GW755" s="18"/>
      <c r="GX755" s="18"/>
      <c r="GY755" s="18"/>
      <c r="GZ755" s="18"/>
      <c r="HA755" s="18"/>
      <c r="HB755" s="18"/>
      <c r="HC755" s="18"/>
      <c r="HD755" s="18"/>
      <c r="HE755" s="18"/>
      <c r="HF755" s="18"/>
      <c r="HG755" s="13"/>
      <c r="HH755" s="13"/>
      <c r="HI755" s="13"/>
      <c r="HJ755" s="13"/>
      <c r="HK755" s="13"/>
      <c r="HL755" s="13"/>
      <c r="HM755" s="13"/>
      <c r="HN755" s="13"/>
      <c r="HO755" s="13"/>
      <c r="HP755" s="13"/>
      <c r="HQ755" s="13"/>
      <c r="HR755" s="13"/>
      <c r="HS755" s="13"/>
      <c r="HT755" s="13"/>
      <c r="HU755" s="18"/>
      <c r="HV755" s="18"/>
      <c r="HW755" s="18"/>
      <c r="HX755" s="18"/>
      <c r="HY755" s="18"/>
      <c r="HZ755" s="18"/>
      <c r="IA755" s="18"/>
      <c r="IB755" s="18"/>
      <c r="IC755" s="18"/>
      <c r="ID755" s="18"/>
      <c r="IE755" s="18"/>
      <c r="IF755" s="18"/>
      <c r="IG755" s="18"/>
      <c r="IH755" s="18"/>
      <c r="II755" s="18"/>
      <c r="IJ755" s="18"/>
      <c r="IK755" s="18"/>
      <c r="IL755" s="18"/>
      <c r="IM755" s="18"/>
      <c r="IN755" s="18"/>
      <c r="IO755" s="18"/>
      <c r="IP755" s="18"/>
      <c r="IQ755" s="18"/>
      <c r="IR755" s="18"/>
      <c r="IS755" s="18"/>
      <c r="IT755" s="18"/>
      <c r="IU755" s="18"/>
      <c r="IV755" s="18"/>
      <c r="IW755" s="18"/>
      <c r="IX755" s="18"/>
      <c r="IY755" s="18"/>
      <c r="IZ755" s="18"/>
      <c r="JA755" s="18"/>
      <c r="JB755" s="18"/>
      <c r="JC755" s="18"/>
      <c r="JD755" s="18"/>
      <c r="JE755" s="18"/>
      <c r="JF755" s="18"/>
      <c r="JG755" s="18"/>
      <c r="JH755" s="18"/>
      <c r="JI755" s="18"/>
      <c r="JJ755" s="18"/>
      <c r="JK755" s="18"/>
      <c r="JL755" s="18"/>
      <c r="JM755" s="18"/>
      <c r="JN755" s="18"/>
      <c r="JO755" s="18"/>
      <c r="JP755" s="18"/>
      <c r="JQ755" s="18"/>
      <c r="JR755" s="18"/>
      <c r="JS755" s="18"/>
      <c r="JT755" s="18"/>
      <c r="JU755" s="18"/>
      <c r="JV755" s="18"/>
      <c r="JW755" s="18"/>
      <c r="JX755" s="18"/>
      <c r="JY755" s="18"/>
      <c r="JZ755" s="18"/>
      <c r="KA755" s="18"/>
      <c r="KB755" s="18"/>
      <c r="KC755" s="18"/>
      <c r="KD755" s="18"/>
      <c r="KE755" s="18"/>
      <c r="KF755" s="18"/>
      <c r="KG755" s="18"/>
      <c r="KH755" s="18"/>
      <c r="KI755" s="18"/>
      <c r="KJ755" s="18"/>
      <c r="KK755" s="18"/>
      <c r="KL755" s="18"/>
      <c r="KM755" s="18"/>
      <c r="KN755" s="18"/>
      <c r="KO755" s="18"/>
      <c r="KP755" s="18"/>
    </row>
    <row r="756" spans="1:302">
      <c r="A756" s="14"/>
      <c r="B756" s="14"/>
      <c r="F756" s="14"/>
      <c r="G756" s="23"/>
      <c r="H756" s="23"/>
      <c r="I756" s="23"/>
      <c r="J756" s="23"/>
      <c r="K756" s="14"/>
      <c r="L756" s="14"/>
      <c r="P756" s="14"/>
      <c r="AG756" s="44"/>
      <c r="AH756" s="44"/>
      <c r="AI756" s="45"/>
      <c r="AJ756" s="44"/>
      <c r="AK756" s="43"/>
      <c r="AS756" s="14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  <c r="EW756" s="18"/>
      <c r="EX756" s="18"/>
      <c r="EY756" s="18"/>
      <c r="EZ756" s="18"/>
      <c r="FA756" s="18"/>
      <c r="FB756" s="18"/>
      <c r="FC756" s="18"/>
      <c r="FD756" s="18"/>
      <c r="FE756" s="18"/>
      <c r="FF756" s="18"/>
      <c r="FG756" s="18"/>
      <c r="FH756" s="18"/>
      <c r="FI756" s="18"/>
      <c r="FJ756" s="18"/>
      <c r="FK756" s="18"/>
      <c r="FL756" s="18"/>
      <c r="FM756" s="18"/>
      <c r="FN756" s="18"/>
      <c r="FO756" s="18"/>
      <c r="FP756" s="18"/>
      <c r="FQ756" s="18"/>
      <c r="FR756" s="18"/>
      <c r="FS756" s="18"/>
      <c r="FT756" s="18"/>
      <c r="FU756" s="18"/>
      <c r="FV756" s="18"/>
      <c r="FW756" s="18"/>
      <c r="FX756" s="18"/>
      <c r="FY756" s="18"/>
      <c r="FZ756" s="18"/>
      <c r="GA756" s="18"/>
      <c r="GB756" s="18"/>
      <c r="GC756" s="18"/>
      <c r="GD756" s="18"/>
      <c r="GE756" s="18"/>
      <c r="GF756" s="18"/>
      <c r="GG756" s="18"/>
      <c r="GH756" s="18"/>
      <c r="GI756" s="18"/>
      <c r="GJ756" s="18"/>
      <c r="GK756" s="18"/>
      <c r="GL756" s="18"/>
      <c r="GM756" s="18"/>
      <c r="GN756" s="18"/>
      <c r="GO756" s="18"/>
      <c r="GP756" s="18"/>
      <c r="GQ756" s="18"/>
      <c r="GR756" s="18"/>
      <c r="GS756" s="18"/>
      <c r="GT756" s="18"/>
      <c r="GU756" s="18"/>
      <c r="GV756" s="18"/>
      <c r="GW756" s="18"/>
      <c r="GX756" s="18"/>
      <c r="GY756" s="18"/>
      <c r="GZ756" s="18"/>
      <c r="HA756" s="18"/>
      <c r="HB756" s="18"/>
      <c r="HC756" s="18"/>
      <c r="HD756" s="18"/>
      <c r="HE756" s="18"/>
      <c r="HF756" s="18"/>
      <c r="HG756" s="13"/>
      <c r="HH756" s="13"/>
      <c r="HI756" s="13"/>
      <c r="HJ756" s="13"/>
      <c r="HK756" s="13"/>
      <c r="HL756" s="13"/>
      <c r="HM756" s="13"/>
      <c r="HN756" s="13"/>
      <c r="HO756" s="13"/>
      <c r="HP756" s="13"/>
      <c r="HQ756" s="13"/>
      <c r="HR756" s="13"/>
      <c r="HS756" s="13"/>
      <c r="HT756" s="13"/>
      <c r="HU756" s="18"/>
      <c r="HV756" s="18"/>
      <c r="HW756" s="18"/>
      <c r="HX756" s="18"/>
      <c r="HY756" s="18"/>
      <c r="HZ756" s="18"/>
      <c r="IA756" s="18"/>
      <c r="IB756" s="18"/>
      <c r="IC756" s="18"/>
      <c r="ID756" s="18"/>
      <c r="IE756" s="18"/>
      <c r="IF756" s="18"/>
      <c r="IG756" s="18"/>
      <c r="IH756" s="18"/>
      <c r="II756" s="18"/>
      <c r="IJ756" s="18"/>
      <c r="IK756" s="18"/>
      <c r="IL756" s="18"/>
      <c r="IM756" s="18"/>
      <c r="IN756" s="18"/>
      <c r="IO756" s="18"/>
      <c r="IP756" s="18"/>
      <c r="IQ756" s="18"/>
      <c r="IR756" s="18"/>
      <c r="IS756" s="18"/>
      <c r="IT756" s="18"/>
      <c r="IU756" s="18"/>
      <c r="IV756" s="18"/>
      <c r="IW756" s="18"/>
      <c r="IX756" s="18"/>
      <c r="IY756" s="18"/>
      <c r="IZ756" s="18"/>
      <c r="JA756" s="18"/>
      <c r="JB756" s="18"/>
      <c r="JC756" s="18"/>
      <c r="JD756" s="18"/>
      <c r="JE756" s="18"/>
      <c r="JF756" s="18"/>
      <c r="JG756" s="18"/>
      <c r="JH756" s="18"/>
      <c r="JI756" s="18"/>
      <c r="JJ756" s="18"/>
      <c r="JK756" s="18"/>
      <c r="JL756" s="18"/>
      <c r="JM756" s="18"/>
      <c r="JN756" s="18"/>
      <c r="JO756" s="18"/>
      <c r="JP756" s="18"/>
      <c r="JQ756" s="18"/>
      <c r="JR756" s="18"/>
      <c r="JS756" s="18"/>
      <c r="JT756" s="18"/>
      <c r="JU756" s="18"/>
      <c r="JV756" s="18"/>
      <c r="JW756" s="18"/>
      <c r="JX756" s="18"/>
      <c r="JY756" s="18"/>
      <c r="JZ756" s="18"/>
      <c r="KA756" s="18"/>
      <c r="KB756" s="18"/>
      <c r="KC756" s="18"/>
      <c r="KD756" s="18"/>
      <c r="KE756" s="18"/>
      <c r="KF756" s="18"/>
      <c r="KG756" s="18"/>
      <c r="KH756" s="18"/>
      <c r="KI756" s="18"/>
      <c r="KJ756" s="18"/>
      <c r="KK756" s="18"/>
      <c r="KL756" s="18"/>
      <c r="KM756" s="18"/>
      <c r="KN756" s="18"/>
      <c r="KO756" s="18"/>
      <c r="KP756" s="18"/>
    </row>
    <row r="757" spans="1:302">
      <c r="A757" s="14"/>
      <c r="B757" s="14"/>
      <c r="F757" s="14"/>
      <c r="G757" s="23"/>
      <c r="H757" s="23"/>
      <c r="I757" s="23"/>
      <c r="J757" s="23"/>
      <c r="K757" s="14"/>
      <c r="L757" s="14"/>
      <c r="P757" s="14"/>
      <c r="AG757" s="44"/>
      <c r="AH757" s="44"/>
      <c r="AI757" s="45"/>
      <c r="AJ757" s="44"/>
      <c r="AK757" s="43"/>
      <c r="AS757" s="14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  <c r="EW757" s="18"/>
      <c r="EX757" s="18"/>
      <c r="EY757" s="18"/>
      <c r="EZ757" s="18"/>
      <c r="FA757" s="18"/>
      <c r="FB757" s="18"/>
      <c r="FC757" s="18"/>
      <c r="FD757" s="18"/>
      <c r="FE757" s="18"/>
      <c r="FF757" s="18"/>
      <c r="FG757" s="18"/>
      <c r="FH757" s="18"/>
      <c r="FI757" s="18"/>
      <c r="FJ757" s="18"/>
      <c r="FK757" s="18"/>
      <c r="FL757" s="18"/>
      <c r="FM757" s="18"/>
      <c r="FN757" s="18"/>
      <c r="FO757" s="18"/>
      <c r="FP757" s="18"/>
      <c r="FQ757" s="18"/>
      <c r="FR757" s="18"/>
      <c r="FS757" s="18"/>
      <c r="FT757" s="18"/>
      <c r="FU757" s="18"/>
      <c r="FV757" s="18"/>
      <c r="FW757" s="18"/>
      <c r="FX757" s="18"/>
      <c r="FY757" s="18"/>
      <c r="FZ757" s="18"/>
      <c r="GA757" s="18"/>
      <c r="GB757" s="18"/>
      <c r="GC757" s="18"/>
      <c r="GD757" s="18"/>
      <c r="GE757" s="18"/>
      <c r="GF757" s="18"/>
      <c r="GG757" s="18"/>
      <c r="GH757" s="18"/>
      <c r="GI757" s="18"/>
      <c r="GJ757" s="18"/>
      <c r="GK757" s="18"/>
      <c r="GL757" s="18"/>
      <c r="GM757" s="18"/>
      <c r="GN757" s="18"/>
      <c r="GO757" s="18"/>
      <c r="GP757" s="18"/>
      <c r="GQ757" s="18"/>
      <c r="GR757" s="18"/>
      <c r="GS757" s="18"/>
      <c r="GT757" s="18"/>
      <c r="GU757" s="18"/>
      <c r="GV757" s="18"/>
      <c r="GW757" s="18"/>
      <c r="GX757" s="18"/>
      <c r="GY757" s="18"/>
      <c r="GZ757" s="18"/>
      <c r="HA757" s="18"/>
      <c r="HB757" s="18"/>
      <c r="HC757" s="18"/>
      <c r="HD757" s="18"/>
      <c r="HE757" s="18"/>
      <c r="HF757" s="18"/>
      <c r="HG757" s="13"/>
      <c r="HH757" s="13"/>
      <c r="HI757" s="13"/>
      <c r="HJ757" s="13"/>
      <c r="HK757" s="13"/>
      <c r="HL757" s="13"/>
      <c r="HM757" s="13"/>
      <c r="HN757" s="13"/>
      <c r="HO757" s="13"/>
      <c r="HP757" s="13"/>
      <c r="HQ757" s="13"/>
      <c r="HR757" s="13"/>
      <c r="HS757" s="13"/>
      <c r="HT757" s="13"/>
      <c r="HU757" s="18"/>
      <c r="HV757" s="18"/>
      <c r="HW757" s="18"/>
      <c r="HX757" s="18"/>
      <c r="HY757" s="18"/>
      <c r="HZ757" s="18"/>
      <c r="IA757" s="18"/>
      <c r="IB757" s="18"/>
      <c r="IC757" s="18"/>
      <c r="ID757" s="18"/>
      <c r="IE757" s="18"/>
      <c r="IF757" s="18"/>
      <c r="IG757" s="18"/>
      <c r="IH757" s="18"/>
      <c r="II757" s="18"/>
      <c r="IJ757" s="18"/>
      <c r="IK757" s="18"/>
      <c r="IL757" s="18"/>
      <c r="IM757" s="18"/>
      <c r="IN757" s="18"/>
      <c r="IO757" s="18"/>
      <c r="IP757" s="18"/>
      <c r="IQ757" s="18"/>
      <c r="IR757" s="18"/>
      <c r="IS757" s="18"/>
      <c r="IT757" s="18"/>
      <c r="IU757" s="18"/>
      <c r="IV757" s="18"/>
      <c r="IW757" s="18"/>
      <c r="IX757" s="18"/>
      <c r="IY757" s="18"/>
      <c r="IZ757" s="18"/>
      <c r="JA757" s="18"/>
      <c r="JB757" s="18"/>
      <c r="JC757" s="18"/>
      <c r="JD757" s="18"/>
      <c r="JE757" s="18"/>
      <c r="JF757" s="18"/>
      <c r="JG757" s="18"/>
      <c r="JH757" s="18"/>
      <c r="JI757" s="18"/>
      <c r="JJ757" s="18"/>
      <c r="JK757" s="18"/>
      <c r="JL757" s="18"/>
      <c r="JM757" s="18"/>
      <c r="JN757" s="18"/>
      <c r="JO757" s="18"/>
      <c r="JP757" s="18"/>
      <c r="JQ757" s="18"/>
      <c r="JR757" s="18"/>
      <c r="JS757" s="18"/>
      <c r="JT757" s="18"/>
      <c r="JU757" s="18"/>
      <c r="JV757" s="18"/>
      <c r="JW757" s="18"/>
      <c r="JX757" s="18"/>
      <c r="JY757" s="18"/>
      <c r="JZ757" s="18"/>
      <c r="KA757" s="18"/>
      <c r="KB757" s="18"/>
      <c r="KC757" s="18"/>
      <c r="KD757" s="18"/>
      <c r="KE757" s="18"/>
      <c r="KF757" s="18"/>
      <c r="KG757" s="18"/>
      <c r="KH757" s="18"/>
      <c r="KI757" s="18"/>
      <c r="KJ757" s="18"/>
      <c r="KK757" s="18"/>
      <c r="KL757" s="18"/>
      <c r="KM757" s="18"/>
      <c r="KN757" s="18"/>
      <c r="KO757" s="18"/>
      <c r="KP757" s="18"/>
    </row>
    <row r="758" spans="1:302">
      <c r="A758" s="14"/>
      <c r="B758" s="14"/>
      <c r="F758" s="14"/>
      <c r="G758" s="23"/>
      <c r="H758" s="23"/>
      <c r="I758" s="23"/>
      <c r="J758" s="23"/>
      <c r="K758" s="14"/>
      <c r="L758" s="14"/>
      <c r="P758" s="14"/>
      <c r="AG758" s="44"/>
      <c r="AH758" s="44"/>
      <c r="AI758" s="45"/>
      <c r="AJ758" s="44"/>
      <c r="AK758" s="43"/>
      <c r="AS758" s="14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  <c r="FC758" s="18"/>
      <c r="FD758" s="18"/>
      <c r="FE758" s="18"/>
      <c r="FF758" s="18"/>
      <c r="FG758" s="18"/>
      <c r="FH758" s="18"/>
      <c r="FI758" s="18"/>
      <c r="FJ758" s="18"/>
      <c r="FK758" s="18"/>
      <c r="FL758" s="18"/>
      <c r="FM758" s="18"/>
      <c r="FN758" s="18"/>
      <c r="FO758" s="18"/>
      <c r="FP758" s="18"/>
      <c r="FQ758" s="18"/>
      <c r="FR758" s="18"/>
      <c r="FS758" s="18"/>
      <c r="FT758" s="18"/>
      <c r="FU758" s="18"/>
      <c r="FV758" s="18"/>
      <c r="FW758" s="18"/>
      <c r="FX758" s="18"/>
      <c r="FY758" s="18"/>
      <c r="FZ758" s="18"/>
      <c r="GA758" s="18"/>
      <c r="GB758" s="18"/>
      <c r="GC758" s="18"/>
      <c r="GD758" s="18"/>
      <c r="GE758" s="18"/>
      <c r="GF758" s="18"/>
      <c r="GG758" s="18"/>
      <c r="GH758" s="18"/>
      <c r="GI758" s="18"/>
      <c r="GJ758" s="18"/>
      <c r="GK758" s="18"/>
      <c r="GL758" s="18"/>
      <c r="GM758" s="18"/>
      <c r="GN758" s="18"/>
      <c r="GO758" s="18"/>
      <c r="GP758" s="18"/>
      <c r="GQ758" s="18"/>
      <c r="GR758" s="18"/>
      <c r="GS758" s="18"/>
      <c r="GT758" s="18"/>
      <c r="GU758" s="18"/>
      <c r="GV758" s="18"/>
      <c r="GW758" s="18"/>
      <c r="GX758" s="18"/>
      <c r="GY758" s="18"/>
      <c r="GZ758" s="18"/>
      <c r="HA758" s="18"/>
      <c r="HB758" s="18"/>
      <c r="HC758" s="18"/>
      <c r="HD758" s="18"/>
      <c r="HE758" s="18"/>
      <c r="HF758" s="18"/>
      <c r="HG758" s="13"/>
      <c r="HH758" s="13"/>
      <c r="HI758" s="13"/>
      <c r="HJ758" s="13"/>
      <c r="HK758" s="13"/>
      <c r="HL758" s="13"/>
      <c r="HM758" s="13"/>
      <c r="HN758" s="13"/>
      <c r="HO758" s="13"/>
      <c r="HP758" s="13"/>
      <c r="HQ758" s="13"/>
      <c r="HR758" s="13"/>
      <c r="HS758" s="13"/>
      <c r="HT758" s="13"/>
      <c r="HU758" s="18"/>
      <c r="HV758" s="18"/>
      <c r="HW758" s="18"/>
      <c r="HX758" s="18"/>
      <c r="HY758" s="18"/>
      <c r="HZ758" s="18"/>
      <c r="IA758" s="18"/>
      <c r="IB758" s="18"/>
      <c r="IC758" s="18"/>
      <c r="ID758" s="18"/>
      <c r="IE758" s="18"/>
      <c r="IF758" s="18"/>
      <c r="IG758" s="18"/>
      <c r="IH758" s="18"/>
      <c r="II758" s="18"/>
      <c r="IJ758" s="18"/>
      <c r="IK758" s="18"/>
      <c r="IL758" s="18"/>
      <c r="IM758" s="18"/>
      <c r="IN758" s="18"/>
      <c r="IO758" s="18"/>
      <c r="IP758" s="18"/>
      <c r="IQ758" s="18"/>
      <c r="IR758" s="18"/>
      <c r="IS758" s="18"/>
      <c r="IT758" s="18"/>
      <c r="IU758" s="18"/>
      <c r="IV758" s="18"/>
      <c r="IW758" s="18"/>
      <c r="IX758" s="18"/>
      <c r="IY758" s="18"/>
      <c r="IZ758" s="18"/>
      <c r="JA758" s="18"/>
      <c r="JB758" s="18"/>
      <c r="JC758" s="18"/>
      <c r="JD758" s="18"/>
      <c r="JE758" s="18"/>
      <c r="JF758" s="18"/>
      <c r="JG758" s="18"/>
      <c r="JH758" s="18"/>
      <c r="JI758" s="18"/>
      <c r="JJ758" s="18"/>
      <c r="JK758" s="18"/>
      <c r="JL758" s="18"/>
      <c r="JM758" s="18"/>
      <c r="JN758" s="18"/>
      <c r="JO758" s="18"/>
      <c r="JP758" s="18"/>
      <c r="JQ758" s="18"/>
      <c r="JR758" s="18"/>
      <c r="JS758" s="18"/>
      <c r="JT758" s="18"/>
      <c r="JU758" s="18"/>
      <c r="JV758" s="18"/>
      <c r="JW758" s="18"/>
      <c r="JX758" s="18"/>
      <c r="JY758" s="18"/>
      <c r="JZ758" s="18"/>
      <c r="KA758" s="18"/>
      <c r="KB758" s="18"/>
      <c r="KC758" s="18"/>
      <c r="KD758" s="18"/>
      <c r="KE758" s="18"/>
      <c r="KF758" s="18"/>
      <c r="KG758" s="18"/>
      <c r="KH758" s="18"/>
      <c r="KI758" s="18"/>
      <c r="KJ758" s="18"/>
      <c r="KK758" s="18"/>
      <c r="KL758" s="18"/>
      <c r="KM758" s="18"/>
      <c r="KN758" s="18"/>
      <c r="KO758" s="18"/>
      <c r="KP758" s="18"/>
    </row>
    <row r="759" spans="1:302">
      <c r="A759" s="14"/>
      <c r="B759" s="14"/>
      <c r="F759" s="14"/>
      <c r="G759" s="23"/>
      <c r="H759" s="23"/>
      <c r="I759" s="23"/>
      <c r="J759" s="23"/>
      <c r="K759" s="14"/>
      <c r="L759" s="14"/>
      <c r="P759" s="14"/>
      <c r="AG759" s="44"/>
      <c r="AH759" s="44"/>
      <c r="AI759" s="45"/>
      <c r="AJ759" s="44"/>
      <c r="AK759" s="43"/>
      <c r="AS759" s="14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  <c r="FR759" s="18"/>
      <c r="FS759" s="18"/>
      <c r="FT759" s="18"/>
      <c r="FU759" s="18"/>
      <c r="FV759" s="18"/>
      <c r="FW759" s="18"/>
      <c r="FX759" s="18"/>
      <c r="FY759" s="18"/>
      <c r="FZ759" s="18"/>
      <c r="GA759" s="18"/>
      <c r="GB759" s="18"/>
      <c r="GC759" s="18"/>
      <c r="GD759" s="18"/>
      <c r="GE759" s="18"/>
      <c r="GF759" s="18"/>
      <c r="GG759" s="18"/>
      <c r="GH759" s="18"/>
      <c r="GI759" s="18"/>
      <c r="GJ759" s="18"/>
      <c r="GK759" s="18"/>
      <c r="GL759" s="18"/>
      <c r="GM759" s="18"/>
      <c r="GN759" s="18"/>
      <c r="GO759" s="18"/>
      <c r="GP759" s="18"/>
      <c r="GQ759" s="18"/>
      <c r="GR759" s="18"/>
      <c r="GS759" s="18"/>
      <c r="GT759" s="18"/>
      <c r="GU759" s="18"/>
      <c r="GV759" s="18"/>
      <c r="GW759" s="18"/>
      <c r="GX759" s="18"/>
      <c r="GY759" s="18"/>
      <c r="GZ759" s="18"/>
      <c r="HA759" s="18"/>
      <c r="HB759" s="18"/>
      <c r="HC759" s="18"/>
      <c r="HD759" s="18"/>
      <c r="HE759" s="18"/>
      <c r="HF759" s="18"/>
      <c r="HG759" s="13"/>
      <c r="HH759" s="13"/>
      <c r="HI759" s="13"/>
      <c r="HJ759" s="13"/>
      <c r="HK759" s="13"/>
      <c r="HL759" s="13"/>
      <c r="HM759" s="13"/>
      <c r="HN759" s="13"/>
      <c r="HO759" s="13"/>
      <c r="HP759" s="13"/>
      <c r="HQ759" s="13"/>
      <c r="HR759" s="13"/>
      <c r="HS759" s="13"/>
      <c r="HT759" s="13"/>
      <c r="HU759" s="18"/>
      <c r="HV759" s="18"/>
      <c r="HW759" s="18"/>
      <c r="HX759" s="18"/>
      <c r="HY759" s="18"/>
      <c r="HZ759" s="18"/>
      <c r="IA759" s="18"/>
      <c r="IB759" s="18"/>
      <c r="IC759" s="18"/>
      <c r="ID759" s="18"/>
      <c r="IE759" s="18"/>
      <c r="IF759" s="18"/>
      <c r="IG759" s="18"/>
      <c r="IH759" s="18"/>
      <c r="II759" s="18"/>
      <c r="IJ759" s="18"/>
      <c r="IK759" s="18"/>
      <c r="IL759" s="18"/>
      <c r="IM759" s="18"/>
      <c r="IN759" s="18"/>
      <c r="IO759" s="18"/>
      <c r="IP759" s="18"/>
      <c r="IQ759" s="18"/>
      <c r="IR759" s="18"/>
      <c r="IS759" s="18"/>
      <c r="IT759" s="18"/>
      <c r="IU759" s="18"/>
      <c r="IV759" s="18"/>
      <c r="IW759" s="18"/>
      <c r="IX759" s="18"/>
      <c r="IY759" s="18"/>
      <c r="IZ759" s="18"/>
      <c r="JA759" s="18"/>
      <c r="JB759" s="18"/>
      <c r="JC759" s="18"/>
      <c r="JD759" s="18"/>
      <c r="JE759" s="18"/>
      <c r="JF759" s="18"/>
      <c r="JG759" s="18"/>
      <c r="JH759" s="18"/>
      <c r="JI759" s="18"/>
      <c r="JJ759" s="18"/>
      <c r="JK759" s="18"/>
      <c r="JL759" s="18"/>
      <c r="JM759" s="18"/>
      <c r="JN759" s="18"/>
      <c r="JO759" s="18"/>
      <c r="JP759" s="18"/>
      <c r="JQ759" s="18"/>
      <c r="JR759" s="18"/>
      <c r="JS759" s="18"/>
      <c r="JT759" s="18"/>
      <c r="JU759" s="18"/>
      <c r="JV759" s="18"/>
      <c r="JW759" s="18"/>
      <c r="JX759" s="18"/>
      <c r="JY759" s="18"/>
      <c r="JZ759" s="18"/>
      <c r="KA759" s="18"/>
      <c r="KB759" s="18"/>
      <c r="KC759" s="18"/>
      <c r="KD759" s="18"/>
      <c r="KE759" s="18"/>
      <c r="KF759" s="18"/>
      <c r="KG759" s="18"/>
      <c r="KH759" s="18"/>
      <c r="KI759" s="18"/>
      <c r="KJ759" s="18"/>
      <c r="KK759" s="18"/>
      <c r="KL759" s="18"/>
      <c r="KM759" s="18"/>
      <c r="KN759" s="18"/>
      <c r="KO759" s="18"/>
      <c r="KP759" s="18"/>
    </row>
    <row r="760" spans="1:302">
      <c r="A760" s="14"/>
      <c r="B760" s="14"/>
      <c r="F760" s="14"/>
      <c r="G760" s="23"/>
      <c r="H760" s="23"/>
      <c r="I760" s="23"/>
      <c r="J760" s="23"/>
      <c r="K760" s="14"/>
      <c r="L760" s="14"/>
      <c r="P760" s="14"/>
      <c r="AG760" s="44"/>
      <c r="AH760" s="44"/>
      <c r="AI760" s="45"/>
      <c r="AJ760" s="44"/>
      <c r="AK760" s="43"/>
      <c r="AS760" s="14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  <c r="EW760" s="18"/>
      <c r="EX760" s="18"/>
      <c r="EY760" s="18"/>
      <c r="EZ760" s="18"/>
      <c r="FA760" s="18"/>
      <c r="FB760" s="18"/>
      <c r="FC760" s="18"/>
      <c r="FD760" s="18"/>
      <c r="FE760" s="18"/>
      <c r="FF760" s="18"/>
      <c r="FG760" s="18"/>
      <c r="FH760" s="18"/>
      <c r="FI760" s="18"/>
      <c r="FJ760" s="18"/>
      <c r="FK760" s="18"/>
      <c r="FL760" s="18"/>
      <c r="FM760" s="18"/>
      <c r="FN760" s="18"/>
      <c r="FO760" s="18"/>
      <c r="FP760" s="18"/>
      <c r="FQ760" s="18"/>
      <c r="FR760" s="18"/>
      <c r="FS760" s="18"/>
      <c r="FT760" s="18"/>
      <c r="FU760" s="18"/>
      <c r="FV760" s="18"/>
      <c r="FW760" s="18"/>
      <c r="FX760" s="18"/>
      <c r="FY760" s="18"/>
      <c r="FZ760" s="18"/>
      <c r="GA760" s="18"/>
      <c r="GB760" s="18"/>
      <c r="GC760" s="18"/>
      <c r="GD760" s="18"/>
      <c r="GE760" s="18"/>
      <c r="GF760" s="18"/>
      <c r="GG760" s="18"/>
      <c r="GH760" s="18"/>
      <c r="GI760" s="18"/>
      <c r="GJ760" s="18"/>
      <c r="GK760" s="18"/>
      <c r="GL760" s="18"/>
      <c r="GM760" s="18"/>
      <c r="GN760" s="18"/>
      <c r="GO760" s="18"/>
      <c r="GP760" s="18"/>
      <c r="GQ760" s="18"/>
      <c r="GR760" s="18"/>
      <c r="GS760" s="18"/>
      <c r="GT760" s="18"/>
      <c r="GU760" s="18"/>
      <c r="GV760" s="18"/>
      <c r="GW760" s="18"/>
      <c r="GX760" s="18"/>
      <c r="GY760" s="18"/>
      <c r="GZ760" s="18"/>
      <c r="HA760" s="18"/>
      <c r="HB760" s="18"/>
      <c r="HC760" s="18"/>
      <c r="HD760" s="18"/>
      <c r="HE760" s="18"/>
      <c r="HF760" s="18"/>
      <c r="HG760" s="13"/>
      <c r="HH760" s="13"/>
      <c r="HI760" s="13"/>
      <c r="HJ760" s="13"/>
      <c r="HK760" s="13"/>
      <c r="HL760" s="13"/>
      <c r="HM760" s="13"/>
      <c r="HN760" s="13"/>
      <c r="HO760" s="13"/>
      <c r="HP760" s="13"/>
      <c r="HQ760" s="13"/>
      <c r="HR760" s="13"/>
      <c r="HS760" s="13"/>
      <c r="HT760" s="13"/>
      <c r="HU760" s="18"/>
      <c r="HV760" s="18"/>
      <c r="HW760" s="18"/>
      <c r="HX760" s="18"/>
      <c r="HY760" s="18"/>
      <c r="HZ760" s="18"/>
      <c r="IA760" s="18"/>
      <c r="IB760" s="18"/>
      <c r="IC760" s="18"/>
      <c r="ID760" s="18"/>
      <c r="IE760" s="18"/>
      <c r="IF760" s="18"/>
      <c r="IG760" s="18"/>
      <c r="IH760" s="18"/>
      <c r="II760" s="18"/>
      <c r="IJ760" s="18"/>
      <c r="IK760" s="18"/>
      <c r="IL760" s="18"/>
      <c r="IM760" s="18"/>
      <c r="IN760" s="18"/>
      <c r="IO760" s="18"/>
      <c r="IP760" s="18"/>
      <c r="IQ760" s="18"/>
      <c r="IR760" s="18"/>
      <c r="IS760" s="18"/>
      <c r="IT760" s="18"/>
      <c r="IU760" s="18"/>
      <c r="IV760" s="18"/>
      <c r="IW760" s="18"/>
      <c r="IX760" s="18"/>
      <c r="IY760" s="18"/>
      <c r="IZ760" s="18"/>
      <c r="JA760" s="18"/>
      <c r="JB760" s="18"/>
      <c r="JC760" s="18"/>
      <c r="JD760" s="18"/>
      <c r="JE760" s="18"/>
      <c r="JF760" s="18"/>
      <c r="JG760" s="18"/>
      <c r="JH760" s="18"/>
      <c r="JI760" s="18"/>
      <c r="JJ760" s="18"/>
      <c r="JK760" s="18"/>
      <c r="JL760" s="18"/>
      <c r="JM760" s="18"/>
      <c r="JN760" s="18"/>
      <c r="JO760" s="18"/>
      <c r="JP760" s="18"/>
      <c r="JQ760" s="18"/>
      <c r="JR760" s="18"/>
      <c r="JS760" s="18"/>
      <c r="JT760" s="18"/>
      <c r="JU760" s="18"/>
      <c r="JV760" s="18"/>
      <c r="JW760" s="18"/>
      <c r="JX760" s="18"/>
      <c r="JY760" s="18"/>
      <c r="JZ760" s="18"/>
      <c r="KA760" s="18"/>
      <c r="KB760" s="18"/>
      <c r="KC760" s="18"/>
      <c r="KD760" s="18"/>
      <c r="KE760" s="18"/>
      <c r="KF760" s="18"/>
      <c r="KG760" s="18"/>
      <c r="KH760" s="18"/>
      <c r="KI760" s="18"/>
      <c r="KJ760" s="18"/>
      <c r="KK760" s="18"/>
      <c r="KL760" s="18"/>
      <c r="KM760" s="18"/>
      <c r="KN760" s="18"/>
      <c r="KO760" s="18"/>
      <c r="KP760" s="18"/>
    </row>
    <row r="761" spans="1:302">
      <c r="A761" s="14"/>
      <c r="B761" s="14"/>
      <c r="F761" s="14"/>
      <c r="G761" s="23"/>
      <c r="H761" s="23"/>
      <c r="I761" s="23"/>
      <c r="J761" s="23"/>
      <c r="K761" s="14"/>
      <c r="L761" s="14"/>
      <c r="P761" s="14"/>
      <c r="AG761" s="44"/>
      <c r="AH761" s="44"/>
      <c r="AI761" s="45"/>
      <c r="AJ761" s="44"/>
      <c r="AK761" s="43"/>
      <c r="AS761" s="14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  <c r="EW761" s="18"/>
      <c r="EX761" s="18"/>
      <c r="EY761" s="18"/>
      <c r="EZ761" s="18"/>
      <c r="FA761" s="18"/>
      <c r="FB761" s="18"/>
      <c r="FC761" s="18"/>
      <c r="FD761" s="18"/>
      <c r="FE761" s="18"/>
      <c r="FF761" s="18"/>
      <c r="FG761" s="18"/>
      <c r="FH761" s="18"/>
      <c r="FI761" s="18"/>
      <c r="FJ761" s="18"/>
      <c r="FK761" s="18"/>
      <c r="FL761" s="18"/>
      <c r="FM761" s="18"/>
      <c r="FN761" s="18"/>
      <c r="FO761" s="18"/>
      <c r="FP761" s="18"/>
      <c r="FQ761" s="18"/>
      <c r="FR761" s="18"/>
      <c r="FS761" s="18"/>
      <c r="FT761" s="18"/>
      <c r="FU761" s="18"/>
      <c r="FV761" s="18"/>
      <c r="FW761" s="18"/>
      <c r="FX761" s="18"/>
      <c r="FY761" s="18"/>
      <c r="FZ761" s="18"/>
      <c r="GA761" s="18"/>
      <c r="GB761" s="18"/>
      <c r="GC761" s="18"/>
      <c r="GD761" s="18"/>
      <c r="GE761" s="18"/>
      <c r="GF761" s="18"/>
      <c r="GG761" s="18"/>
      <c r="GH761" s="18"/>
      <c r="GI761" s="18"/>
      <c r="GJ761" s="18"/>
      <c r="GK761" s="18"/>
      <c r="GL761" s="18"/>
      <c r="GM761" s="18"/>
      <c r="GN761" s="18"/>
      <c r="GO761" s="18"/>
      <c r="GP761" s="18"/>
      <c r="GQ761" s="18"/>
      <c r="GR761" s="18"/>
      <c r="GS761" s="18"/>
      <c r="GT761" s="18"/>
      <c r="GU761" s="18"/>
      <c r="GV761" s="18"/>
      <c r="GW761" s="18"/>
      <c r="GX761" s="18"/>
      <c r="GY761" s="18"/>
      <c r="GZ761" s="18"/>
      <c r="HA761" s="18"/>
      <c r="HB761" s="18"/>
      <c r="HC761" s="18"/>
      <c r="HD761" s="18"/>
      <c r="HE761" s="18"/>
      <c r="HF761" s="18"/>
      <c r="HG761" s="13"/>
      <c r="HH761" s="13"/>
      <c r="HI761" s="13"/>
      <c r="HJ761" s="13"/>
      <c r="HK761" s="13"/>
      <c r="HL761" s="13"/>
      <c r="HM761" s="13"/>
      <c r="HN761" s="13"/>
      <c r="HO761" s="13"/>
      <c r="HP761" s="13"/>
      <c r="HQ761" s="13"/>
      <c r="HR761" s="13"/>
      <c r="HS761" s="13"/>
      <c r="HT761" s="13"/>
      <c r="HU761" s="18"/>
      <c r="HV761" s="18"/>
      <c r="HW761" s="18"/>
      <c r="HX761" s="18"/>
      <c r="HY761" s="18"/>
      <c r="HZ761" s="18"/>
      <c r="IA761" s="18"/>
      <c r="IB761" s="18"/>
      <c r="IC761" s="18"/>
      <c r="ID761" s="18"/>
      <c r="IE761" s="18"/>
      <c r="IF761" s="18"/>
      <c r="IG761" s="18"/>
      <c r="IH761" s="18"/>
      <c r="II761" s="18"/>
      <c r="IJ761" s="18"/>
      <c r="IK761" s="18"/>
      <c r="IL761" s="18"/>
      <c r="IM761" s="18"/>
      <c r="IN761" s="18"/>
      <c r="IO761" s="18"/>
      <c r="IP761" s="18"/>
      <c r="IQ761" s="18"/>
      <c r="IR761" s="18"/>
      <c r="IS761" s="18"/>
      <c r="IT761" s="18"/>
      <c r="IU761" s="18"/>
      <c r="IV761" s="18"/>
      <c r="IW761" s="18"/>
      <c r="IX761" s="18"/>
      <c r="IY761" s="18"/>
      <c r="IZ761" s="18"/>
      <c r="JA761" s="18"/>
      <c r="JB761" s="18"/>
      <c r="JC761" s="18"/>
      <c r="JD761" s="18"/>
      <c r="JE761" s="18"/>
      <c r="JF761" s="18"/>
      <c r="JG761" s="18"/>
      <c r="JH761" s="18"/>
      <c r="JI761" s="18"/>
      <c r="JJ761" s="18"/>
      <c r="JK761" s="18"/>
      <c r="JL761" s="18"/>
      <c r="JM761" s="18"/>
      <c r="JN761" s="18"/>
      <c r="JO761" s="18"/>
      <c r="JP761" s="18"/>
      <c r="JQ761" s="18"/>
      <c r="JR761" s="18"/>
      <c r="JS761" s="18"/>
      <c r="JT761" s="18"/>
      <c r="JU761" s="18"/>
      <c r="JV761" s="18"/>
      <c r="JW761" s="18"/>
      <c r="JX761" s="18"/>
      <c r="JY761" s="18"/>
      <c r="JZ761" s="18"/>
      <c r="KA761" s="18"/>
      <c r="KB761" s="18"/>
      <c r="KC761" s="18"/>
      <c r="KD761" s="18"/>
      <c r="KE761" s="18"/>
      <c r="KF761" s="18"/>
      <c r="KG761" s="18"/>
      <c r="KH761" s="18"/>
      <c r="KI761" s="18"/>
      <c r="KJ761" s="18"/>
      <c r="KK761" s="18"/>
      <c r="KL761" s="18"/>
      <c r="KM761" s="18"/>
      <c r="KN761" s="18"/>
      <c r="KO761" s="18"/>
      <c r="KP761" s="18"/>
    </row>
    <row r="762" spans="1:302">
      <c r="A762" s="14"/>
      <c r="B762" s="14"/>
      <c r="F762" s="14"/>
      <c r="G762" s="23"/>
      <c r="H762" s="23"/>
      <c r="I762" s="23"/>
      <c r="J762" s="23"/>
      <c r="K762" s="14"/>
      <c r="L762" s="14"/>
      <c r="P762" s="14"/>
      <c r="AG762" s="44"/>
      <c r="AH762" s="44"/>
      <c r="AI762" s="45"/>
      <c r="AJ762" s="44"/>
      <c r="AK762" s="43"/>
      <c r="AS762" s="14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  <c r="FR762" s="18"/>
      <c r="FS762" s="18"/>
      <c r="FT762" s="18"/>
      <c r="FU762" s="18"/>
      <c r="FV762" s="18"/>
      <c r="FW762" s="18"/>
      <c r="FX762" s="18"/>
      <c r="FY762" s="18"/>
      <c r="FZ762" s="18"/>
      <c r="GA762" s="18"/>
      <c r="GB762" s="18"/>
      <c r="GC762" s="18"/>
      <c r="GD762" s="18"/>
      <c r="GE762" s="18"/>
      <c r="GF762" s="18"/>
      <c r="GG762" s="18"/>
      <c r="GH762" s="18"/>
      <c r="GI762" s="18"/>
      <c r="GJ762" s="18"/>
      <c r="GK762" s="18"/>
      <c r="GL762" s="18"/>
      <c r="GM762" s="18"/>
      <c r="GN762" s="18"/>
      <c r="GO762" s="18"/>
      <c r="GP762" s="18"/>
      <c r="GQ762" s="18"/>
      <c r="GR762" s="18"/>
      <c r="GS762" s="18"/>
      <c r="GT762" s="18"/>
      <c r="GU762" s="18"/>
      <c r="GV762" s="18"/>
      <c r="GW762" s="18"/>
      <c r="GX762" s="18"/>
      <c r="GY762" s="18"/>
      <c r="GZ762" s="18"/>
      <c r="HA762" s="18"/>
      <c r="HB762" s="18"/>
      <c r="HC762" s="18"/>
      <c r="HD762" s="18"/>
      <c r="HE762" s="18"/>
      <c r="HF762" s="18"/>
      <c r="HG762" s="13"/>
      <c r="HH762" s="13"/>
      <c r="HI762" s="13"/>
      <c r="HJ762" s="13"/>
      <c r="HK762" s="13"/>
      <c r="HL762" s="13"/>
      <c r="HM762" s="13"/>
      <c r="HN762" s="13"/>
      <c r="HO762" s="13"/>
      <c r="HP762" s="13"/>
      <c r="HQ762" s="13"/>
      <c r="HR762" s="13"/>
      <c r="HS762" s="13"/>
      <c r="HT762" s="13"/>
      <c r="HU762" s="18"/>
      <c r="HV762" s="18"/>
      <c r="HW762" s="18"/>
      <c r="HX762" s="18"/>
      <c r="HY762" s="18"/>
      <c r="HZ762" s="18"/>
      <c r="IA762" s="18"/>
      <c r="IB762" s="18"/>
      <c r="IC762" s="18"/>
      <c r="ID762" s="18"/>
      <c r="IE762" s="18"/>
      <c r="IF762" s="18"/>
      <c r="IG762" s="18"/>
      <c r="IH762" s="18"/>
      <c r="II762" s="18"/>
      <c r="IJ762" s="18"/>
      <c r="IK762" s="18"/>
      <c r="IL762" s="18"/>
      <c r="IM762" s="18"/>
      <c r="IN762" s="18"/>
      <c r="IO762" s="18"/>
      <c r="IP762" s="18"/>
      <c r="IQ762" s="18"/>
      <c r="IR762" s="18"/>
      <c r="IS762" s="18"/>
      <c r="IT762" s="18"/>
      <c r="IU762" s="18"/>
      <c r="IV762" s="18"/>
      <c r="IW762" s="18"/>
      <c r="IX762" s="18"/>
      <c r="IY762" s="18"/>
      <c r="IZ762" s="18"/>
      <c r="JA762" s="18"/>
      <c r="JB762" s="18"/>
      <c r="JC762" s="18"/>
      <c r="JD762" s="18"/>
      <c r="JE762" s="18"/>
      <c r="JF762" s="18"/>
      <c r="JG762" s="18"/>
      <c r="JH762" s="18"/>
      <c r="JI762" s="18"/>
      <c r="JJ762" s="18"/>
      <c r="JK762" s="18"/>
      <c r="JL762" s="18"/>
      <c r="JM762" s="18"/>
      <c r="JN762" s="18"/>
      <c r="JO762" s="18"/>
      <c r="JP762" s="18"/>
      <c r="JQ762" s="18"/>
      <c r="JR762" s="18"/>
      <c r="JS762" s="18"/>
      <c r="JT762" s="18"/>
      <c r="JU762" s="18"/>
      <c r="JV762" s="18"/>
      <c r="JW762" s="18"/>
      <c r="JX762" s="18"/>
      <c r="JY762" s="18"/>
      <c r="JZ762" s="18"/>
      <c r="KA762" s="18"/>
      <c r="KB762" s="18"/>
      <c r="KC762" s="18"/>
      <c r="KD762" s="18"/>
      <c r="KE762" s="18"/>
      <c r="KF762" s="18"/>
      <c r="KG762" s="18"/>
      <c r="KH762" s="18"/>
      <c r="KI762" s="18"/>
      <c r="KJ762" s="18"/>
      <c r="KK762" s="18"/>
      <c r="KL762" s="18"/>
      <c r="KM762" s="18"/>
      <c r="KN762" s="18"/>
      <c r="KO762" s="18"/>
      <c r="KP762" s="18"/>
    </row>
    <row r="763" spans="1:302">
      <c r="A763" s="14"/>
      <c r="B763" s="14"/>
      <c r="F763" s="14"/>
      <c r="G763" s="23"/>
      <c r="H763" s="23"/>
      <c r="I763" s="23"/>
      <c r="J763" s="23"/>
      <c r="K763" s="14"/>
      <c r="L763" s="14"/>
      <c r="P763" s="14"/>
      <c r="AG763" s="44"/>
      <c r="AH763" s="44"/>
      <c r="AI763" s="45"/>
      <c r="AJ763" s="44"/>
      <c r="AK763" s="43"/>
      <c r="AS763" s="14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  <c r="EW763" s="18"/>
      <c r="EX763" s="18"/>
      <c r="EY763" s="18"/>
      <c r="EZ763" s="18"/>
      <c r="FA763" s="18"/>
      <c r="FB763" s="18"/>
      <c r="FC763" s="18"/>
      <c r="FD763" s="18"/>
      <c r="FE763" s="18"/>
      <c r="FF763" s="18"/>
      <c r="FG763" s="18"/>
      <c r="FH763" s="18"/>
      <c r="FI763" s="18"/>
      <c r="FJ763" s="18"/>
      <c r="FK763" s="18"/>
      <c r="FL763" s="18"/>
      <c r="FM763" s="18"/>
      <c r="FN763" s="18"/>
      <c r="FO763" s="18"/>
      <c r="FP763" s="18"/>
      <c r="FQ763" s="18"/>
      <c r="FR763" s="18"/>
      <c r="FS763" s="18"/>
      <c r="FT763" s="18"/>
      <c r="FU763" s="18"/>
      <c r="FV763" s="18"/>
      <c r="FW763" s="18"/>
      <c r="FX763" s="18"/>
      <c r="FY763" s="18"/>
      <c r="FZ763" s="18"/>
      <c r="GA763" s="18"/>
      <c r="GB763" s="18"/>
      <c r="GC763" s="18"/>
      <c r="GD763" s="18"/>
      <c r="GE763" s="18"/>
      <c r="GF763" s="18"/>
      <c r="GG763" s="18"/>
      <c r="GH763" s="18"/>
      <c r="GI763" s="18"/>
      <c r="GJ763" s="18"/>
      <c r="GK763" s="18"/>
      <c r="GL763" s="18"/>
      <c r="GM763" s="18"/>
      <c r="GN763" s="18"/>
      <c r="GO763" s="18"/>
      <c r="GP763" s="18"/>
      <c r="GQ763" s="18"/>
      <c r="GR763" s="18"/>
      <c r="GS763" s="18"/>
      <c r="GT763" s="18"/>
      <c r="GU763" s="18"/>
      <c r="GV763" s="18"/>
      <c r="GW763" s="18"/>
      <c r="GX763" s="18"/>
      <c r="GY763" s="18"/>
      <c r="GZ763" s="18"/>
      <c r="HA763" s="18"/>
      <c r="HB763" s="18"/>
      <c r="HC763" s="18"/>
      <c r="HD763" s="18"/>
      <c r="HE763" s="18"/>
      <c r="HF763" s="18"/>
      <c r="HG763" s="13"/>
      <c r="HH763" s="13"/>
      <c r="HI763" s="13"/>
      <c r="HJ763" s="13"/>
      <c r="HK763" s="13"/>
      <c r="HL763" s="13"/>
      <c r="HM763" s="13"/>
      <c r="HN763" s="13"/>
      <c r="HO763" s="13"/>
      <c r="HP763" s="13"/>
      <c r="HQ763" s="13"/>
      <c r="HR763" s="13"/>
      <c r="HS763" s="13"/>
      <c r="HT763" s="13"/>
      <c r="HU763" s="18"/>
      <c r="HV763" s="18"/>
      <c r="HW763" s="18"/>
      <c r="HX763" s="18"/>
      <c r="HY763" s="18"/>
      <c r="HZ763" s="18"/>
      <c r="IA763" s="18"/>
      <c r="IB763" s="18"/>
      <c r="IC763" s="18"/>
      <c r="ID763" s="18"/>
      <c r="IE763" s="18"/>
      <c r="IF763" s="18"/>
      <c r="IG763" s="18"/>
      <c r="IH763" s="18"/>
      <c r="II763" s="18"/>
      <c r="IJ763" s="18"/>
      <c r="IK763" s="18"/>
      <c r="IL763" s="18"/>
      <c r="IM763" s="18"/>
      <c r="IN763" s="18"/>
      <c r="IO763" s="18"/>
      <c r="IP763" s="18"/>
      <c r="IQ763" s="18"/>
      <c r="IR763" s="18"/>
      <c r="IS763" s="18"/>
      <c r="IT763" s="18"/>
      <c r="IU763" s="18"/>
      <c r="IV763" s="18"/>
      <c r="IW763" s="18"/>
      <c r="IX763" s="18"/>
      <c r="IY763" s="18"/>
      <c r="IZ763" s="18"/>
      <c r="JA763" s="18"/>
      <c r="JB763" s="18"/>
      <c r="JC763" s="18"/>
      <c r="JD763" s="18"/>
      <c r="JE763" s="18"/>
      <c r="JF763" s="18"/>
      <c r="JG763" s="18"/>
      <c r="JH763" s="18"/>
      <c r="JI763" s="18"/>
      <c r="JJ763" s="18"/>
      <c r="JK763" s="18"/>
      <c r="JL763" s="18"/>
      <c r="JM763" s="18"/>
      <c r="JN763" s="18"/>
      <c r="JO763" s="18"/>
      <c r="JP763" s="18"/>
      <c r="JQ763" s="18"/>
      <c r="JR763" s="18"/>
      <c r="JS763" s="18"/>
      <c r="JT763" s="18"/>
      <c r="JU763" s="18"/>
      <c r="JV763" s="18"/>
      <c r="JW763" s="18"/>
      <c r="JX763" s="18"/>
      <c r="JY763" s="18"/>
      <c r="JZ763" s="18"/>
      <c r="KA763" s="18"/>
      <c r="KB763" s="18"/>
      <c r="KC763" s="18"/>
      <c r="KD763" s="18"/>
      <c r="KE763" s="18"/>
      <c r="KF763" s="18"/>
      <c r="KG763" s="18"/>
      <c r="KH763" s="18"/>
      <c r="KI763" s="18"/>
      <c r="KJ763" s="18"/>
      <c r="KK763" s="18"/>
      <c r="KL763" s="18"/>
      <c r="KM763" s="18"/>
      <c r="KN763" s="18"/>
      <c r="KO763" s="18"/>
      <c r="KP763" s="18"/>
    </row>
    <row r="764" spans="1:302">
      <c r="A764" s="14"/>
      <c r="B764" s="14"/>
      <c r="F764" s="14"/>
      <c r="G764" s="23"/>
      <c r="H764" s="23"/>
      <c r="I764" s="23"/>
      <c r="J764" s="23"/>
      <c r="K764" s="14"/>
      <c r="L764" s="14"/>
      <c r="P764" s="14"/>
      <c r="AG764" s="44"/>
      <c r="AH764" s="44"/>
      <c r="AI764" s="45"/>
      <c r="AJ764" s="44"/>
      <c r="AK764" s="43"/>
      <c r="AS764" s="14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  <c r="EW764" s="18"/>
      <c r="EX764" s="18"/>
      <c r="EY764" s="18"/>
      <c r="EZ764" s="18"/>
      <c r="FA764" s="18"/>
      <c r="FB764" s="18"/>
      <c r="FC764" s="18"/>
      <c r="FD764" s="18"/>
      <c r="FE764" s="18"/>
      <c r="FF764" s="18"/>
      <c r="FG764" s="18"/>
      <c r="FH764" s="18"/>
      <c r="FI764" s="18"/>
      <c r="FJ764" s="18"/>
      <c r="FK764" s="18"/>
      <c r="FL764" s="18"/>
      <c r="FM764" s="18"/>
      <c r="FN764" s="18"/>
      <c r="FO764" s="18"/>
      <c r="FP764" s="18"/>
      <c r="FQ764" s="18"/>
      <c r="FR764" s="18"/>
      <c r="FS764" s="18"/>
      <c r="FT764" s="18"/>
      <c r="FU764" s="18"/>
      <c r="FV764" s="18"/>
      <c r="FW764" s="18"/>
      <c r="FX764" s="18"/>
      <c r="FY764" s="18"/>
      <c r="FZ764" s="18"/>
      <c r="GA764" s="18"/>
      <c r="GB764" s="18"/>
      <c r="GC764" s="18"/>
      <c r="GD764" s="18"/>
      <c r="GE764" s="18"/>
      <c r="GF764" s="18"/>
      <c r="GG764" s="18"/>
      <c r="GH764" s="18"/>
      <c r="GI764" s="18"/>
      <c r="GJ764" s="18"/>
      <c r="GK764" s="18"/>
      <c r="GL764" s="18"/>
      <c r="GM764" s="18"/>
      <c r="GN764" s="18"/>
      <c r="GO764" s="18"/>
      <c r="GP764" s="18"/>
      <c r="GQ764" s="18"/>
      <c r="GR764" s="18"/>
      <c r="GS764" s="18"/>
      <c r="GT764" s="18"/>
      <c r="GU764" s="18"/>
      <c r="GV764" s="18"/>
      <c r="GW764" s="18"/>
      <c r="GX764" s="18"/>
      <c r="GY764" s="18"/>
      <c r="GZ764" s="18"/>
      <c r="HA764" s="18"/>
      <c r="HB764" s="18"/>
      <c r="HC764" s="18"/>
      <c r="HD764" s="18"/>
      <c r="HE764" s="18"/>
      <c r="HF764" s="18"/>
      <c r="HG764" s="13"/>
      <c r="HH764" s="13"/>
      <c r="HI764" s="13"/>
      <c r="HJ764" s="13"/>
      <c r="HK764" s="13"/>
      <c r="HL764" s="13"/>
      <c r="HM764" s="13"/>
      <c r="HN764" s="13"/>
      <c r="HO764" s="13"/>
      <c r="HP764" s="13"/>
      <c r="HQ764" s="13"/>
      <c r="HR764" s="13"/>
      <c r="HS764" s="13"/>
      <c r="HT764" s="13"/>
      <c r="HU764" s="18"/>
      <c r="HV764" s="18"/>
      <c r="HW764" s="18"/>
      <c r="HX764" s="18"/>
      <c r="HY764" s="18"/>
      <c r="HZ764" s="18"/>
      <c r="IA764" s="18"/>
      <c r="IB764" s="18"/>
      <c r="IC764" s="18"/>
      <c r="ID764" s="18"/>
      <c r="IE764" s="18"/>
      <c r="IF764" s="18"/>
      <c r="IG764" s="18"/>
      <c r="IH764" s="18"/>
      <c r="II764" s="18"/>
      <c r="IJ764" s="18"/>
      <c r="IK764" s="18"/>
      <c r="IL764" s="18"/>
      <c r="IM764" s="18"/>
      <c r="IN764" s="18"/>
      <c r="IO764" s="18"/>
      <c r="IP764" s="18"/>
      <c r="IQ764" s="18"/>
      <c r="IR764" s="18"/>
      <c r="IS764" s="18"/>
      <c r="IT764" s="18"/>
      <c r="IU764" s="18"/>
      <c r="IV764" s="18"/>
      <c r="IW764" s="18"/>
      <c r="IX764" s="18"/>
      <c r="IY764" s="18"/>
      <c r="IZ764" s="18"/>
      <c r="JA764" s="18"/>
      <c r="JB764" s="18"/>
      <c r="JC764" s="18"/>
      <c r="JD764" s="18"/>
      <c r="JE764" s="18"/>
      <c r="JF764" s="18"/>
      <c r="JG764" s="18"/>
      <c r="JH764" s="18"/>
      <c r="JI764" s="18"/>
      <c r="JJ764" s="18"/>
      <c r="JK764" s="18"/>
      <c r="JL764" s="18"/>
      <c r="JM764" s="18"/>
      <c r="JN764" s="18"/>
      <c r="JO764" s="18"/>
      <c r="JP764" s="18"/>
      <c r="JQ764" s="18"/>
      <c r="JR764" s="18"/>
      <c r="JS764" s="18"/>
      <c r="JT764" s="18"/>
      <c r="JU764" s="18"/>
      <c r="JV764" s="18"/>
      <c r="JW764" s="18"/>
      <c r="JX764" s="18"/>
      <c r="JY764" s="18"/>
      <c r="JZ764" s="18"/>
      <c r="KA764" s="18"/>
      <c r="KB764" s="18"/>
      <c r="KC764" s="18"/>
      <c r="KD764" s="18"/>
      <c r="KE764" s="18"/>
      <c r="KF764" s="18"/>
      <c r="KG764" s="18"/>
      <c r="KH764" s="18"/>
      <c r="KI764" s="18"/>
      <c r="KJ764" s="18"/>
      <c r="KK764" s="18"/>
      <c r="KL764" s="18"/>
      <c r="KM764" s="18"/>
      <c r="KN764" s="18"/>
      <c r="KO764" s="18"/>
      <c r="KP764" s="18"/>
    </row>
    <row r="765" spans="1:302">
      <c r="A765" s="14"/>
      <c r="B765" s="14"/>
      <c r="F765" s="14"/>
      <c r="G765" s="23"/>
      <c r="H765" s="23"/>
      <c r="I765" s="23"/>
      <c r="J765" s="23"/>
      <c r="K765" s="14"/>
      <c r="L765" s="14"/>
      <c r="P765" s="14"/>
      <c r="AG765" s="44"/>
      <c r="AH765" s="44"/>
      <c r="AI765" s="45"/>
      <c r="AJ765" s="44"/>
      <c r="AK765" s="43"/>
      <c r="AS765" s="14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  <c r="EW765" s="18"/>
      <c r="EX765" s="18"/>
      <c r="EY765" s="18"/>
      <c r="EZ765" s="18"/>
      <c r="FA765" s="18"/>
      <c r="FB765" s="18"/>
      <c r="FC765" s="18"/>
      <c r="FD765" s="18"/>
      <c r="FE765" s="18"/>
      <c r="FF765" s="18"/>
      <c r="FG765" s="18"/>
      <c r="FH765" s="18"/>
      <c r="FI765" s="18"/>
      <c r="FJ765" s="18"/>
      <c r="FK765" s="18"/>
      <c r="FL765" s="18"/>
      <c r="FM765" s="18"/>
      <c r="FN765" s="18"/>
      <c r="FO765" s="18"/>
      <c r="FP765" s="18"/>
      <c r="FQ765" s="18"/>
      <c r="FR765" s="18"/>
      <c r="FS765" s="18"/>
      <c r="FT765" s="18"/>
      <c r="FU765" s="18"/>
      <c r="FV765" s="18"/>
      <c r="FW765" s="18"/>
      <c r="FX765" s="18"/>
      <c r="FY765" s="18"/>
      <c r="FZ765" s="18"/>
      <c r="GA765" s="18"/>
      <c r="GB765" s="18"/>
      <c r="GC765" s="18"/>
      <c r="GD765" s="18"/>
      <c r="GE765" s="18"/>
      <c r="GF765" s="18"/>
      <c r="GG765" s="18"/>
      <c r="GH765" s="18"/>
      <c r="GI765" s="18"/>
      <c r="GJ765" s="18"/>
      <c r="GK765" s="18"/>
      <c r="GL765" s="18"/>
      <c r="GM765" s="18"/>
      <c r="GN765" s="18"/>
      <c r="GO765" s="18"/>
      <c r="GP765" s="18"/>
      <c r="GQ765" s="18"/>
      <c r="GR765" s="18"/>
      <c r="GS765" s="18"/>
      <c r="GT765" s="18"/>
      <c r="GU765" s="18"/>
      <c r="GV765" s="18"/>
      <c r="GW765" s="18"/>
      <c r="GX765" s="18"/>
      <c r="GY765" s="18"/>
      <c r="GZ765" s="18"/>
      <c r="HA765" s="18"/>
      <c r="HB765" s="18"/>
      <c r="HC765" s="18"/>
      <c r="HD765" s="18"/>
      <c r="HE765" s="18"/>
      <c r="HF765" s="18"/>
      <c r="HG765" s="13"/>
      <c r="HH765" s="13"/>
      <c r="HI765" s="13"/>
      <c r="HJ765" s="13"/>
      <c r="HK765" s="13"/>
      <c r="HL765" s="13"/>
      <c r="HM765" s="13"/>
      <c r="HN765" s="13"/>
      <c r="HO765" s="13"/>
      <c r="HP765" s="13"/>
      <c r="HQ765" s="13"/>
      <c r="HR765" s="13"/>
      <c r="HS765" s="13"/>
      <c r="HT765" s="13"/>
      <c r="HU765" s="18"/>
      <c r="HV765" s="18"/>
      <c r="HW765" s="18"/>
      <c r="HX765" s="18"/>
      <c r="HY765" s="18"/>
      <c r="HZ765" s="18"/>
      <c r="IA765" s="18"/>
      <c r="IB765" s="18"/>
      <c r="IC765" s="18"/>
      <c r="ID765" s="18"/>
      <c r="IE765" s="18"/>
      <c r="IF765" s="18"/>
      <c r="IG765" s="18"/>
      <c r="IH765" s="18"/>
      <c r="II765" s="18"/>
      <c r="IJ765" s="18"/>
      <c r="IK765" s="18"/>
      <c r="IL765" s="18"/>
      <c r="IM765" s="18"/>
      <c r="IN765" s="18"/>
      <c r="IO765" s="18"/>
      <c r="IP765" s="18"/>
      <c r="IQ765" s="18"/>
      <c r="IR765" s="18"/>
      <c r="IS765" s="18"/>
      <c r="IT765" s="18"/>
      <c r="IU765" s="18"/>
      <c r="IV765" s="18"/>
      <c r="IW765" s="18"/>
      <c r="IX765" s="18"/>
      <c r="IY765" s="18"/>
      <c r="IZ765" s="18"/>
      <c r="JA765" s="18"/>
      <c r="JB765" s="18"/>
      <c r="JC765" s="18"/>
      <c r="JD765" s="18"/>
      <c r="JE765" s="18"/>
      <c r="JF765" s="18"/>
      <c r="JG765" s="18"/>
      <c r="JH765" s="18"/>
      <c r="JI765" s="18"/>
      <c r="JJ765" s="18"/>
      <c r="JK765" s="18"/>
      <c r="JL765" s="18"/>
      <c r="JM765" s="18"/>
      <c r="JN765" s="18"/>
      <c r="JO765" s="18"/>
      <c r="JP765" s="18"/>
      <c r="JQ765" s="18"/>
      <c r="JR765" s="18"/>
      <c r="JS765" s="18"/>
      <c r="JT765" s="18"/>
      <c r="JU765" s="18"/>
      <c r="JV765" s="18"/>
      <c r="JW765" s="18"/>
      <c r="JX765" s="18"/>
      <c r="JY765" s="18"/>
      <c r="JZ765" s="18"/>
      <c r="KA765" s="18"/>
      <c r="KB765" s="18"/>
      <c r="KC765" s="18"/>
      <c r="KD765" s="18"/>
      <c r="KE765" s="18"/>
      <c r="KF765" s="18"/>
      <c r="KG765" s="18"/>
      <c r="KH765" s="18"/>
      <c r="KI765" s="18"/>
      <c r="KJ765" s="18"/>
      <c r="KK765" s="18"/>
      <c r="KL765" s="18"/>
      <c r="KM765" s="18"/>
      <c r="KN765" s="18"/>
      <c r="KO765" s="18"/>
      <c r="KP765" s="18"/>
    </row>
    <row r="766" spans="1:302">
      <c r="A766" s="14"/>
      <c r="B766" s="14"/>
      <c r="F766" s="14"/>
      <c r="G766" s="23"/>
      <c r="H766" s="23"/>
      <c r="I766" s="23"/>
      <c r="J766" s="23"/>
      <c r="K766" s="14"/>
      <c r="L766" s="14"/>
      <c r="P766" s="14"/>
      <c r="AG766" s="44"/>
      <c r="AH766" s="44"/>
      <c r="AI766" s="45"/>
      <c r="AJ766" s="44"/>
      <c r="AK766" s="43"/>
      <c r="AS766" s="14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  <c r="EW766" s="18"/>
      <c r="EX766" s="18"/>
      <c r="EY766" s="18"/>
      <c r="EZ766" s="18"/>
      <c r="FA766" s="18"/>
      <c r="FB766" s="18"/>
      <c r="FC766" s="18"/>
      <c r="FD766" s="18"/>
      <c r="FE766" s="18"/>
      <c r="FF766" s="18"/>
      <c r="FG766" s="18"/>
      <c r="FH766" s="18"/>
      <c r="FI766" s="18"/>
      <c r="FJ766" s="18"/>
      <c r="FK766" s="18"/>
      <c r="FL766" s="18"/>
      <c r="FM766" s="18"/>
      <c r="FN766" s="18"/>
      <c r="FO766" s="18"/>
      <c r="FP766" s="18"/>
      <c r="FQ766" s="18"/>
      <c r="FR766" s="18"/>
      <c r="FS766" s="18"/>
      <c r="FT766" s="18"/>
      <c r="FU766" s="18"/>
      <c r="FV766" s="18"/>
      <c r="FW766" s="18"/>
      <c r="FX766" s="18"/>
      <c r="FY766" s="18"/>
      <c r="FZ766" s="18"/>
      <c r="GA766" s="18"/>
      <c r="GB766" s="18"/>
      <c r="GC766" s="18"/>
      <c r="GD766" s="18"/>
      <c r="GE766" s="18"/>
      <c r="GF766" s="18"/>
      <c r="GG766" s="18"/>
      <c r="GH766" s="18"/>
      <c r="GI766" s="18"/>
      <c r="GJ766" s="18"/>
      <c r="GK766" s="18"/>
      <c r="GL766" s="18"/>
      <c r="GM766" s="18"/>
      <c r="GN766" s="18"/>
      <c r="GO766" s="18"/>
      <c r="GP766" s="18"/>
      <c r="GQ766" s="18"/>
      <c r="GR766" s="18"/>
      <c r="GS766" s="18"/>
      <c r="GT766" s="18"/>
      <c r="GU766" s="18"/>
      <c r="GV766" s="18"/>
      <c r="GW766" s="18"/>
      <c r="GX766" s="18"/>
      <c r="GY766" s="18"/>
      <c r="GZ766" s="18"/>
      <c r="HA766" s="18"/>
      <c r="HB766" s="18"/>
      <c r="HC766" s="18"/>
      <c r="HD766" s="18"/>
      <c r="HE766" s="18"/>
      <c r="HF766" s="18"/>
      <c r="HG766" s="13"/>
      <c r="HH766" s="13"/>
      <c r="HI766" s="13"/>
      <c r="HJ766" s="13"/>
      <c r="HK766" s="13"/>
      <c r="HL766" s="13"/>
      <c r="HM766" s="13"/>
      <c r="HN766" s="13"/>
      <c r="HO766" s="13"/>
      <c r="HP766" s="13"/>
      <c r="HQ766" s="13"/>
      <c r="HR766" s="13"/>
      <c r="HS766" s="13"/>
      <c r="HT766" s="13"/>
      <c r="HU766" s="18"/>
      <c r="HV766" s="18"/>
      <c r="HW766" s="18"/>
      <c r="HX766" s="18"/>
      <c r="HY766" s="18"/>
      <c r="HZ766" s="18"/>
      <c r="IA766" s="18"/>
      <c r="IB766" s="18"/>
      <c r="IC766" s="18"/>
      <c r="ID766" s="18"/>
      <c r="IE766" s="18"/>
      <c r="IF766" s="18"/>
      <c r="IG766" s="18"/>
      <c r="IH766" s="18"/>
      <c r="II766" s="18"/>
      <c r="IJ766" s="18"/>
      <c r="IK766" s="18"/>
      <c r="IL766" s="18"/>
      <c r="IM766" s="18"/>
      <c r="IN766" s="18"/>
      <c r="IO766" s="18"/>
      <c r="IP766" s="18"/>
      <c r="IQ766" s="18"/>
      <c r="IR766" s="18"/>
      <c r="IS766" s="18"/>
      <c r="IT766" s="18"/>
      <c r="IU766" s="18"/>
      <c r="IV766" s="18"/>
      <c r="IW766" s="18"/>
      <c r="IX766" s="18"/>
      <c r="IY766" s="18"/>
      <c r="IZ766" s="18"/>
      <c r="JA766" s="18"/>
      <c r="JB766" s="18"/>
      <c r="JC766" s="18"/>
      <c r="JD766" s="18"/>
      <c r="JE766" s="18"/>
      <c r="JF766" s="18"/>
      <c r="JG766" s="18"/>
      <c r="JH766" s="18"/>
      <c r="JI766" s="18"/>
      <c r="JJ766" s="18"/>
      <c r="JK766" s="18"/>
      <c r="JL766" s="18"/>
      <c r="JM766" s="18"/>
      <c r="JN766" s="18"/>
      <c r="JO766" s="18"/>
      <c r="JP766" s="18"/>
      <c r="JQ766" s="18"/>
      <c r="JR766" s="18"/>
      <c r="JS766" s="18"/>
      <c r="JT766" s="18"/>
      <c r="JU766" s="18"/>
      <c r="JV766" s="18"/>
      <c r="JW766" s="18"/>
      <c r="JX766" s="18"/>
      <c r="JY766" s="18"/>
      <c r="JZ766" s="18"/>
      <c r="KA766" s="18"/>
      <c r="KB766" s="18"/>
      <c r="KC766" s="18"/>
      <c r="KD766" s="18"/>
      <c r="KE766" s="18"/>
      <c r="KF766" s="18"/>
      <c r="KG766" s="18"/>
      <c r="KH766" s="18"/>
      <c r="KI766" s="18"/>
      <c r="KJ766" s="18"/>
      <c r="KK766" s="18"/>
      <c r="KL766" s="18"/>
      <c r="KM766" s="18"/>
      <c r="KN766" s="18"/>
      <c r="KO766" s="18"/>
      <c r="KP766" s="18"/>
    </row>
    <row r="767" spans="1:302">
      <c r="A767" s="14"/>
      <c r="B767" s="14"/>
      <c r="F767" s="14"/>
      <c r="G767" s="23"/>
      <c r="H767" s="23"/>
      <c r="I767" s="23"/>
      <c r="J767" s="23"/>
      <c r="K767" s="14"/>
      <c r="L767" s="14"/>
      <c r="P767" s="14"/>
      <c r="AG767" s="44"/>
      <c r="AH767" s="44"/>
      <c r="AI767" s="45"/>
      <c r="AJ767" s="44"/>
      <c r="AK767" s="43"/>
      <c r="AS767" s="14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  <c r="EW767" s="18"/>
      <c r="EX767" s="18"/>
      <c r="EY767" s="18"/>
      <c r="EZ767" s="18"/>
      <c r="FA767" s="18"/>
      <c r="FB767" s="18"/>
      <c r="FC767" s="18"/>
      <c r="FD767" s="18"/>
      <c r="FE767" s="18"/>
      <c r="FF767" s="18"/>
      <c r="FG767" s="18"/>
      <c r="FH767" s="18"/>
      <c r="FI767" s="18"/>
      <c r="FJ767" s="18"/>
      <c r="FK767" s="18"/>
      <c r="FL767" s="18"/>
      <c r="FM767" s="18"/>
      <c r="FN767" s="18"/>
      <c r="FO767" s="18"/>
      <c r="FP767" s="18"/>
      <c r="FQ767" s="18"/>
      <c r="FR767" s="18"/>
      <c r="FS767" s="18"/>
      <c r="FT767" s="18"/>
      <c r="FU767" s="18"/>
      <c r="FV767" s="18"/>
      <c r="FW767" s="18"/>
      <c r="FX767" s="18"/>
      <c r="FY767" s="18"/>
      <c r="FZ767" s="18"/>
      <c r="GA767" s="18"/>
      <c r="GB767" s="18"/>
      <c r="GC767" s="18"/>
      <c r="GD767" s="18"/>
      <c r="GE767" s="18"/>
      <c r="GF767" s="18"/>
      <c r="GG767" s="18"/>
      <c r="GH767" s="18"/>
      <c r="GI767" s="18"/>
      <c r="GJ767" s="18"/>
      <c r="GK767" s="18"/>
      <c r="GL767" s="18"/>
      <c r="GM767" s="18"/>
      <c r="GN767" s="18"/>
      <c r="GO767" s="18"/>
      <c r="GP767" s="18"/>
      <c r="GQ767" s="18"/>
      <c r="GR767" s="18"/>
      <c r="GS767" s="18"/>
      <c r="GT767" s="18"/>
      <c r="GU767" s="18"/>
      <c r="GV767" s="18"/>
      <c r="GW767" s="18"/>
      <c r="GX767" s="18"/>
      <c r="GY767" s="18"/>
      <c r="GZ767" s="18"/>
      <c r="HA767" s="18"/>
      <c r="HB767" s="18"/>
      <c r="HC767" s="18"/>
      <c r="HD767" s="18"/>
      <c r="HE767" s="18"/>
      <c r="HF767" s="18"/>
      <c r="HG767" s="13"/>
      <c r="HH767" s="13"/>
      <c r="HI767" s="13"/>
      <c r="HJ767" s="13"/>
      <c r="HK767" s="13"/>
      <c r="HL767" s="13"/>
      <c r="HM767" s="13"/>
      <c r="HN767" s="13"/>
      <c r="HO767" s="13"/>
      <c r="HP767" s="13"/>
      <c r="HQ767" s="13"/>
      <c r="HR767" s="13"/>
      <c r="HS767" s="13"/>
      <c r="HT767" s="13"/>
      <c r="HU767" s="18"/>
      <c r="HV767" s="18"/>
      <c r="HW767" s="18"/>
      <c r="HX767" s="18"/>
      <c r="HY767" s="18"/>
      <c r="HZ767" s="18"/>
      <c r="IA767" s="18"/>
      <c r="IB767" s="18"/>
      <c r="IC767" s="18"/>
      <c r="ID767" s="18"/>
      <c r="IE767" s="18"/>
      <c r="IF767" s="18"/>
      <c r="IG767" s="18"/>
      <c r="IH767" s="18"/>
      <c r="II767" s="18"/>
      <c r="IJ767" s="18"/>
      <c r="IK767" s="18"/>
      <c r="IL767" s="18"/>
      <c r="IM767" s="18"/>
      <c r="IN767" s="18"/>
      <c r="IO767" s="18"/>
      <c r="IP767" s="18"/>
      <c r="IQ767" s="18"/>
      <c r="IR767" s="18"/>
      <c r="IS767" s="18"/>
      <c r="IT767" s="18"/>
      <c r="IU767" s="18"/>
      <c r="IV767" s="18"/>
      <c r="IW767" s="18"/>
      <c r="IX767" s="18"/>
      <c r="IY767" s="18"/>
      <c r="IZ767" s="18"/>
      <c r="JA767" s="18"/>
      <c r="JB767" s="18"/>
      <c r="JC767" s="18"/>
      <c r="JD767" s="18"/>
      <c r="JE767" s="18"/>
      <c r="JF767" s="18"/>
      <c r="JG767" s="18"/>
      <c r="JH767" s="18"/>
      <c r="JI767" s="18"/>
      <c r="JJ767" s="18"/>
      <c r="JK767" s="18"/>
      <c r="JL767" s="18"/>
      <c r="JM767" s="18"/>
      <c r="JN767" s="18"/>
      <c r="JO767" s="18"/>
      <c r="JP767" s="18"/>
      <c r="JQ767" s="18"/>
      <c r="JR767" s="18"/>
      <c r="JS767" s="18"/>
      <c r="JT767" s="18"/>
      <c r="JU767" s="18"/>
      <c r="JV767" s="18"/>
      <c r="JW767" s="18"/>
      <c r="JX767" s="18"/>
      <c r="JY767" s="18"/>
      <c r="JZ767" s="18"/>
      <c r="KA767" s="18"/>
      <c r="KB767" s="18"/>
      <c r="KC767" s="18"/>
      <c r="KD767" s="18"/>
      <c r="KE767" s="18"/>
      <c r="KF767" s="18"/>
      <c r="KG767" s="18"/>
      <c r="KH767" s="18"/>
      <c r="KI767" s="18"/>
      <c r="KJ767" s="18"/>
      <c r="KK767" s="18"/>
      <c r="KL767" s="18"/>
      <c r="KM767" s="18"/>
      <c r="KN767" s="18"/>
      <c r="KO767" s="18"/>
      <c r="KP767" s="18"/>
    </row>
    <row r="768" spans="1:302">
      <c r="A768" s="14"/>
      <c r="B768" s="14"/>
      <c r="F768" s="14"/>
      <c r="G768" s="23"/>
      <c r="H768" s="23"/>
      <c r="I768" s="23"/>
      <c r="J768" s="23"/>
      <c r="K768" s="14"/>
      <c r="L768" s="14"/>
      <c r="P768" s="14"/>
      <c r="AG768" s="44"/>
      <c r="AH768" s="44"/>
      <c r="AI768" s="45"/>
      <c r="AJ768" s="44"/>
      <c r="AK768" s="43"/>
      <c r="AS768" s="14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  <c r="EW768" s="18"/>
      <c r="EX768" s="18"/>
      <c r="EY768" s="18"/>
      <c r="EZ768" s="18"/>
      <c r="FA768" s="18"/>
      <c r="FB768" s="18"/>
      <c r="FC768" s="18"/>
      <c r="FD768" s="18"/>
      <c r="FE768" s="18"/>
      <c r="FF768" s="18"/>
      <c r="FG768" s="18"/>
      <c r="FH768" s="18"/>
      <c r="FI768" s="18"/>
      <c r="FJ768" s="18"/>
      <c r="FK768" s="18"/>
      <c r="FL768" s="18"/>
      <c r="FM768" s="18"/>
      <c r="FN768" s="18"/>
      <c r="FO768" s="18"/>
      <c r="FP768" s="18"/>
      <c r="FQ768" s="18"/>
      <c r="FR768" s="18"/>
      <c r="FS768" s="18"/>
      <c r="FT768" s="18"/>
      <c r="FU768" s="18"/>
      <c r="FV768" s="18"/>
      <c r="FW768" s="18"/>
      <c r="FX768" s="18"/>
      <c r="FY768" s="18"/>
      <c r="FZ768" s="18"/>
      <c r="GA768" s="18"/>
      <c r="GB768" s="18"/>
      <c r="GC768" s="18"/>
      <c r="GD768" s="18"/>
      <c r="GE768" s="18"/>
      <c r="GF768" s="18"/>
      <c r="GG768" s="18"/>
      <c r="GH768" s="18"/>
      <c r="GI768" s="18"/>
      <c r="GJ768" s="18"/>
      <c r="GK768" s="18"/>
      <c r="GL768" s="18"/>
      <c r="GM768" s="18"/>
      <c r="GN768" s="18"/>
      <c r="GO768" s="18"/>
      <c r="GP768" s="18"/>
      <c r="GQ768" s="18"/>
      <c r="GR768" s="18"/>
      <c r="GS768" s="18"/>
      <c r="GT768" s="18"/>
      <c r="GU768" s="18"/>
      <c r="GV768" s="18"/>
      <c r="GW768" s="18"/>
      <c r="GX768" s="18"/>
      <c r="GY768" s="18"/>
      <c r="GZ768" s="18"/>
      <c r="HA768" s="18"/>
      <c r="HB768" s="18"/>
      <c r="HC768" s="18"/>
      <c r="HD768" s="18"/>
      <c r="HE768" s="18"/>
      <c r="HF768" s="18"/>
      <c r="HG768" s="13"/>
      <c r="HH768" s="13"/>
      <c r="HI768" s="13"/>
      <c r="HJ768" s="13"/>
      <c r="HK768" s="13"/>
      <c r="HL768" s="13"/>
      <c r="HM768" s="13"/>
      <c r="HN768" s="13"/>
      <c r="HO768" s="13"/>
      <c r="HP768" s="13"/>
      <c r="HQ768" s="13"/>
      <c r="HR768" s="13"/>
      <c r="HS768" s="13"/>
      <c r="HT768" s="13"/>
      <c r="HU768" s="18"/>
      <c r="HV768" s="18"/>
      <c r="HW768" s="18"/>
      <c r="HX768" s="18"/>
      <c r="HY768" s="18"/>
      <c r="HZ768" s="18"/>
      <c r="IA768" s="18"/>
      <c r="IB768" s="18"/>
      <c r="IC768" s="18"/>
      <c r="ID768" s="18"/>
      <c r="IE768" s="18"/>
      <c r="IF768" s="18"/>
      <c r="IG768" s="18"/>
      <c r="IH768" s="18"/>
      <c r="II768" s="18"/>
      <c r="IJ768" s="18"/>
      <c r="IK768" s="18"/>
      <c r="IL768" s="18"/>
      <c r="IM768" s="18"/>
      <c r="IN768" s="18"/>
      <c r="IO768" s="18"/>
      <c r="IP768" s="18"/>
      <c r="IQ768" s="18"/>
      <c r="IR768" s="18"/>
      <c r="IS768" s="18"/>
      <c r="IT768" s="18"/>
      <c r="IU768" s="18"/>
      <c r="IV768" s="18"/>
      <c r="IW768" s="18"/>
      <c r="IX768" s="18"/>
      <c r="IY768" s="18"/>
      <c r="IZ768" s="18"/>
      <c r="JA768" s="18"/>
      <c r="JB768" s="18"/>
      <c r="JC768" s="18"/>
      <c r="JD768" s="18"/>
      <c r="JE768" s="18"/>
      <c r="JF768" s="18"/>
      <c r="JG768" s="18"/>
      <c r="JH768" s="18"/>
      <c r="JI768" s="18"/>
      <c r="JJ768" s="18"/>
      <c r="JK768" s="18"/>
      <c r="JL768" s="18"/>
      <c r="JM768" s="18"/>
      <c r="JN768" s="18"/>
      <c r="JO768" s="18"/>
      <c r="JP768" s="18"/>
      <c r="JQ768" s="18"/>
      <c r="JR768" s="18"/>
      <c r="JS768" s="18"/>
      <c r="JT768" s="18"/>
      <c r="JU768" s="18"/>
      <c r="JV768" s="18"/>
      <c r="JW768" s="18"/>
      <c r="JX768" s="18"/>
      <c r="JY768" s="18"/>
      <c r="JZ768" s="18"/>
      <c r="KA768" s="18"/>
      <c r="KB768" s="18"/>
      <c r="KC768" s="18"/>
      <c r="KD768" s="18"/>
      <c r="KE768" s="18"/>
      <c r="KF768" s="18"/>
      <c r="KG768" s="18"/>
      <c r="KH768" s="18"/>
      <c r="KI768" s="18"/>
      <c r="KJ768" s="18"/>
      <c r="KK768" s="18"/>
      <c r="KL768" s="18"/>
      <c r="KM768" s="18"/>
      <c r="KN768" s="18"/>
      <c r="KO768" s="18"/>
      <c r="KP768" s="18"/>
    </row>
    <row r="769" spans="1:302">
      <c r="A769" s="14"/>
      <c r="B769" s="14"/>
      <c r="F769" s="14"/>
      <c r="G769" s="23"/>
      <c r="H769" s="23"/>
      <c r="I769" s="23"/>
      <c r="J769" s="23"/>
      <c r="K769" s="14"/>
      <c r="L769" s="14"/>
      <c r="P769" s="14"/>
      <c r="AG769" s="44"/>
      <c r="AH769" s="44"/>
      <c r="AI769" s="45"/>
      <c r="AJ769" s="44"/>
      <c r="AK769" s="43"/>
      <c r="AS769" s="14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  <c r="EW769" s="18"/>
      <c r="EX769" s="18"/>
      <c r="EY769" s="18"/>
      <c r="EZ769" s="18"/>
      <c r="FA769" s="18"/>
      <c r="FB769" s="18"/>
      <c r="FC769" s="18"/>
      <c r="FD769" s="18"/>
      <c r="FE769" s="18"/>
      <c r="FF769" s="18"/>
      <c r="FG769" s="18"/>
      <c r="FH769" s="18"/>
      <c r="FI769" s="18"/>
      <c r="FJ769" s="18"/>
      <c r="FK769" s="18"/>
      <c r="FL769" s="18"/>
      <c r="FM769" s="18"/>
      <c r="FN769" s="18"/>
      <c r="FO769" s="18"/>
      <c r="FP769" s="18"/>
      <c r="FQ769" s="18"/>
      <c r="FR769" s="18"/>
      <c r="FS769" s="18"/>
      <c r="FT769" s="18"/>
      <c r="FU769" s="18"/>
      <c r="FV769" s="18"/>
      <c r="FW769" s="18"/>
      <c r="FX769" s="18"/>
      <c r="FY769" s="18"/>
      <c r="FZ769" s="18"/>
      <c r="GA769" s="18"/>
      <c r="GB769" s="18"/>
      <c r="GC769" s="18"/>
      <c r="GD769" s="18"/>
      <c r="GE769" s="18"/>
      <c r="GF769" s="18"/>
      <c r="GG769" s="18"/>
      <c r="GH769" s="18"/>
      <c r="GI769" s="18"/>
      <c r="GJ769" s="18"/>
      <c r="GK769" s="18"/>
      <c r="GL769" s="18"/>
      <c r="GM769" s="18"/>
      <c r="GN769" s="18"/>
      <c r="GO769" s="18"/>
      <c r="GP769" s="18"/>
      <c r="GQ769" s="18"/>
      <c r="GR769" s="18"/>
      <c r="GS769" s="18"/>
      <c r="GT769" s="18"/>
      <c r="GU769" s="18"/>
      <c r="GV769" s="18"/>
      <c r="GW769" s="18"/>
      <c r="GX769" s="18"/>
      <c r="GY769" s="18"/>
      <c r="GZ769" s="18"/>
      <c r="HA769" s="18"/>
      <c r="HB769" s="18"/>
      <c r="HC769" s="18"/>
      <c r="HD769" s="18"/>
      <c r="HE769" s="18"/>
      <c r="HF769" s="18"/>
      <c r="HG769" s="13"/>
      <c r="HH769" s="13"/>
      <c r="HI769" s="13"/>
      <c r="HJ769" s="13"/>
      <c r="HK769" s="13"/>
      <c r="HL769" s="13"/>
      <c r="HM769" s="13"/>
      <c r="HN769" s="13"/>
      <c r="HO769" s="13"/>
      <c r="HP769" s="13"/>
      <c r="HQ769" s="13"/>
      <c r="HR769" s="13"/>
      <c r="HS769" s="13"/>
      <c r="HT769" s="13"/>
      <c r="HU769" s="18"/>
      <c r="HV769" s="18"/>
      <c r="HW769" s="18"/>
      <c r="HX769" s="18"/>
      <c r="HY769" s="18"/>
      <c r="HZ769" s="18"/>
      <c r="IA769" s="18"/>
      <c r="IB769" s="18"/>
      <c r="IC769" s="18"/>
      <c r="ID769" s="18"/>
      <c r="IE769" s="18"/>
      <c r="IF769" s="18"/>
      <c r="IG769" s="18"/>
      <c r="IH769" s="18"/>
      <c r="II769" s="18"/>
      <c r="IJ769" s="18"/>
      <c r="IK769" s="18"/>
      <c r="IL769" s="18"/>
      <c r="IM769" s="18"/>
      <c r="IN769" s="18"/>
      <c r="IO769" s="18"/>
      <c r="IP769" s="18"/>
      <c r="IQ769" s="18"/>
      <c r="IR769" s="18"/>
      <c r="IS769" s="18"/>
      <c r="IT769" s="18"/>
      <c r="IU769" s="18"/>
      <c r="IV769" s="18"/>
      <c r="IW769" s="18"/>
      <c r="IX769" s="18"/>
      <c r="IY769" s="18"/>
      <c r="IZ769" s="18"/>
      <c r="JA769" s="18"/>
      <c r="JB769" s="18"/>
      <c r="JC769" s="18"/>
      <c r="JD769" s="18"/>
      <c r="JE769" s="18"/>
      <c r="JF769" s="18"/>
      <c r="JG769" s="18"/>
      <c r="JH769" s="18"/>
      <c r="JI769" s="18"/>
      <c r="JJ769" s="18"/>
      <c r="JK769" s="18"/>
      <c r="JL769" s="18"/>
      <c r="JM769" s="18"/>
      <c r="JN769" s="18"/>
      <c r="JO769" s="18"/>
      <c r="JP769" s="18"/>
      <c r="JQ769" s="18"/>
      <c r="JR769" s="18"/>
      <c r="JS769" s="18"/>
      <c r="JT769" s="18"/>
      <c r="JU769" s="18"/>
      <c r="JV769" s="18"/>
      <c r="JW769" s="18"/>
      <c r="JX769" s="18"/>
      <c r="JY769" s="18"/>
      <c r="JZ769" s="18"/>
      <c r="KA769" s="18"/>
      <c r="KB769" s="18"/>
      <c r="KC769" s="18"/>
      <c r="KD769" s="18"/>
      <c r="KE769" s="18"/>
      <c r="KF769" s="18"/>
      <c r="KG769" s="18"/>
      <c r="KH769" s="18"/>
      <c r="KI769" s="18"/>
      <c r="KJ769" s="18"/>
      <c r="KK769" s="18"/>
      <c r="KL769" s="18"/>
      <c r="KM769" s="18"/>
      <c r="KN769" s="18"/>
      <c r="KO769" s="18"/>
      <c r="KP769" s="18"/>
    </row>
    <row r="770" spans="1:302">
      <c r="A770" s="14"/>
      <c r="B770" s="14"/>
      <c r="F770" s="14"/>
      <c r="G770" s="23"/>
      <c r="H770" s="23"/>
      <c r="I770" s="23"/>
      <c r="J770" s="23"/>
      <c r="K770" s="14"/>
      <c r="L770" s="14"/>
      <c r="P770" s="14"/>
      <c r="AG770" s="44"/>
      <c r="AH770" s="44"/>
      <c r="AI770" s="45"/>
      <c r="AJ770" s="44"/>
      <c r="AK770" s="43"/>
      <c r="AS770" s="14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  <c r="EW770" s="18"/>
      <c r="EX770" s="18"/>
      <c r="EY770" s="18"/>
      <c r="EZ770" s="18"/>
      <c r="FA770" s="18"/>
      <c r="FB770" s="18"/>
      <c r="FC770" s="18"/>
      <c r="FD770" s="18"/>
      <c r="FE770" s="18"/>
      <c r="FF770" s="18"/>
      <c r="FG770" s="18"/>
      <c r="FH770" s="18"/>
      <c r="FI770" s="18"/>
      <c r="FJ770" s="18"/>
      <c r="FK770" s="18"/>
      <c r="FL770" s="18"/>
      <c r="FM770" s="18"/>
      <c r="FN770" s="18"/>
      <c r="FO770" s="18"/>
      <c r="FP770" s="18"/>
      <c r="FQ770" s="18"/>
      <c r="FR770" s="18"/>
      <c r="FS770" s="18"/>
      <c r="FT770" s="18"/>
      <c r="FU770" s="18"/>
      <c r="FV770" s="18"/>
      <c r="FW770" s="18"/>
      <c r="FX770" s="18"/>
      <c r="FY770" s="18"/>
      <c r="FZ770" s="18"/>
      <c r="GA770" s="18"/>
      <c r="GB770" s="18"/>
      <c r="GC770" s="18"/>
      <c r="GD770" s="18"/>
      <c r="GE770" s="18"/>
      <c r="GF770" s="18"/>
      <c r="GG770" s="18"/>
      <c r="GH770" s="18"/>
      <c r="GI770" s="18"/>
      <c r="GJ770" s="18"/>
      <c r="GK770" s="18"/>
      <c r="GL770" s="18"/>
      <c r="GM770" s="18"/>
      <c r="GN770" s="18"/>
      <c r="GO770" s="18"/>
      <c r="GP770" s="18"/>
      <c r="GQ770" s="18"/>
      <c r="GR770" s="18"/>
      <c r="GS770" s="18"/>
      <c r="GT770" s="18"/>
      <c r="GU770" s="18"/>
      <c r="GV770" s="18"/>
      <c r="GW770" s="18"/>
      <c r="GX770" s="18"/>
      <c r="GY770" s="18"/>
      <c r="GZ770" s="18"/>
      <c r="HA770" s="18"/>
      <c r="HB770" s="18"/>
      <c r="HC770" s="18"/>
      <c r="HD770" s="18"/>
      <c r="HE770" s="18"/>
      <c r="HF770" s="18"/>
      <c r="HG770" s="13"/>
      <c r="HH770" s="13"/>
      <c r="HI770" s="13"/>
      <c r="HJ770" s="13"/>
      <c r="HK770" s="13"/>
      <c r="HL770" s="13"/>
      <c r="HM770" s="13"/>
      <c r="HN770" s="13"/>
      <c r="HO770" s="13"/>
      <c r="HP770" s="13"/>
      <c r="HQ770" s="13"/>
      <c r="HR770" s="13"/>
      <c r="HS770" s="13"/>
      <c r="HT770" s="13"/>
      <c r="HU770" s="18"/>
      <c r="HV770" s="18"/>
      <c r="HW770" s="18"/>
      <c r="HX770" s="18"/>
      <c r="HY770" s="18"/>
      <c r="HZ770" s="18"/>
      <c r="IA770" s="18"/>
      <c r="IB770" s="18"/>
      <c r="IC770" s="18"/>
      <c r="ID770" s="18"/>
      <c r="IE770" s="18"/>
      <c r="IF770" s="18"/>
      <c r="IG770" s="18"/>
      <c r="IH770" s="18"/>
      <c r="II770" s="18"/>
      <c r="IJ770" s="18"/>
      <c r="IK770" s="18"/>
      <c r="IL770" s="18"/>
      <c r="IM770" s="18"/>
      <c r="IN770" s="18"/>
      <c r="IO770" s="18"/>
      <c r="IP770" s="18"/>
      <c r="IQ770" s="18"/>
      <c r="IR770" s="18"/>
      <c r="IS770" s="18"/>
      <c r="IT770" s="18"/>
      <c r="IU770" s="18"/>
      <c r="IV770" s="18"/>
      <c r="IW770" s="18"/>
      <c r="IX770" s="18"/>
      <c r="IY770" s="18"/>
      <c r="IZ770" s="18"/>
      <c r="JA770" s="18"/>
      <c r="JB770" s="18"/>
      <c r="JC770" s="18"/>
      <c r="JD770" s="18"/>
      <c r="JE770" s="18"/>
      <c r="JF770" s="18"/>
      <c r="JG770" s="18"/>
      <c r="JH770" s="18"/>
      <c r="JI770" s="18"/>
      <c r="JJ770" s="18"/>
      <c r="JK770" s="18"/>
      <c r="JL770" s="18"/>
      <c r="JM770" s="18"/>
      <c r="JN770" s="18"/>
      <c r="JO770" s="18"/>
      <c r="JP770" s="18"/>
      <c r="JQ770" s="18"/>
      <c r="JR770" s="18"/>
      <c r="JS770" s="18"/>
      <c r="JT770" s="18"/>
      <c r="JU770" s="18"/>
      <c r="JV770" s="18"/>
      <c r="JW770" s="18"/>
      <c r="JX770" s="18"/>
      <c r="JY770" s="18"/>
      <c r="JZ770" s="18"/>
      <c r="KA770" s="18"/>
      <c r="KB770" s="18"/>
      <c r="KC770" s="18"/>
      <c r="KD770" s="18"/>
      <c r="KE770" s="18"/>
      <c r="KF770" s="18"/>
      <c r="KG770" s="18"/>
      <c r="KH770" s="18"/>
      <c r="KI770" s="18"/>
      <c r="KJ770" s="18"/>
      <c r="KK770" s="18"/>
      <c r="KL770" s="18"/>
      <c r="KM770" s="18"/>
      <c r="KN770" s="18"/>
      <c r="KO770" s="18"/>
      <c r="KP770" s="18"/>
    </row>
    <row r="771" spans="1:302">
      <c r="A771" s="14"/>
      <c r="B771" s="14"/>
      <c r="F771" s="14"/>
      <c r="G771" s="23"/>
      <c r="H771" s="23"/>
      <c r="I771" s="23"/>
      <c r="J771" s="23"/>
      <c r="K771" s="14"/>
      <c r="L771" s="14"/>
      <c r="P771" s="14"/>
      <c r="AG771" s="44"/>
      <c r="AH771" s="44"/>
      <c r="AI771" s="45"/>
      <c r="AJ771" s="44"/>
      <c r="AK771" s="43"/>
      <c r="AS771" s="14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  <c r="FC771" s="18"/>
      <c r="FD771" s="18"/>
      <c r="FE771" s="18"/>
      <c r="FF771" s="18"/>
      <c r="FG771" s="18"/>
      <c r="FH771" s="18"/>
      <c r="FI771" s="18"/>
      <c r="FJ771" s="18"/>
      <c r="FK771" s="18"/>
      <c r="FL771" s="18"/>
      <c r="FM771" s="18"/>
      <c r="FN771" s="18"/>
      <c r="FO771" s="18"/>
      <c r="FP771" s="18"/>
      <c r="FQ771" s="18"/>
      <c r="FR771" s="18"/>
      <c r="FS771" s="18"/>
      <c r="FT771" s="18"/>
      <c r="FU771" s="18"/>
      <c r="FV771" s="18"/>
      <c r="FW771" s="18"/>
      <c r="FX771" s="18"/>
      <c r="FY771" s="18"/>
      <c r="FZ771" s="18"/>
      <c r="GA771" s="18"/>
      <c r="GB771" s="18"/>
      <c r="GC771" s="18"/>
      <c r="GD771" s="18"/>
      <c r="GE771" s="18"/>
      <c r="GF771" s="18"/>
      <c r="GG771" s="18"/>
      <c r="GH771" s="18"/>
      <c r="GI771" s="18"/>
      <c r="GJ771" s="18"/>
      <c r="GK771" s="18"/>
      <c r="GL771" s="18"/>
      <c r="GM771" s="18"/>
      <c r="GN771" s="18"/>
      <c r="GO771" s="18"/>
      <c r="GP771" s="18"/>
      <c r="GQ771" s="18"/>
      <c r="GR771" s="18"/>
      <c r="GS771" s="18"/>
      <c r="GT771" s="18"/>
      <c r="GU771" s="18"/>
      <c r="GV771" s="18"/>
      <c r="GW771" s="18"/>
      <c r="GX771" s="18"/>
      <c r="GY771" s="18"/>
      <c r="GZ771" s="18"/>
      <c r="HA771" s="18"/>
      <c r="HB771" s="18"/>
      <c r="HC771" s="18"/>
      <c r="HD771" s="18"/>
      <c r="HE771" s="18"/>
      <c r="HF771" s="18"/>
      <c r="HG771" s="13"/>
      <c r="HH771" s="13"/>
      <c r="HI771" s="13"/>
      <c r="HJ771" s="13"/>
      <c r="HK771" s="13"/>
      <c r="HL771" s="13"/>
      <c r="HM771" s="13"/>
      <c r="HN771" s="13"/>
      <c r="HO771" s="13"/>
      <c r="HP771" s="13"/>
      <c r="HQ771" s="13"/>
      <c r="HR771" s="13"/>
      <c r="HS771" s="13"/>
      <c r="HT771" s="13"/>
      <c r="HU771" s="18"/>
      <c r="HV771" s="18"/>
      <c r="HW771" s="18"/>
      <c r="HX771" s="18"/>
      <c r="HY771" s="18"/>
      <c r="HZ771" s="18"/>
      <c r="IA771" s="18"/>
      <c r="IB771" s="18"/>
      <c r="IC771" s="18"/>
      <c r="ID771" s="18"/>
      <c r="IE771" s="18"/>
      <c r="IF771" s="18"/>
      <c r="IG771" s="18"/>
      <c r="IH771" s="18"/>
      <c r="II771" s="18"/>
      <c r="IJ771" s="18"/>
      <c r="IK771" s="18"/>
      <c r="IL771" s="18"/>
      <c r="IM771" s="18"/>
      <c r="IN771" s="18"/>
      <c r="IO771" s="18"/>
      <c r="IP771" s="18"/>
      <c r="IQ771" s="18"/>
      <c r="IR771" s="18"/>
      <c r="IS771" s="18"/>
      <c r="IT771" s="18"/>
      <c r="IU771" s="18"/>
      <c r="IV771" s="18"/>
      <c r="IW771" s="18"/>
      <c r="IX771" s="18"/>
      <c r="IY771" s="18"/>
      <c r="IZ771" s="18"/>
      <c r="JA771" s="18"/>
      <c r="JB771" s="18"/>
      <c r="JC771" s="18"/>
      <c r="JD771" s="18"/>
      <c r="JE771" s="18"/>
      <c r="JF771" s="18"/>
      <c r="JG771" s="18"/>
      <c r="JH771" s="18"/>
      <c r="JI771" s="18"/>
      <c r="JJ771" s="18"/>
      <c r="JK771" s="18"/>
      <c r="JL771" s="18"/>
      <c r="JM771" s="18"/>
      <c r="JN771" s="18"/>
      <c r="JO771" s="18"/>
      <c r="JP771" s="18"/>
      <c r="JQ771" s="18"/>
      <c r="JR771" s="18"/>
      <c r="JS771" s="18"/>
      <c r="JT771" s="18"/>
      <c r="JU771" s="18"/>
      <c r="JV771" s="18"/>
      <c r="JW771" s="18"/>
      <c r="JX771" s="18"/>
      <c r="JY771" s="18"/>
      <c r="JZ771" s="18"/>
      <c r="KA771" s="18"/>
      <c r="KB771" s="18"/>
      <c r="KC771" s="18"/>
      <c r="KD771" s="18"/>
      <c r="KE771" s="18"/>
      <c r="KF771" s="18"/>
      <c r="KG771" s="18"/>
      <c r="KH771" s="18"/>
      <c r="KI771" s="18"/>
      <c r="KJ771" s="18"/>
      <c r="KK771" s="18"/>
      <c r="KL771" s="18"/>
      <c r="KM771" s="18"/>
      <c r="KN771" s="18"/>
      <c r="KO771" s="18"/>
      <c r="KP771" s="18"/>
    </row>
    <row r="772" spans="1:302">
      <c r="A772" s="14"/>
      <c r="B772" s="14"/>
      <c r="F772" s="14"/>
      <c r="G772" s="23"/>
      <c r="H772" s="23"/>
      <c r="I772" s="23"/>
      <c r="J772" s="23"/>
      <c r="K772" s="14"/>
      <c r="L772" s="14"/>
      <c r="P772" s="14"/>
      <c r="AG772" s="44"/>
      <c r="AH772" s="44"/>
      <c r="AI772" s="45"/>
      <c r="AJ772" s="44"/>
      <c r="AK772" s="43"/>
      <c r="AS772" s="14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  <c r="EW772" s="18"/>
      <c r="EX772" s="18"/>
      <c r="EY772" s="18"/>
      <c r="EZ772" s="18"/>
      <c r="FA772" s="18"/>
      <c r="FB772" s="18"/>
      <c r="FC772" s="18"/>
      <c r="FD772" s="18"/>
      <c r="FE772" s="18"/>
      <c r="FF772" s="18"/>
      <c r="FG772" s="18"/>
      <c r="FH772" s="18"/>
      <c r="FI772" s="18"/>
      <c r="FJ772" s="18"/>
      <c r="FK772" s="18"/>
      <c r="FL772" s="18"/>
      <c r="FM772" s="18"/>
      <c r="FN772" s="18"/>
      <c r="FO772" s="18"/>
      <c r="FP772" s="18"/>
      <c r="FQ772" s="18"/>
      <c r="FR772" s="18"/>
      <c r="FS772" s="18"/>
      <c r="FT772" s="18"/>
      <c r="FU772" s="18"/>
      <c r="FV772" s="18"/>
      <c r="FW772" s="18"/>
      <c r="FX772" s="18"/>
      <c r="FY772" s="18"/>
      <c r="FZ772" s="18"/>
      <c r="GA772" s="18"/>
      <c r="GB772" s="18"/>
      <c r="GC772" s="18"/>
      <c r="GD772" s="18"/>
      <c r="GE772" s="18"/>
      <c r="GF772" s="18"/>
      <c r="GG772" s="18"/>
      <c r="GH772" s="18"/>
      <c r="GI772" s="18"/>
      <c r="GJ772" s="18"/>
      <c r="GK772" s="18"/>
      <c r="GL772" s="18"/>
      <c r="GM772" s="18"/>
      <c r="GN772" s="18"/>
      <c r="GO772" s="18"/>
      <c r="GP772" s="18"/>
      <c r="GQ772" s="18"/>
      <c r="GR772" s="18"/>
      <c r="GS772" s="18"/>
      <c r="GT772" s="18"/>
      <c r="GU772" s="18"/>
      <c r="GV772" s="18"/>
      <c r="GW772" s="18"/>
      <c r="GX772" s="18"/>
      <c r="GY772" s="18"/>
      <c r="GZ772" s="18"/>
      <c r="HA772" s="18"/>
      <c r="HB772" s="18"/>
      <c r="HC772" s="18"/>
      <c r="HD772" s="18"/>
      <c r="HE772" s="18"/>
      <c r="HF772" s="18"/>
      <c r="HG772" s="13"/>
      <c r="HH772" s="13"/>
      <c r="HI772" s="13"/>
      <c r="HJ772" s="13"/>
      <c r="HK772" s="13"/>
      <c r="HL772" s="13"/>
      <c r="HM772" s="13"/>
      <c r="HN772" s="13"/>
      <c r="HO772" s="13"/>
      <c r="HP772" s="13"/>
      <c r="HQ772" s="13"/>
      <c r="HR772" s="13"/>
      <c r="HS772" s="13"/>
      <c r="HT772" s="13"/>
      <c r="HU772" s="18"/>
      <c r="HV772" s="18"/>
      <c r="HW772" s="18"/>
      <c r="HX772" s="18"/>
      <c r="HY772" s="18"/>
      <c r="HZ772" s="18"/>
      <c r="IA772" s="18"/>
      <c r="IB772" s="18"/>
      <c r="IC772" s="18"/>
      <c r="ID772" s="18"/>
      <c r="IE772" s="18"/>
      <c r="IF772" s="18"/>
      <c r="IG772" s="18"/>
      <c r="IH772" s="18"/>
      <c r="II772" s="18"/>
      <c r="IJ772" s="18"/>
      <c r="IK772" s="18"/>
      <c r="IL772" s="18"/>
      <c r="IM772" s="18"/>
      <c r="IN772" s="18"/>
      <c r="IO772" s="18"/>
      <c r="IP772" s="18"/>
      <c r="IQ772" s="18"/>
      <c r="IR772" s="18"/>
      <c r="IS772" s="18"/>
      <c r="IT772" s="18"/>
      <c r="IU772" s="18"/>
      <c r="IV772" s="18"/>
      <c r="IW772" s="18"/>
      <c r="IX772" s="18"/>
      <c r="IY772" s="18"/>
      <c r="IZ772" s="18"/>
      <c r="JA772" s="18"/>
      <c r="JB772" s="18"/>
      <c r="JC772" s="18"/>
      <c r="JD772" s="18"/>
      <c r="JE772" s="18"/>
      <c r="JF772" s="18"/>
      <c r="JG772" s="18"/>
      <c r="JH772" s="18"/>
      <c r="JI772" s="18"/>
      <c r="JJ772" s="18"/>
      <c r="JK772" s="18"/>
      <c r="JL772" s="18"/>
      <c r="JM772" s="18"/>
      <c r="JN772" s="18"/>
      <c r="JO772" s="18"/>
      <c r="JP772" s="18"/>
      <c r="JQ772" s="18"/>
      <c r="JR772" s="18"/>
      <c r="JS772" s="18"/>
      <c r="JT772" s="18"/>
      <c r="JU772" s="18"/>
      <c r="JV772" s="18"/>
      <c r="JW772" s="18"/>
      <c r="JX772" s="18"/>
      <c r="JY772" s="18"/>
      <c r="JZ772" s="18"/>
      <c r="KA772" s="18"/>
      <c r="KB772" s="18"/>
      <c r="KC772" s="18"/>
      <c r="KD772" s="18"/>
      <c r="KE772" s="18"/>
      <c r="KF772" s="18"/>
      <c r="KG772" s="18"/>
      <c r="KH772" s="18"/>
      <c r="KI772" s="18"/>
      <c r="KJ772" s="18"/>
      <c r="KK772" s="18"/>
      <c r="KL772" s="18"/>
      <c r="KM772" s="18"/>
      <c r="KN772" s="18"/>
      <c r="KO772" s="18"/>
      <c r="KP772" s="18"/>
    </row>
    <row r="773" spans="1:302">
      <c r="A773" s="14"/>
      <c r="B773" s="14"/>
      <c r="F773" s="14"/>
      <c r="G773" s="23"/>
      <c r="H773" s="23"/>
      <c r="I773" s="23"/>
      <c r="J773" s="23"/>
      <c r="K773" s="14"/>
      <c r="L773" s="14"/>
      <c r="P773" s="14"/>
      <c r="AG773" s="44"/>
      <c r="AH773" s="44"/>
      <c r="AI773" s="45"/>
      <c r="AJ773" s="44"/>
      <c r="AK773" s="43"/>
      <c r="AS773" s="14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  <c r="EW773" s="18"/>
      <c r="EX773" s="18"/>
      <c r="EY773" s="18"/>
      <c r="EZ773" s="18"/>
      <c r="FA773" s="18"/>
      <c r="FB773" s="18"/>
      <c r="FC773" s="18"/>
      <c r="FD773" s="18"/>
      <c r="FE773" s="18"/>
      <c r="FF773" s="18"/>
      <c r="FG773" s="18"/>
      <c r="FH773" s="18"/>
      <c r="FI773" s="18"/>
      <c r="FJ773" s="18"/>
      <c r="FK773" s="18"/>
      <c r="FL773" s="18"/>
      <c r="FM773" s="18"/>
      <c r="FN773" s="18"/>
      <c r="FO773" s="18"/>
      <c r="FP773" s="18"/>
      <c r="FQ773" s="18"/>
      <c r="FR773" s="18"/>
      <c r="FS773" s="18"/>
      <c r="FT773" s="18"/>
      <c r="FU773" s="18"/>
      <c r="FV773" s="18"/>
      <c r="FW773" s="18"/>
      <c r="FX773" s="18"/>
      <c r="FY773" s="18"/>
      <c r="FZ773" s="18"/>
      <c r="GA773" s="18"/>
      <c r="GB773" s="18"/>
      <c r="GC773" s="18"/>
      <c r="GD773" s="18"/>
      <c r="GE773" s="18"/>
      <c r="GF773" s="18"/>
      <c r="GG773" s="18"/>
      <c r="GH773" s="18"/>
      <c r="GI773" s="18"/>
      <c r="GJ773" s="18"/>
      <c r="GK773" s="18"/>
      <c r="GL773" s="18"/>
      <c r="GM773" s="18"/>
      <c r="GN773" s="18"/>
      <c r="GO773" s="18"/>
      <c r="GP773" s="18"/>
      <c r="GQ773" s="18"/>
      <c r="GR773" s="18"/>
      <c r="GS773" s="18"/>
      <c r="GT773" s="18"/>
      <c r="GU773" s="18"/>
      <c r="GV773" s="18"/>
      <c r="GW773" s="18"/>
      <c r="GX773" s="18"/>
      <c r="GY773" s="18"/>
      <c r="GZ773" s="18"/>
      <c r="HA773" s="18"/>
      <c r="HB773" s="18"/>
      <c r="HC773" s="18"/>
      <c r="HD773" s="18"/>
      <c r="HE773" s="18"/>
      <c r="HF773" s="18"/>
      <c r="HG773" s="13"/>
      <c r="HH773" s="13"/>
      <c r="HI773" s="13"/>
      <c r="HJ773" s="13"/>
      <c r="HK773" s="13"/>
      <c r="HL773" s="13"/>
      <c r="HM773" s="13"/>
      <c r="HN773" s="13"/>
      <c r="HO773" s="13"/>
      <c r="HP773" s="13"/>
      <c r="HQ773" s="13"/>
      <c r="HR773" s="13"/>
      <c r="HS773" s="13"/>
      <c r="HT773" s="13"/>
      <c r="HU773" s="18"/>
      <c r="HV773" s="18"/>
      <c r="HW773" s="18"/>
      <c r="HX773" s="18"/>
      <c r="HY773" s="18"/>
      <c r="HZ773" s="18"/>
      <c r="IA773" s="18"/>
      <c r="IB773" s="18"/>
      <c r="IC773" s="18"/>
      <c r="ID773" s="18"/>
      <c r="IE773" s="18"/>
      <c r="IF773" s="18"/>
      <c r="IG773" s="18"/>
      <c r="IH773" s="18"/>
      <c r="II773" s="18"/>
      <c r="IJ773" s="18"/>
      <c r="IK773" s="18"/>
      <c r="IL773" s="18"/>
      <c r="IM773" s="18"/>
      <c r="IN773" s="18"/>
      <c r="IO773" s="18"/>
      <c r="IP773" s="18"/>
      <c r="IQ773" s="18"/>
      <c r="IR773" s="18"/>
      <c r="IS773" s="18"/>
      <c r="IT773" s="18"/>
      <c r="IU773" s="18"/>
      <c r="IV773" s="18"/>
      <c r="IW773" s="18"/>
      <c r="IX773" s="18"/>
      <c r="IY773" s="18"/>
      <c r="IZ773" s="18"/>
      <c r="JA773" s="18"/>
      <c r="JB773" s="18"/>
      <c r="JC773" s="18"/>
      <c r="JD773" s="18"/>
      <c r="JE773" s="18"/>
      <c r="JF773" s="18"/>
      <c r="JG773" s="18"/>
      <c r="JH773" s="18"/>
      <c r="JI773" s="18"/>
      <c r="JJ773" s="18"/>
      <c r="JK773" s="18"/>
      <c r="JL773" s="18"/>
      <c r="JM773" s="18"/>
      <c r="JN773" s="18"/>
      <c r="JO773" s="18"/>
      <c r="JP773" s="18"/>
      <c r="JQ773" s="18"/>
      <c r="JR773" s="18"/>
      <c r="JS773" s="18"/>
      <c r="JT773" s="18"/>
      <c r="JU773" s="18"/>
      <c r="JV773" s="18"/>
      <c r="JW773" s="18"/>
      <c r="JX773" s="18"/>
      <c r="JY773" s="18"/>
      <c r="JZ773" s="18"/>
      <c r="KA773" s="18"/>
      <c r="KB773" s="18"/>
      <c r="KC773" s="18"/>
      <c r="KD773" s="18"/>
      <c r="KE773" s="18"/>
      <c r="KF773" s="18"/>
      <c r="KG773" s="18"/>
      <c r="KH773" s="18"/>
      <c r="KI773" s="18"/>
      <c r="KJ773" s="18"/>
      <c r="KK773" s="18"/>
      <c r="KL773" s="18"/>
      <c r="KM773" s="18"/>
      <c r="KN773" s="18"/>
      <c r="KO773" s="18"/>
      <c r="KP773" s="18"/>
    </row>
    <row r="774" spans="1:302">
      <c r="A774" s="14"/>
      <c r="B774" s="14"/>
      <c r="F774" s="14"/>
      <c r="G774" s="23"/>
      <c r="H774" s="23"/>
      <c r="I774" s="23"/>
      <c r="J774" s="23"/>
      <c r="K774" s="14"/>
      <c r="L774" s="14"/>
      <c r="P774" s="14"/>
      <c r="AG774" s="44"/>
      <c r="AH774" s="44"/>
      <c r="AI774" s="45"/>
      <c r="AJ774" s="44"/>
      <c r="AK774" s="43"/>
      <c r="AS774" s="14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  <c r="EW774" s="18"/>
      <c r="EX774" s="18"/>
      <c r="EY774" s="18"/>
      <c r="EZ774" s="18"/>
      <c r="FA774" s="18"/>
      <c r="FB774" s="18"/>
      <c r="FC774" s="18"/>
      <c r="FD774" s="18"/>
      <c r="FE774" s="18"/>
      <c r="FF774" s="18"/>
      <c r="FG774" s="18"/>
      <c r="FH774" s="18"/>
      <c r="FI774" s="18"/>
      <c r="FJ774" s="18"/>
      <c r="FK774" s="18"/>
      <c r="FL774" s="18"/>
      <c r="FM774" s="18"/>
      <c r="FN774" s="18"/>
      <c r="FO774" s="18"/>
      <c r="FP774" s="18"/>
      <c r="FQ774" s="18"/>
      <c r="FR774" s="18"/>
      <c r="FS774" s="18"/>
      <c r="FT774" s="18"/>
      <c r="FU774" s="18"/>
      <c r="FV774" s="18"/>
      <c r="FW774" s="18"/>
      <c r="FX774" s="18"/>
      <c r="FY774" s="18"/>
      <c r="FZ774" s="18"/>
      <c r="GA774" s="18"/>
      <c r="GB774" s="18"/>
      <c r="GC774" s="18"/>
      <c r="GD774" s="18"/>
      <c r="GE774" s="18"/>
      <c r="GF774" s="18"/>
      <c r="GG774" s="18"/>
      <c r="GH774" s="18"/>
      <c r="GI774" s="18"/>
      <c r="GJ774" s="18"/>
      <c r="GK774" s="18"/>
      <c r="GL774" s="18"/>
      <c r="GM774" s="18"/>
      <c r="GN774" s="18"/>
      <c r="GO774" s="18"/>
      <c r="GP774" s="18"/>
      <c r="GQ774" s="18"/>
      <c r="GR774" s="18"/>
      <c r="GS774" s="18"/>
      <c r="GT774" s="18"/>
      <c r="GU774" s="18"/>
      <c r="GV774" s="18"/>
      <c r="GW774" s="18"/>
      <c r="GX774" s="18"/>
      <c r="GY774" s="18"/>
      <c r="GZ774" s="18"/>
      <c r="HA774" s="18"/>
      <c r="HB774" s="18"/>
      <c r="HC774" s="18"/>
      <c r="HD774" s="18"/>
      <c r="HE774" s="18"/>
      <c r="HF774" s="18"/>
      <c r="HG774" s="13"/>
      <c r="HH774" s="13"/>
      <c r="HI774" s="13"/>
      <c r="HJ774" s="13"/>
      <c r="HK774" s="13"/>
      <c r="HL774" s="13"/>
      <c r="HM774" s="13"/>
      <c r="HN774" s="13"/>
      <c r="HO774" s="13"/>
      <c r="HP774" s="13"/>
      <c r="HQ774" s="13"/>
      <c r="HR774" s="13"/>
      <c r="HS774" s="13"/>
      <c r="HT774" s="13"/>
      <c r="HU774" s="18"/>
      <c r="HV774" s="18"/>
      <c r="HW774" s="18"/>
      <c r="HX774" s="18"/>
      <c r="HY774" s="18"/>
      <c r="HZ774" s="18"/>
      <c r="IA774" s="18"/>
      <c r="IB774" s="18"/>
      <c r="IC774" s="18"/>
      <c r="ID774" s="18"/>
      <c r="IE774" s="18"/>
      <c r="IF774" s="18"/>
      <c r="IG774" s="18"/>
      <c r="IH774" s="18"/>
      <c r="II774" s="18"/>
      <c r="IJ774" s="18"/>
      <c r="IK774" s="18"/>
      <c r="IL774" s="18"/>
      <c r="IM774" s="18"/>
      <c r="IN774" s="18"/>
      <c r="IO774" s="18"/>
      <c r="IP774" s="18"/>
      <c r="IQ774" s="18"/>
      <c r="IR774" s="18"/>
      <c r="IS774" s="18"/>
      <c r="IT774" s="18"/>
      <c r="IU774" s="18"/>
      <c r="IV774" s="18"/>
      <c r="IW774" s="18"/>
      <c r="IX774" s="18"/>
      <c r="IY774" s="18"/>
      <c r="IZ774" s="18"/>
      <c r="JA774" s="18"/>
      <c r="JB774" s="18"/>
      <c r="JC774" s="18"/>
      <c r="JD774" s="18"/>
      <c r="JE774" s="18"/>
      <c r="JF774" s="18"/>
      <c r="JG774" s="18"/>
      <c r="JH774" s="18"/>
      <c r="JI774" s="18"/>
      <c r="JJ774" s="18"/>
      <c r="JK774" s="18"/>
      <c r="JL774" s="18"/>
      <c r="JM774" s="18"/>
      <c r="JN774" s="18"/>
      <c r="JO774" s="18"/>
      <c r="JP774" s="18"/>
      <c r="JQ774" s="18"/>
      <c r="JR774" s="18"/>
      <c r="JS774" s="18"/>
      <c r="JT774" s="18"/>
      <c r="JU774" s="18"/>
      <c r="JV774" s="18"/>
      <c r="JW774" s="18"/>
      <c r="JX774" s="18"/>
      <c r="JY774" s="18"/>
      <c r="JZ774" s="18"/>
      <c r="KA774" s="18"/>
      <c r="KB774" s="18"/>
      <c r="KC774" s="18"/>
      <c r="KD774" s="18"/>
      <c r="KE774" s="18"/>
      <c r="KF774" s="18"/>
      <c r="KG774" s="18"/>
      <c r="KH774" s="18"/>
      <c r="KI774" s="18"/>
      <c r="KJ774" s="18"/>
      <c r="KK774" s="18"/>
      <c r="KL774" s="18"/>
      <c r="KM774" s="18"/>
      <c r="KN774" s="18"/>
      <c r="KO774" s="18"/>
      <c r="KP774" s="18"/>
    </row>
    <row r="775" spans="1:302">
      <c r="A775" s="14"/>
      <c r="B775" s="14"/>
      <c r="F775" s="14"/>
      <c r="G775" s="23"/>
      <c r="H775" s="23"/>
      <c r="I775" s="23"/>
      <c r="J775" s="23"/>
      <c r="K775" s="14"/>
      <c r="L775" s="14"/>
      <c r="P775" s="14"/>
      <c r="AG775" s="44"/>
      <c r="AH775" s="44"/>
      <c r="AI775" s="45"/>
      <c r="AJ775" s="44"/>
      <c r="AK775" s="43"/>
      <c r="AS775" s="14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  <c r="EW775" s="18"/>
      <c r="EX775" s="18"/>
      <c r="EY775" s="18"/>
      <c r="EZ775" s="18"/>
      <c r="FA775" s="18"/>
      <c r="FB775" s="18"/>
      <c r="FC775" s="18"/>
      <c r="FD775" s="18"/>
      <c r="FE775" s="18"/>
      <c r="FF775" s="18"/>
      <c r="FG775" s="18"/>
      <c r="FH775" s="18"/>
      <c r="FI775" s="18"/>
      <c r="FJ775" s="18"/>
      <c r="FK775" s="18"/>
      <c r="FL775" s="18"/>
      <c r="FM775" s="18"/>
      <c r="FN775" s="18"/>
      <c r="FO775" s="18"/>
      <c r="FP775" s="18"/>
      <c r="FQ775" s="18"/>
      <c r="FR775" s="18"/>
      <c r="FS775" s="18"/>
      <c r="FT775" s="18"/>
      <c r="FU775" s="18"/>
      <c r="FV775" s="18"/>
      <c r="FW775" s="18"/>
      <c r="FX775" s="18"/>
      <c r="FY775" s="18"/>
      <c r="FZ775" s="18"/>
      <c r="GA775" s="18"/>
      <c r="GB775" s="18"/>
      <c r="GC775" s="18"/>
      <c r="GD775" s="18"/>
      <c r="GE775" s="18"/>
      <c r="GF775" s="18"/>
      <c r="GG775" s="18"/>
      <c r="GH775" s="18"/>
      <c r="GI775" s="18"/>
      <c r="GJ775" s="18"/>
      <c r="GK775" s="18"/>
      <c r="GL775" s="18"/>
      <c r="GM775" s="18"/>
      <c r="GN775" s="18"/>
      <c r="GO775" s="18"/>
      <c r="GP775" s="18"/>
      <c r="GQ775" s="18"/>
      <c r="GR775" s="18"/>
      <c r="GS775" s="18"/>
      <c r="GT775" s="18"/>
      <c r="GU775" s="18"/>
      <c r="GV775" s="18"/>
      <c r="GW775" s="18"/>
      <c r="GX775" s="18"/>
      <c r="GY775" s="18"/>
      <c r="GZ775" s="18"/>
      <c r="HA775" s="18"/>
      <c r="HB775" s="18"/>
      <c r="HC775" s="18"/>
      <c r="HD775" s="18"/>
      <c r="HE775" s="18"/>
      <c r="HF775" s="18"/>
      <c r="HG775" s="13"/>
      <c r="HH775" s="13"/>
      <c r="HI775" s="13"/>
      <c r="HJ775" s="13"/>
      <c r="HK775" s="13"/>
      <c r="HL775" s="13"/>
      <c r="HM775" s="13"/>
      <c r="HN775" s="13"/>
      <c r="HO775" s="13"/>
      <c r="HP775" s="13"/>
      <c r="HQ775" s="13"/>
      <c r="HR775" s="13"/>
      <c r="HS775" s="13"/>
      <c r="HT775" s="13"/>
      <c r="HU775" s="18"/>
      <c r="HV775" s="18"/>
      <c r="HW775" s="18"/>
      <c r="HX775" s="18"/>
      <c r="HY775" s="18"/>
      <c r="HZ775" s="18"/>
      <c r="IA775" s="18"/>
      <c r="IB775" s="18"/>
      <c r="IC775" s="18"/>
      <c r="ID775" s="18"/>
      <c r="IE775" s="18"/>
      <c r="IF775" s="18"/>
      <c r="IG775" s="18"/>
      <c r="IH775" s="18"/>
      <c r="II775" s="18"/>
      <c r="IJ775" s="18"/>
      <c r="IK775" s="18"/>
      <c r="IL775" s="18"/>
      <c r="IM775" s="18"/>
      <c r="IN775" s="18"/>
      <c r="IO775" s="18"/>
      <c r="IP775" s="18"/>
      <c r="IQ775" s="18"/>
      <c r="IR775" s="18"/>
      <c r="IS775" s="18"/>
      <c r="IT775" s="18"/>
      <c r="IU775" s="18"/>
      <c r="IV775" s="18"/>
      <c r="IW775" s="18"/>
      <c r="IX775" s="18"/>
      <c r="IY775" s="18"/>
      <c r="IZ775" s="18"/>
      <c r="JA775" s="18"/>
      <c r="JB775" s="18"/>
      <c r="JC775" s="18"/>
      <c r="JD775" s="18"/>
      <c r="JE775" s="18"/>
      <c r="JF775" s="18"/>
      <c r="JG775" s="18"/>
      <c r="JH775" s="18"/>
      <c r="JI775" s="18"/>
      <c r="JJ775" s="18"/>
      <c r="JK775" s="18"/>
      <c r="JL775" s="18"/>
      <c r="JM775" s="18"/>
      <c r="JN775" s="18"/>
      <c r="JO775" s="18"/>
      <c r="JP775" s="18"/>
      <c r="JQ775" s="18"/>
      <c r="JR775" s="18"/>
      <c r="JS775" s="18"/>
      <c r="JT775" s="18"/>
      <c r="JU775" s="18"/>
      <c r="JV775" s="18"/>
      <c r="JW775" s="18"/>
      <c r="JX775" s="18"/>
      <c r="JY775" s="18"/>
      <c r="JZ775" s="18"/>
      <c r="KA775" s="18"/>
      <c r="KB775" s="18"/>
      <c r="KC775" s="18"/>
      <c r="KD775" s="18"/>
      <c r="KE775" s="18"/>
      <c r="KF775" s="18"/>
      <c r="KG775" s="18"/>
      <c r="KH775" s="18"/>
      <c r="KI775" s="18"/>
      <c r="KJ775" s="18"/>
      <c r="KK775" s="18"/>
      <c r="KL775" s="18"/>
      <c r="KM775" s="18"/>
      <c r="KN775" s="18"/>
      <c r="KO775" s="18"/>
      <c r="KP775" s="18"/>
    </row>
    <row r="776" spans="1:302">
      <c r="A776" s="14"/>
      <c r="B776" s="14"/>
      <c r="F776" s="14"/>
      <c r="G776" s="23"/>
      <c r="H776" s="23"/>
      <c r="I776" s="23"/>
      <c r="J776" s="23"/>
      <c r="K776" s="14"/>
      <c r="L776" s="14"/>
      <c r="P776" s="14"/>
      <c r="AG776" s="44"/>
      <c r="AH776" s="44"/>
      <c r="AI776" s="45"/>
      <c r="AJ776" s="44"/>
      <c r="AK776" s="43"/>
      <c r="AS776" s="14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  <c r="EW776" s="18"/>
      <c r="EX776" s="18"/>
      <c r="EY776" s="18"/>
      <c r="EZ776" s="18"/>
      <c r="FA776" s="18"/>
      <c r="FB776" s="18"/>
      <c r="FC776" s="18"/>
      <c r="FD776" s="18"/>
      <c r="FE776" s="18"/>
      <c r="FF776" s="18"/>
      <c r="FG776" s="18"/>
      <c r="FH776" s="18"/>
      <c r="FI776" s="18"/>
      <c r="FJ776" s="18"/>
      <c r="FK776" s="18"/>
      <c r="FL776" s="18"/>
      <c r="FM776" s="18"/>
      <c r="FN776" s="18"/>
      <c r="FO776" s="18"/>
      <c r="FP776" s="18"/>
      <c r="FQ776" s="18"/>
      <c r="FR776" s="18"/>
      <c r="FS776" s="18"/>
      <c r="FT776" s="18"/>
      <c r="FU776" s="18"/>
      <c r="FV776" s="18"/>
      <c r="FW776" s="18"/>
      <c r="FX776" s="18"/>
      <c r="FY776" s="18"/>
      <c r="FZ776" s="18"/>
      <c r="GA776" s="18"/>
      <c r="GB776" s="18"/>
      <c r="GC776" s="18"/>
      <c r="GD776" s="18"/>
      <c r="GE776" s="18"/>
      <c r="GF776" s="18"/>
      <c r="GG776" s="18"/>
      <c r="GH776" s="18"/>
      <c r="GI776" s="18"/>
      <c r="GJ776" s="18"/>
      <c r="GK776" s="18"/>
      <c r="GL776" s="18"/>
      <c r="GM776" s="18"/>
      <c r="GN776" s="18"/>
      <c r="GO776" s="18"/>
      <c r="GP776" s="18"/>
      <c r="GQ776" s="18"/>
      <c r="GR776" s="18"/>
      <c r="GS776" s="18"/>
      <c r="GT776" s="18"/>
      <c r="GU776" s="18"/>
      <c r="GV776" s="18"/>
      <c r="GW776" s="18"/>
      <c r="GX776" s="18"/>
      <c r="GY776" s="18"/>
      <c r="GZ776" s="18"/>
      <c r="HA776" s="18"/>
      <c r="HB776" s="18"/>
      <c r="HC776" s="18"/>
      <c r="HD776" s="18"/>
      <c r="HE776" s="18"/>
      <c r="HF776" s="18"/>
      <c r="HG776" s="13"/>
      <c r="HH776" s="13"/>
      <c r="HI776" s="13"/>
      <c r="HJ776" s="13"/>
      <c r="HK776" s="13"/>
      <c r="HL776" s="13"/>
      <c r="HM776" s="13"/>
      <c r="HN776" s="13"/>
      <c r="HO776" s="13"/>
      <c r="HP776" s="13"/>
      <c r="HQ776" s="13"/>
      <c r="HR776" s="13"/>
      <c r="HS776" s="13"/>
      <c r="HT776" s="13"/>
      <c r="HU776" s="18"/>
      <c r="HV776" s="18"/>
      <c r="HW776" s="18"/>
      <c r="HX776" s="18"/>
      <c r="HY776" s="18"/>
      <c r="HZ776" s="18"/>
      <c r="IA776" s="18"/>
      <c r="IB776" s="18"/>
      <c r="IC776" s="18"/>
      <c r="ID776" s="18"/>
      <c r="IE776" s="18"/>
      <c r="IF776" s="18"/>
      <c r="IG776" s="18"/>
      <c r="IH776" s="18"/>
      <c r="II776" s="18"/>
      <c r="IJ776" s="18"/>
      <c r="IK776" s="18"/>
      <c r="IL776" s="18"/>
      <c r="IM776" s="18"/>
      <c r="IN776" s="18"/>
      <c r="IO776" s="18"/>
      <c r="IP776" s="18"/>
      <c r="IQ776" s="18"/>
      <c r="IR776" s="18"/>
      <c r="IS776" s="18"/>
      <c r="IT776" s="18"/>
      <c r="IU776" s="18"/>
      <c r="IV776" s="18"/>
      <c r="IW776" s="18"/>
      <c r="IX776" s="18"/>
      <c r="IY776" s="18"/>
      <c r="IZ776" s="18"/>
      <c r="JA776" s="18"/>
      <c r="JB776" s="18"/>
      <c r="JC776" s="18"/>
      <c r="JD776" s="18"/>
      <c r="JE776" s="18"/>
      <c r="JF776" s="18"/>
      <c r="JG776" s="18"/>
      <c r="JH776" s="18"/>
      <c r="JI776" s="18"/>
      <c r="JJ776" s="18"/>
      <c r="JK776" s="18"/>
      <c r="JL776" s="18"/>
      <c r="JM776" s="18"/>
      <c r="JN776" s="18"/>
      <c r="JO776" s="18"/>
      <c r="JP776" s="18"/>
      <c r="JQ776" s="18"/>
      <c r="JR776" s="18"/>
      <c r="JS776" s="18"/>
      <c r="JT776" s="18"/>
      <c r="JU776" s="18"/>
      <c r="JV776" s="18"/>
      <c r="JW776" s="18"/>
      <c r="JX776" s="18"/>
      <c r="JY776" s="18"/>
      <c r="JZ776" s="18"/>
      <c r="KA776" s="18"/>
      <c r="KB776" s="18"/>
      <c r="KC776" s="18"/>
      <c r="KD776" s="18"/>
      <c r="KE776" s="18"/>
      <c r="KF776" s="18"/>
      <c r="KG776" s="18"/>
      <c r="KH776" s="18"/>
      <c r="KI776" s="18"/>
      <c r="KJ776" s="18"/>
      <c r="KK776" s="18"/>
      <c r="KL776" s="18"/>
      <c r="KM776" s="18"/>
      <c r="KN776" s="18"/>
      <c r="KO776" s="18"/>
      <c r="KP776" s="18"/>
    </row>
    <row r="777" spans="1:302">
      <c r="A777" s="14"/>
      <c r="B777" s="14"/>
      <c r="F777" s="14"/>
      <c r="G777" s="23"/>
      <c r="H777" s="23"/>
      <c r="I777" s="23"/>
      <c r="J777" s="23"/>
      <c r="K777" s="14"/>
      <c r="L777" s="14"/>
      <c r="P777" s="14"/>
      <c r="AG777" s="44"/>
      <c r="AH777" s="44"/>
      <c r="AI777" s="45"/>
      <c r="AJ777" s="44"/>
      <c r="AK777" s="43"/>
      <c r="AS777" s="14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  <c r="EW777" s="18"/>
      <c r="EX777" s="18"/>
      <c r="EY777" s="18"/>
      <c r="EZ777" s="18"/>
      <c r="FA777" s="18"/>
      <c r="FB777" s="18"/>
      <c r="FC777" s="18"/>
      <c r="FD777" s="18"/>
      <c r="FE777" s="18"/>
      <c r="FF777" s="18"/>
      <c r="FG777" s="18"/>
      <c r="FH777" s="18"/>
      <c r="FI777" s="18"/>
      <c r="FJ777" s="18"/>
      <c r="FK777" s="18"/>
      <c r="FL777" s="18"/>
      <c r="FM777" s="18"/>
      <c r="FN777" s="18"/>
      <c r="FO777" s="18"/>
      <c r="FP777" s="18"/>
      <c r="FQ777" s="18"/>
      <c r="FR777" s="18"/>
      <c r="FS777" s="18"/>
      <c r="FT777" s="18"/>
      <c r="FU777" s="18"/>
      <c r="FV777" s="18"/>
      <c r="FW777" s="18"/>
      <c r="FX777" s="18"/>
      <c r="FY777" s="18"/>
      <c r="FZ777" s="18"/>
      <c r="GA777" s="18"/>
      <c r="GB777" s="18"/>
      <c r="GC777" s="18"/>
      <c r="GD777" s="18"/>
      <c r="GE777" s="18"/>
      <c r="GF777" s="18"/>
      <c r="GG777" s="18"/>
      <c r="GH777" s="18"/>
      <c r="GI777" s="18"/>
      <c r="GJ777" s="18"/>
      <c r="GK777" s="18"/>
      <c r="GL777" s="18"/>
      <c r="GM777" s="18"/>
      <c r="GN777" s="18"/>
      <c r="GO777" s="18"/>
      <c r="GP777" s="18"/>
      <c r="GQ777" s="18"/>
      <c r="GR777" s="18"/>
      <c r="GS777" s="18"/>
      <c r="GT777" s="18"/>
      <c r="GU777" s="18"/>
      <c r="GV777" s="18"/>
      <c r="GW777" s="18"/>
      <c r="GX777" s="18"/>
      <c r="GY777" s="18"/>
      <c r="GZ777" s="18"/>
      <c r="HA777" s="18"/>
      <c r="HB777" s="18"/>
      <c r="HC777" s="18"/>
      <c r="HD777" s="18"/>
      <c r="HE777" s="18"/>
      <c r="HF777" s="18"/>
      <c r="HG777" s="13"/>
      <c r="HH777" s="13"/>
      <c r="HI777" s="13"/>
      <c r="HJ777" s="13"/>
      <c r="HK777" s="13"/>
      <c r="HL777" s="13"/>
      <c r="HM777" s="13"/>
      <c r="HN777" s="13"/>
      <c r="HO777" s="13"/>
      <c r="HP777" s="13"/>
      <c r="HQ777" s="13"/>
      <c r="HR777" s="13"/>
      <c r="HS777" s="13"/>
      <c r="HT777" s="13"/>
      <c r="HU777" s="18"/>
      <c r="HV777" s="18"/>
      <c r="HW777" s="18"/>
      <c r="HX777" s="18"/>
      <c r="HY777" s="18"/>
      <c r="HZ777" s="18"/>
      <c r="IA777" s="18"/>
      <c r="IB777" s="18"/>
      <c r="IC777" s="18"/>
      <c r="ID777" s="18"/>
      <c r="IE777" s="18"/>
      <c r="IF777" s="18"/>
      <c r="IG777" s="18"/>
      <c r="IH777" s="18"/>
      <c r="II777" s="18"/>
      <c r="IJ777" s="18"/>
      <c r="IK777" s="18"/>
      <c r="IL777" s="18"/>
      <c r="IM777" s="18"/>
      <c r="IN777" s="18"/>
      <c r="IO777" s="18"/>
      <c r="IP777" s="18"/>
      <c r="IQ777" s="18"/>
      <c r="IR777" s="18"/>
      <c r="IS777" s="18"/>
      <c r="IT777" s="18"/>
      <c r="IU777" s="18"/>
      <c r="IV777" s="18"/>
      <c r="IW777" s="18"/>
      <c r="IX777" s="18"/>
      <c r="IY777" s="18"/>
      <c r="IZ777" s="18"/>
      <c r="JA777" s="18"/>
      <c r="JB777" s="18"/>
      <c r="JC777" s="18"/>
      <c r="JD777" s="18"/>
      <c r="JE777" s="18"/>
      <c r="JF777" s="18"/>
      <c r="JG777" s="18"/>
      <c r="JH777" s="18"/>
      <c r="JI777" s="18"/>
      <c r="JJ777" s="18"/>
      <c r="JK777" s="18"/>
      <c r="JL777" s="18"/>
      <c r="JM777" s="18"/>
      <c r="JN777" s="18"/>
      <c r="JO777" s="18"/>
      <c r="JP777" s="18"/>
      <c r="JQ777" s="18"/>
      <c r="JR777" s="18"/>
      <c r="JS777" s="18"/>
      <c r="JT777" s="18"/>
      <c r="JU777" s="18"/>
      <c r="JV777" s="18"/>
      <c r="JW777" s="18"/>
      <c r="JX777" s="18"/>
      <c r="JY777" s="18"/>
      <c r="JZ777" s="18"/>
      <c r="KA777" s="18"/>
      <c r="KB777" s="18"/>
      <c r="KC777" s="18"/>
      <c r="KD777" s="18"/>
      <c r="KE777" s="18"/>
      <c r="KF777" s="18"/>
      <c r="KG777" s="18"/>
      <c r="KH777" s="18"/>
      <c r="KI777" s="18"/>
      <c r="KJ777" s="18"/>
      <c r="KK777" s="18"/>
      <c r="KL777" s="18"/>
      <c r="KM777" s="18"/>
      <c r="KN777" s="18"/>
      <c r="KO777" s="18"/>
      <c r="KP777" s="18"/>
    </row>
    <row r="778" spans="1:302">
      <c r="A778" s="14"/>
      <c r="B778" s="14"/>
      <c r="F778" s="14"/>
      <c r="G778" s="23"/>
      <c r="H778" s="23"/>
      <c r="I778" s="23"/>
      <c r="J778" s="23"/>
      <c r="K778" s="14"/>
      <c r="L778" s="14"/>
      <c r="P778" s="14"/>
      <c r="AG778" s="44"/>
      <c r="AH778" s="44"/>
      <c r="AI778" s="45"/>
      <c r="AJ778" s="44"/>
      <c r="AK778" s="43"/>
      <c r="AS778" s="14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  <c r="EW778" s="18"/>
      <c r="EX778" s="18"/>
      <c r="EY778" s="18"/>
      <c r="EZ778" s="18"/>
      <c r="FA778" s="18"/>
      <c r="FB778" s="18"/>
      <c r="FC778" s="18"/>
      <c r="FD778" s="18"/>
      <c r="FE778" s="18"/>
      <c r="FF778" s="18"/>
      <c r="FG778" s="18"/>
      <c r="FH778" s="18"/>
      <c r="FI778" s="18"/>
      <c r="FJ778" s="18"/>
      <c r="FK778" s="18"/>
      <c r="FL778" s="18"/>
      <c r="FM778" s="18"/>
      <c r="FN778" s="18"/>
      <c r="FO778" s="18"/>
      <c r="FP778" s="18"/>
      <c r="FQ778" s="18"/>
      <c r="FR778" s="18"/>
      <c r="FS778" s="18"/>
      <c r="FT778" s="18"/>
      <c r="FU778" s="18"/>
      <c r="FV778" s="18"/>
      <c r="FW778" s="18"/>
      <c r="FX778" s="18"/>
      <c r="FY778" s="18"/>
      <c r="FZ778" s="18"/>
      <c r="GA778" s="18"/>
      <c r="GB778" s="18"/>
      <c r="GC778" s="18"/>
      <c r="GD778" s="18"/>
      <c r="GE778" s="18"/>
      <c r="GF778" s="18"/>
      <c r="GG778" s="18"/>
      <c r="GH778" s="18"/>
      <c r="GI778" s="18"/>
      <c r="GJ778" s="18"/>
      <c r="GK778" s="18"/>
      <c r="GL778" s="18"/>
      <c r="GM778" s="18"/>
      <c r="GN778" s="18"/>
      <c r="GO778" s="18"/>
      <c r="GP778" s="18"/>
      <c r="GQ778" s="18"/>
      <c r="GR778" s="18"/>
      <c r="GS778" s="18"/>
      <c r="GT778" s="18"/>
      <c r="GU778" s="18"/>
      <c r="GV778" s="18"/>
      <c r="GW778" s="18"/>
      <c r="GX778" s="18"/>
      <c r="GY778" s="18"/>
      <c r="GZ778" s="18"/>
      <c r="HA778" s="18"/>
      <c r="HB778" s="18"/>
      <c r="HC778" s="18"/>
      <c r="HD778" s="18"/>
      <c r="HE778" s="18"/>
      <c r="HF778" s="18"/>
      <c r="HG778" s="13"/>
      <c r="HH778" s="13"/>
      <c r="HI778" s="13"/>
      <c r="HJ778" s="13"/>
      <c r="HK778" s="13"/>
      <c r="HL778" s="13"/>
      <c r="HM778" s="13"/>
      <c r="HN778" s="13"/>
      <c r="HO778" s="13"/>
      <c r="HP778" s="13"/>
      <c r="HQ778" s="13"/>
      <c r="HR778" s="13"/>
      <c r="HS778" s="13"/>
      <c r="HT778" s="13"/>
      <c r="HU778" s="18"/>
      <c r="HV778" s="18"/>
      <c r="HW778" s="18"/>
      <c r="HX778" s="18"/>
      <c r="HY778" s="18"/>
      <c r="HZ778" s="18"/>
      <c r="IA778" s="18"/>
      <c r="IB778" s="18"/>
      <c r="IC778" s="18"/>
      <c r="ID778" s="18"/>
      <c r="IE778" s="18"/>
      <c r="IF778" s="18"/>
      <c r="IG778" s="18"/>
      <c r="IH778" s="18"/>
      <c r="II778" s="18"/>
      <c r="IJ778" s="18"/>
      <c r="IK778" s="18"/>
      <c r="IL778" s="18"/>
      <c r="IM778" s="18"/>
      <c r="IN778" s="18"/>
      <c r="IO778" s="18"/>
      <c r="IP778" s="18"/>
      <c r="IQ778" s="18"/>
      <c r="IR778" s="18"/>
      <c r="IS778" s="18"/>
      <c r="IT778" s="18"/>
      <c r="IU778" s="18"/>
      <c r="IV778" s="18"/>
      <c r="IW778" s="18"/>
      <c r="IX778" s="18"/>
      <c r="IY778" s="18"/>
      <c r="IZ778" s="18"/>
      <c r="JA778" s="18"/>
      <c r="JB778" s="18"/>
      <c r="JC778" s="18"/>
      <c r="JD778" s="18"/>
      <c r="JE778" s="18"/>
      <c r="JF778" s="18"/>
      <c r="JG778" s="18"/>
      <c r="JH778" s="18"/>
      <c r="JI778" s="18"/>
      <c r="JJ778" s="18"/>
      <c r="JK778" s="18"/>
      <c r="JL778" s="18"/>
      <c r="JM778" s="18"/>
      <c r="JN778" s="18"/>
      <c r="JO778" s="18"/>
      <c r="JP778" s="18"/>
      <c r="JQ778" s="18"/>
      <c r="JR778" s="18"/>
      <c r="JS778" s="18"/>
      <c r="JT778" s="18"/>
      <c r="JU778" s="18"/>
      <c r="JV778" s="18"/>
      <c r="JW778" s="18"/>
      <c r="JX778" s="18"/>
      <c r="JY778" s="18"/>
      <c r="JZ778" s="18"/>
      <c r="KA778" s="18"/>
      <c r="KB778" s="18"/>
      <c r="KC778" s="18"/>
      <c r="KD778" s="18"/>
      <c r="KE778" s="18"/>
      <c r="KF778" s="18"/>
      <c r="KG778" s="18"/>
      <c r="KH778" s="18"/>
      <c r="KI778" s="18"/>
      <c r="KJ778" s="18"/>
      <c r="KK778" s="18"/>
      <c r="KL778" s="18"/>
      <c r="KM778" s="18"/>
      <c r="KN778" s="18"/>
      <c r="KO778" s="18"/>
      <c r="KP778" s="18"/>
    </row>
    <row r="779" spans="1:302">
      <c r="A779" s="14"/>
      <c r="B779" s="14"/>
      <c r="F779" s="14"/>
      <c r="G779" s="23"/>
      <c r="H779" s="23"/>
      <c r="I779" s="23"/>
      <c r="J779" s="23"/>
      <c r="K779" s="14"/>
      <c r="L779" s="14"/>
      <c r="P779" s="14"/>
      <c r="AG779" s="44"/>
      <c r="AH779" s="44"/>
      <c r="AI779" s="45"/>
      <c r="AJ779" s="44"/>
      <c r="AK779" s="43"/>
      <c r="AS779" s="14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  <c r="EW779" s="18"/>
      <c r="EX779" s="18"/>
      <c r="EY779" s="18"/>
      <c r="EZ779" s="18"/>
      <c r="FA779" s="18"/>
      <c r="FB779" s="18"/>
      <c r="FC779" s="18"/>
      <c r="FD779" s="18"/>
      <c r="FE779" s="18"/>
      <c r="FF779" s="18"/>
      <c r="FG779" s="18"/>
      <c r="FH779" s="18"/>
      <c r="FI779" s="18"/>
      <c r="FJ779" s="18"/>
      <c r="FK779" s="18"/>
      <c r="FL779" s="18"/>
      <c r="FM779" s="18"/>
      <c r="FN779" s="18"/>
      <c r="FO779" s="18"/>
      <c r="FP779" s="18"/>
      <c r="FQ779" s="18"/>
      <c r="FR779" s="18"/>
      <c r="FS779" s="18"/>
      <c r="FT779" s="18"/>
      <c r="FU779" s="18"/>
      <c r="FV779" s="18"/>
      <c r="FW779" s="18"/>
      <c r="FX779" s="18"/>
      <c r="FY779" s="18"/>
      <c r="FZ779" s="18"/>
      <c r="GA779" s="18"/>
      <c r="GB779" s="18"/>
      <c r="GC779" s="18"/>
      <c r="GD779" s="18"/>
      <c r="GE779" s="18"/>
      <c r="GF779" s="18"/>
      <c r="GG779" s="18"/>
      <c r="GH779" s="18"/>
      <c r="GI779" s="18"/>
      <c r="GJ779" s="18"/>
      <c r="GK779" s="18"/>
      <c r="GL779" s="18"/>
      <c r="GM779" s="18"/>
      <c r="GN779" s="18"/>
      <c r="GO779" s="18"/>
      <c r="GP779" s="18"/>
      <c r="GQ779" s="18"/>
      <c r="GR779" s="18"/>
      <c r="GS779" s="18"/>
      <c r="GT779" s="18"/>
      <c r="GU779" s="18"/>
      <c r="GV779" s="18"/>
      <c r="GW779" s="18"/>
      <c r="GX779" s="18"/>
      <c r="GY779" s="18"/>
      <c r="GZ779" s="18"/>
      <c r="HA779" s="18"/>
      <c r="HB779" s="18"/>
      <c r="HC779" s="18"/>
      <c r="HD779" s="18"/>
      <c r="HE779" s="18"/>
      <c r="HF779" s="18"/>
      <c r="HG779" s="13"/>
      <c r="HH779" s="13"/>
      <c r="HI779" s="13"/>
      <c r="HJ779" s="13"/>
      <c r="HK779" s="13"/>
      <c r="HL779" s="13"/>
      <c r="HM779" s="13"/>
      <c r="HN779" s="13"/>
      <c r="HO779" s="13"/>
      <c r="HP779" s="13"/>
      <c r="HQ779" s="13"/>
      <c r="HR779" s="13"/>
      <c r="HS779" s="13"/>
      <c r="HT779" s="13"/>
      <c r="HU779" s="18"/>
      <c r="HV779" s="18"/>
      <c r="HW779" s="18"/>
      <c r="HX779" s="18"/>
      <c r="HY779" s="18"/>
      <c r="HZ779" s="18"/>
      <c r="IA779" s="18"/>
      <c r="IB779" s="18"/>
      <c r="IC779" s="18"/>
      <c r="ID779" s="18"/>
      <c r="IE779" s="18"/>
      <c r="IF779" s="18"/>
      <c r="IG779" s="18"/>
      <c r="IH779" s="18"/>
      <c r="II779" s="18"/>
      <c r="IJ779" s="18"/>
      <c r="IK779" s="18"/>
      <c r="IL779" s="18"/>
      <c r="IM779" s="18"/>
      <c r="IN779" s="18"/>
      <c r="IO779" s="18"/>
      <c r="IP779" s="18"/>
      <c r="IQ779" s="18"/>
      <c r="IR779" s="18"/>
      <c r="IS779" s="18"/>
      <c r="IT779" s="18"/>
      <c r="IU779" s="18"/>
      <c r="IV779" s="18"/>
      <c r="IW779" s="18"/>
      <c r="IX779" s="18"/>
      <c r="IY779" s="18"/>
      <c r="IZ779" s="18"/>
      <c r="JA779" s="18"/>
      <c r="JB779" s="18"/>
      <c r="JC779" s="18"/>
      <c r="JD779" s="18"/>
      <c r="JE779" s="18"/>
      <c r="JF779" s="18"/>
      <c r="JG779" s="18"/>
      <c r="JH779" s="18"/>
      <c r="JI779" s="18"/>
      <c r="JJ779" s="18"/>
      <c r="JK779" s="18"/>
      <c r="JL779" s="18"/>
      <c r="JM779" s="18"/>
      <c r="JN779" s="18"/>
      <c r="JO779" s="18"/>
      <c r="JP779" s="18"/>
      <c r="JQ779" s="18"/>
      <c r="JR779" s="18"/>
      <c r="JS779" s="18"/>
      <c r="JT779" s="18"/>
      <c r="JU779" s="18"/>
      <c r="JV779" s="18"/>
      <c r="JW779" s="18"/>
      <c r="JX779" s="18"/>
      <c r="JY779" s="18"/>
      <c r="JZ779" s="18"/>
      <c r="KA779" s="18"/>
      <c r="KB779" s="18"/>
      <c r="KC779" s="18"/>
      <c r="KD779" s="18"/>
      <c r="KE779" s="18"/>
      <c r="KF779" s="18"/>
      <c r="KG779" s="18"/>
      <c r="KH779" s="18"/>
      <c r="KI779" s="18"/>
      <c r="KJ779" s="18"/>
      <c r="KK779" s="18"/>
      <c r="KL779" s="18"/>
      <c r="KM779" s="18"/>
      <c r="KN779" s="18"/>
      <c r="KO779" s="18"/>
      <c r="KP779" s="18"/>
    </row>
    <row r="780" spans="1:302">
      <c r="A780" s="14"/>
      <c r="B780" s="14"/>
      <c r="F780" s="14"/>
      <c r="G780" s="23"/>
      <c r="H780" s="23"/>
      <c r="I780" s="23"/>
      <c r="J780" s="23"/>
      <c r="K780" s="14"/>
      <c r="L780" s="14"/>
      <c r="P780" s="14"/>
      <c r="AG780" s="44"/>
      <c r="AH780" s="44"/>
      <c r="AI780" s="45"/>
      <c r="AJ780" s="44"/>
      <c r="AK780" s="43"/>
      <c r="AS780" s="14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  <c r="EW780" s="18"/>
      <c r="EX780" s="18"/>
      <c r="EY780" s="18"/>
      <c r="EZ780" s="18"/>
      <c r="FA780" s="18"/>
      <c r="FB780" s="18"/>
      <c r="FC780" s="18"/>
      <c r="FD780" s="18"/>
      <c r="FE780" s="18"/>
      <c r="FF780" s="18"/>
      <c r="FG780" s="18"/>
      <c r="FH780" s="18"/>
      <c r="FI780" s="18"/>
      <c r="FJ780" s="18"/>
      <c r="FK780" s="18"/>
      <c r="FL780" s="18"/>
      <c r="FM780" s="18"/>
      <c r="FN780" s="18"/>
      <c r="FO780" s="18"/>
      <c r="FP780" s="18"/>
      <c r="FQ780" s="18"/>
      <c r="FR780" s="18"/>
      <c r="FS780" s="18"/>
      <c r="FT780" s="18"/>
      <c r="FU780" s="18"/>
      <c r="FV780" s="18"/>
      <c r="FW780" s="18"/>
      <c r="FX780" s="18"/>
      <c r="FY780" s="18"/>
      <c r="FZ780" s="18"/>
      <c r="GA780" s="18"/>
      <c r="GB780" s="18"/>
      <c r="GC780" s="18"/>
      <c r="GD780" s="18"/>
      <c r="GE780" s="18"/>
      <c r="GF780" s="18"/>
      <c r="GG780" s="18"/>
      <c r="GH780" s="18"/>
      <c r="GI780" s="18"/>
      <c r="GJ780" s="18"/>
      <c r="GK780" s="18"/>
      <c r="GL780" s="18"/>
      <c r="GM780" s="18"/>
      <c r="GN780" s="18"/>
      <c r="GO780" s="18"/>
      <c r="GP780" s="18"/>
      <c r="GQ780" s="18"/>
      <c r="GR780" s="18"/>
      <c r="GS780" s="18"/>
      <c r="GT780" s="18"/>
      <c r="GU780" s="18"/>
      <c r="GV780" s="18"/>
      <c r="GW780" s="18"/>
      <c r="GX780" s="18"/>
      <c r="GY780" s="18"/>
      <c r="GZ780" s="18"/>
      <c r="HA780" s="18"/>
      <c r="HB780" s="18"/>
      <c r="HC780" s="18"/>
      <c r="HD780" s="18"/>
      <c r="HE780" s="18"/>
      <c r="HF780" s="18"/>
      <c r="HG780" s="13"/>
      <c r="HH780" s="13"/>
      <c r="HI780" s="13"/>
      <c r="HJ780" s="13"/>
      <c r="HK780" s="13"/>
      <c r="HL780" s="13"/>
      <c r="HM780" s="13"/>
      <c r="HN780" s="13"/>
      <c r="HO780" s="13"/>
      <c r="HP780" s="13"/>
      <c r="HQ780" s="13"/>
      <c r="HR780" s="13"/>
      <c r="HS780" s="13"/>
      <c r="HT780" s="13"/>
      <c r="HU780" s="18"/>
      <c r="HV780" s="18"/>
      <c r="HW780" s="18"/>
      <c r="HX780" s="18"/>
      <c r="HY780" s="18"/>
      <c r="HZ780" s="18"/>
      <c r="IA780" s="18"/>
      <c r="IB780" s="18"/>
      <c r="IC780" s="18"/>
      <c r="ID780" s="18"/>
      <c r="IE780" s="18"/>
      <c r="IF780" s="18"/>
      <c r="IG780" s="18"/>
      <c r="IH780" s="18"/>
      <c r="II780" s="18"/>
      <c r="IJ780" s="18"/>
      <c r="IK780" s="18"/>
      <c r="IL780" s="18"/>
      <c r="IM780" s="18"/>
      <c r="IN780" s="18"/>
      <c r="IO780" s="18"/>
      <c r="IP780" s="18"/>
      <c r="IQ780" s="18"/>
      <c r="IR780" s="18"/>
      <c r="IS780" s="18"/>
      <c r="IT780" s="18"/>
      <c r="IU780" s="18"/>
      <c r="IV780" s="18"/>
      <c r="IW780" s="18"/>
      <c r="IX780" s="18"/>
      <c r="IY780" s="18"/>
      <c r="IZ780" s="18"/>
      <c r="JA780" s="18"/>
      <c r="JB780" s="18"/>
      <c r="JC780" s="18"/>
      <c r="JD780" s="18"/>
      <c r="JE780" s="18"/>
      <c r="JF780" s="18"/>
      <c r="JG780" s="18"/>
      <c r="JH780" s="18"/>
      <c r="JI780" s="18"/>
      <c r="JJ780" s="18"/>
      <c r="JK780" s="18"/>
      <c r="JL780" s="18"/>
      <c r="JM780" s="18"/>
      <c r="JN780" s="18"/>
      <c r="JO780" s="18"/>
      <c r="JP780" s="18"/>
      <c r="JQ780" s="18"/>
      <c r="JR780" s="18"/>
      <c r="JS780" s="18"/>
      <c r="JT780" s="18"/>
      <c r="JU780" s="18"/>
      <c r="JV780" s="18"/>
      <c r="JW780" s="18"/>
      <c r="JX780" s="18"/>
      <c r="JY780" s="18"/>
      <c r="JZ780" s="18"/>
      <c r="KA780" s="18"/>
      <c r="KB780" s="18"/>
      <c r="KC780" s="18"/>
      <c r="KD780" s="18"/>
      <c r="KE780" s="18"/>
      <c r="KF780" s="18"/>
      <c r="KG780" s="18"/>
      <c r="KH780" s="18"/>
      <c r="KI780" s="18"/>
      <c r="KJ780" s="18"/>
      <c r="KK780" s="18"/>
      <c r="KL780" s="18"/>
      <c r="KM780" s="18"/>
      <c r="KN780" s="18"/>
      <c r="KO780" s="18"/>
      <c r="KP780" s="18"/>
    </row>
    <row r="781" spans="1:302">
      <c r="A781" s="14"/>
      <c r="B781" s="14"/>
      <c r="F781" s="14"/>
      <c r="G781" s="23"/>
      <c r="H781" s="23"/>
      <c r="I781" s="23"/>
      <c r="J781" s="23"/>
      <c r="K781" s="14"/>
      <c r="L781" s="14"/>
      <c r="P781" s="14"/>
      <c r="AG781" s="44"/>
      <c r="AH781" s="44"/>
      <c r="AI781" s="45"/>
      <c r="AJ781" s="44"/>
      <c r="AK781" s="43"/>
      <c r="AS781" s="14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  <c r="EW781" s="18"/>
      <c r="EX781" s="18"/>
      <c r="EY781" s="18"/>
      <c r="EZ781" s="18"/>
      <c r="FA781" s="18"/>
      <c r="FB781" s="18"/>
      <c r="FC781" s="18"/>
      <c r="FD781" s="18"/>
      <c r="FE781" s="18"/>
      <c r="FF781" s="18"/>
      <c r="FG781" s="18"/>
      <c r="FH781" s="18"/>
      <c r="FI781" s="18"/>
      <c r="FJ781" s="18"/>
      <c r="FK781" s="18"/>
      <c r="FL781" s="18"/>
      <c r="FM781" s="18"/>
      <c r="FN781" s="18"/>
      <c r="FO781" s="18"/>
      <c r="FP781" s="18"/>
      <c r="FQ781" s="18"/>
      <c r="FR781" s="18"/>
      <c r="FS781" s="18"/>
      <c r="FT781" s="18"/>
      <c r="FU781" s="18"/>
      <c r="FV781" s="18"/>
      <c r="FW781" s="18"/>
      <c r="FX781" s="18"/>
      <c r="FY781" s="18"/>
      <c r="FZ781" s="18"/>
      <c r="GA781" s="18"/>
      <c r="GB781" s="18"/>
      <c r="GC781" s="18"/>
      <c r="GD781" s="18"/>
      <c r="GE781" s="18"/>
      <c r="GF781" s="18"/>
      <c r="GG781" s="18"/>
      <c r="GH781" s="18"/>
      <c r="GI781" s="18"/>
      <c r="GJ781" s="18"/>
      <c r="GK781" s="18"/>
      <c r="GL781" s="18"/>
      <c r="GM781" s="18"/>
      <c r="GN781" s="18"/>
      <c r="GO781" s="18"/>
      <c r="GP781" s="18"/>
      <c r="GQ781" s="18"/>
      <c r="GR781" s="18"/>
      <c r="GS781" s="18"/>
      <c r="GT781" s="18"/>
      <c r="GU781" s="18"/>
      <c r="GV781" s="18"/>
      <c r="GW781" s="18"/>
      <c r="GX781" s="18"/>
      <c r="GY781" s="18"/>
      <c r="GZ781" s="18"/>
      <c r="HA781" s="18"/>
      <c r="HB781" s="18"/>
      <c r="HC781" s="18"/>
      <c r="HD781" s="18"/>
      <c r="HE781" s="18"/>
      <c r="HF781" s="18"/>
      <c r="HG781" s="13"/>
      <c r="HH781" s="13"/>
      <c r="HI781" s="13"/>
      <c r="HJ781" s="13"/>
      <c r="HK781" s="13"/>
      <c r="HL781" s="13"/>
      <c r="HM781" s="13"/>
      <c r="HN781" s="13"/>
      <c r="HO781" s="13"/>
      <c r="HP781" s="13"/>
      <c r="HQ781" s="13"/>
      <c r="HR781" s="13"/>
      <c r="HS781" s="13"/>
      <c r="HT781" s="13"/>
      <c r="HU781" s="18"/>
      <c r="HV781" s="18"/>
      <c r="HW781" s="18"/>
      <c r="HX781" s="18"/>
      <c r="HY781" s="18"/>
      <c r="HZ781" s="18"/>
      <c r="IA781" s="18"/>
      <c r="IB781" s="18"/>
      <c r="IC781" s="18"/>
      <c r="ID781" s="18"/>
      <c r="IE781" s="18"/>
      <c r="IF781" s="18"/>
      <c r="IG781" s="18"/>
      <c r="IH781" s="18"/>
      <c r="II781" s="18"/>
      <c r="IJ781" s="18"/>
      <c r="IK781" s="18"/>
      <c r="IL781" s="18"/>
      <c r="IM781" s="18"/>
      <c r="IN781" s="18"/>
      <c r="IO781" s="18"/>
      <c r="IP781" s="18"/>
      <c r="IQ781" s="18"/>
      <c r="IR781" s="18"/>
      <c r="IS781" s="18"/>
      <c r="IT781" s="18"/>
      <c r="IU781" s="18"/>
      <c r="IV781" s="18"/>
      <c r="IW781" s="18"/>
      <c r="IX781" s="18"/>
      <c r="IY781" s="18"/>
      <c r="IZ781" s="18"/>
      <c r="JA781" s="18"/>
      <c r="JB781" s="18"/>
      <c r="JC781" s="18"/>
      <c r="JD781" s="18"/>
      <c r="JE781" s="18"/>
      <c r="JF781" s="18"/>
      <c r="JG781" s="18"/>
      <c r="JH781" s="18"/>
      <c r="JI781" s="18"/>
      <c r="JJ781" s="18"/>
      <c r="JK781" s="18"/>
      <c r="JL781" s="18"/>
      <c r="JM781" s="18"/>
      <c r="JN781" s="18"/>
      <c r="JO781" s="18"/>
      <c r="JP781" s="18"/>
      <c r="JQ781" s="18"/>
      <c r="JR781" s="18"/>
      <c r="JS781" s="18"/>
      <c r="JT781" s="18"/>
      <c r="JU781" s="18"/>
      <c r="JV781" s="18"/>
      <c r="JW781" s="18"/>
      <c r="JX781" s="18"/>
      <c r="JY781" s="18"/>
      <c r="JZ781" s="18"/>
      <c r="KA781" s="18"/>
      <c r="KB781" s="18"/>
      <c r="KC781" s="18"/>
      <c r="KD781" s="18"/>
      <c r="KE781" s="18"/>
      <c r="KF781" s="18"/>
      <c r="KG781" s="18"/>
      <c r="KH781" s="18"/>
      <c r="KI781" s="18"/>
      <c r="KJ781" s="18"/>
      <c r="KK781" s="18"/>
      <c r="KL781" s="18"/>
      <c r="KM781" s="18"/>
      <c r="KN781" s="18"/>
      <c r="KO781" s="18"/>
      <c r="KP781" s="18"/>
    </row>
    <row r="782" spans="1:302">
      <c r="A782" s="14"/>
      <c r="B782" s="14"/>
      <c r="F782" s="14"/>
      <c r="G782" s="23"/>
      <c r="H782" s="23"/>
      <c r="I782" s="23"/>
      <c r="J782" s="23"/>
      <c r="K782" s="14"/>
      <c r="L782" s="14"/>
      <c r="P782" s="14"/>
      <c r="AG782" s="44"/>
      <c r="AH782" s="44"/>
      <c r="AI782" s="45"/>
      <c r="AJ782" s="44"/>
      <c r="AK782" s="43"/>
      <c r="AS782" s="14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  <c r="EW782" s="18"/>
      <c r="EX782" s="18"/>
      <c r="EY782" s="18"/>
      <c r="EZ782" s="18"/>
      <c r="FA782" s="18"/>
      <c r="FB782" s="18"/>
      <c r="FC782" s="18"/>
      <c r="FD782" s="18"/>
      <c r="FE782" s="18"/>
      <c r="FF782" s="18"/>
      <c r="FG782" s="18"/>
      <c r="FH782" s="18"/>
      <c r="FI782" s="18"/>
      <c r="FJ782" s="18"/>
      <c r="FK782" s="18"/>
      <c r="FL782" s="18"/>
      <c r="FM782" s="18"/>
      <c r="FN782" s="18"/>
      <c r="FO782" s="18"/>
      <c r="FP782" s="18"/>
      <c r="FQ782" s="18"/>
      <c r="FR782" s="18"/>
      <c r="FS782" s="18"/>
      <c r="FT782" s="18"/>
      <c r="FU782" s="18"/>
      <c r="FV782" s="18"/>
      <c r="FW782" s="18"/>
      <c r="FX782" s="18"/>
      <c r="FY782" s="18"/>
      <c r="FZ782" s="18"/>
      <c r="GA782" s="18"/>
      <c r="GB782" s="18"/>
      <c r="GC782" s="18"/>
      <c r="GD782" s="18"/>
      <c r="GE782" s="18"/>
      <c r="GF782" s="18"/>
      <c r="GG782" s="18"/>
      <c r="GH782" s="18"/>
      <c r="GI782" s="18"/>
      <c r="GJ782" s="18"/>
      <c r="GK782" s="18"/>
      <c r="GL782" s="18"/>
      <c r="GM782" s="18"/>
      <c r="GN782" s="18"/>
      <c r="GO782" s="18"/>
      <c r="GP782" s="18"/>
      <c r="GQ782" s="18"/>
      <c r="GR782" s="18"/>
      <c r="GS782" s="18"/>
      <c r="GT782" s="18"/>
      <c r="GU782" s="18"/>
      <c r="GV782" s="18"/>
      <c r="GW782" s="18"/>
      <c r="GX782" s="18"/>
      <c r="GY782" s="18"/>
      <c r="GZ782" s="18"/>
      <c r="HA782" s="18"/>
      <c r="HB782" s="18"/>
      <c r="HC782" s="18"/>
      <c r="HD782" s="18"/>
      <c r="HE782" s="18"/>
      <c r="HF782" s="18"/>
      <c r="HG782" s="13"/>
      <c r="HH782" s="13"/>
      <c r="HI782" s="13"/>
      <c r="HJ782" s="13"/>
      <c r="HK782" s="13"/>
      <c r="HL782" s="13"/>
      <c r="HM782" s="13"/>
      <c r="HN782" s="13"/>
      <c r="HO782" s="13"/>
      <c r="HP782" s="13"/>
      <c r="HQ782" s="13"/>
      <c r="HR782" s="13"/>
      <c r="HS782" s="13"/>
      <c r="HT782" s="13"/>
      <c r="HU782" s="18"/>
      <c r="HV782" s="18"/>
      <c r="HW782" s="18"/>
      <c r="HX782" s="18"/>
      <c r="HY782" s="18"/>
      <c r="HZ782" s="18"/>
      <c r="IA782" s="18"/>
      <c r="IB782" s="18"/>
      <c r="IC782" s="18"/>
      <c r="ID782" s="18"/>
      <c r="IE782" s="18"/>
      <c r="IF782" s="18"/>
      <c r="IG782" s="18"/>
      <c r="IH782" s="18"/>
      <c r="II782" s="18"/>
      <c r="IJ782" s="18"/>
      <c r="IK782" s="18"/>
      <c r="IL782" s="18"/>
      <c r="IM782" s="18"/>
      <c r="IN782" s="18"/>
      <c r="IO782" s="18"/>
      <c r="IP782" s="18"/>
      <c r="IQ782" s="18"/>
      <c r="IR782" s="18"/>
      <c r="IS782" s="18"/>
      <c r="IT782" s="18"/>
      <c r="IU782" s="18"/>
      <c r="IV782" s="18"/>
      <c r="IW782" s="18"/>
      <c r="IX782" s="18"/>
      <c r="IY782" s="18"/>
      <c r="IZ782" s="18"/>
      <c r="JA782" s="18"/>
      <c r="JB782" s="18"/>
      <c r="JC782" s="18"/>
      <c r="JD782" s="18"/>
      <c r="JE782" s="18"/>
      <c r="JF782" s="18"/>
      <c r="JG782" s="18"/>
      <c r="JH782" s="18"/>
      <c r="JI782" s="18"/>
      <c r="JJ782" s="18"/>
      <c r="JK782" s="18"/>
      <c r="JL782" s="18"/>
      <c r="JM782" s="18"/>
      <c r="JN782" s="18"/>
      <c r="JO782" s="18"/>
      <c r="JP782" s="18"/>
      <c r="JQ782" s="18"/>
      <c r="JR782" s="18"/>
      <c r="JS782" s="18"/>
      <c r="JT782" s="18"/>
      <c r="JU782" s="18"/>
      <c r="JV782" s="18"/>
      <c r="JW782" s="18"/>
      <c r="JX782" s="18"/>
      <c r="JY782" s="18"/>
      <c r="JZ782" s="18"/>
      <c r="KA782" s="18"/>
      <c r="KB782" s="18"/>
      <c r="KC782" s="18"/>
      <c r="KD782" s="18"/>
      <c r="KE782" s="18"/>
      <c r="KF782" s="18"/>
      <c r="KG782" s="18"/>
      <c r="KH782" s="18"/>
      <c r="KI782" s="18"/>
      <c r="KJ782" s="18"/>
      <c r="KK782" s="18"/>
      <c r="KL782" s="18"/>
      <c r="KM782" s="18"/>
      <c r="KN782" s="18"/>
      <c r="KO782" s="18"/>
      <c r="KP782" s="18"/>
    </row>
    <row r="783" spans="1:302">
      <c r="A783" s="14"/>
      <c r="B783" s="14"/>
      <c r="F783" s="14"/>
      <c r="G783" s="23"/>
      <c r="H783" s="23"/>
      <c r="I783" s="23"/>
      <c r="J783" s="23"/>
      <c r="K783" s="14"/>
      <c r="L783" s="14"/>
      <c r="P783" s="14"/>
      <c r="AG783" s="44"/>
      <c r="AH783" s="44"/>
      <c r="AI783" s="45"/>
      <c r="AJ783" s="44"/>
      <c r="AK783" s="43"/>
      <c r="AS783" s="14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  <c r="EW783" s="18"/>
      <c r="EX783" s="18"/>
      <c r="EY783" s="18"/>
      <c r="EZ783" s="18"/>
      <c r="FA783" s="18"/>
      <c r="FB783" s="18"/>
      <c r="FC783" s="18"/>
      <c r="FD783" s="18"/>
      <c r="FE783" s="18"/>
      <c r="FF783" s="18"/>
      <c r="FG783" s="18"/>
      <c r="FH783" s="18"/>
      <c r="FI783" s="18"/>
      <c r="FJ783" s="18"/>
      <c r="FK783" s="18"/>
      <c r="FL783" s="18"/>
      <c r="FM783" s="18"/>
      <c r="FN783" s="18"/>
      <c r="FO783" s="18"/>
      <c r="FP783" s="18"/>
      <c r="FQ783" s="18"/>
      <c r="FR783" s="18"/>
      <c r="FS783" s="18"/>
      <c r="FT783" s="18"/>
      <c r="FU783" s="18"/>
      <c r="FV783" s="18"/>
      <c r="FW783" s="18"/>
      <c r="FX783" s="18"/>
      <c r="FY783" s="18"/>
      <c r="FZ783" s="18"/>
      <c r="GA783" s="18"/>
      <c r="GB783" s="18"/>
      <c r="GC783" s="18"/>
      <c r="GD783" s="18"/>
      <c r="GE783" s="18"/>
      <c r="GF783" s="18"/>
      <c r="GG783" s="18"/>
      <c r="GH783" s="18"/>
      <c r="GI783" s="18"/>
      <c r="GJ783" s="18"/>
      <c r="GK783" s="18"/>
      <c r="GL783" s="18"/>
      <c r="GM783" s="18"/>
      <c r="GN783" s="18"/>
      <c r="GO783" s="18"/>
      <c r="GP783" s="18"/>
      <c r="GQ783" s="18"/>
      <c r="GR783" s="18"/>
      <c r="GS783" s="18"/>
      <c r="GT783" s="18"/>
      <c r="GU783" s="18"/>
      <c r="GV783" s="18"/>
      <c r="GW783" s="18"/>
      <c r="GX783" s="18"/>
      <c r="GY783" s="18"/>
      <c r="GZ783" s="18"/>
      <c r="HA783" s="18"/>
      <c r="HB783" s="18"/>
      <c r="HC783" s="18"/>
      <c r="HD783" s="18"/>
      <c r="HE783" s="18"/>
      <c r="HF783" s="18"/>
      <c r="HG783" s="13"/>
      <c r="HH783" s="13"/>
      <c r="HI783" s="13"/>
      <c r="HJ783" s="13"/>
      <c r="HK783" s="13"/>
      <c r="HL783" s="13"/>
      <c r="HM783" s="13"/>
      <c r="HN783" s="13"/>
      <c r="HO783" s="13"/>
      <c r="HP783" s="13"/>
      <c r="HQ783" s="13"/>
      <c r="HR783" s="13"/>
      <c r="HS783" s="13"/>
      <c r="HT783" s="13"/>
      <c r="HU783" s="18"/>
      <c r="HV783" s="18"/>
      <c r="HW783" s="18"/>
      <c r="HX783" s="18"/>
      <c r="HY783" s="18"/>
      <c r="HZ783" s="18"/>
      <c r="IA783" s="18"/>
      <c r="IB783" s="18"/>
      <c r="IC783" s="18"/>
      <c r="ID783" s="18"/>
      <c r="IE783" s="18"/>
      <c r="IF783" s="18"/>
      <c r="IG783" s="18"/>
      <c r="IH783" s="18"/>
      <c r="II783" s="18"/>
      <c r="IJ783" s="18"/>
      <c r="IK783" s="18"/>
      <c r="IL783" s="18"/>
      <c r="IM783" s="18"/>
      <c r="IN783" s="18"/>
      <c r="IO783" s="18"/>
      <c r="IP783" s="18"/>
      <c r="IQ783" s="18"/>
      <c r="IR783" s="18"/>
      <c r="IS783" s="18"/>
      <c r="IT783" s="18"/>
      <c r="IU783" s="18"/>
      <c r="IV783" s="18"/>
      <c r="IW783" s="18"/>
      <c r="IX783" s="18"/>
      <c r="IY783" s="18"/>
      <c r="IZ783" s="18"/>
      <c r="JA783" s="18"/>
      <c r="JB783" s="18"/>
      <c r="JC783" s="18"/>
      <c r="JD783" s="18"/>
      <c r="JE783" s="18"/>
      <c r="JF783" s="18"/>
      <c r="JG783" s="18"/>
      <c r="JH783" s="18"/>
      <c r="JI783" s="18"/>
      <c r="JJ783" s="18"/>
      <c r="JK783" s="18"/>
      <c r="JL783" s="18"/>
      <c r="JM783" s="18"/>
      <c r="JN783" s="18"/>
      <c r="JO783" s="18"/>
      <c r="JP783" s="18"/>
      <c r="JQ783" s="18"/>
      <c r="JR783" s="18"/>
      <c r="JS783" s="18"/>
      <c r="JT783" s="18"/>
      <c r="JU783" s="18"/>
      <c r="JV783" s="18"/>
      <c r="JW783" s="18"/>
      <c r="JX783" s="18"/>
      <c r="JY783" s="18"/>
      <c r="JZ783" s="18"/>
      <c r="KA783" s="18"/>
      <c r="KB783" s="18"/>
      <c r="KC783" s="18"/>
      <c r="KD783" s="18"/>
      <c r="KE783" s="18"/>
      <c r="KF783" s="18"/>
      <c r="KG783" s="18"/>
      <c r="KH783" s="18"/>
      <c r="KI783" s="18"/>
      <c r="KJ783" s="18"/>
      <c r="KK783" s="18"/>
      <c r="KL783" s="18"/>
      <c r="KM783" s="18"/>
      <c r="KN783" s="18"/>
      <c r="KO783" s="18"/>
      <c r="KP783" s="18"/>
    </row>
    <row r="784" spans="1:302">
      <c r="A784" s="14"/>
      <c r="B784" s="14"/>
      <c r="F784" s="14"/>
      <c r="G784" s="23"/>
      <c r="H784" s="23"/>
      <c r="I784" s="23"/>
      <c r="J784" s="23"/>
      <c r="K784" s="14"/>
      <c r="L784" s="14"/>
      <c r="P784" s="14"/>
      <c r="AG784" s="44"/>
      <c r="AH784" s="44"/>
      <c r="AI784" s="45"/>
      <c r="AJ784" s="44"/>
      <c r="AK784" s="43"/>
      <c r="AS784" s="14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  <c r="FR784" s="18"/>
      <c r="FS784" s="18"/>
      <c r="FT784" s="18"/>
      <c r="FU784" s="18"/>
      <c r="FV784" s="18"/>
      <c r="FW784" s="18"/>
      <c r="FX784" s="18"/>
      <c r="FY784" s="18"/>
      <c r="FZ784" s="18"/>
      <c r="GA784" s="18"/>
      <c r="GB784" s="18"/>
      <c r="GC784" s="18"/>
      <c r="GD784" s="18"/>
      <c r="GE784" s="18"/>
      <c r="GF784" s="18"/>
      <c r="GG784" s="18"/>
      <c r="GH784" s="18"/>
      <c r="GI784" s="18"/>
      <c r="GJ784" s="18"/>
      <c r="GK784" s="18"/>
      <c r="GL784" s="18"/>
      <c r="GM784" s="18"/>
      <c r="GN784" s="18"/>
      <c r="GO784" s="18"/>
      <c r="GP784" s="18"/>
      <c r="GQ784" s="18"/>
      <c r="GR784" s="18"/>
      <c r="GS784" s="18"/>
      <c r="GT784" s="18"/>
      <c r="GU784" s="18"/>
      <c r="GV784" s="18"/>
      <c r="GW784" s="18"/>
      <c r="GX784" s="18"/>
      <c r="GY784" s="18"/>
      <c r="GZ784" s="18"/>
      <c r="HA784" s="18"/>
      <c r="HB784" s="18"/>
      <c r="HC784" s="18"/>
      <c r="HD784" s="18"/>
      <c r="HE784" s="18"/>
      <c r="HF784" s="18"/>
      <c r="HG784" s="13"/>
      <c r="HH784" s="13"/>
      <c r="HI784" s="13"/>
      <c r="HJ784" s="13"/>
      <c r="HK784" s="13"/>
      <c r="HL784" s="13"/>
      <c r="HM784" s="13"/>
      <c r="HN784" s="13"/>
      <c r="HO784" s="13"/>
      <c r="HP784" s="13"/>
      <c r="HQ784" s="13"/>
      <c r="HR784" s="13"/>
      <c r="HS784" s="13"/>
      <c r="HT784" s="13"/>
      <c r="HU784" s="18"/>
      <c r="HV784" s="18"/>
      <c r="HW784" s="18"/>
      <c r="HX784" s="18"/>
      <c r="HY784" s="18"/>
      <c r="HZ784" s="18"/>
      <c r="IA784" s="18"/>
      <c r="IB784" s="18"/>
      <c r="IC784" s="18"/>
      <c r="ID784" s="18"/>
      <c r="IE784" s="18"/>
      <c r="IF784" s="18"/>
      <c r="IG784" s="18"/>
      <c r="IH784" s="18"/>
      <c r="II784" s="18"/>
      <c r="IJ784" s="18"/>
      <c r="IK784" s="18"/>
      <c r="IL784" s="18"/>
      <c r="IM784" s="18"/>
      <c r="IN784" s="18"/>
      <c r="IO784" s="18"/>
      <c r="IP784" s="18"/>
      <c r="IQ784" s="18"/>
      <c r="IR784" s="18"/>
      <c r="IS784" s="18"/>
      <c r="IT784" s="18"/>
      <c r="IU784" s="18"/>
      <c r="IV784" s="18"/>
      <c r="IW784" s="18"/>
      <c r="IX784" s="18"/>
      <c r="IY784" s="18"/>
      <c r="IZ784" s="18"/>
      <c r="JA784" s="18"/>
      <c r="JB784" s="18"/>
      <c r="JC784" s="18"/>
      <c r="JD784" s="18"/>
      <c r="JE784" s="18"/>
      <c r="JF784" s="18"/>
      <c r="JG784" s="18"/>
      <c r="JH784" s="18"/>
      <c r="JI784" s="18"/>
      <c r="JJ784" s="18"/>
      <c r="JK784" s="18"/>
      <c r="JL784" s="18"/>
      <c r="JM784" s="18"/>
      <c r="JN784" s="18"/>
      <c r="JO784" s="18"/>
      <c r="JP784" s="18"/>
      <c r="JQ784" s="18"/>
      <c r="JR784" s="18"/>
      <c r="JS784" s="18"/>
      <c r="JT784" s="18"/>
      <c r="JU784" s="18"/>
      <c r="JV784" s="18"/>
      <c r="JW784" s="18"/>
      <c r="JX784" s="18"/>
      <c r="JY784" s="18"/>
      <c r="JZ784" s="18"/>
      <c r="KA784" s="18"/>
      <c r="KB784" s="18"/>
      <c r="KC784" s="18"/>
      <c r="KD784" s="18"/>
      <c r="KE784" s="18"/>
      <c r="KF784" s="18"/>
      <c r="KG784" s="18"/>
      <c r="KH784" s="18"/>
      <c r="KI784" s="18"/>
      <c r="KJ784" s="18"/>
      <c r="KK784" s="18"/>
      <c r="KL784" s="18"/>
      <c r="KM784" s="18"/>
      <c r="KN784" s="18"/>
      <c r="KO784" s="18"/>
      <c r="KP784" s="18"/>
    </row>
    <row r="785" spans="1:302">
      <c r="A785" s="14"/>
      <c r="B785" s="14"/>
      <c r="F785" s="14"/>
      <c r="G785" s="23"/>
      <c r="H785" s="23"/>
      <c r="I785" s="23"/>
      <c r="J785" s="23"/>
      <c r="K785" s="14"/>
      <c r="L785" s="14"/>
      <c r="P785" s="14"/>
      <c r="AG785" s="44"/>
      <c r="AH785" s="44"/>
      <c r="AI785" s="45"/>
      <c r="AJ785" s="44"/>
      <c r="AK785" s="43"/>
      <c r="AS785" s="14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  <c r="FR785" s="18"/>
      <c r="FS785" s="18"/>
      <c r="FT785" s="18"/>
      <c r="FU785" s="18"/>
      <c r="FV785" s="18"/>
      <c r="FW785" s="18"/>
      <c r="FX785" s="18"/>
      <c r="FY785" s="18"/>
      <c r="FZ785" s="18"/>
      <c r="GA785" s="18"/>
      <c r="GB785" s="18"/>
      <c r="GC785" s="18"/>
      <c r="GD785" s="18"/>
      <c r="GE785" s="18"/>
      <c r="GF785" s="18"/>
      <c r="GG785" s="18"/>
      <c r="GH785" s="18"/>
      <c r="GI785" s="18"/>
      <c r="GJ785" s="18"/>
      <c r="GK785" s="18"/>
      <c r="GL785" s="18"/>
      <c r="GM785" s="18"/>
      <c r="GN785" s="18"/>
      <c r="GO785" s="18"/>
      <c r="GP785" s="18"/>
      <c r="GQ785" s="18"/>
      <c r="GR785" s="18"/>
      <c r="GS785" s="18"/>
      <c r="GT785" s="18"/>
      <c r="GU785" s="18"/>
      <c r="GV785" s="18"/>
      <c r="GW785" s="18"/>
      <c r="GX785" s="18"/>
      <c r="GY785" s="18"/>
      <c r="GZ785" s="18"/>
      <c r="HA785" s="18"/>
      <c r="HB785" s="18"/>
      <c r="HC785" s="18"/>
      <c r="HD785" s="18"/>
      <c r="HE785" s="18"/>
      <c r="HF785" s="18"/>
      <c r="HG785" s="13"/>
      <c r="HH785" s="13"/>
      <c r="HI785" s="13"/>
      <c r="HJ785" s="13"/>
      <c r="HK785" s="13"/>
      <c r="HL785" s="13"/>
      <c r="HM785" s="13"/>
      <c r="HN785" s="13"/>
      <c r="HO785" s="13"/>
      <c r="HP785" s="13"/>
      <c r="HQ785" s="13"/>
      <c r="HR785" s="13"/>
      <c r="HS785" s="13"/>
      <c r="HT785" s="13"/>
      <c r="HU785" s="18"/>
      <c r="HV785" s="18"/>
      <c r="HW785" s="18"/>
      <c r="HX785" s="18"/>
      <c r="HY785" s="18"/>
      <c r="HZ785" s="18"/>
      <c r="IA785" s="18"/>
      <c r="IB785" s="18"/>
      <c r="IC785" s="18"/>
      <c r="ID785" s="18"/>
      <c r="IE785" s="18"/>
      <c r="IF785" s="18"/>
      <c r="IG785" s="18"/>
      <c r="IH785" s="18"/>
      <c r="II785" s="18"/>
      <c r="IJ785" s="18"/>
      <c r="IK785" s="18"/>
      <c r="IL785" s="18"/>
      <c r="IM785" s="18"/>
      <c r="IN785" s="18"/>
      <c r="IO785" s="18"/>
      <c r="IP785" s="18"/>
      <c r="IQ785" s="18"/>
      <c r="IR785" s="18"/>
      <c r="IS785" s="18"/>
      <c r="IT785" s="18"/>
      <c r="IU785" s="18"/>
      <c r="IV785" s="18"/>
      <c r="IW785" s="18"/>
      <c r="IX785" s="18"/>
      <c r="IY785" s="18"/>
      <c r="IZ785" s="18"/>
      <c r="JA785" s="18"/>
      <c r="JB785" s="18"/>
      <c r="JC785" s="18"/>
      <c r="JD785" s="18"/>
      <c r="JE785" s="18"/>
      <c r="JF785" s="18"/>
      <c r="JG785" s="18"/>
      <c r="JH785" s="18"/>
      <c r="JI785" s="18"/>
      <c r="JJ785" s="18"/>
      <c r="JK785" s="18"/>
      <c r="JL785" s="18"/>
      <c r="JM785" s="18"/>
      <c r="JN785" s="18"/>
      <c r="JO785" s="18"/>
      <c r="JP785" s="18"/>
      <c r="JQ785" s="18"/>
      <c r="JR785" s="18"/>
      <c r="JS785" s="18"/>
      <c r="JT785" s="18"/>
      <c r="JU785" s="18"/>
      <c r="JV785" s="18"/>
      <c r="JW785" s="18"/>
      <c r="JX785" s="18"/>
      <c r="JY785" s="18"/>
      <c r="JZ785" s="18"/>
      <c r="KA785" s="18"/>
      <c r="KB785" s="18"/>
      <c r="KC785" s="18"/>
      <c r="KD785" s="18"/>
      <c r="KE785" s="18"/>
      <c r="KF785" s="18"/>
      <c r="KG785" s="18"/>
      <c r="KH785" s="18"/>
      <c r="KI785" s="18"/>
      <c r="KJ785" s="18"/>
      <c r="KK785" s="18"/>
      <c r="KL785" s="18"/>
      <c r="KM785" s="18"/>
      <c r="KN785" s="18"/>
      <c r="KO785" s="18"/>
      <c r="KP785" s="18"/>
    </row>
    <row r="786" spans="1:302">
      <c r="A786" s="14"/>
      <c r="B786" s="14"/>
      <c r="F786" s="14"/>
      <c r="G786" s="23"/>
      <c r="H786" s="23"/>
      <c r="I786" s="23"/>
      <c r="J786" s="23"/>
      <c r="K786" s="14"/>
      <c r="L786" s="14"/>
      <c r="P786" s="14"/>
      <c r="AG786" s="44"/>
      <c r="AH786" s="44"/>
      <c r="AI786" s="45"/>
      <c r="AJ786" s="44"/>
      <c r="AK786" s="43"/>
      <c r="AS786" s="14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  <c r="EW786" s="18"/>
      <c r="EX786" s="18"/>
      <c r="EY786" s="18"/>
      <c r="EZ786" s="18"/>
      <c r="FA786" s="18"/>
      <c r="FB786" s="18"/>
      <c r="FC786" s="18"/>
      <c r="FD786" s="18"/>
      <c r="FE786" s="18"/>
      <c r="FF786" s="18"/>
      <c r="FG786" s="18"/>
      <c r="FH786" s="18"/>
      <c r="FI786" s="18"/>
      <c r="FJ786" s="18"/>
      <c r="FK786" s="18"/>
      <c r="FL786" s="18"/>
      <c r="FM786" s="18"/>
      <c r="FN786" s="18"/>
      <c r="FO786" s="18"/>
      <c r="FP786" s="18"/>
      <c r="FQ786" s="18"/>
      <c r="FR786" s="18"/>
      <c r="FS786" s="18"/>
      <c r="FT786" s="18"/>
      <c r="FU786" s="18"/>
      <c r="FV786" s="18"/>
      <c r="FW786" s="18"/>
      <c r="FX786" s="18"/>
      <c r="FY786" s="18"/>
      <c r="FZ786" s="18"/>
      <c r="GA786" s="18"/>
      <c r="GB786" s="18"/>
      <c r="GC786" s="18"/>
      <c r="GD786" s="18"/>
      <c r="GE786" s="18"/>
      <c r="GF786" s="18"/>
      <c r="GG786" s="18"/>
      <c r="GH786" s="18"/>
      <c r="GI786" s="18"/>
      <c r="GJ786" s="18"/>
      <c r="GK786" s="18"/>
      <c r="GL786" s="18"/>
      <c r="GM786" s="18"/>
      <c r="GN786" s="18"/>
      <c r="GO786" s="18"/>
      <c r="GP786" s="18"/>
      <c r="GQ786" s="18"/>
      <c r="GR786" s="18"/>
      <c r="GS786" s="18"/>
      <c r="GT786" s="18"/>
      <c r="GU786" s="18"/>
      <c r="GV786" s="18"/>
      <c r="GW786" s="18"/>
      <c r="GX786" s="18"/>
      <c r="GY786" s="18"/>
      <c r="GZ786" s="18"/>
      <c r="HA786" s="18"/>
      <c r="HB786" s="18"/>
      <c r="HC786" s="18"/>
      <c r="HD786" s="18"/>
      <c r="HE786" s="18"/>
      <c r="HF786" s="18"/>
      <c r="HG786" s="13"/>
      <c r="HH786" s="13"/>
      <c r="HI786" s="13"/>
      <c r="HJ786" s="13"/>
      <c r="HK786" s="13"/>
      <c r="HL786" s="13"/>
      <c r="HM786" s="13"/>
      <c r="HN786" s="13"/>
      <c r="HO786" s="13"/>
      <c r="HP786" s="13"/>
      <c r="HQ786" s="13"/>
      <c r="HR786" s="13"/>
      <c r="HS786" s="13"/>
      <c r="HT786" s="13"/>
      <c r="HU786" s="18"/>
      <c r="HV786" s="18"/>
      <c r="HW786" s="18"/>
      <c r="HX786" s="18"/>
      <c r="HY786" s="18"/>
      <c r="HZ786" s="18"/>
      <c r="IA786" s="18"/>
      <c r="IB786" s="18"/>
      <c r="IC786" s="18"/>
      <c r="ID786" s="18"/>
      <c r="IE786" s="18"/>
      <c r="IF786" s="18"/>
      <c r="IG786" s="18"/>
      <c r="IH786" s="18"/>
      <c r="II786" s="18"/>
      <c r="IJ786" s="18"/>
      <c r="IK786" s="18"/>
      <c r="IL786" s="18"/>
      <c r="IM786" s="18"/>
      <c r="IN786" s="18"/>
      <c r="IO786" s="18"/>
      <c r="IP786" s="18"/>
      <c r="IQ786" s="18"/>
      <c r="IR786" s="18"/>
      <c r="IS786" s="18"/>
      <c r="IT786" s="18"/>
      <c r="IU786" s="18"/>
      <c r="IV786" s="18"/>
      <c r="IW786" s="18"/>
      <c r="IX786" s="18"/>
      <c r="IY786" s="18"/>
      <c r="IZ786" s="18"/>
      <c r="JA786" s="18"/>
      <c r="JB786" s="18"/>
      <c r="JC786" s="18"/>
      <c r="JD786" s="18"/>
      <c r="JE786" s="18"/>
      <c r="JF786" s="18"/>
      <c r="JG786" s="18"/>
      <c r="JH786" s="18"/>
      <c r="JI786" s="18"/>
      <c r="JJ786" s="18"/>
      <c r="JK786" s="18"/>
      <c r="JL786" s="18"/>
      <c r="JM786" s="18"/>
      <c r="JN786" s="18"/>
      <c r="JO786" s="18"/>
      <c r="JP786" s="18"/>
      <c r="JQ786" s="18"/>
      <c r="JR786" s="18"/>
      <c r="JS786" s="18"/>
      <c r="JT786" s="18"/>
      <c r="JU786" s="18"/>
      <c r="JV786" s="18"/>
      <c r="JW786" s="18"/>
      <c r="JX786" s="18"/>
      <c r="JY786" s="18"/>
      <c r="JZ786" s="18"/>
      <c r="KA786" s="18"/>
      <c r="KB786" s="18"/>
      <c r="KC786" s="18"/>
      <c r="KD786" s="18"/>
      <c r="KE786" s="18"/>
      <c r="KF786" s="18"/>
      <c r="KG786" s="18"/>
      <c r="KH786" s="18"/>
      <c r="KI786" s="18"/>
      <c r="KJ786" s="18"/>
      <c r="KK786" s="18"/>
      <c r="KL786" s="18"/>
      <c r="KM786" s="18"/>
      <c r="KN786" s="18"/>
      <c r="KO786" s="18"/>
      <c r="KP786" s="18"/>
    </row>
    <row r="787" spans="1:302">
      <c r="A787" s="14"/>
      <c r="B787" s="14"/>
      <c r="F787" s="14"/>
      <c r="G787" s="23"/>
      <c r="H787" s="23"/>
      <c r="I787" s="23"/>
      <c r="J787" s="23"/>
      <c r="K787" s="14"/>
      <c r="L787" s="14"/>
      <c r="P787" s="14"/>
      <c r="AG787" s="44"/>
      <c r="AH787" s="44"/>
      <c r="AI787" s="45"/>
      <c r="AJ787" s="44"/>
      <c r="AK787" s="43"/>
      <c r="AS787" s="14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  <c r="EW787" s="18"/>
      <c r="EX787" s="18"/>
      <c r="EY787" s="18"/>
      <c r="EZ787" s="18"/>
      <c r="FA787" s="18"/>
      <c r="FB787" s="18"/>
      <c r="FC787" s="18"/>
      <c r="FD787" s="18"/>
      <c r="FE787" s="18"/>
      <c r="FF787" s="18"/>
      <c r="FG787" s="18"/>
      <c r="FH787" s="18"/>
      <c r="FI787" s="18"/>
      <c r="FJ787" s="18"/>
      <c r="FK787" s="18"/>
      <c r="FL787" s="18"/>
      <c r="FM787" s="18"/>
      <c r="FN787" s="18"/>
      <c r="FO787" s="18"/>
      <c r="FP787" s="18"/>
      <c r="FQ787" s="18"/>
      <c r="FR787" s="18"/>
      <c r="FS787" s="18"/>
      <c r="FT787" s="18"/>
      <c r="FU787" s="18"/>
      <c r="FV787" s="18"/>
      <c r="FW787" s="18"/>
      <c r="FX787" s="18"/>
      <c r="FY787" s="18"/>
      <c r="FZ787" s="18"/>
      <c r="GA787" s="18"/>
      <c r="GB787" s="18"/>
      <c r="GC787" s="18"/>
      <c r="GD787" s="18"/>
      <c r="GE787" s="18"/>
      <c r="GF787" s="18"/>
      <c r="GG787" s="18"/>
      <c r="GH787" s="18"/>
      <c r="GI787" s="18"/>
      <c r="GJ787" s="18"/>
      <c r="GK787" s="18"/>
      <c r="GL787" s="18"/>
      <c r="GM787" s="18"/>
      <c r="GN787" s="18"/>
      <c r="GO787" s="18"/>
      <c r="GP787" s="18"/>
      <c r="GQ787" s="18"/>
      <c r="GR787" s="18"/>
      <c r="GS787" s="18"/>
      <c r="GT787" s="18"/>
      <c r="GU787" s="18"/>
      <c r="GV787" s="18"/>
      <c r="GW787" s="18"/>
      <c r="GX787" s="18"/>
      <c r="GY787" s="18"/>
      <c r="GZ787" s="18"/>
      <c r="HA787" s="18"/>
      <c r="HB787" s="18"/>
      <c r="HC787" s="18"/>
      <c r="HD787" s="18"/>
      <c r="HE787" s="18"/>
      <c r="HF787" s="18"/>
      <c r="HG787" s="13"/>
      <c r="HH787" s="13"/>
      <c r="HI787" s="13"/>
      <c r="HJ787" s="13"/>
      <c r="HK787" s="13"/>
      <c r="HL787" s="13"/>
      <c r="HM787" s="13"/>
      <c r="HN787" s="13"/>
      <c r="HO787" s="13"/>
      <c r="HP787" s="13"/>
      <c r="HQ787" s="13"/>
      <c r="HR787" s="13"/>
      <c r="HS787" s="13"/>
      <c r="HT787" s="13"/>
      <c r="HU787" s="18"/>
      <c r="HV787" s="18"/>
      <c r="HW787" s="18"/>
      <c r="HX787" s="18"/>
      <c r="HY787" s="18"/>
      <c r="HZ787" s="18"/>
      <c r="IA787" s="18"/>
      <c r="IB787" s="18"/>
      <c r="IC787" s="18"/>
      <c r="ID787" s="18"/>
      <c r="IE787" s="18"/>
      <c r="IF787" s="18"/>
      <c r="IG787" s="18"/>
      <c r="IH787" s="18"/>
      <c r="II787" s="18"/>
      <c r="IJ787" s="18"/>
      <c r="IK787" s="18"/>
      <c r="IL787" s="18"/>
      <c r="IM787" s="18"/>
      <c r="IN787" s="18"/>
      <c r="IO787" s="18"/>
      <c r="IP787" s="18"/>
      <c r="IQ787" s="18"/>
      <c r="IR787" s="18"/>
      <c r="IS787" s="18"/>
      <c r="IT787" s="18"/>
      <c r="IU787" s="18"/>
      <c r="IV787" s="18"/>
      <c r="IW787" s="18"/>
      <c r="IX787" s="18"/>
      <c r="IY787" s="18"/>
      <c r="IZ787" s="18"/>
      <c r="JA787" s="18"/>
      <c r="JB787" s="18"/>
      <c r="JC787" s="18"/>
      <c r="JD787" s="18"/>
      <c r="JE787" s="18"/>
      <c r="JF787" s="18"/>
      <c r="JG787" s="18"/>
      <c r="JH787" s="18"/>
      <c r="JI787" s="18"/>
      <c r="JJ787" s="18"/>
      <c r="JK787" s="18"/>
      <c r="JL787" s="18"/>
      <c r="JM787" s="18"/>
      <c r="JN787" s="18"/>
      <c r="JO787" s="18"/>
      <c r="JP787" s="18"/>
      <c r="JQ787" s="18"/>
      <c r="JR787" s="18"/>
      <c r="JS787" s="18"/>
      <c r="JT787" s="18"/>
      <c r="JU787" s="18"/>
      <c r="JV787" s="18"/>
      <c r="JW787" s="18"/>
      <c r="JX787" s="18"/>
      <c r="JY787" s="18"/>
      <c r="JZ787" s="18"/>
      <c r="KA787" s="18"/>
      <c r="KB787" s="18"/>
      <c r="KC787" s="18"/>
      <c r="KD787" s="18"/>
      <c r="KE787" s="18"/>
      <c r="KF787" s="18"/>
      <c r="KG787" s="18"/>
      <c r="KH787" s="18"/>
      <c r="KI787" s="18"/>
      <c r="KJ787" s="18"/>
      <c r="KK787" s="18"/>
      <c r="KL787" s="18"/>
      <c r="KM787" s="18"/>
      <c r="KN787" s="18"/>
      <c r="KO787" s="18"/>
      <c r="KP787" s="18"/>
    </row>
    <row r="788" spans="1:302">
      <c r="A788" s="14"/>
      <c r="B788" s="14"/>
      <c r="F788" s="14"/>
      <c r="G788" s="23"/>
      <c r="H788" s="23"/>
      <c r="I788" s="23"/>
      <c r="J788" s="23"/>
      <c r="K788" s="14"/>
      <c r="L788" s="14"/>
      <c r="P788" s="14"/>
      <c r="AG788" s="44"/>
      <c r="AH788" s="44"/>
      <c r="AI788" s="45"/>
      <c r="AJ788" s="44"/>
      <c r="AK788" s="43"/>
      <c r="AS788" s="14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  <c r="EW788" s="18"/>
      <c r="EX788" s="18"/>
      <c r="EY788" s="18"/>
      <c r="EZ788" s="18"/>
      <c r="FA788" s="18"/>
      <c r="FB788" s="18"/>
      <c r="FC788" s="18"/>
      <c r="FD788" s="18"/>
      <c r="FE788" s="18"/>
      <c r="FF788" s="18"/>
      <c r="FG788" s="18"/>
      <c r="FH788" s="18"/>
      <c r="FI788" s="18"/>
      <c r="FJ788" s="18"/>
      <c r="FK788" s="18"/>
      <c r="FL788" s="18"/>
      <c r="FM788" s="18"/>
      <c r="FN788" s="18"/>
      <c r="FO788" s="18"/>
      <c r="FP788" s="18"/>
      <c r="FQ788" s="18"/>
      <c r="FR788" s="18"/>
      <c r="FS788" s="18"/>
      <c r="FT788" s="18"/>
      <c r="FU788" s="18"/>
      <c r="FV788" s="18"/>
      <c r="FW788" s="18"/>
      <c r="FX788" s="18"/>
      <c r="FY788" s="18"/>
      <c r="FZ788" s="18"/>
      <c r="GA788" s="18"/>
      <c r="GB788" s="18"/>
      <c r="GC788" s="18"/>
      <c r="GD788" s="18"/>
      <c r="GE788" s="18"/>
      <c r="GF788" s="18"/>
      <c r="GG788" s="18"/>
      <c r="GH788" s="18"/>
      <c r="GI788" s="18"/>
      <c r="GJ788" s="18"/>
      <c r="GK788" s="18"/>
      <c r="GL788" s="18"/>
      <c r="GM788" s="18"/>
      <c r="GN788" s="18"/>
      <c r="GO788" s="18"/>
      <c r="GP788" s="18"/>
      <c r="GQ788" s="18"/>
      <c r="GR788" s="18"/>
      <c r="GS788" s="18"/>
      <c r="GT788" s="18"/>
      <c r="GU788" s="18"/>
      <c r="GV788" s="18"/>
      <c r="GW788" s="18"/>
      <c r="GX788" s="18"/>
      <c r="GY788" s="18"/>
      <c r="GZ788" s="18"/>
      <c r="HA788" s="18"/>
      <c r="HB788" s="18"/>
      <c r="HC788" s="18"/>
      <c r="HD788" s="18"/>
      <c r="HE788" s="18"/>
      <c r="HF788" s="18"/>
      <c r="HG788" s="13"/>
      <c r="HH788" s="13"/>
      <c r="HI788" s="13"/>
      <c r="HJ788" s="13"/>
      <c r="HK788" s="13"/>
      <c r="HL788" s="13"/>
      <c r="HM788" s="13"/>
      <c r="HN788" s="13"/>
      <c r="HO788" s="13"/>
      <c r="HP788" s="13"/>
      <c r="HQ788" s="13"/>
      <c r="HR788" s="13"/>
      <c r="HS788" s="13"/>
      <c r="HT788" s="13"/>
      <c r="HU788" s="18"/>
      <c r="HV788" s="18"/>
      <c r="HW788" s="18"/>
      <c r="HX788" s="18"/>
      <c r="HY788" s="18"/>
      <c r="HZ788" s="18"/>
      <c r="IA788" s="18"/>
      <c r="IB788" s="18"/>
      <c r="IC788" s="18"/>
      <c r="ID788" s="18"/>
      <c r="IE788" s="18"/>
      <c r="IF788" s="18"/>
      <c r="IG788" s="18"/>
      <c r="IH788" s="18"/>
      <c r="II788" s="18"/>
      <c r="IJ788" s="18"/>
      <c r="IK788" s="18"/>
      <c r="IL788" s="18"/>
      <c r="IM788" s="18"/>
      <c r="IN788" s="18"/>
      <c r="IO788" s="18"/>
      <c r="IP788" s="18"/>
      <c r="IQ788" s="18"/>
      <c r="IR788" s="18"/>
      <c r="IS788" s="18"/>
      <c r="IT788" s="18"/>
      <c r="IU788" s="18"/>
      <c r="IV788" s="18"/>
      <c r="IW788" s="18"/>
      <c r="IX788" s="18"/>
      <c r="IY788" s="18"/>
      <c r="IZ788" s="18"/>
      <c r="JA788" s="18"/>
      <c r="JB788" s="18"/>
      <c r="JC788" s="18"/>
      <c r="JD788" s="18"/>
      <c r="JE788" s="18"/>
      <c r="JF788" s="18"/>
      <c r="JG788" s="18"/>
      <c r="JH788" s="18"/>
      <c r="JI788" s="18"/>
      <c r="JJ788" s="18"/>
      <c r="JK788" s="18"/>
      <c r="JL788" s="18"/>
      <c r="JM788" s="18"/>
      <c r="JN788" s="18"/>
      <c r="JO788" s="18"/>
      <c r="JP788" s="18"/>
      <c r="JQ788" s="18"/>
      <c r="JR788" s="18"/>
      <c r="JS788" s="18"/>
      <c r="JT788" s="18"/>
      <c r="JU788" s="18"/>
      <c r="JV788" s="18"/>
      <c r="JW788" s="18"/>
      <c r="JX788" s="18"/>
      <c r="JY788" s="18"/>
      <c r="JZ788" s="18"/>
      <c r="KA788" s="18"/>
      <c r="KB788" s="18"/>
      <c r="KC788" s="18"/>
      <c r="KD788" s="18"/>
      <c r="KE788" s="18"/>
      <c r="KF788" s="18"/>
      <c r="KG788" s="18"/>
      <c r="KH788" s="18"/>
      <c r="KI788" s="18"/>
      <c r="KJ788" s="18"/>
      <c r="KK788" s="18"/>
      <c r="KL788" s="18"/>
      <c r="KM788" s="18"/>
      <c r="KN788" s="18"/>
      <c r="KO788" s="18"/>
      <c r="KP788" s="18"/>
    </row>
    <row r="789" spans="1:302">
      <c r="A789" s="14"/>
      <c r="B789" s="14"/>
      <c r="F789" s="14"/>
      <c r="G789" s="23"/>
      <c r="H789" s="23"/>
      <c r="I789" s="23"/>
      <c r="J789" s="23"/>
      <c r="K789" s="14"/>
      <c r="L789" s="14"/>
      <c r="P789" s="14"/>
      <c r="AG789" s="44"/>
      <c r="AH789" s="44"/>
      <c r="AI789" s="45"/>
      <c r="AJ789" s="44"/>
      <c r="AK789" s="43"/>
      <c r="AS789" s="14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  <c r="EW789" s="18"/>
      <c r="EX789" s="18"/>
      <c r="EY789" s="18"/>
      <c r="EZ789" s="18"/>
      <c r="FA789" s="18"/>
      <c r="FB789" s="18"/>
      <c r="FC789" s="18"/>
      <c r="FD789" s="18"/>
      <c r="FE789" s="18"/>
      <c r="FF789" s="18"/>
      <c r="FG789" s="18"/>
      <c r="FH789" s="18"/>
      <c r="FI789" s="18"/>
      <c r="FJ789" s="18"/>
      <c r="FK789" s="18"/>
      <c r="FL789" s="18"/>
      <c r="FM789" s="18"/>
      <c r="FN789" s="18"/>
      <c r="FO789" s="18"/>
      <c r="FP789" s="18"/>
      <c r="FQ789" s="18"/>
      <c r="FR789" s="18"/>
      <c r="FS789" s="18"/>
      <c r="FT789" s="18"/>
      <c r="FU789" s="18"/>
      <c r="FV789" s="18"/>
      <c r="FW789" s="18"/>
      <c r="FX789" s="18"/>
      <c r="FY789" s="18"/>
      <c r="FZ789" s="18"/>
      <c r="GA789" s="18"/>
      <c r="GB789" s="18"/>
      <c r="GC789" s="18"/>
      <c r="GD789" s="18"/>
      <c r="GE789" s="18"/>
      <c r="GF789" s="18"/>
      <c r="GG789" s="18"/>
      <c r="GH789" s="18"/>
      <c r="GI789" s="18"/>
      <c r="GJ789" s="18"/>
      <c r="GK789" s="18"/>
      <c r="GL789" s="18"/>
      <c r="GM789" s="18"/>
      <c r="GN789" s="18"/>
      <c r="GO789" s="18"/>
      <c r="GP789" s="18"/>
      <c r="GQ789" s="18"/>
      <c r="GR789" s="18"/>
      <c r="GS789" s="18"/>
      <c r="GT789" s="18"/>
      <c r="GU789" s="18"/>
      <c r="GV789" s="18"/>
      <c r="GW789" s="18"/>
      <c r="GX789" s="18"/>
      <c r="GY789" s="18"/>
      <c r="GZ789" s="18"/>
      <c r="HA789" s="18"/>
      <c r="HB789" s="18"/>
      <c r="HC789" s="18"/>
      <c r="HD789" s="18"/>
      <c r="HE789" s="18"/>
      <c r="HF789" s="18"/>
      <c r="HG789" s="13"/>
      <c r="HH789" s="13"/>
      <c r="HI789" s="13"/>
      <c r="HJ789" s="13"/>
      <c r="HK789" s="13"/>
      <c r="HL789" s="13"/>
      <c r="HM789" s="13"/>
      <c r="HN789" s="13"/>
      <c r="HO789" s="13"/>
      <c r="HP789" s="13"/>
      <c r="HQ789" s="13"/>
      <c r="HR789" s="13"/>
      <c r="HS789" s="13"/>
      <c r="HT789" s="13"/>
      <c r="HU789" s="18"/>
      <c r="HV789" s="18"/>
      <c r="HW789" s="18"/>
      <c r="HX789" s="18"/>
      <c r="HY789" s="18"/>
      <c r="HZ789" s="18"/>
      <c r="IA789" s="18"/>
      <c r="IB789" s="18"/>
      <c r="IC789" s="18"/>
      <c r="ID789" s="18"/>
      <c r="IE789" s="18"/>
      <c r="IF789" s="18"/>
      <c r="IG789" s="18"/>
      <c r="IH789" s="18"/>
      <c r="II789" s="18"/>
      <c r="IJ789" s="18"/>
      <c r="IK789" s="18"/>
      <c r="IL789" s="18"/>
      <c r="IM789" s="18"/>
      <c r="IN789" s="18"/>
      <c r="IO789" s="18"/>
      <c r="IP789" s="18"/>
      <c r="IQ789" s="18"/>
      <c r="IR789" s="18"/>
      <c r="IS789" s="18"/>
      <c r="IT789" s="18"/>
      <c r="IU789" s="18"/>
      <c r="IV789" s="18"/>
      <c r="IW789" s="18"/>
      <c r="IX789" s="18"/>
      <c r="IY789" s="18"/>
      <c r="IZ789" s="18"/>
      <c r="JA789" s="18"/>
      <c r="JB789" s="18"/>
      <c r="JC789" s="18"/>
      <c r="JD789" s="18"/>
      <c r="JE789" s="18"/>
      <c r="JF789" s="18"/>
      <c r="JG789" s="18"/>
      <c r="JH789" s="18"/>
      <c r="JI789" s="18"/>
      <c r="JJ789" s="18"/>
      <c r="JK789" s="18"/>
      <c r="JL789" s="18"/>
      <c r="JM789" s="18"/>
      <c r="JN789" s="18"/>
      <c r="JO789" s="18"/>
      <c r="JP789" s="18"/>
      <c r="JQ789" s="18"/>
      <c r="JR789" s="18"/>
      <c r="JS789" s="18"/>
      <c r="JT789" s="18"/>
      <c r="JU789" s="18"/>
      <c r="JV789" s="18"/>
      <c r="JW789" s="18"/>
      <c r="JX789" s="18"/>
      <c r="JY789" s="18"/>
      <c r="JZ789" s="18"/>
      <c r="KA789" s="18"/>
      <c r="KB789" s="18"/>
      <c r="KC789" s="18"/>
      <c r="KD789" s="18"/>
      <c r="KE789" s="18"/>
      <c r="KF789" s="18"/>
      <c r="KG789" s="18"/>
      <c r="KH789" s="18"/>
      <c r="KI789" s="18"/>
      <c r="KJ789" s="18"/>
      <c r="KK789" s="18"/>
      <c r="KL789" s="18"/>
      <c r="KM789" s="18"/>
      <c r="KN789" s="18"/>
      <c r="KO789" s="18"/>
      <c r="KP789" s="18"/>
    </row>
    <row r="790" spans="1:302">
      <c r="A790" s="14"/>
      <c r="B790" s="14"/>
      <c r="F790" s="14"/>
      <c r="G790" s="23"/>
      <c r="H790" s="23"/>
      <c r="I790" s="23"/>
      <c r="J790" s="23"/>
      <c r="K790" s="14"/>
      <c r="L790" s="14"/>
      <c r="P790" s="14"/>
      <c r="AG790" s="44"/>
      <c r="AH790" s="44"/>
      <c r="AI790" s="45"/>
      <c r="AJ790" s="44"/>
      <c r="AK790" s="43"/>
      <c r="AS790" s="14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  <c r="FR790" s="18"/>
      <c r="FS790" s="18"/>
      <c r="FT790" s="18"/>
      <c r="FU790" s="18"/>
      <c r="FV790" s="18"/>
      <c r="FW790" s="18"/>
      <c r="FX790" s="18"/>
      <c r="FY790" s="18"/>
      <c r="FZ790" s="18"/>
      <c r="GA790" s="18"/>
      <c r="GB790" s="18"/>
      <c r="GC790" s="18"/>
      <c r="GD790" s="18"/>
      <c r="GE790" s="18"/>
      <c r="GF790" s="18"/>
      <c r="GG790" s="18"/>
      <c r="GH790" s="18"/>
      <c r="GI790" s="18"/>
      <c r="GJ790" s="18"/>
      <c r="GK790" s="18"/>
      <c r="GL790" s="18"/>
      <c r="GM790" s="18"/>
      <c r="GN790" s="18"/>
      <c r="GO790" s="18"/>
      <c r="GP790" s="18"/>
      <c r="GQ790" s="18"/>
      <c r="GR790" s="18"/>
      <c r="GS790" s="18"/>
      <c r="GT790" s="18"/>
      <c r="GU790" s="18"/>
      <c r="GV790" s="18"/>
      <c r="GW790" s="18"/>
      <c r="GX790" s="18"/>
      <c r="GY790" s="18"/>
      <c r="GZ790" s="18"/>
      <c r="HA790" s="18"/>
      <c r="HB790" s="18"/>
      <c r="HC790" s="18"/>
      <c r="HD790" s="18"/>
      <c r="HE790" s="18"/>
      <c r="HF790" s="18"/>
      <c r="HG790" s="13"/>
      <c r="HH790" s="13"/>
      <c r="HI790" s="13"/>
      <c r="HJ790" s="13"/>
      <c r="HK790" s="13"/>
      <c r="HL790" s="13"/>
      <c r="HM790" s="13"/>
      <c r="HN790" s="13"/>
      <c r="HO790" s="13"/>
      <c r="HP790" s="13"/>
      <c r="HQ790" s="13"/>
      <c r="HR790" s="13"/>
      <c r="HS790" s="13"/>
      <c r="HT790" s="13"/>
      <c r="HU790" s="18"/>
      <c r="HV790" s="18"/>
      <c r="HW790" s="18"/>
      <c r="HX790" s="18"/>
      <c r="HY790" s="18"/>
      <c r="HZ790" s="18"/>
      <c r="IA790" s="18"/>
      <c r="IB790" s="18"/>
      <c r="IC790" s="18"/>
      <c r="ID790" s="18"/>
      <c r="IE790" s="18"/>
      <c r="IF790" s="18"/>
      <c r="IG790" s="18"/>
      <c r="IH790" s="18"/>
      <c r="II790" s="18"/>
      <c r="IJ790" s="18"/>
      <c r="IK790" s="18"/>
      <c r="IL790" s="18"/>
      <c r="IM790" s="18"/>
      <c r="IN790" s="18"/>
      <c r="IO790" s="18"/>
      <c r="IP790" s="18"/>
      <c r="IQ790" s="18"/>
      <c r="IR790" s="18"/>
      <c r="IS790" s="18"/>
      <c r="IT790" s="18"/>
      <c r="IU790" s="18"/>
      <c r="IV790" s="18"/>
      <c r="IW790" s="18"/>
      <c r="IX790" s="18"/>
      <c r="IY790" s="18"/>
      <c r="IZ790" s="18"/>
      <c r="JA790" s="18"/>
      <c r="JB790" s="18"/>
      <c r="JC790" s="18"/>
      <c r="JD790" s="18"/>
      <c r="JE790" s="18"/>
      <c r="JF790" s="18"/>
      <c r="JG790" s="18"/>
      <c r="JH790" s="18"/>
      <c r="JI790" s="18"/>
      <c r="JJ790" s="18"/>
      <c r="JK790" s="18"/>
      <c r="JL790" s="18"/>
      <c r="JM790" s="18"/>
      <c r="JN790" s="18"/>
      <c r="JO790" s="18"/>
      <c r="JP790" s="18"/>
      <c r="JQ790" s="18"/>
      <c r="JR790" s="18"/>
      <c r="JS790" s="18"/>
      <c r="JT790" s="18"/>
      <c r="JU790" s="18"/>
      <c r="JV790" s="18"/>
      <c r="JW790" s="18"/>
      <c r="JX790" s="18"/>
      <c r="JY790" s="18"/>
      <c r="JZ790" s="18"/>
      <c r="KA790" s="18"/>
      <c r="KB790" s="18"/>
      <c r="KC790" s="18"/>
      <c r="KD790" s="18"/>
      <c r="KE790" s="18"/>
      <c r="KF790" s="18"/>
      <c r="KG790" s="18"/>
      <c r="KH790" s="18"/>
      <c r="KI790" s="18"/>
      <c r="KJ790" s="18"/>
      <c r="KK790" s="18"/>
      <c r="KL790" s="18"/>
      <c r="KM790" s="18"/>
      <c r="KN790" s="18"/>
      <c r="KO790" s="18"/>
      <c r="KP790" s="18"/>
    </row>
    <row r="791" spans="1:302">
      <c r="A791" s="14"/>
      <c r="B791" s="14"/>
      <c r="F791" s="14"/>
      <c r="G791" s="23"/>
      <c r="H791" s="23"/>
      <c r="I791" s="23"/>
      <c r="J791" s="23"/>
      <c r="K791" s="14"/>
      <c r="L791" s="14"/>
      <c r="P791" s="14"/>
      <c r="AG791" s="44"/>
      <c r="AH791" s="44"/>
      <c r="AI791" s="45"/>
      <c r="AJ791" s="44"/>
      <c r="AK791" s="43"/>
      <c r="AS791" s="14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  <c r="FR791" s="18"/>
      <c r="FS791" s="18"/>
      <c r="FT791" s="18"/>
      <c r="FU791" s="18"/>
      <c r="FV791" s="18"/>
      <c r="FW791" s="18"/>
      <c r="FX791" s="18"/>
      <c r="FY791" s="18"/>
      <c r="FZ791" s="18"/>
      <c r="GA791" s="18"/>
      <c r="GB791" s="18"/>
      <c r="GC791" s="18"/>
      <c r="GD791" s="18"/>
      <c r="GE791" s="18"/>
      <c r="GF791" s="18"/>
      <c r="GG791" s="18"/>
      <c r="GH791" s="18"/>
      <c r="GI791" s="18"/>
      <c r="GJ791" s="18"/>
      <c r="GK791" s="18"/>
      <c r="GL791" s="18"/>
      <c r="GM791" s="18"/>
      <c r="GN791" s="18"/>
      <c r="GO791" s="18"/>
      <c r="GP791" s="18"/>
      <c r="GQ791" s="18"/>
      <c r="GR791" s="18"/>
      <c r="GS791" s="18"/>
      <c r="GT791" s="18"/>
      <c r="GU791" s="18"/>
      <c r="GV791" s="18"/>
      <c r="GW791" s="18"/>
      <c r="GX791" s="18"/>
      <c r="GY791" s="18"/>
      <c r="GZ791" s="18"/>
      <c r="HA791" s="18"/>
      <c r="HB791" s="18"/>
      <c r="HC791" s="18"/>
      <c r="HD791" s="18"/>
      <c r="HE791" s="18"/>
      <c r="HF791" s="18"/>
      <c r="HG791" s="13"/>
      <c r="HH791" s="13"/>
      <c r="HI791" s="13"/>
      <c r="HJ791" s="13"/>
      <c r="HK791" s="13"/>
      <c r="HL791" s="13"/>
      <c r="HM791" s="13"/>
      <c r="HN791" s="13"/>
      <c r="HO791" s="13"/>
      <c r="HP791" s="13"/>
      <c r="HQ791" s="13"/>
      <c r="HR791" s="13"/>
      <c r="HS791" s="13"/>
      <c r="HT791" s="13"/>
      <c r="HU791" s="18"/>
      <c r="HV791" s="18"/>
      <c r="HW791" s="18"/>
      <c r="HX791" s="18"/>
      <c r="HY791" s="18"/>
      <c r="HZ791" s="18"/>
      <c r="IA791" s="18"/>
      <c r="IB791" s="18"/>
      <c r="IC791" s="18"/>
      <c r="ID791" s="18"/>
      <c r="IE791" s="18"/>
      <c r="IF791" s="18"/>
      <c r="IG791" s="18"/>
      <c r="IH791" s="18"/>
      <c r="II791" s="18"/>
      <c r="IJ791" s="18"/>
      <c r="IK791" s="18"/>
      <c r="IL791" s="18"/>
      <c r="IM791" s="18"/>
      <c r="IN791" s="18"/>
      <c r="IO791" s="18"/>
      <c r="IP791" s="18"/>
      <c r="IQ791" s="18"/>
      <c r="IR791" s="18"/>
      <c r="IS791" s="18"/>
      <c r="IT791" s="18"/>
      <c r="IU791" s="18"/>
      <c r="IV791" s="18"/>
      <c r="IW791" s="18"/>
      <c r="IX791" s="18"/>
      <c r="IY791" s="18"/>
      <c r="IZ791" s="18"/>
      <c r="JA791" s="18"/>
      <c r="JB791" s="18"/>
      <c r="JC791" s="18"/>
      <c r="JD791" s="18"/>
      <c r="JE791" s="18"/>
      <c r="JF791" s="18"/>
      <c r="JG791" s="18"/>
      <c r="JH791" s="18"/>
      <c r="JI791" s="18"/>
      <c r="JJ791" s="18"/>
      <c r="JK791" s="18"/>
      <c r="JL791" s="18"/>
      <c r="JM791" s="18"/>
      <c r="JN791" s="18"/>
      <c r="JO791" s="18"/>
      <c r="JP791" s="18"/>
      <c r="JQ791" s="18"/>
      <c r="JR791" s="18"/>
      <c r="JS791" s="18"/>
      <c r="JT791" s="18"/>
      <c r="JU791" s="18"/>
      <c r="JV791" s="18"/>
      <c r="JW791" s="18"/>
      <c r="JX791" s="18"/>
      <c r="JY791" s="18"/>
      <c r="JZ791" s="18"/>
      <c r="KA791" s="18"/>
      <c r="KB791" s="18"/>
      <c r="KC791" s="18"/>
      <c r="KD791" s="18"/>
      <c r="KE791" s="18"/>
      <c r="KF791" s="18"/>
      <c r="KG791" s="18"/>
      <c r="KH791" s="18"/>
      <c r="KI791" s="18"/>
      <c r="KJ791" s="18"/>
      <c r="KK791" s="18"/>
      <c r="KL791" s="18"/>
      <c r="KM791" s="18"/>
      <c r="KN791" s="18"/>
      <c r="KO791" s="18"/>
      <c r="KP791" s="18"/>
    </row>
    <row r="792" spans="1:302">
      <c r="A792" s="14"/>
      <c r="B792" s="14"/>
      <c r="F792" s="14"/>
      <c r="G792" s="23"/>
      <c r="H792" s="23"/>
      <c r="I792" s="23"/>
      <c r="J792" s="23"/>
      <c r="K792" s="14"/>
      <c r="L792" s="14"/>
      <c r="P792" s="14"/>
      <c r="AG792" s="44"/>
      <c r="AH792" s="44"/>
      <c r="AI792" s="45"/>
      <c r="AJ792" s="44"/>
      <c r="AK792" s="43"/>
      <c r="AS792" s="14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  <c r="FR792" s="18"/>
      <c r="FS792" s="18"/>
      <c r="FT792" s="18"/>
      <c r="FU792" s="18"/>
      <c r="FV792" s="18"/>
      <c r="FW792" s="18"/>
      <c r="FX792" s="18"/>
      <c r="FY792" s="18"/>
      <c r="FZ792" s="18"/>
      <c r="GA792" s="18"/>
      <c r="GB792" s="18"/>
      <c r="GC792" s="18"/>
      <c r="GD792" s="18"/>
      <c r="GE792" s="18"/>
      <c r="GF792" s="18"/>
      <c r="GG792" s="18"/>
      <c r="GH792" s="18"/>
      <c r="GI792" s="18"/>
      <c r="GJ792" s="18"/>
      <c r="GK792" s="18"/>
      <c r="GL792" s="18"/>
      <c r="GM792" s="18"/>
      <c r="GN792" s="18"/>
      <c r="GO792" s="18"/>
      <c r="GP792" s="18"/>
      <c r="GQ792" s="18"/>
      <c r="GR792" s="18"/>
      <c r="GS792" s="18"/>
      <c r="GT792" s="18"/>
      <c r="GU792" s="18"/>
      <c r="GV792" s="18"/>
      <c r="GW792" s="18"/>
      <c r="GX792" s="18"/>
      <c r="GY792" s="18"/>
      <c r="GZ792" s="18"/>
      <c r="HA792" s="18"/>
      <c r="HB792" s="18"/>
      <c r="HC792" s="18"/>
      <c r="HD792" s="18"/>
      <c r="HE792" s="18"/>
      <c r="HF792" s="18"/>
      <c r="HG792" s="13"/>
      <c r="HH792" s="13"/>
      <c r="HI792" s="13"/>
      <c r="HJ792" s="13"/>
      <c r="HK792" s="13"/>
      <c r="HL792" s="13"/>
      <c r="HM792" s="13"/>
      <c r="HN792" s="13"/>
      <c r="HO792" s="13"/>
      <c r="HP792" s="13"/>
      <c r="HQ792" s="13"/>
      <c r="HR792" s="13"/>
      <c r="HS792" s="13"/>
      <c r="HT792" s="13"/>
      <c r="HU792" s="18"/>
      <c r="HV792" s="18"/>
      <c r="HW792" s="18"/>
      <c r="HX792" s="18"/>
      <c r="HY792" s="18"/>
      <c r="HZ792" s="18"/>
      <c r="IA792" s="18"/>
      <c r="IB792" s="18"/>
      <c r="IC792" s="18"/>
      <c r="ID792" s="18"/>
      <c r="IE792" s="18"/>
      <c r="IF792" s="18"/>
      <c r="IG792" s="18"/>
      <c r="IH792" s="18"/>
      <c r="II792" s="18"/>
      <c r="IJ792" s="18"/>
      <c r="IK792" s="18"/>
      <c r="IL792" s="18"/>
      <c r="IM792" s="18"/>
      <c r="IN792" s="18"/>
      <c r="IO792" s="18"/>
      <c r="IP792" s="18"/>
      <c r="IQ792" s="18"/>
      <c r="IR792" s="18"/>
      <c r="IS792" s="18"/>
      <c r="IT792" s="18"/>
      <c r="IU792" s="18"/>
      <c r="IV792" s="18"/>
      <c r="IW792" s="18"/>
      <c r="IX792" s="18"/>
      <c r="IY792" s="18"/>
      <c r="IZ792" s="18"/>
      <c r="JA792" s="18"/>
      <c r="JB792" s="18"/>
      <c r="JC792" s="18"/>
      <c r="JD792" s="18"/>
      <c r="JE792" s="18"/>
      <c r="JF792" s="18"/>
      <c r="JG792" s="18"/>
      <c r="JH792" s="18"/>
      <c r="JI792" s="18"/>
      <c r="JJ792" s="18"/>
      <c r="JK792" s="18"/>
      <c r="JL792" s="18"/>
      <c r="JM792" s="18"/>
      <c r="JN792" s="18"/>
      <c r="JO792" s="18"/>
      <c r="JP792" s="18"/>
      <c r="JQ792" s="18"/>
      <c r="JR792" s="18"/>
      <c r="JS792" s="18"/>
      <c r="JT792" s="18"/>
      <c r="JU792" s="18"/>
      <c r="JV792" s="18"/>
      <c r="JW792" s="18"/>
      <c r="JX792" s="18"/>
      <c r="JY792" s="18"/>
      <c r="JZ792" s="18"/>
      <c r="KA792" s="18"/>
      <c r="KB792" s="18"/>
      <c r="KC792" s="18"/>
      <c r="KD792" s="18"/>
      <c r="KE792" s="18"/>
      <c r="KF792" s="18"/>
      <c r="KG792" s="18"/>
      <c r="KH792" s="18"/>
      <c r="KI792" s="18"/>
      <c r="KJ792" s="18"/>
      <c r="KK792" s="18"/>
      <c r="KL792" s="18"/>
      <c r="KM792" s="18"/>
      <c r="KN792" s="18"/>
      <c r="KO792" s="18"/>
      <c r="KP792" s="18"/>
    </row>
    <row r="793" spans="1:302">
      <c r="A793" s="14"/>
      <c r="B793" s="14"/>
      <c r="F793" s="14"/>
      <c r="G793" s="23"/>
      <c r="H793" s="23"/>
      <c r="I793" s="23"/>
      <c r="J793" s="23"/>
      <c r="K793" s="14"/>
      <c r="L793" s="14"/>
      <c r="P793" s="14"/>
      <c r="AG793" s="44"/>
      <c r="AH793" s="44"/>
      <c r="AI793" s="45"/>
      <c r="AJ793" s="44"/>
      <c r="AK793" s="43"/>
      <c r="AS793" s="14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  <c r="EW793" s="18"/>
      <c r="EX793" s="18"/>
      <c r="EY793" s="18"/>
      <c r="EZ793" s="18"/>
      <c r="FA793" s="18"/>
      <c r="FB793" s="18"/>
      <c r="FC793" s="18"/>
      <c r="FD793" s="18"/>
      <c r="FE793" s="18"/>
      <c r="FF793" s="18"/>
      <c r="FG793" s="18"/>
      <c r="FH793" s="18"/>
      <c r="FI793" s="18"/>
      <c r="FJ793" s="18"/>
      <c r="FK793" s="18"/>
      <c r="FL793" s="18"/>
      <c r="FM793" s="18"/>
      <c r="FN793" s="18"/>
      <c r="FO793" s="18"/>
      <c r="FP793" s="18"/>
      <c r="FQ793" s="18"/>
      <c r="FR793" s="18"/>
      <c r="FS793" s="18"/>
      <c r="FT793" s="18"/>
      <c r="FU793" s="18"/>
      <c r="FV793" s="18"/>
      <c r="FW793" s="18"/>
      <c r="FX793" s="18"/>
      <c r="FY793" s="18"/>
      <c r="FZ793" s="18"/>
      <c r="GA793" s="18"/>
      <c r="GB793" s="18"/>
      <c r="GC793" s="18"/>
      <c r="GD793" s="18"/>
      <c r="GE793" s="18"/>
      <c r="GF793" s="18"/>
      <c r="GG793" s="18"/>
      <c r="GH793" s="18"/>
      <c r="GI793" s="18"/>
      <c r="GJ793" s="18"/>
      <c r="GK793" s="18"/>
      <c r="GL793" s="18"/>
      <c r="GM793" s="18"/>
      <c r="GN793" s="18"/>
      <c r="GO793" s="18"/>
      <c r="GP793" s="18"/>
      <c r="GQ793" s="18"/>
      <c r="GR793" s="18"/>
      <c r="GS793" s="18"/>
      <c r="GT793" s="18"/>
      <c r="GU793" s="18"/>
      <c r="GV793" s="18"/>
      <c r="GW793" s="18"/>
      <c r="GX793" s="18"/>
      <c r="GY793" s="18"/>
      <c r="GZ793" s="18"/>
      <c r="HA793" s="18"/>
      <c r="HB793" s="18"/>
      <c r="HC793" s="18"/>
      <c r="HD793" s="18"/>
      <c r="HE793" s="18"/>
      <c r="HF793" s="18"/>
      <c r="HG793" s="13"/>
      <c r="HH793" s="13"/>
      <c r="HI793" s="13"/>
      <c r="HJ793" s="13"/>
      <c r="HK793" s="13"/>
      <c r="HL793" s="13"/>
      <c r="HM793" s="13"/>
      <c r="HN793" s="13"/>
      <c r="HO793" s="13"/>
      <c r="HP793" s="13"/>
      <c r="HQ793" s="13"/>
      <c r="HR793" s="13"/>
      <c r="HS793" s="13"/>
      <c r="HT793" s="13"/>
      <c r="HU793" s="18"/>
      <c r="HV793" s="18"/>
      <c r="HW793" s="18"/>
      <c r="HX793" s="18"/>
      <c r="HY793" s="18"/>
      <c r="HZ793" s="18"/>
      <c r="IA793" s="18"/>
      <c r="IB793" s="18"/>
      <c r="IC793" s="18"/>
      <c r="ID793" s="18"/>
      <c r="IE793" s="18"/>
      <c r="IF793" s="18"/>
      <c r="IG793" s="18"/>
      <c r="IH793" s="18"/>
      <c r="II793" s="18"/>
      <c r="IJ793" s="18"/>
      <c r="IK793" s="18"/>
      <c r="IL793" s="18"/>
      <c r="IM793" s="18"/>
      <c r="IN793" s="18"/>
      <c r="IO793" s="18"/>
      <c r="IP793" s="18"/>
      <c r="IQ793" s="18"/>
      <c r="IR793" s="18"/>
      <c r="IS793" s="18"/>
      <c r="IT793" s="18"/>
      <c r="IU793" s="18"/>
      <c r="IV793" s="18"/>
      <c r="IW793" s="18"/>
      <c r="IX793" s="18"/>
      <c r="IY793" s="18"/>
      <c r="IZ793" s="18"/>
      <c r="JA793" s="18"/>
      <c r="JB793" s="18"/>
      <c r="JC793" s="18"/>
      <c r="JD793" s="18"/>
      <c r="JE793" s="18"/>
      <c r="JF793" s="18"/>
      <c r="JG793" s="18"/>
      <c r="JH793" s="18"/>
      <c r="JI793" s="18"/>
      <c r="JJ793" s="18"/>
      <c r="JK793" s="18"/>
      <c r="JL793" s="18"/>
      <c r="JM793" s="18"/>
      <c r="JN793" s="18"/>
      <c r="JO793" s="18"/>
      <c r="JP793" s="18"/>
      <c r="JQ793" s="18"/>
      <c r="JR793" s="18"/>
      <c r="JS793" s="18"/>
      <c r="JT793" s="18"/>
      <c r="JU793" s="18"/>
      <c r="JV793" s="18"/>
      <c r="JW793" s="18"/>
      <c r="JX793" s="18"/>
      <c r="JY793" s="18"/>
      <c r="JZ793" s="18"/>
      <c r="KA793" s="18"/>
      <c r="KB793" s="18"/>
      <c r="KC793" s="18"/>
      <c r="KD793" s="18"/>
      <c r="KE793" s="18"/>
      <c r="KF793" s="18"/>
      <c r="KG793" s="18"/>
      <c r="KH793" s="18"/>
      <c r="KI793" s="18"/>
      <c r="KJ793" s="18"/>
      <c r="KK793" s="18"/>
      <c r="KL793" s="18"/>
      <c r="KM793" s="18"/>
      <c r="KN793" s="18"/>
      <c r="KO793" s="18"/>
      <c r="KP793" s="18"/>
    </row>
    <row r="794" spans="1:302">
      <c r="A794" s="14"/>
      <c r="B794" s="14"/>
      <c r="F794" s="14"/>
      <c r="G794" s="23"/>
      <c r="H794" s="23"/>
      <c r="I794" s="23"/>
      <c r="J794" s="23"/>
      <c r="K794" s="14"/>
      <c r="L794" s="14"/>
      <c r="P794" s="14"/>
      <c r="AG794" s="44"/>
      <c r="AH794" s="44"/>
      <c r="AI794" s="45"/>
      <c r="AJ794" s="44"/>
      <c r="AK794" s="43"/>
      <c r="AS794" s="14"/>
      <c r="AT794" s="18"/>
      <c r="AU794" s="18"/>
      <c r="AV794" s="18"/>
      <c r="AW794" s="18"/>
      <c r="AX794" s="18"/>
      <c r="AY794" s="18"/>
      <c r="AZ794" s="18"/>
      <c r="BA794" s="18"/>
      <c r="BB794" s="18"/>
      <c r="BC794" s="18"/>
      <c r="BD794" s="18"/>
      <c r="BE794" s="18"/>
      <c r="BF794" s="18"/>
      <c r="BG794" s="18"/>
      <c r="BH794" s="18"/>
      <c r="BI794" s="18"/>
      <c r="BJ794" s="18"/>
      <c r="BK794" s="18"/>
      <c r="BL794" s="18"/>
      <c r="BM794" s="18"/>
      <c r="BN794" s="18"/>
      <c r="BO794" s="18"/>
      <c r="BP794" s="18"/>
      <c r="BQ794" s="18"/>
      <c r="BR794" s="18"/>
      <c r="BS794" s="18"/>
      <c r="BT794" s="18"/>
      <c r="BU794" s="18"/>
      <c r="BV794" s="18"/>
      <c r="BW794" s="18"/>
      <c r="BX794" s="18"/>
      <c r="BY794" s="18"/>
      <c r="BZ794" s="18"/>
      <c r="CA794" s="18"/>
      <c r="CB794" s="18"/>
      <c r="CC794" s="18"/>
      <c r="CD794" s="18"/>
      <c r="CE794" s="18"/>
      <c r="CF794" s="18"/>
      <c r="CG794" s="18"/>
      <c r="CH794" s="18"/>
      <c r="CI794" s="18"/>
      <c r="CJ794" s="18"/>
      <c r="CK794" s="18"/>
      <c r="CL794" s="18"/>
      <c r="CM794" s="18"/>
      <c r="CN794" s="18"/>
      <c r="CO794" s="18"/>
      <c r="CP794" s="18"/>
      <c r="CQ794" s="18"/>
      <c r="CR794" s="18"/>
      <c r="CS794" s="18"/>
      <c r="CT794" s="18"/>
      <c r="CU794" s="18"/>
      <c r="CV794" s="18"/>
      <c r="CW794" s="18"/>
      <c r="CX794" s="18"/>
      <c r="CY794" s="18"/>
      <c r="CZ794" s="18"/>
      <c r="DA794" s="18"/>
      <c r="DB794" s="18"/>
      <c r="DC794" s="18"/>
      <c r="DD794" s="18"/>
      <c r="DE794" s="18"/>
      <c r="DF794" s="18"/>
      <c r="DG794" s="18"/>
      <c r="DH794" s="18"/>
      <c r="DI794" s="18"/>
      <c r="DJ794" s="18"/>
      <c r="DK794" s="18"/>
      <c r="DL794" s="18"/>
      <c r="DM794" s="18"/>
      <c r="DN794" s="18"/>
      <c r="DO794" s="18"/>
      <c r="DP794" s="18"/>
      <c r="DQ794" s="18"/>
      <c r="DR794" s="18"/>
      <c r="DS794" s="18"/>
      <c r="DT794" s="18"/>
      <c r="DU794" s="18"/>
      <c r="DV794" s="18"/>
      <c r="DW794" s="18"/>
      <c r="DX794" s="18"/>
      <c r="DY794" s="18"/>
      <c r="DZ794" s="18"/>
      <c r="EA794" s="18"/>
      <c r="EB794" s="18"/>
      <c r="EC794" s="18"/>
      <c r="ED794" s="18"/>
      <c r="EE794" s="18"/>
      <c r="EF794" s="18"/>
      <c r="EG794" s="18"/>
      <c r="EH794" s="18"/>
      <c r="EI794" s="18"/>
      <c r="EJ794" s="18"/>
      <c r="EK794" s="18"/>
      <c r="EL794" s="18"/>
      <c r="EM794" s="18"/>
      <c r="EN794" s="18"/>
      <c r="EO794" s="18"/>
      <c r="EP794" s="18"/>
      <c r="EQ794" s="18"/>
      <c r="ER794" s="18"/>
      <c r="ES794" s="18"/>
      <c r="ET794" s="18"/>
      <c r="EU794" s="18"/>
      <c r="EV794" s="18"/>
      <c r="EW794" s="18"/>
      <c r="EX794" s="18"/>
      <c r="EY794" s="18"/>
      <c r="EZ794" s="18"/>
      <c r="FA794" s="18"/>
      <c r="FB794" s="18"/>
      <c r="FC794" s="18"/>
      <c r="FD794" s="18"/>
      <c r="FE794" s="18"/>
      <c r="FF794" s="18"/>
      <c r="FG794" s="18"/>
      <c r="FH794" s="18"/>
      <c r="FI794" s="18"/>
      <c r="FJ794" s="18"/>
      <c r="FK794" s="18"/>
      <c r="FL794" s="18"/>
      <c r="FM794" s="18"/>
      <c r="FN794" s="18"/>
      <c r="FO794" s="18"/>
      <c r="FP794" s="18"/>
      <c r="FQ794" s="18"/>
      <c r="FR794" s="18"/>
      <c r="FS794" s="18"/>
      <c r="FT794" s="18"/>
      <c r="FU794" s="18"/>
      <c r="FV794" s="18"/>
      <c r="FW794" s="18"/>
      <c r="FX794" s="18"/>
      <c r="FY794" s="18"/>
      <c r="FZ794" s="18"/>
      <c r="GA794" s="18"/>
      <c r="GB794" s="18"/>
      <c r="GC794" s="18"/>
      <c r="GD794" s="18"/>
      <c r="GE794" s="18"/>
      <c r="GF794" s="18"/>
      <c r="GG794" s="18"/>
      <c r="GH794" s="18"/>
      <c r="GI794" s="18"/>
      <c r="GJ794" s="18"/>
      <c r="GK794" s="18"/>
      <c r="GL794" s="18"/>
      <c r="GM794" s="18"/>
      <c r="GN794" s="18"/>
      <c r="GO794" s="18"/>
      <c r="GP794" s="18"/>
      <c r="GQ794" s="18"/>
      <c r="GR794" s="18"/>
      <c r="GS794" s="18"/>
      <c r="GT794" s="18"/>
      <c r="GU794" s="18"/>
      <c r="GV794" s="18"/>
      <c r="GW794" s="18"/>
      <c r="GX794" s="18"/>
      <c r="GY794" s="18"/>
      <c r="GZ794" s="18"/>
      <c r="HA794" s="18"/>
      <c r="HB794" s="18"/>
      <c r="HC794" s="18"/>
      <c r="HD794" s="18"/>
      <c r="HE794" s="18"/>
      <c r="HF794" s="18"/>
      <c r="HG794" s="13"/>
      <c r="HH794" s="13"/>
      <c r="HI794" s="13"/>
      <c r="HJ794" s="13"/>
      <c r="HK794" s="13"/>
      <c r="HL794" s="13"/>
      <c r="HM794" s="13"/>
      <c r="HN794" s="13"/>
      <c r="HO794" s="13"/>
      <c r="HP794" s="13"/>
      <c r="HQ794" s="13"/>
      <c r="HR794" s="13"/>
      <c r="HS794" s="13"/>
      <c r="HT794" s="13"/>
      <c r="HU794" s="18"/>
      <c r="HV794" s="18"/>
      <c r="HW794" s="18"/>
      <c r="HX794" s="18"/>
      <c r="HY794" s="18"/>
      <c r="HZ794" s="18"/>
      <c r="IA794" s="18"/>
      <c r="IB794" s="18"/>
      <c r="IC794" s="18"/>
      <c r="ID794" s="18"/>
      <c r="IE794" s="18"/>
      <c r="IF794" s="18"/>
      <c r="IG794" s="18"/>
      <c r="IH794" s="18"/>
      <c r="II794" s="18"/>
      <c r="IJ794" s="18"/>
      <c r="IK794" s="18"/>
      <c r="IL794" s="18"/>
      <c r="IM794" s="18"/>
      <c r="IN794" s="18"/>
      <c r="IO794" s="18"/>
      <c r="IP794" s="18"/>
      <c r="IQ794" s="18"/>
      <c r="IR794" s="18"/>
      <c r="IS794" s="18"/>
      <c r="IT794" s="18"/>
      <c r="IU794" s="18"/>
      <c r="IV794" s="18"/>
      <c r="IW794" s="18"/>
      <c r="IX794" s="18"/>
      <c r="IY794" s="18"/>
      <c r="IZ794" s="18"/>
      <c r="JA794" s="18"/>
      <c r="JB794" s="18"/>
      <c r="JC794" s="18"/>
      <c r="JD794" s="18"/>
      <c r="JE794" s="18"/>
      <c r="JF794" s="18"/>
      <c r="JG794" s="18"/>
      <c r="JH794" s="18"/>
      <c r="JI794" s="18"/>
      <c r="JJ794" s="18"/>
      <c r="JK794" s="18"/>
      <c r="JL794" s="18"/>
      <c r="JM794" s="18"/>
      <c r="JN794" s="18"/>
      <c r="JO794" s="18"/>
      <c r="JP794" s="18"/>
      <c r="JQ794" s="18"/>
      <c r="JR794" s="18"/>
      <c r="JS794" s="18"/>
      <c r="JT794" s="18"/>
      <c r="JU794" s="18"/>
      <c r="JV794" s="18"/>
      <c r="JW794" s="18"/>
      <c r="JX794" s="18"/>
      <c r="JY794" s="18"/>
      <c r="JZ794" s="18"/>
      <c r="KA794" s="18"/>
      <c r="KB794" s="18"/>
      <c r="KC794" s="18"/>
      <c r="KD794" s="18"/>
      <c r="KE794" s="18"/>
      <c r="KF794" s="18"/>
      <c r="KG794" s="18"/>
      <c r="KH794" s="18"/>
      <c r="KI794" s="18"/>
      <c r="KJ794" s="18"/>
      <c r="KK794" s="18"/>
      <c r="KL794" s="18"/>
      <c r="KM794" s="18"/>
      <c r="KN794" s="18"/>
      <c r="KO794" s="18"/>
      <c r="KP794" s="18"/>
    </row>
    <row r="795" spans="1:302">
      <c r="A795" s="14"/>
      <c r="B795" s="14"/>
      <c r="F795" s="14"/>
      <c r="G795" s="23"/>
      <c r="H795" s="23"/>
      <c r="I795" s="23"/>
      <c r="J795" s="23"/>
      <c r="K795" s="14"/>
      <c r="L795" s="14"/>
      <c r="P795" s="14"/>
      <c r="AG795" s="44"/>
      <c r="AH795" s="44"/>
      <c r="AI795" s="45"/>
      <c r="AJ795" s="44"/>
      <c r="AK795" s="43"/>
      <c r="AS795" s="14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  <c r="EW795" s="18"/>
      <c r="EX795" s="18"/>
      <c r="EY795" s="18"/>
      <c r="EZ795" s="18"/>
      <c r="FA795" s="18"/>
      <c r="FB795" s="18"/>
      <c r="FC795" s="18"/>
      <c r="FD795" s="18"/>
      <c r="FE795" s="18"/>
      <c r="FF795" s="18"/>
      <c r="FG795" s="18"/>
      <c r="FH795" s="18"/>
      <c r="FI795" s="18"/>
      <c r="FJ795" s="18"/>
      <c r="FK795" s="18"/>
      <c r="FL795" s="18"/>
      <c r="FM795" s="18"/>
      <c r="FN795" s="18"/>
      <c r="FO795" s="18"/>
      <c r="FP795" s="18"/>
      <c r="FQ795" s="18"/>
      <c r="FR795" s="18"/>
      <c r="FS795" s="18"/>
      <c r="FT795" s="18"/>
      <c r="FU795" s="18"/>
      <c r="FV795" s="18"/>
      <c r="FW795" s="18"/>
      <c r="FX795" s="18"/>
      <c r="FY795" s="18"/>
      <c r="FZ795" s="18"/>
      <c r="GA795" s="18"/>
      <c r="GB795" s="18"/>
      <c r="GC795" s="18"/>
      <c r="GD795" s="18"/>
      <c r="GE795" s="18"/>
      <c r="GF795" s="18"/>
      <c r="GG795" s="18"/>
      <c r="GH795" s="18"/>
      <c r="GI795" s="18"/>
      <c r="GJ795" s="18"/>
      <c r="GK795" s="18"/>
      <c r="GL795" s="18"/>
      <c r="GM795" s="18"/>
      <c r="GN795" s="18"/>
      <c r="GO795" s="18"/>
      <c r="GP795" s="18"/>
      <c r="GQ795" s="18"/>
      <c r="GR795" s="18"/>
      <c r="GS795" s="18"/>
      <c r="GT795" s="18"/>
      <c r="GU795" s="18"/>
      <c r="GV795" s="18"/>
      <c r="GW795" s="18"/>
      <c r="GX795" s="18"/>
      <c r="GY795" s="18"/>
      <c r="GZ795" s="18"/>
      <c r="HA795" s="18"/>
      <c r="HB795" s="18"/>
      <c r="HC795" s="18"/>
      <c r="HD795" s="18"/>
      <c r="HE795" s="18"/>
      <c r="HF795" s="18"/>
      <c r="HG795" s="13"/>
      <c r="HH795" s="13"/>
      <c r="HI795" s="13"/>
      <c r="HJ795" s="13"/>
      <c r="HK795" s="13"/>
      <c r="HL795" s="13"/>
      <c r="HM795" s="13"/>
      <c r="HN795" s="13"/>
      <c r="HO795" s="13"/>
      <c r="HP795" s="13"/>
      <c r="HQ795" s="13"/>
      <c r="HR795" s="13"/>
      <c r="HS795" s="13"/>
      <c r="HT795" s="13"/>
      <c r="HU795" s="18"/>
      <c r="HV795" s="18"/>
      <c r="HW795" s="18"/>
      <c r="HX795" s="18"/>
      <c r="HY795" s="18"/>
      <c r="HZ795" s="18"/>
      <c r="IA795" s="18"/>
      <c r="IB795" s="18"/>
      <c r="IC795" s="18"/>
      <c r="ID795" s="18"/>
      <c r="IE795" s="18"/>
      <c r="IF795" s="18"/>
      <c r="IG795" s="18"/>
      <c r="IH795" s="18"/>
      <c r="II795" s="18"/>
      <c r="IJ795" s="18"/>
      <c r="IK795" s="18"/>
      <c r="IL795" s="18"/>
      <c r="IM795" s="18"/>
      <c r="IN795" s="18"/>
      <c r="IO795" s="18"/>
      <c r="IP795" s="18"/>
      <c r="IQ795" s="18"/>
      <c r="IR795" s="18"/>
      <c r="IS795" s="18"/>
      <c r="IT795" s="18"/>
      <c r="IU795" s="18"/>
      <c r="IV795" s="18"/>
      <c r="IW795" s="18"/>
      <c r="IX795" s="18"/>
      <c r="IY795" s="18"/>
      <c r="IZ795" s="18"/>
      <c r="JA795" s="18"/>
      <c r="JB795" s="18"/>
      <c r="JC795" s="18"/>
      <c r="JD795" s="18"/>
      <c r="JE795" s="18"/>
      <c r="JF795" s="18"/>
      <c r="JG795" s="18"/>
      <c r="JH795" s="18"/>
      <c r="JI795" s="18"/>
      <c r="JJ795" s="18"/>
      <c r="JK795" s="18"/>
      <c r="JL795" s="18"/>
      <c r="JM795" s="18"/>
      <c r="JN795" s="18"/>
      <c r="JO795" s="18"/>
      <c r="JP795" s="18"/>
      <c r="JQ795" s="18"/>
      <c r="JR795" s="18"/>
      <c r="JS795" s="18"/>
      <c r="JT795" s="18"/>
      <c r="JU795" s="18"/>
      <c r="JV795" s="18"/>
      <c r="JW795" s="18"/>
      <c r="JX795" s="18"/>
      <c r="JY795" s="18"/>
      <c r="JZ795" s="18"/>
      <c r="KA795" s="18"/>
      <c r="KB795" s="18"/>
      <c r="KC795" s="18"/>
      <c r="KD795" s="18"/>
      <c r="KE795" s="18"/>
      <c r="KF795" s="18"/>
      <c r="KG795" s="18"/>
      <c r="KH795" s="18"/>
      <c r="KI795" s="18"/>
      <c r="KJ795" s="18"/>
      <c r="KK795" s="18"/>
      <c r="KL795" s="18"/>
      <c r="KM795" s="18"/>
      <c r="KN795" s="18"/>
      <c r="KO795" s="18"/>
      <c r="KP795" s="18"/>
    </row>
    <row r="796" spans="1:302">
      <c r="A796" s="14"/>
      <c r="B796" s="14"/>
      <c r="F796" s="14"/>
      <c r="G796" s="23"/>
      <c r="H796" s="23"/>
      <c r="I796" s="23"/>
      <c r="J796" s="23"/>
      <c r="K796" s="14"/>
      <c r="L796" s="14"/>
      <c r="P796" s="14"/>
      <c r="AG796" s="44"/>
      <c r="AH796" s="44"/>
      <c r="AI796" s="45"/>
      <c r="AJ796" s="44"/>
      <c r="AK796" s="43"/>
      <c r="AS796" s="14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  <c r="EW796" s="18"/>
      <c r="EX796" s="18"/>
      <c r="EY796" s="18"/>
      <c r="EZ796" s="18"/>
      <c r="FA796" s="18"/>
      <c r="FB796" s="18"/>
      <c r="FC796" s="18"/>
      <c r="FD796" s="18"/>
      <c r="FE796" s="18"/>
      <c r="FF796" s="18"/>
      <c r="FG796" s="18"/>
      <c r="FH796" s="18"/>
      <c r="FI796" s="18"/>
      <c r="FJ796" s="18"/>
      <c r="FK796" s="18"/>
      <c r="FL796" s="18"/>
      <c r="FM796" s="18"/>
      <c r="FN796" s="18"/>
      <c r="FO796" s="18"/>
      <c r="FP796" s="18"/>
      <c r="FQ796" s="18"/>
      <c r="FR796" s="18"/>
      <c r="FS796" s="18"/>
      <c r="FT796" s="18"/>
      <c r="FU796" s="18"/>
      <c r="FV796" s="18"/>
      <c r="FW796" s="18"/>
      <c r="FX796" s="18"/>
      <c r="FY796" s="18"/>
      <c r="FZ796" s="18"/>
      <c r="GA796" s="18"/>
      <c r="GB796" s="18"/>
      <c r="GC796" s="18"/>
      <c r="GD796" s="18"/>
      <c r="GE796" s="18"/>
      <c r="GF796" s="18"/>
      <c r="GG796" s="18"/>
      <c r="GH796" s="18"/>
      <c r="GI796" s="18"/>
      <c r="GJ796" s="18"/>
      <c r="GK796" s="18"/>
      <c r="GL796" s="18"/>
      <c r="GM796" s="18"/>
      <c r="GN796" s="18"/>
      <c r="GO796" s="18"/>
      <c r="GP796" s="18"/>
      <c r="GQ796" s="18"/>
      <c r="GR796" s="18"/>
      <c r="GS796" s="18"/>
      <c r="GT796" s="18"/>
      <c r="GU796" s="18"/>
      <c r="GV796" s="18"/>
      <c r="GW796" s="18"/>
      <c r="GX796" s="18"/>
      <c r="GY796" s="18"/>
      <c r="GZ796" s="18"/>
      <c r="HA796" s="18"/>
      <c r="HB796" s="18"/>
      <c r="HC796" s="18"/>
      <c r="HD796" s="18"/>
      <c r="HE796" s="18"/>
      <c r="HF796" s="18"/>
      <c r="HG796" s="13"/>
      <c r="HH796" s="13"/>
      <c r="HI796" s="13"/>
      <c r="HJ796" s="13"/>
      <c r="HK796" s="13"/>
      <c r="HL796" s="13"/>
      <c r="HM796" s="13"/>
      <c r="HN796" s="13"/>
      <c r="HO796" s="13"/>
      <c r="HP796" s="13"/>
      <c r="HQ796" s="13"/>
      <c r="HR796" s="13"/>
      <c r="HS796" s="13"/>
      <c r="HT796" s="13"/>
      <c r="HU796" s="18"/>
      <c r="HV796" s="18"/>
      <c r="HW796" s="18"/>
      <c r="HX796" s="18"/>
      <c r="HY796" s="18"/>
      <c r="HZ796" s="18"/>
      <c r="IA796" s="18"/>
      <c r="IB796" s="18"/>
      <c r="IC796" s="18"/>
      <c r="ID796" s="18"/>
      <c r="IE796" s="18"/>
      <c r="IF796" s="18"/>
      <c r="IG796" s="18"/>
      <c r="IH796" s="18"/>
      <c r="II796" s="18"/>
      <c r="IJ796" s="18"/>
      <c r="IK796" s="18"/>
      <c r="IL796" s="18"/>
      <c r="IM796" s="18"/>
      <c r="IN796" s="18"/>
      <c r="IO796" s="18"/>
      <c r="IP796" s="18"/>
      <c r="IQ796" s="18"/>
      <c r="IR796" s="18"/>
      <c r="IS796" s="18"/>
      <c r="IT796" s="18"/>
      <c r="IU796" s="18"/>
      <c r="IV796" s="18"/>
      <c r="IW796" s="18"/>
      <c r="IX796" s="18"/>
      <c r="IY796" s="18"/>
      <c r="IZ796" s="18"/>
      <c r="JA796" s="18"/>
      <c r="JB796" s="18"/>
      <c r="JC796" s="18"/>
      <c r="JD796" s="18"/>
      <c r="JE796" s="18"/>
      <c r="JF796" s="18"/>
      <c r="JG796" s="18"/>
      <c r="JH796" s="18"/>
      <c r="JI796" s="18"/>
      <c r="JJ796" s="18"/>
      <c r="JK796" s="18"/>
      <c r="JL796" s="18"/>
      <c r="JM796" s="18"/>
      <c r="JN796" s="18"/>
      <c r="JO796" s="18"/>
      <c r="JP796" s="18"/>
      <c r="JQ796" s="18"/>
      <c r="JR796" s="18"/>
      <c r="JS796" s="18"/>
      <c r="JT796" s="18"/>
      <c r="JU796" s="18"/>
      <c r="JV796" s="18"/>
      <c r="JW796" s="18"/>
      <c r="JX796" s="18"/>
      <c r="JY796" s="18"/>
      <c r="JZ796" s="18"/>
      <c r="KA796" s="18"/>
      <c r="KB796" s="18"/>
      <c r="KC796" s="18"/>
      <c r="KD796" s="18"/>
      <c r="KE796" s="18"/>
      <c r="KF796" s="18"/>
      <c r="KG796" s="18"/>
      <c r="KH796" s="18"/>
      <c r="KI796" s="18"/>
      <c r="KJ796" s="18"/>
      <c r="KK796" s="18"/>
      <c r="KL796" s="18"/>
      <c r="KM796" s="18"/>
      <c r="KN796" s="18"/>
      <c r="KO796" s="18"/>
      <c r="KP796" s="18"/>
    </row>
    <row r="797" spans="1:302">
      <c r="A797" s="14"/>
      <c r="B797" s="14"/>
      <c r="F797" s="14"/>
      <c r="G797" s="23"/>
      <c r="H797" s="23"/>
      <c r="I797" s="23"/>
      <c r="J797" s="23"/>
      <c r="K797" s="14"/>
      <c r="L797" s="14"/>
      <c r="P797" s="14"/>
      <c r="AG797" s="44"/>
      <c r="AH797" s="44"/>
      <c r="AI797" s="45"/>
      <c r="AJ797" s="44"/>
      <c r="AK797" s="43"/>
      <c r="AS797" s="14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  <c r="EW797" s="18"/>
      <c r="EX797" s="18"/>
      <c r="EY797" s="18"/>
      <c r="EZ797" s="18"/>
      <c r="FA797" s="18"/>
      <c r="FB797" s="18"/>
      <c r="FC797" s="18"/>
      <c r="FD797" s="18"/>
      <c r="FE797" s="18"/>
      <c r="FF797" s="18"/>
      <c r="FG797" s="18"/>
      <c r="FH797" s="18"/>
      <c r="FI797" s="18"/>
      <c r="FJ797" s="18"/>
      <c r="FK797" s="18"/>
      <c r="FL797" s="18"/>
      <c r="FM797" s="18"/>
      <c r="FN797" s="18"/>
      <c r="FO797" s="18"/>
      <c r="FP797" s="18"/>
      <c r="FQ797" s="18"/>
      <c r="FR797" s="18"/>
      <c r="FS797" s="18"/>
      <c r="FT797" s="18"/>
      <c r="FU797" s="18"/>
      <c r="FV797" s="18"/>
      <c r="FW797" s="18"/>
      <c r="FX797" s="18"/>
      <c r="FY797" s="18"/>
      <c r="FZ797" s="18"/>
      <c r="GA797" s="18"/>
      <c r="GB797" s="18"/>
      <c r="GC797" s="18"/>
      <c r="GD797" s="18"/>
      <c r="GE797" s="18"/>
      <c r="GF797" s="18"/>
      <c r="GG797" s="18"/>
      <c r="GH797" s="18"/>
      <c r="GI797" s="18"/>
      <c r="GJ797" s="18"/>
      <c r="GK797" s="18"/>
      <c r="GL797" s="18"/>
      <c r="GM797" s="18"/>
      <c r="GN797" s="18"/>
      <c r="GO797" s="18"/>
      <c r="GP797" s="18"/>
      <c r="GQ797" s="18"/>
      <c r="GR797" s="18"/>
      <c r="GS797" s="18"/>
      <c r="GT797" s="18"/>
      <c r="GU797" s="18"/>
      <c r="GV797" s="18"/>
      <c r="GW797" s="18"/>
      <c r="GX797" s="18"/>
      <c r="GY797" s="18"/>
      <c r="GZ797" s="18"/>
      <c r="HA797" s="18"/>
      <c r="HB797" s="18"/>
      <c r="HC797" s="18"/>
      <c r="HD797" s="18"/>
      <c r="HE797" s="18"/>
      <c r="HF797" s="18"/>
      <c r="HG797" s="13"/>
      <c r="HH797" s="13"/>
      <c r="HI797" s="13"/>
      <c r="HJ797" s="13"/>
      <c r="HK797" s="13"/>
      <c r="HL797" s="13"/>
      <c r="HM797" s="13"/>
      <c r="HN797" s="13"/>
      <c r="HO797" s="13"/>
      <c r="HP797" s="13"/>
      <c r="HQ797" s="13"/>
      <c r="HR797" s="13"/>
      <c r="HS797" s="13"/>
      <c r="HT797" s="13"/>
      <c r="HU797" s="18"/>
      <c r="HV797" s="18"/>
      <c r="HW797" s="18"/>
      <c r="HX797" s="18"/>
      <c r="HY797" s="18"/>
      <c r="HZ797" s="18"/>
      <c r="IA797" s="18"/>
      <c r="IB797" s="18"/>
      <c r="IC797" s="18"/>
      <c r="ID797" s="18"/>
      <c r="IE797" s="18"/>
      <c r="IF797" s="18"/>
      <c r="IG797" s="18"/>
      <c r="IH797" s="18"/>
      <c r="II797" s="18"/>
      <c r="IJ797" s="18"/>
      <c r="IK797" s="18"/>
      <c r="IL797" s="18"/>
      <c r="IM797" s="18"/>
      <c r="IN797" s="18"/>
      <c r="IO797" s="18"/>
      <c r="IP797" s="18"/>
      <c r="IQ797" s="18"/>
      <c r="IR797" s="18"/>
      <c r="IS797" s="18"/>
      <c r="IT797" s="18"/>
      <c r="IU797" s="18"/>
      <c r="IV797" s="18"/>
      <c r="IW797" s="18"/>
      <c r="IX797" s="18"/>
      <c r="IY797" s="18"/>
      <c r="IZ797" s="18"/>
      <c r="JA797" s="18"/>
      <c r="JB797" s="18"/>
      <c r="JC797" s="18"/>
      <c r="JD797" s="18"/>
      <c r="JE797" s="18"/>
      <c r="JF797" s="18"/>
      <c r="JG797" s="18"/>
      <c r="JH797" s="18"/>
      <c r="JI797" s="18"/>
      <c r="JJ797" s="18"/>
      <c r="JK797" s="18"/>
      <c r="JL797" s="18"/>
      <c r="JM797" s="18"/>
      <c r="JN797" s="18"/>
      <c r="JO797" s="18"/>
      <c r="JP797" s="18"/>
      <c r="JQ797" s="18"/>
      <c r="JR797" s="18"/>
      <c r="JS797" s="18"/>
      <c r="JT797" s="18"/>
      <c r="JU797" s="18"/>
      <c r="JV797" s="18"/>
      <c r="JW797" s="18"/>
      <c r="JX797" s="18"/>
      <c r="JY797" s="18"/>
      <c r="JZ797" s="18"/>
      <c r="KA797" s="18"/>
      <c r="KB797" s="18"/>
      <c r="KC797" s="18"/>
      <c r="KD797" s="18"/>
      <c r="KE797" s="18"/>
      <c r="KF797" s="18"/>
      <c r="KG797" s="18"/>
      <c r="KH797" s="18"/>
      <c r="KI797" s="18"/>
      <c r="KJ797" s="18"/>
      <c r="KK797" s="18"/>
      <c r="KL797" s="18"/>
      <c r="KM797" s="18"/>
      <c r="KN797" s="18"/>
      <c r="KO797" s="18"/>
      <c r="KP797" s="18"/>
    </row>
    <row r="798" spans="1:302">
      <c r="A798" s="14"/>
      <c r="B798" s="14"/>
      <c r="F798" s="14"/>
      <c r="G798" s="23"/>
      <c r="H798" s="23"/>
      <c r="I798" s="23"/>
      <c r="J798" s="23"/>
      <c r="K798" s="14"/>
      <c r="L798" s="14"/>
      <c r="P798" s="14"/>
      <c r="AG798" s="44"/>
      <c r="AH798" s="44"/>
      <c r="AI798" s="45"/>
      <c r="AJ798" s="44"/>
      <c r="AK798" s="43"/>
      <c r="AS798" s="14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  <c r="EW798" s="18"/>
      <c r="EX798" s="18"/>
      <c r="EY798" s="18"/>
      <c r="EZ798" s="18"/>
      <c r="FA798" s="18"/>
      <c r="FB798" s="18"/>
      <c r="FC798" s="18"/>
      <c r="FD798" s="18"/>
      <c r="FE798" s="18"/>
      <c r="FF798" s="18"/>
      <c r="FG798" s="18"/>
      <c r="FH798" s="18"/>
      <c r="FI798" s="18"/>
      <c r="FJ798" s="18"/>
      <c r="FK798" s="18"/>
      <c r="FL798" s="18"/>
      <c r="FM798" s="18"/>
      <c r="FN798" s="18"/>
      <c r="FO798" s="18"/>
      <c r="FP798" s="18"/>
      <c r="FQ798" s="18"/>
      <c r="FR798" s="18"/>
      <c r="FS798" s="18"/>
      <c r="FT798" s="18"/>
      <c r="FU798" s="18"/>
      <c r="FV798" s="18"/>
      <c r="FW798" s="18"/>
      <c r="FX798" s="18"/>
      <c r="FY798" s="18"/>
      <c r="FZ798" s="18"/>
      <c r="GA798" s="18"/>
      <c r="GB798" s="18"/>
      <c r="GC798" s="18"/>
      <c r="GD798" s="18"/>
      <c r="GE798" s="18"/>
      <c r="GF798" s="18"/>
      <c r="GG798" s="18"/>
      <c r="GH798" s="18"/>
      <c r="GI798" s="18"/>
      <c r="GJ798" s="18"/>
      <c r="GK798" s="18"/>
      <c r="GL798" s="18"/>
      <c r="GM798" s="18"/>
      <c r="GN798" s="18"/>
      <c r="GO798" s="18"/>
      <c r="GP798" s="18"/>
      <c r="GQ798" s="18"/>
      <c r="GR798" s="18"/>
      <c r="GS798" s="18"/>
      <c r="GT798" s="18"/>
      <c r="GU798" s="18"/>
      <c r="GV798" s="18"/>
      <c r="GW798" s="18"/>
      <c r="GX798" s="18"/>
      <c r="GY798" s="18"/>
      <c r="GZ798" s="18"/>
      <c r="HA798" s="18"/>
      <c r="HB798" s="18"/>
      <c r="HC798" s="18"/>
      <c r="HD798" s="18"/>
      <c r="HE798" s="18"/>
      <c r="HF798" s="18"/>
      <c r="HG798" s="13"/>
      <c r="HH798" s="13"/>
      <c r="HI798" s="13"/>
      <c r="HJ798" s="13"/>
      <c r="HK798" s="13"/>
      <c r="HL798" s="13"/>
      <c r="HM798" s="13"/>
      <c r="HN798" s="13"/>
      <c r="HO798" s="13"/>
      <c r="HP798" s="13"/>
      <c r="HQ798" s="13"/>
      <c r="HR798" s="13"/>
      <c r="HS798" s="13"/>
      <c r="HT798" s="13"/>
      <c r="HU798" s="18"/>
      <c r="HV798" s="18"/>
      <c r="HW798" s="18"/>
      <c r="HX798" s="18"/>
      <c r="HY798" s="18"/>
      <c r="HZ798" s="18"/>
      <c r="IA798" s="18"/>
      <c r="IB798" s="18"/>
      <c r="IC798" s="18"/>
      <c r="ID798" s="18"/>
      <c r="IE798" s="18"/>
      <c r="IF798" s="18"/>
      <c r="IG798" s="18"/>
      <c r="IH798" s="18"/>
      <c r="II798" s="18"/>
      <c r="IJ798" s="18"/>
      <c r="IK798" s="18"/>
      <c r="IL798" s="18"/>
      <c r="IM798" s="18"/>
      <c r="IN798" s="18"/>
      <c r="IO798" s="18"/>
      <c r="IP798" s="18"/>
      <c r="IQ798" s="18"/>
      <c r="IR798" s="18"/>
      <c r="IS798" s="18"/>
      <c r="IT798" s="18"/>
      <c r="IU798" s="18"/>
      <c r="IV798" s="18"/>
      <c r="IW798" s="18"/>
      <c r="IX798" s="18"/>
      <c r="IY798" s="18"/>
      <c r="IZ798" s="18"/>
      <c r="JA798" s="18"/>
      <c r="JB798" s="18"/>
      <c r="JC798" s="18"/>
      <c r="JD798" s="18"/>
      <c r="JE798" s="18"/>
      <c r="JF798" s="18"/>
      <c r="JG798" s="18"/>
      <c r="JH798" s="18"/>
      <c r="JI798" s="18"/>
      <c r="JJ798" s="18"/>
      <c r="JK798" s="18"/>
      <c r="JL798" s="18"/>
      <c r="JM798" s="18"/>
      <c r="JN798" s="18"/>
      <c r="JO798" s="18"/>
      <c r="JP798" s="18"/>
      <c r="JQ798" s="18"/>
      <c r="JR798" s="18"/>
      <c r="JS798" s="18"/>
      <c r="JT798" s="18"/>
      <c r="JU798" s="18"/>
      <c r="JV798" s="18"/>
      <c r="JW798" s="18"/>
      <c r="JX798" s="18"/>
      <c r="JY798" s="18"/>
      <c r="JZ798" s="18"/>
      <c r="KA798" s="18"/>
      <c r="KB798" s="18"/>
      <c r="KC798" s="18"/>
      <c r="KD798" s="18"/>
      <c r="KE798" s="18"/>
      <c r="KF798" s="18"/>
      <c r="KG798" s="18"/>
      <c r="KH798" s="18"/>
      <c r="KI798" s="18"/>
      <c r="KJ798" s="18"/>
      <c r="KK798" s="18"/>
      <c r="KL798" s="18"/>
      <c r="KM798" s="18"/>
      <c r="KN798" s="18"/>
      <c r="KO798" s="18"/>
      <c r="KP798" s="18"/>
    </row>
    <row r="799" spans="1:302">
      <c r="A799" s="14"/>
      <c r="B799" s="14"/>
      <c r="F799" s="14"/>
      <c r="G799" s="23"/>
      <c r="H799" s="23"/>
      <c r="I799" s="23"/>
      <c r="J799" s="23"/>
      <c r="K799" s="14"/>
      <c r="L799" s="14"/>
      <c r="P799" s="14"/>
      <c r="AG799" s="44"/>
      <c r="AH799" s="44"/>
      <c r="AI799" s="45"/>
      <c r="AJ799" s="44"/>
      <c r="AK799" s="43"/>
      <c r="AS799" s="14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  <c r="EW799" s="18"/>
      <c r="EX799" s="18"/>
      <c r="EY799" s="18"/>
      <c r="EZ799" s="18"/>
      <c r="FA799" s="18"/>
      <c r="FB799" s="18"/>
      <c r="FC799" s="18"/>
      <c r="FD799" s="18"/>
      <c r="FE799" s="18"/>
      <c r="FF799" s="18"/>
      <c r="FG799" s="18"/>
      <c r="FH799" s="18"/>
      <c r="FI799" s="18"/>
      <c r="FJ799" s="18"/>
      <c r="FK799" s="18"/>
      <c r="FL799" s="18"/>
      <c r="FM799" s="18"/>
      <c r="FN799" s="18"/>
      <c r="FO799" s="18"/>
      <c r="FP799" s="18"/>
      <c r="FQ799" s="18"/>
      <c r="FR799" s="18"/>
      <c r="FS799" s="18"/>
      <c r="FT799" s="18"/>
      <c r="FU799" s="18"/>
      <c r="FV799" s="18"/>
      <c r="FW799" s="18"/>
      <c r="FX799" s="18"/>
      <c r="FY799" s="18"/>
      <c r="FZ799" s="18"/>
      <c r="GA799" s="18"/>
      <c r="GB799" s="18"/>
      <c r="GC799" s="18"/>
      <c r="GD799" s="18"/>
      <c r="GE799" s="18"/>
      <c r="GF799" s="18"/>
      <c r="GG799" s="18"/>
      <c r="GH799" s="18"/>
      <c r="GI799" s="18"/>
      <c r="GJ799" s="18"/>
      <c r="GK799" s="18"/>
      <c r="GL799" s="18"/>
      <c r="GM799" s="18"/>
      <c r="GN799" s="18"/>
      <c r="GO799" s="18"/>
      <c r="GP799" s="18"/>
      <c r="GQ799" s="18"/>
      <c r="GR799" s="18"/>
      <c r="GS799" s="18"/>
      <c r="GT799" s="18"/>
      <c r="GU799" s="18"/>
      <c r="GV799" s="18"/>
      <c r="GW799" s="18"/>
      <c r="GX799" s="18"/>
      <c r="GY799" s="18"/>
      <c r="GZ799" s="18"/>
      <c r="HA799" s="18"/>
      <c r="HB799" s="18"/>
      <c r="HC799" s="18"/>
      <c r="HD799" s="18"/>
      <c r="HE799" s="18"/>
      <c r="HF799" s="18"/>
      <c r="HG799" s="13"/>
      <c r="HH799" s="13"/>
      <c r="HI799" s="13"/>
      <c r="HJ799" s="13"/>
      <c r="HK799" s="13"/>
      <c r="HL799" s="13"/>
      <c r="HM799" s="13"/>
      <c r="HN799" s="13"/>
      <c r="HO799" s="13"/>
      <c r="HP799" s="13"/>
      <c r="HQ799" s="13"/>
      <c r="HR799" s="13"/>
      <c r="HS799" s="13"/>
      <c r="HT799" s="13"/>
      <c r="HU799" s="18"/>
      <c r="HV799" s="18"/>
      <c r="HW799" s="18"/>
      <c r="HX799" s="18"/>
      <c r="HY799" s="18"/>
      <c r="HZ799" s="18"/>
      <c r="IA799" s="18"/>
      <c r="IB799" s="18"/>
      <c r="IC799" s="18"/>
      <c r="ID799" s="18"/>
      <c r="IE799" s="18"/>
      <c r="IF799" s="18"/>
      <c r="IG799" s="18"/>
      <c r="IH799" s="18"/>
      <c r="II799" s="18"/>
      <c r="IJ799" s="18"/>
      <c r="IK799" s="18"/>
      <c r="IL799" s="18"/>
      <c r="IM799" s="18"/>
      <c r="IN799" s="18"/>
      <c r="IO799" s="18"/>
      <c r="IP799" s="18"/>
      <c r="IQ799" s="18"/>
      <c r="IR799" s="18"/>
      <c r="IS799" s="18"/>
      <c r="IT799" s="18"/>
      <c r="IU799" s="18"/>
      <c r="IV799" s="18"/>
      <c r="IW799" s="18"/>
      <c r="IX799" s="18"/>
      <c r="IY799" s="18"/>
      <c r="IZ799" s="18"/>
      <c r="JA799" s="18"/>
      <c r="JB799" s="18"/>
      <c r="JC799" s="18"/>
      <c r="JD799" s="18"/>
      <c r="JE799" s="18"/>
      <c r="JF799" s="18"/>
      <c r="JG799" s="18"/>
      <c r="JH799" s="18"/>
      <c r="JI799" s="18"/>
      <c r="JJ799" s="18"/>
      <c r="JK799" s="18"/>
      <c r="JL799" s="18"/>
      <c r="JM799" s="18"/>
      <c r="JN799" s="18"/>
      <c r="JO799" s="18"/>
      <c r="JP799" s="18"/>
      <c r="JQ799" s="18"/>
      <c r="JR799" s="18"/>
      <c r="JS799" s="18"/>
      <c r="JT799" s="18"/>
      <c r="JU799" s="18"/>
      <c r="JV799" s="18"/>
      <c r="JW799" s="18"/>
      <c r="JX799" s="18"/>
      <c r="JY799" s="18"/>
      <c r="JZ799" s="18"/>
      <c r="KA799" s="18"/>
      <c r="KB799" s="18"/>
      <c r="KC799" s="18"/>
      <c r="KD799" s="18"/>
      <c r="KE799" s="18"/>
      <c r="KF799" s="18"/>
      <c r="KG799" s="18"/>
      <c r="KH799" s="18"/>
      <c r="KI799" s="18"/>
      <c r="KJ799" s="18"/>
      <c r="KK799" s="18"/>
      <c r="KL799" s="18"/>
      <c r="KM799" s="18"/>
      <c r="KN799" s="18"/>
      <c r="KO799" s="18"/>
      <c r="KP799" s="18"/>
    </row>
    <row r="800" spans="1:302">
      <c r="A800" s="14"/>
      <c r="B800" s="14"/>
      <c r="F800" s="14"/>
      <c r="G800" s="23"/>
      <c r="H800" s="23"/>
      <c r="I800" s="23"/>
      <c r="J800" s="23"/>
      <c r="K800" s="14"/>
      <c r="L800" s="14"/>
      <c r="P800" s="14"/>
      <c r="AG800" s="44"/>
      <c r="AH800" s="44"/>
      <c r="AI800" s="45"/>
      <c r="AJ800" s="44"/>
      <c r="AK800" s="43"/>
      <c r="AS800" s="14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  <c r="EW800" s="18"/>
      <c r="EX800" s="18"/>
      <c r="EY800" s="18"/>
      <c r="EZ800" s="18"/>
      <c r="FA800" s="18"/>
      <c r="FB800" s="18"/>
      <c r="FC800" s="18"/>
      <c r="FD800" s="18"/>
      <c r="FE800" s="18"/>
      <c r="FF800" s="18"/>
      <c r="FG800" s="18"/>
      <c r="FH800" s="18"/>
      <c r="FI800" s="18"/>
      <c r="FJ800" s="18"/>
      <c r="FK800" s="18"/>
      <c r="FL800" s="18"/>
      <c r="FM800" s="18"/>
      <c r="FN800" s="18"/>
      <c r="FO800" s="18"/>
      <c r="FP800" s="18"/>
      <c r="FQ800" s="18"/>
      <c r="FR800" s="18"/>
      <c r="FS800" s="18"/>
      <c r="FT800" s="18"/>
      <c r="FU800" s="18"/>
      <c r="FV800" s="18"/>
      <c r="FW800" s="18"/>
      <c r="FX800" s="18"/>
      <c r="FY800" s="18"/>
      <c r="FZ800" s="18"/>
      <c r="GA800" s="18"/>
      <c r="GB800" s="18"/>
      <c r="GC800" s="18"/>
      <c r="GD800" s="18"/>
      <c r="GE800" s="18"/>
      <c r="GF800" s="18"/>
      <c r="GG800" s="18"/>
      <c r="GH800" s="18"/>
      <c r="GI800" s="18"/>
      <c r="GJ800" s="18"/>
      <c r="GK800" s="18"/>
      <c r="GL800" s="18"/>
      <c r="GM800" s="18"/>
      <c r="GN800" s="18"/>
      <c r="GO800" s="18"/>
      <c r="GP800" s="18"/>
      <c r="GQ800" s="18"/>
      <c r="GR800" s="18"/>
      <c r="GS800" s="18"/>
      <c r="GT800" s="18"/>
      <c r="GU800" s="18"/>
      <c r="GV800" s="18"/>
      <c r="GW800" s="18"/>
      <c r="GX800" s="18"/>
      <c r="GY800" s="18"/>
      <c r="GZ800" s="18"/>
      <c r="HA800" s="18"/>
      <c r="HB800" s="18"/>
      <c r="HC800" s="18"/>
      <c r="HD800" s="18"/>
      <c r="HE800" s="18"/>
      <c r="HF800" s="18"/>
      <c r="HG800" s="13"/>
      <c r="HH800" s="13"/>
      <c r="HI800" s="13"/>
      <c r="HJ800" s="13"/>
      <c r="HK800" s="13"/>
      <c r="HL800" s="13"/>
      <c r="HM800" s="13"/>
      <c r="HN800" s="13"/>
      <c r="HO800" s="13"/>
      <c r="HP800" s="13"/>
      <c r="HQ800" s="13"/>
      <c r="HR800" s="13"/>
      <c r="HS800" s="13"/>
      <c r="HT800" s="13"/>
      <c r="HU800" s="18"/>
      <c r="HV800" s="18"/>
      <c r="HW800" s="18"/>
      <c r="HX800" s="18"/>
      <c r="HY800" s="18"/>
      <c r="HZ800" s="18"/>
      <c r="IA800" s="18"/>
      <c r="IB800" s="18"/>
      <c r="IC800" s="18"/>
      <c r="ID800" s="18"/>
      <c r="IE800" s="18"/>
      <c r="IF800" s="18"/>
      <c r="IG800" s="18"/>
      <c r="IH800" s="18"/>
      <c r="II800" s="18"/>
      <c r="IJ800" s="18"/>
      <c r="IK800" s="18"/>
      <c r="IL800" s="18"/>
      <c r="IM800" s="18"/>
      <c r="IN800" s="18"/>
      <c r="IO800" s="18"/>
      <c r="IP800" s="18"/>
      <c r="IQ800" s="18"/>
      <c r="IR800" s="18"/>
      <c r="IS800" s="18"/>
      <c r="IT800" s="18"/>
      <c r="IU800" s="18"/>
      <c r="IV800" s="18"/>
      <c r="IW800" s="18"/>
      <c r="IX800" s="18"/>
      <c r="IY800" s="18"/>
      <c r="IZ800" s="18"/>
      <c r="JA800" s="18"/>
      <c r="JB800" s="18"/>
      <c r="JC800" s="18"/>
      <c r="JD800" s="18"/>
      <c r="JE800" s="18"/>
      <c r="JF800" s="18"/>
      <c r="JG800" s="18"/>
      <c r="JH800" s="18"/>
      <c r="JI800" s="18"/>
      <c r="JJ800" s="18"/>
      <c r="JK800" s="18"/>
      <c r="JL800" s="18"/>
      <c r="JM800" s="18"/>
      <c r="JN800" s="18"/>
      <c r="JO800" s="18"/>
      <c r="JP800" s="18"/>
      <c r="JQ800" s="18"/>
      <c r="JR800" s="18"/>
      <c r="JS800" s="18"/>
      <c r="JT800" s="18"/>
      <c r="JU800" s="18"/>
      <c r="JV800" s="18"/>
      <c r="JW800" s="18"/>
      <c r="JX800" s="18"/>
      <c r="JY800" s="18"/>
      <c r="JZ800" s="18"/>
      <c r="KA800" s="18"/>
      <c r="KB800" s="18"/>
      <c r="KC800" s="18"/>
      <c r="KD800" s="18"/>
      <c r="KE800" s="18"/>
      <c r="KF800" s="18"/>
      <c r="KG800" s="18"/>
      <c r="KH800" s="18"/>
      <c r="KI800" s="18"/>
      <c r="KJ800" s="18"/>
      <c r="KK800" s="18"/>
      <c r="KL800" s="18"/>
      <c r="KM800" s="18"/>
      <c r="KN800" s="18"/>
      <c r="KO800" s="18"/>
      <c r="KP800" s="18"/>
    </row>
    <row r="801" spans="1:302">
      <c r="A801" s="14"/>
      <c r="B801" s="14"/>
      <c r="F801" s="14"/>
      <c r="G801" s="23"/>
      <c r="H801" s="23"/>
      <c r="I801" s="23"/>
      <c r="J801" s="23"/>
      <c r="K801" s="14"/>
      <c r="L801" s="14"/>
      <c r="P801" s="14"/>
      <c r="AG801" s="44"/>
      <c r="AH801" s="44"/>
      <c r="AI801" s="45"/>
      <c r="AJ801" s="44"/>
      <c r="AK801" s="43"/>
      <c r="AS801" s="14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  <c r="FC801" s="18"/>
      <c r="FD801" s="18"/>
      <c r="FE801" s="18"/>
      <c r="FF801" s="18"/>
      <c r="FG801" s="18"/>
      <c r="FH801" s="18"/>
      <c r="FI801" s="18"/>
      <c r="FJ801" s="18"/>
      <c r="FK801" s="18"/>
      <c r="FL801" s="18"/>
      <c r="FM801" s="18"/>
      <c r="FN801" s="18"/>
      <c r="FO801" s="18"/>
      <c r="FP801" s="18"/>
      <c r="FQ801" s="18"/>
      <c r="FR801" s="18"/>
      <c r="FS801" s="18"/>
      <c r="FT801" s="18"/>
      <c r="FU801" s="18"/>
      <c r="FV801" s="18"/>
      <c r="FW801" s="18"/>
      <c r="FX801" s="18"/>
      <c r="FY801" s="18"/>
      <c r="FZ801" s="18"/>
      <c r="GA801" s="18"/>
      <c r="GB801" s="18"/>
      <c r="GC801" s="18"/>
      <c r="GD801" s="18"/>
      <c r="GE801" s="18"/>
      <c r="GF801" s="18"/>
      <c r="GG801" s="18"/>
      <c r="GH801" s="18"/>
      <c r="GI801" s="18"/>
      <c r="GJ801" s="18"/>
      <c r="GK801" s="18"/>
      <c r="GL801" s="18"/>
      <c r="GM801" s="18"/>
      <c r="GN801" s="18"/>
      <c r="GO801" s="18"/>
      <c r="GP801" s="18"/>
      <c r="GQ801" s="18"/>
      <c r="GR801" s="18"/>
      <c r="GS801" s="18"/>
      <c r="GT801" s="18"/>
      <c r="GU801" s="18"/>
      <c r="GV801" s="18"/>
      <c r="GW801" s="18"/>
      <c r="GX801" s="18"/>
      <c r="GY801" s="18"/>
      <c r="GZ801" s="18"/>
      <c r="HA801" s="18"/>
      <c r="HB801" s="18"/>
      <c r="HC801" s="18"/>
      <c r="HD801" s="18"/>
      <c r="HE801" s="18"/>
      <c r="HF801" s="18"/>
      <c r="HG801" s="13"/>
      <c r="HH801" s="13"/>
      <c r="HI801" s="13"/>
      <c r="HJ801" s="13"/>
      <c r="HK801" s="13"/>
      <c r="HL801" s="13"/>
      <c r="HM801" s="13"/>
      <c r="HN801" s="13"/>
      <c r="HO801" s="13"/>
      <c r="HP801" s="13"/>
      <c r="HQ801" s="13"/>
      <c r="HR801" s="13"/>
      <c r="HS801" s="13"/>
      <c r="HT801" s="13"/>
      <c r="HU801" s="18"/>
      <c r="HV801" s="18"/>
      <c r="HW801" s="18"/>
      <c r="HX801" s="18"/>
      <c r="HY801" s="18"/>
      <c r="HZ801" s="18"/>
      <c r="IA801" s="18"/>
      <c r="IB801" s="18"/>
      <c r="IC801" s="18"/>
      <c r="ID801" s="18"/>
      <c r="IE801" s="18"/>
      <c r="IF801" s="18"/>
      <c r="IG801" s="18"/>
      <c r="IH801" s="18"/>
      <c r="II801" s="18"/>
      <c r="IJ801" s="18"/>
      <c r="IK801" s="18"/>
      <c r="IL801" s="18"/>
      <c r="IM801" s="18"/>
      <c r="IN801" s="18"/>
      <c r="IO801" s="18"/>
      <c r="IP801" s="18"/>
      <c r="IQ801" s="18"/>
      <c r="IR801" s="18"/>
      <c r="IS801" s="18"/>
      <c r="IT801" s="18"/>
      <c r="IU801" s="18"/>
      <c r="IV801" s="18"/>
      <c r="IW801" s="18"/>
      <c r="IX801" s="18"/>
      <c r="IY801" s="18"/>
      <c r="IZ801" s="18"/>
      <c r="JA801" s="18"/>
      <c r="JB801" s="18"/>
      <c r="JC801" s="18"/>
      <c r="JD801" s="18"/>
      <c r="JE801" s="18"/>
      <c r="JF801" s="18"/>
      <c r="JG801" s="18"/>
      <c r="JH801" s="18"/>
      <c r="JI801" s="18"/>
      <c r="JJ801" s="18"/>
      <c r="JK801" s="18"/>
      <c r="JL801" s="18"/>
      <c r="JM801" s="18"/>
      <c r="JN801" s="18"/>
      <c r="JO801" s="18"/>
      <c r="JP801" s="18"/>
      <c r="JQ801" s="18"/>
      <c r="JR801" s="18"/>
      <c r="JS801" s="18"/>
      <c r="JT801" s="18"/>
      <c r="JU801" s="18"/>
      <c r="JV801" s="18"/>
      <c r="JW801" s="18"/>
      <c r="JX801" s="18"/>
      <c r="JY801" s="18"/>
      <c r="JZ801" s="18"/>
      <c r="KA801" s="18"/>
      <c r="KB801" s="18"/>
      <c r="KC801" s="18"/>
      <c r="KD801" s="18"/>
      <c r="KE801" s="18"/>
      <c r="KF801" s="18"/>
      <c r="KG801" s="18"/>
      <c r="KH801" s="18"/>
      <c r="KI801" s="18"/>
      <c r="KJ801" s="18"/>
      <c r="KK801" s="18"/>
      <c r="KL801" s="18"/>
      <c r="KM801" s="18"/>
      <c r="KN801" s="18"/>
      <c r="KO801" s="18"/>
      <c r="KP801" s="18"/>
    </row>
    <row r="802" spans="1:302">
      <c r="A802" s="14"/>
      <c r="B802" s="14"/>
      <c r="F802" s="14"/>
      <c r="G802" s="23"/>
      <c r="H802" s="23"/>
      <c r="I802" s="23"/>
      <c r="J802" s="23"/>
      <c r="K802" s="14"/>
      <c r="L802" s="14"/>
      <c r="P802" s="14"/>
      <c r="AG802" s="44"/>
      <c r="AH802" s="44"/>
      <c r="AI802" s="45"/>
      <c r="AJ802" s="44"/>
      <c r="AK802" s="43"/>
      <c r="AS802" s="14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  <c r="EW802" s="18"/>
      <c r="EX802" s="18"/>
      <c r="EY802" s="18"/>
      <c r="EZ802" s="18"/>
      <c r="FA802" s="18"/>
      <c r="FB802" s="18"/>
      <c r="FC802" s="18"/>
      <c r="FD802" s="18"/>
      <c r="FE802" s="18"/>
      <c r="FF802" s="18"/>
      <c r="FG802" s="18"/>
      <c r="FH802" s="18"/>
      <c r="FI802" s="18"/>
      <c r="FJ802" s="18"/>
      <c r="FK802" s="18"/>
      <c r="FL802" s="18"/>
      <c r="FM802" s="18"/>
      <c r="FN802" s="18"/>
      <c r="FO802" s="18"/>
      <c r="FP802" s="18"/>
      <c r="FQ802" s="18"/>
      <c r="FR802" s="18"/>
      <c r="FS802" s="18"/>
      <c r="FT802" s="18"/>
      <c r="FU802" s="18"/>
      <c r="FV802" s="18"/>
      <c r="FW802" s="18"/>
      <c r="FX802" s="18"/>
      <c r="FY802" s="18"/>
      <c r="FZ802" s="18"/>
      <c r="GA802" s="18"/>
      <c r="GB802" s="18"/>
      <c r="GC802" s="18"/>
      <c r="GD802" s="18"/>
      <c r="GE802" s="18"/>
      <c r="GF802" s="18"/>
      <c r="GG802" s="18"/>
      <c r="GH802" s="18"/>
      <c r="GI802" s="18"/>
      <c r="GJ802" s="18"/>
      <c r="GK802" s="18"/>
      <c r="GL802" s="18"/>
      <c r="GM802" s="18"/>
      <c r="GN802" s="18"/>
      <c r="GO802" s="18"/>
      <c r="GP802" s="18"/>
      <c r="GQ802" s="18"/>
      <c r="GR802" s="18"/>
      <c r="GS802" s="18"/>
      <c r="GT802" s="18"/>
      <c r="GU802" s="18"/>
      <c r="GV802" s="18"/>
      <c r="GW802" s="18"/>
      <c r="GX802" s="18"/>
      <c r="GY802" s="18"/>
      <c r="GZ802" s="18"/>
      <c r="HA802" s="18"/>
      <c r="HB802" s="18"/>
      <c r="HC802" s="18"/>
      <c r="HD802" s="18"/>
      <c r="HE802" s="18"/>
      <c r="HF802" s="18"/>
      <c r="HG802" s="13"/>
      <c r="HH802" s="13"/>
      <c r="HI802" s="13"/>
      <c r="HJ802" s="13"/>
      <c r="HK802" s="13"/>
      <c r="HL802" s="13"/>
      <c r="HM802" s="13"/>
      <c r="HN802" s="13"/>
      <c r="HO802" s="13"/>
      <c r="HP802" s="13"/>
      <c r="HQ802" s="13"/>
      <c r="HR802" s="13"/>
      <c r="HS802" s="13"/>
      <c r="HT802" s="13"/>
      <c r="HU802" s="18"/>
      <c r="HV802" s="18"/>
      <c r="HW802" s="18"/>
      <c r="HX802" s="18"/>
      <c r="HY802" s="18"/>
      <c r="HZ802" s="18"/>
      <c r="IA802" s="18"/>
      <c r="IB802" s="18"/>
      <c r="IC802" s="18"/>
      <c r="ID802" s="18"/>
      <c r="IE802" s="18"/>
      <c r="IF802" s="18"/>
      <c r="IG802" s="18"/>
      <c r="IH802" s="18"/>
      <c r="II802" s="18"/>
      <c r="IJ802" s="18"/>
      <c r="IK802" s="18"/>
      <c r="IL802" s="18"/>
      <c r="IM802" s="18"/>
      <c r="IN802" s="18"/>
      <c r="IO802" s="18"/>
      <c r="IP802" s="18"/>
      <c r="IQ802" s="18"/>
      <c r="IR802" s="18"/>
      <c r="IS802" s="18"/>
      <c r="IT802" s="18"/>
      <c r="IU802" s="18"/>
      <c r="IV802" s="18"/>
      <c r="IW802" s="18"/>
      <c r="IX802" s="18"/>
      <c r="IY802" s="18"/>
      <c r="IZ802" s="18"/>
      <c r="JA802" s="18"/>
      <c r="JB802" s="18"/>
      <c r="JC802" s="18"/>
      <c r="JD802" s="18"/>
      <c r="JE802" s="18"/>
      <c r="JF802" s="18"/>
      <c r="JG802" s="18"/>
      <c r="JH802" s="18"/>
      <c r="JI802" s="18"/>
      <c r="JJ802" s="18"/>
      <c r="JK802" s="18"/>
      <c r="JL802" s="18"/>
      <c r="JM802" s="18"/>
      <c r="JN802" s="18"/>
      <c r="JO802" s="18"/>
      <c r="JP802" s="18"/>
      <c r="JQ802" s="18"/>
      <c r="JR802" s="18"/>
      <c r="JS802" s="18"/>
      <c r="JT802" s="18"/>
      <c r="JU802" s="18"/>
      <c r="JV802" s="18"/>
      <c r="JW802" s="18"/>
      <c r="JX802" s="18"/>
      <c r="JY802" s="18"/>
      <c r="JZ802" s="18"/>
      <c r="KA802" s="18"/>
      <c r="KB802" s="18"/>
      <c r="KC802" s="18"/>
      <c r="KD802" s="18"/>
      <c r="KE802" s="18"/>
      <c r="KF802" s="18"/>
      <c r="KG802" s="18"/>
      <c r="KH802" s="18"/>
      <c r="KI802" s="18"/>
      <c r="KJ802" s="18"/>
      <c r="KK802" s="18"/>
      <c r="KL802" s="18"/>
      <c r="KM802" s="18"/>
      <c r="KN802" s="18"/>
      <c r="KO802" s="18"/>
      <c r="KP802" s="18"/>
    </row>
    <row r="803" spans="1:302">
      <c r="A803" s="14"/>
      <c r="B803" s="14"/>
      <c r="F803" s="14"/>
      <c r="G803" s="23"/>
      <c r="H803" s="23"/>
      <c r="I803" s="23"/>
      <c r="J803" s="23"/>
      <c r="K803" s="14"/>
      <c r="L803" s="14"/>
      <c r="P803" s="14"/>
      <c r="AG803" s="44"/>
      <c r="AH803" s="44"/>
      <c r="AI803" s="45"/>
      <c r="AJ803" s="44"/>
      <c r="AK803" s="43"/>
      <c r="AS803" s="14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  <c r="FC803" s="18"/>
      <c r="FD803" s="18"/>
      <c r="FE803" s="18"/>
      <c r="FF803" s="18"/>
      <c r="FG803" s="18"/>
      <c r="FH803" s="18"/>
      <c r="FI803" s="18"/>
      <c r="FJ803" s="18"/>
      <c r="FK803" s="18"/>
      <c r="FL803" s="18"/>
      <c r="FM803" s="18"/>
      <c r="FN803" s="18"/>
      <c r="FO803" s="18"/>
      <c r="FP803" s="18"/>
      <c r="FQ803" s="18"/>
      <c r="FR803" s="18"/>
      <c r="FS803" s="18"/>
      <c r="FT803" s="18"/>
      <c r="FU803" s="18"/>
      <c r="FV803" s="18"/>
      <c r="FW803" s="18"/>
      <c r="FX803" s="18"/>
      <c r="FY803" s="18"/>
      <c r="FZ803" s="18"/>
      <c r="GA803" s="18"/>
      <c r="GB803" s="18"/>
      <c r="GC803" s="18"/>
      <c r="GD803" s="18"/>
      <c r="GE803" s="18"/>
      <c r="GF803" s="18"/>
      <c r="GG803" s="18"/>
      <c r="GH803" s="18"/>
      <c r="GI803" s="18"/>
      <c r="GJ803" s="18"/>
      <c r="GK803" s="18"/>
      <c r="GL803" s="18"/>
      <c r="GM803" s="18"/>
      <c r="GN803" s="18"/>
      <c r="GO803" s="18"/>
      <c r="GP803" s="18"/>
      <c r="GQ803" s="18"/>
      <c r="GR803" s="18"/>
      <c r="GS803" s="18"/>
      <c r="GT803" s="18"/>
      <c r="GU803" s="18"/>
      <c r="GV803" s="18"/>
      <c r="GW803" s="18"/>
      <c r="GX803" s="18"/>
      <c r="GY803" s="18"/>
      <c r="GZ803" s="18"/>
      <c r="HA803" s="18"/>
      <c r="HB803" s="18"/>
      <c r="HC803" s="18"/>
      <c r="HD803" s="18"/>
      <c r="HE803" s="18"/>
      <c r="HF803" s="18"/>
      <c r="HG803" s="13"/>
      <c r="HH803" s="13"/>
      <c r="HI803" s="13"/>
      <c r="HJ803" s="13"/>
      <c r="HK803" s="13"/>
      <c r="HL803" s="13"/>
      <c r="HM803" s="13"/>
      <c r="HN803" s="13"/>
      <c r="HO803" s="13"/>
      <c r="HP803" s="13"/>
      <c r="HQ803" s="13"/>
      <c r="HR803" s="13"/>
      <c r="HS803" s="13"/>
      <c r="HT803" s="13"/>
      <c r="HU803" s="18"/>
      <c r="HV803" s="18"/>
      <c r="HW803" s="18"/>
      <c r="HX803" s="18"/>
      <c r="HY803" s="18"/>
      <c r="HZ803" s="18"/>
      <c r="IA803" s="18"/>
      <c r="IB803" s="18"/>
      <c r="IC803" s="18"/>
      <c r="ID803" s="18"/>
      <c r="IE803" s="18"/>
      <c r="IF803" s="18"/>
      <c r="IG803" s="18"/>
      <c r="IH803" s="18"/>
      <c r="II803" s="18"/>
      <c r="IJ803" s="18"/>
      <c r="IK803" s="18"/>
      <c r="IL803" s="18"/>
      <c r="IM803" s="18"/>
      <c r="IN803" s="18"/>
      <c r="IO803" s="18"/>
      <c r="IP803" s="18"/>
      <c r="IQ803" s="18"/>
      <c r="IR803" s="18"/>
      <c r="IS803" s="18"/>
      <c r="IT803" s="18"/>
      <c r="IU803" s="18"/>
      <c r="IV803" s="18"/>
      <c r="IW803" s="18"/>
      <c r="IX803" s="18"/>
      <c r="IY803" s="18"/>
      <c r="IZ803" s="18"/>
      <c r="JA803" s="18"/>
      <c r="JB803" s="18"/>
      <c r="JC803" s="18"/>
      <c r="JD803" s="18"/>
      <c r="JE803" s="18"/>
      <c r="JF803" s="18"/>
      <c r="JG803" s="18"/>
      <c r="JH803" s="18"/>
      <c r="JI803" s="18"/>
      <c r="JJ803" s="18"/>
      <c r="JK803" s="18"/>
      <c r="JL803" s="18"/>
      <c r="JM803" s="18"/>
      <c r="JN803" s="18"/>
      <c r="JO803" s="18"/>
      <c r="JP803" s="18"/>
      <c r="JQ803" s="18"/>
      <c r="JR803" s="18"/>
      <c r="JS803" s="18"/>
      <c r="JT803" s="18"/>
      <c r="JU803" s="18"/>
      <c r="JV803" s="18"/>
      <c r="JW803" s="18"/>
      <c r="JX803" s="18"/>
      <c r="JY803" s="18"/>
      <c r="JZ803" s="18"/>
      <c r="KA803" s="18"/>
      <c r="KB803" s="18"/>
      <c r="KC803" s="18"/>
      <c r="KD803" s="18"/>
      <c r="KE803" s="18"/>
      <c r="KF803" s="18"/>
      <c r="KG803" s="18"/>
      <c r="KH803" s="18"/>
      <c r="KI803" s="18"/>
      <c r="KJ803" s="18"/>
      <c r="KK803" s="18"/>
      <c r="KL803" s="18"/>
      <c r="KM803" s="18"/>
      <c r="KN803" s="18"/>
      <c r="KO803" s="18"/>
      <c r="KP803" s="18"/>
    </row>
    <row r="804" spans="1:302">
      <c r="A804" s="14"/>
      <c r="B804" s="14"/>
      <c r="F804" s="14"/>
      <c r="G804" s="23"/>
      <c r="H804" s="23"/>
      <c r="I804" s="23"/>
      <c r="J804" s="23"/>
      <c r="K804" s="14"/>
      <c r="L804" s="14"/>
      <c r="P804" s="14"/>
      <c r="AG804" s="44"/>
      <c r="AH804" s="44"/>
      <c r="AI804" s="45"/>
      <c r="AJ804" s="44"/>
      <c r="AK804" s="43"/>
      <c r="AS804" s="14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  <c r="EW804" s="18"/>
      <c r="EX804" s="18"/>
      <c r="EY804" s="18"/>
      <c r="EZ804" s="18"/>
      <c r="FA804" s="18"/>
      <c r="FB804" s="18"/>
      <c r="FC804" s="18"/>
      <c r="FD804" s="18"/>
      <c r="FE804" s="18"/>
      <c r="FF804" s="18"/>
      <c r="FG804" s="18"/>
      <c r="FH804" s="18"/>
      <c r="FI804" s="18"/>
      <c r="FJ804" s="18"/>
      <c r="FK804" s="18"/>
      <c r="FL804" s="18"/>
      <c r="FM804" s="18"/>
      <c r="FN804" s="18"/>
      <c r="FO804" s="18"/>
      <c r="FP804" s="18"/>
      <c r="FQ804" s="18"/>
      <c r="FR804" s="18"/>
      <c r="FS804" s="18"/>
      <c r="FT804" s="18"/>
      <c r="FU804" s="18"/>
      <c r="FV804" s="18"/>
      <c r="FW804" s="18"/>
      <c r="FX804" s="18"/>
      <c r="FY804" s="18"/>
      <c r="FZ804" s="18"/>
      <c r="GA804" s="18"/>
      <c r="GB804" s="18"/>
      <c r="GC804" s="18"/>
      <c r="GD804" s="18"/>
      <c r="GE804" s="18"/>
      <c r="GF804" s="18"/>
      <c r="GG804" s="18"/>
      <c r="GH804" s="18"/>
      <c r="GI804" s="18"/>
      <c r="GJ804" s="18"/>
      <c r="GK804" s="18"/>
      <c r="GL804" s="18"/>
      <c r="GM804" s="18"/>
      <c r="GN804" s="18"/>
      <c r="GO804" s="18"/>
      <c r="GP804" s="18"/>
      <c r="GQ804" s="18"/>
      <c r="GR804" s="18"/>
      <c r="GS804" s="18"/>
      <c r="GT804" s="18"/>
      <c r="GU804" s="18"/>
      <c r="GV804" s="18"/>
      <c r="GW804" s="18"/>
      <c r="GX804" s="18"/>
      <c r="GY804" s="18"/>
      <c r="GZ804" s="18"/>
      <c r="HA804" s="18"/>
      <c r="HB804" s="18"/>
      <c r="HC804" s="18"/>
      <c r="HD804" s="18"/>
      <c r="HE804" s="18"/>
      <c r="HF804" s="18"/>
      <c r="HG804" s="13"/>
      <c r="HH804" s="13"/>
      <c r="HI804" s="13"/>
      <c r="HJ804" s="13"/>
      <c r="HK804" s="13"/>
      <c r="HL804" s="13"/>
      <c r="HM804" s="13"/>
      <c r="HN804" s="13"/>
      <c r="HO804" s="13"/>
      <c r="HP804" s="13"/>
      <c r="HQ804" s="13"/>
      <c r="HR804" s="13"/>
      <c r="HS804" s="13"/>
      <c r="HT804" s="13"/>
      <c r="HU804" s="18"/>
      <c r="HV804" s="18"/>
      <c r="HW804" s="18"/>
      <c r="HX804" s="18"/>
      <c r="HY804" s="18"/>
      <c r="HZ804" s="18"/>
      <c r="IA804" s="18"/>
      <c r="IB804" s="18"/>
      <c r="IC804" s="18"/>
      <c r="ID804" s="18"/>
      <c r="IE804" s="18"/>
      <c r="IF804" s="18"/>
      <c r="IG804" s="18"/>
      <c r="IH804" s="18"/>
      <c r="II804" s="18"/>
      <c r="IJ804" s="18"/>
      <c r="IK804" s="18"/>
      <c r="IL804" s="18"/>
      <c r="IM804" s="18"/>
      <c r="IN804" s="18"/>
      <c r="IO804" s="18"/>
      <c r="IP804" s="18"/>
      <c r="IQ804" s="18"/>
      <c r="IR804" s="18"/>
      <c r="IS804" s="18"/>
      <c r="IT804" s="18"/>
      <c r="IU804" s="18"/>
      <c r="IV804" s="18"/>
      <c r="IW804" s="18"/>
      <c r="IX804" s="18"/>
      <c r="IY804" s="18"/>
      <c r="IZ804" s="18"/>
      <c r="JA804" s="18"/>
      <c r="JB804" s="18"/>
      <c r="JC804" s="18"/>
      <c r="JD804" s="18"/>
      <c r="JE804" s="18"/>
      <c r="JF804" s="18"/>
      <c r="JG804" s="18"/>
      <c r="JH804" s="18"/>
      <c r="JI804" s="18"/>
      <c r="JJ804" s="18"/>
      <c r="JK804" s="18"/>
      <c r="JL804" s="18"/>
      <c r="JM804" s="18"/>
      <c r="JN804" s="18"/>
      <c r="JO804" s="18"/>
      <c r="JP804" s="18"/>
      <c r="JQ804" s="18"/>
      <c r="JR804" s="18"/>
      <c r="JS804" s="18"/>
      <c r="JT804" s="18"/>
      <c r="JU804" s="18"/>
      <c r="JV804" s="18"/>
      <c r="JW804" s="18"/>
      <c r="JX804" s="18"/>
      <c r="JY804" s="18"/>
      <c r="JZ804" s="18"/>
      <c r="KA804" s="18"/>
      <c r="KB804" s="18"/>
      <c r="KC804" s="18"/>
      <c r="KD804" s="18"/>
      <c r="KE804" s="18"/>
      <c r="KF804" s="18"/>
      <c r="KG804" s="18"/>
      <c r="KH804" s="18"/>
      <c r="KI804" s="18"/>
      <c r="KJ804" s="18"/>
      <c r="KK804" s="18"/>
      <c r="KL804" s="18"/>
      <c r="KM804" s="18"/>
      <c r="KN804" s="18"/>
      <c r="KO804" s="18"/>
      <c r="KP804" s="18"/>
    </row>
    <row r="805" spans="1:302">
      <c r="A805" s="14"/>
      <c r="B805" s="14"/>
      <c r="F805" s="14"/>
      <c r="G805" s="23"/>
      <c r="H805" s="23"/>
      <c r="I805" s="23"/>
      <c r="J805" s="23"/>
      <c r="K805" s="14"/>
      <c r="L805" s="14"/>
      <c r="P805" s="14"/>
      <c r="AG805" s="44"/>
      <c r="AH805" s="44"/>
      <c r="AI805" s="45"/>
      <c r="AJ805" s="44"/>
      <c r="AK805" s="43"/>
      <c r="AS805" s="14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  <c r="EW805" s="18"/>
      <c r="EX805" s="18"/>
      <c r="EY805" s="18"/>
      <c r="EZ805" s="18"/>
      <c r="FA805" s="18"/>
      <c r="FB805" s="18"/>
      <c r="FC805" s="18"/>
      <c r="FD805" s="18"/>
      <c r="FE805" s="18"/>
      <c r="FF805" s="18"/>
      <c r="FG805" s="18"/>
      <c r="FH805" s="18"/>
      <c r="FI805" s="18"/>
      <c r="FJ805" s="18"/>
      <c r="FK805" s="18"/>
      <c r="FL805" s="18"/>
      <c r="FM805" s="18"/>
      <c r="FN805" s="18"/>
      <c r="FO805" s="18"/>
      <c r="FP805" s="18"/>
      <c r="FQ805" s="18"/>
      <c r="FR805" s="18"/>
      <c r="FS805" s="18"/>
      <c r="FT805" s="18"/>
      <c r="FU805" s="18"/>
      <c r="FV805" s="18"/>
      <c r="FW805" s="18"/>
      <c r="FX805" s="18"/>
      <c r="FY805" s="18"/>
      <c r="FZ805" s="18"/>
      <c r="GA805" s="18"/>
      <c r="GB805" s="18"/>
      <c r="GC805" s="18"/>
      <c r="GD805" s="18"/>
      <c r="GE805" s="18"/>
      <c r="GF805" s="18"/>
      <c r="GG805" s="18"/>
      <c r="GH805" s="18"/>
      <c r="GI805" s="18"/>
      <c r="GJ805" s="18"/>
      <c r="GK805" s="18"/>
      <c r="GL805" s="18"/>
      <c r="GM805" s="18"/>
      <c r="GN805" s="18"/>
      <c r="GO805" s="18"/>
      <c r="GP805" s="18"/>
      <c r="GQ805" s="18"/>
      <c r="GR805" s="18"/>
      <c r="GS805" s="18"/>
      <c r="GT805" s="18"/>
      <c r="GU805" s="18"/>
      <c r="GV805" s="18"/>
      <c r="GW805" s="18"/>
      <c r="GX805" s="18"/>
      <c r="GY805" s="18"/>
      <c r="GZ805" s="18"/>
      <c r="HA805" s="18"/>
      <c r="HB805" s="18"/>
      <c r="HC805" s="18"/>
      <c r="HD805" s="18"/>
      <c r="HE805" s="18"/>
      <c r="HF805" s="18"/>
      <c r="HG805" s="13"/>
      <c r="HH805" s="13"/>
      <c r="HI805" s="13"/>
      <c r="HJ805" s="13"/>
      <c r="HK805" s="13"/>
      <c r="HL805" s="13"/>
      <c r="HM805" s="13"/>
      <c r="HN805" s="13"/>
      <c r="HO805" s="13"/>
      <c r="HP805" s="13"/>
      <c r="HQ805" s="13"/>
      <c r="HR805" s="13"/>
      <c r="HS805" s="13"/>
      <c r="HT805" s="13"/>
      <c r="HU805" s="18"/>
      <c r="HV805" s="18"/>
      <c r="HW805" s="18"/>
      <c r="HX805" s="18"/>
      <c r="HY805" s="18"/>
      <c r="HZ805" s="18"/>
      <c r="IA805" s="18"/>
      <c r="IB805" s="18"/>
      <c r="IC805" s="18"/>
      <c r="ID805" s="18"/>
      <c r="IE805" s="18"/>
      <c r="IF805" s="18"/>
      <c r="IG805" s="18"/>
      <c r="IH805" s="18"/>
      <c r="II805" s="18"/>
      <c r="IJ805" s="18"/>
      <c r="IK805" s="18"/>
      <c r="IL805" s="18"/>
      <c r="IM805" s="18"/>
      <c r="IN805" s="18"/>
      <c r="IO805" s="18"/>
      <c r="IP805" s="18"/>
      <c r="IQ805" s="18"/>
      <c r="IR805" s="18"/>
      <c r="IS805" s="18"/>
      <c r="IT805" s="18"/>
      <c r="IU805" s="18"/>
      <c r="IV805" s="18"/>
      <c r="IW805" s="18"/>
      <c r="IX805" s="18"/>
      <c r="IY805" s="18"/>
      <c r="IZ805" s="18"/>
      <c r="JA805" s="18"/>
      <c r="JB805" s="18"/>
      <c r="JC805" s="18"/>
      <c r="JD805" s="18"/>
      <c r="JE805" s="18"/>
      <c r="JF805" s="18"/>
      <c r="JG805" s="18"/>
      <c r="JH805" s="18"/>
      <c r="JI805" s="18"/>
      <c r="JJ805" s="18"/>
      <c r="JK805" s="18"/>
      <c r="JL805" s="18"/>
      <c r="JM805" s="18"/>
      <c r="JN805" s="18"/>
      <c r="JO805" s="18"/>
      <c r="JP805" s="18"/>
      <c r="JQ805" s="18"/>
      <c r="JR805" s="18"/>
      <c r="JS805" s="18"/>
      <c r="JT805" s="18"/>
      <c r="JU805" s="18"/>
      <c r="JV805" s="18"/>
      <c r="JW805" s="18"/>
      <c r="JX805" s="18"/>
      <c r="JY805" s="18"/>
      <c r="JZ805" s="18"/>
      <c r="KA805" s="18"/>
      <c r="KB805" s="18"/>
      <c r="KC805" s="18"/>
      <c r="KD805" s="18"/>
      <c r="KE805" s="18"/>
      <c r="KF805" s="18"/>
      <c r="KG805" s="18"/>
      <c r="KH805" s="18"/>
      <c r="KI805" s="18"/>
      <c r="KJ805" s="18"/>
      <c r="KK805" s="18"/>
      <c r="KL805" s="18"/>
      <c r="KM805" s="18"/>
      <c r="KN805" s="18"/>
      <c r="KO805" s="18"/>
      <c r="KP805" s="18"/>
    </row>
    <row r="806" spans="1:302">
      <c r="A806" s="14"/>
      <c r="B806" s="14"/>
      <c r="F806" s="14"/>
      <c r="G806" s="23"/>
      <c r="H806" s="23"/>
      <c r="I806" s="23"/>
      <c r="J806" s="23"/>
      <c r="K806" s="14"/>
      <c r="L806" s="14"/>
      <c r="P806" s="14"/>
      <c r="AG806" s="44"/>
      <c r="AH806" s="44"/>
      <c r="AI806" s="45"/>
      <c r="AJ806" s="44"/>
      <c r="AK806" s="43"/>
      <c r="AS806" s="14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  <c r="EW806" s="18"/>
      <c r="EX806" s="18"/>
      <c r="EY806" s="18"/>
      <c r="EZ806" s="18"/>
      <c r="FA806" s="18"/>
      <c r="FB806" s="18"/>
      <c r="FC806" s="18"/>
      <c r="FD806" s="18"/>
      <c r="FE806" s="18"/>
      <c r="FF806" s="18"/>
      <c r="FG806" s="18"/>
      <c r="FH806" s="18"/>
      <c r="FI806" s="18"/>
      <c r="FJ806" s="18"/>
      <c r="FK806" s="18"/>
      <c r="FL806" s="18"/>
      <c r="FM806" s="18"/>
      <c r="FN806" s="18"/>
      <c r="FO806" s="18"/>
      <c r="FP806" s="18"/>
      <c r="FQ806" s="18"/>
      <c r="FR806" s="18"/>
      <c r="FS806" s="18"/>
      <c r="FT806" s="18"/>
      <c r="FU806" s="18"/>
      <c r="FV806" s="18"/>
      <c r="FW806" s="18"/>
      <c r="FX806" s="18"/>
      <c r="FY806" s="18"/>
      <c r="FZ806" s="18"/>
      <c r="GA806" s="18"/>
      <c r="GB806" s="18"/>
      <c r="GC806" s="18"/>
      <c r="GD806" s="18"/>
      <c r="GE806" s="18"/>
      <c r="GF806" s="18"/>
      <c r="GG806" s="18"/>
      <c r="GH806" s="18"/>
      <c r="GI806" s="18"/>
      <c r="GJ806" s="18"/>
      <c r="GK806" s="18"/>
      <c r="GL806" s="18"/>
      <c r="GM806" s="18"/>
      <c r="GN806" s="18"/>
      <c r="GO806" s="18"/>
      <c r="GP806" s="18"/>
      <c r="GQ806" s="18"/>
      <c r="GR806" s="18"/>
      <c r="GS806" s="18"/>
      <c r="GT806" s="18"/>
      <c r="GU806" s="18"/>
      <c r="GV806" s="18"/>
      <c r="GW806" s="18"/>
      <c r="GX806" s="18"/>
      <c r="GY806" s="18"/>
      <c r="GZ806" s="18"/>
      <c r="HA806" s="18"/>
      <c r="HB806" s="18"/>
      <c r="HC806" s="18"/>
      <c r="HD806" s="18"/>
      <c r="HE806" s="18"/>
      <c r="HF806" s="18"/>
      <c r="HG806" s="13"/>
      <c r="HH806" s="13"/>
      <c r="HI806" s="13"/>
      <c r="HJ806" s="13"/>
      <c r="HK806" s="13"/>
      <c r="HL806" s="13"/>
      <c r="HM806" s="13"/>
      <c r="HN806" s="13"/>
      <c r="HO806" s="13"/>
      <c r="HP806" s="13"/>
      <c r="HQ806" s="13"/>
      <c r="HR806" s="13"/>
      <c r="HS806" s="13"/>
      <c r="HT806" s="13"/>
      <c r="HU806" s="18"/>
      <c r="HV806" s="18"/>
      <c r="HW806" s="18"/>
      <c r="HX806" s="18"/>
      <c r="HY806" s="18"/>
      <c r="HZ806" s="18"/>
      <c r="IA806" s="18"/>
      <c r="IB806" s="18"/>
      <c r="IC806" s="18"/>
      <c r="ID806" s="18"/>
      <c r="IE806" s="18"/>
      <c r="IF806" s="18"/>
      <c r="IG806" s="18"/>
      <c r="IH806" s="18"/>
      <c r="II806" s="18"/>
      <c r="IJ806" s="18"/>
      <c r="IK806" s="18"/>
      <c r="IL806" s="18"/>
      <c r="IM806" s="18"/>
      <c r="IN806" s="18"/>
      <c r="IO806" s="18"/>
      <c r="IP806" s="18"/>
      <c r="IQ806" s="18"/>
      <c r="IR806" s="18"/>
      <c r="IS806" s="18"/>
      <c r="IT806" s="18"/>
      <c r="IU806" s="18"/>
      <c r="IV806" s="18"/>
      <c r="IW806" s="18"/>
      <c r="IX806" s="18"/>
      <c r="IY806" s="18"/>
      <c r="IZ806" s="18"/>
      <c r="JA806" s="18"/>
      <c r="JB806" s="18"/>
      <c r="JC806" s="18"/>
      <c r="JD806" s="18"/>
      <c r="JE806" s="18"/>
      <c r="JF806" s="18"/>
      <c r="JG806" s="18"/>
      <c r="JH806" s="18"/>
      <c r="JI806" s="18"/>
      <c r="JJ806" s="18"/>
      <c r="JK806" s="18"/>
      <c r="JL806" s="18"/>
      <c r="JM806" s="18"/>
      <c r="JN806" s="18"/>
      <c r="JO806" s="18"/>
      <c r="JP806" s="18"/>
      <c r="JQ806" s="18"/>
      <c r="JR806" s="18"/>
      <c r="JS806" s="18"/>
      <c r="JT806" s="18"/>
      <c r="JU806" s="18"/>
      <c r="JV806" s="18"/>
      <c r="JW806" s="18"/>
      <c r="JX806" s="18"/>
      <c r="JY806" s="18"/>
      <c r="JZ806" s="18"/>
      <c r="KA806" s="18"/>
      <c r="KB806" s="18"/>
      <c r="KC806" s="18"/>
      <c r="KD806" s="18"/>
      <c r="KE806" s="18"/>
      <c r="KF806" s="18"/>
      <c r="KG806" s="18"/>
      <c r="KH806" s="18"/>
      <c r="KI806" s="18"/>
      <c r="KJ806" s="18"/>
      <c r="KK806" s="18"/>
      <c r="KL806" s="18"/>
      <c r="KM806" s="18"/>
      <c r="KN806" s="18"/>
      <c r="KO806" s="18"/>
      <c r="KP806" s="18"/>
    </row>
    <row r="807" spans="1:302">
      <c r="A807" s="14"/>
      <c r="B807" s="14"/>
      <c r="F807" s="14"/>
      <c r="G807" s="23"/>
      <c r="H807" s="23"/>
      <c r="I807" s="23"/>
      <c r="J807" s="23"/>
      <c r="K807" s="14"/>
      <c r="L807" s="14"/>
      <c r="P807" s="14"/>
      <c r="AG807" s="44"/>
      <c r="AH807" s="44"/>
      <c r="AI807" s="45"/>
      <c r="AJ807" s="44"/>
      <c r="AK807" s="43"/>
      <c r="AS807" s="14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  <c r="EW807" s="18"/>
      <c r="EX807" s="18"/>
      <c r="EY807" s="18"/>
      <c r="EZ807" s="18"/>
      <c r="FA807" s="18"/>
      <c r="FB807" s="18"/>
      <c r="FC807" s="18"/>
      <c r="FD807" s="18"/>
      <c r="FE807" s="18"/>
      <c r="FF807" s="18"/>
      <c r="FG807" s="18"/>
      <c r="FH807" s="18"/>
      <c r="FI807" s="18"/>
      <c r="FJ807" s="18"/>
      <c r="FK807" s="18"/>
      <c r="FL807" s="18"/>
      <c r="FM807" s="18"/>
      <c r="FN807" s="18"/>
      <c r="FO807" s="18"/>
      <c r="FP807" s="18"/>
      <c r="FQ807" s="18"/>
      <c r="FR807" s="18"/>
      <c r="FS807" s="18"/>
      <c r="FT807" s="18"/>
      <c r="FU807" s="18"/>
      <c r="FV807" s="18"/>
      <c r="FW807" s="18"/>
      <c r="FX807" s="18"/>
      <c r="FY807" s="18"/>
      <c r="FZ807" s="18"/>
      <c r="GA807" s="18"/>
      <c r="GB807" s="18"/>
      <c r="GC807" s="18"/>
      <c r="GD807" s="18"/>
      <c r="GE807" s="18"/>
      <c r="GF807" s="18"/>
      <c r="GG807" s="18"/>
      <c r="GH807" s="18"/>
      <c r="GI807" s="18"/>
      <c r="GJ807" s="18"/>
      <c r="GK807" s="18"/>
      <c r="GL807" s="18"/>
      <c r="GM807" s="18"/>
      <c r="GN807" s="18"/>
      <c r="GO807" s="18"/>
      <c r="GP807" s="18"/>
      <c r="GQ807" s="18"/>
      <c r="GR807" s="18"/>
      <c r="GS807" s="18"/>
      <c r="GT807" s="18"/>
      <c r="GU807" s="18"/>
      <c r="GV807" s="18"/>
      <c r="GW807" s="18"/>
      <c r="GX807" s="18"/>
      <c r="GY807" s="18"/>
      <c r="GZ807" s="18"/>
      <c r="HA807" s="18"/>
      <c r="HB807" s="18"/>
      <c r="HC807" s="18"/>
      <c r="HD807" s="18"/>
      <c r="HE807" s="18"/>
      <c r="HF807" s="18"/>
      <c r="HG807" s="13"/>
      <c r="HH807" s="13"/>
      <c r="HI807" s="13"/>
      <c r="HJ807" s="13"/>
      <c r="HK807" s="13"/>
      <c r="HL807" s="13"/>
      <c r="HM807" s="13"/>
      <c r="HN807" s="13"/>
      <c r="HO807" s="13"/>
      <c r="HP807" s="13"/>
      <c r="HQ807" s="13"/>
      <c r="HR807" s="13"/>
      <c r="HS807" s="13"/>
      <c r="HT807" s="13"/>
      <c r="HU807" s="18"/>
      <c r="HV807" s="18"/>
      <c r="HW807" s="18"/>
      <c r="HX807" s="18"/>
      <c r="HY807" s="18"/>
      <c r="HZ807" s="18"/>
      <c r="IA807" s="18"/>
      <c r="IB807" s="18"/>
      <c r="IC807" s="18"/>
      <c r="ID807" s="18"/>
      <c r="IE807" s="18"/>
      <c r="IF807" s="18"/>
      <c r="IG807" s="18"/>
      <c r="IH807" s="18"/>
      <c r="II807" s="18"/>
      <c r="IJ807" s="18"/>
      <c r="IK807" s="18"/>
      <c r="IL807" s="18"/>
      <c r="IM807" s="18"/>
      <c r="IN807" s="18"/>
      <c r="IO807" s="18"/>
      <c r="IP807" s="18"/>
      <c r="IQ807" s="18"/>
      <c r="IR807" s="18"/>
      <c r="IS807" s="18"/>
      <c r="IT807" s="18"/>
      <c r="IU807" s="18"/>
      <c r="IV807" s="18"/>
      <c r="IW807" s="18"/>
      <c r="IX807" s="18"/>
      <c r="IY807" s="18"/>
      <c r="IZ807" s="18"/>
      <c r="JA807" s="18"/>
      <c r="JB807" s="18"/>
      <c r="JC807" s="18"/>
      <c r="JD807" s="18"/>
      <c r="JE807" s="18"/>
      <c r="JF807" s="18"/>
      <c r="JG807" s="18"/>
      <c r="JH807" s="18"/>
      <c r="JI807" s="18"/>
      <c r="JJ807" s="18"/>
      <c r="JK807" s="18"/>
      <c r="JL807" s="18"/>
      <c r="JM807" s="18"/>
      <c r="JN807" s="18"/>
      <c r="JO807" s="18"/>
      <c r="JP807" s="18"/>
      <c r="JQ807" s="18"/>
      <c r="JR807" s="18"/>
      <c r="JS807" s="18"/>
      <c r="JT807" s="18"/>
      <c r="JU807" s="18"/>
      <c r="JV807" s="18"/>
      <c r="JW807" s="18"/>
      <c r="JX807" s="18"/>
      <c r="JY807" s="18"/>
      <c r="JZ807" s="18"/>
      <c r="KA807" s="18"/>
      <c r="KB807" s="18"/>
      <c r="KC807" s="18"/>
      <c r="KD807" s="18"/>
      <c r="KE807" s="18"/>
      <c r="KF807" s="18"/>
      <c r="KG807" s="18"/>
      <c r="KH807" s="18"/>
      <c r="KI807" s="18"/>
      <c r="KJ807" s="18"/>
      <c r="KK807" s="18"/>
      <c r="KL807" s="18"/>
      <c r="KM807" s="18"/>
      <c r="KN807" s="18"/>
      <c r="KO807" s="18"/>
      <c r="KP807" s="18"/>
    </row>
    <row r="808" spans="1:302">
      <c r="A808" s="14"/>
      <c r="B808" s="14"/>
      <c r="F808" s="14"/>
      <c r="G808" s="23"/>
      <c r="H808" s="23"/>
      <c r="I808" s="23"/>
      <c r="J808" s="23"/>
      <c r="K808" s="14"/>
      <c r="L808" s="14"/>
      <c r="P808" s="14"/>
      <c r="AG808" s="44"/>
      <c r="AH808" s="44"/>
      <c r="AI808" s="45"/>
      <c r="AJ808" s="44"/>
      <c r="AK808" s="43"/>
      <c r="AS808" s="14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  <c r="EW808" s="18"/>
      <c r="EX808" s="18"/>
      <c r="EY808" s="18"/>
      <c r="EZ808" s="18"/>
      <c r="FA808" s="18"/>
      <c r="FB808" s="18"/>
      <c r="FC808" s="18"/>
      <c r="FD808" s="18"/>
      <c r="FE808" s="18"/>
      <c r="FF808" s="18"/>
      <c r="FG808" s="18"/>
      <c r="FH808" s="18"/>
      <c r="FI808" s="18"/>
      <c r="FJ808" s="18"/>
      <c r="FK808" s="18"/>
      <c r="FL808" s="18"/>
      <c r="FM808" s="18"/>
      <c r="FN808" s="18"/>
      <c r="FO808" s="18"/>
      <c r="FP808" s="18"/>
      <c r="FQ808" s="18"/>
      <c r="FR808" s="18"/>
      <c r="FS808" s="18"/>
      <c r="FT808" s="18"/>
      <c r="FU808" s="18"/>
      <c r="FV808" s="18"/>
      <c r="FW808" s="18"/>
      <c r="FX808" s="18"/>
      <c r="FY808" s="18"/>
      <c r="FZ808" s="18"/>
      <c r="GA808" s="18"/>
      <c r="GB808" s="18"/>
      <c r="GC808" s="18"/>
      <c r="GD808" s="18"/>
      <c r="GE808" s="18"/>
      <c r="GF808" s="18"/>
      <c r="GG808" s="18"/>
      <c r="GH808" s="18"/>
      <c r="GI808" s="18"/>
      <c r="GJ808" s="18"/>
      <c r="GK808" s="18"/>
      <c r="GL808" s="18"/>
      <c r="GM808" s="18"/>
      <c r="GN808" s="18"/>
      <c r="GO808" s="18"/>
      <c r="GP808" s="18"/>
      <c r="GQ808" s="18"/>
      <c r="GR808" s="18"/>
      <c r="GS808" s="18"/>
      <c r="GT808" s="18"/>
      <c r="GU808" s="18"/>
      <c r="GV808" s="18"/>
      <c r="GW808" s="18"/>
      <c r="GX808" s="18"/>
      <c r="GY808" s="18"/>
      <c r="GZ808" s="18"/>
      <c r="HA808" s="18"/>
      <c r="HB808" s="18"/>
      <c r="HC808" s="18"/>
      <c r="HD808" s="18"/>
      <c r="HE808" s="18"/>
      <c r="HF808" s="18"/>
      <c r="HG808" s="13"/>
      <c r="HH808" s="13"/>
      <c r="HI808" s="13"/>
      <c r="HJ808" s="13"/>
      <c r="HK808" s="13"/>
      <c r="HL808" s="13"/>
      <c r="HM808" s="13"/>
      <c r="HN808" s="13"/>
      <c r="HO808" s="13"/>
      <c r="HP808" s="13"/>
      <c r="HQ808" s="13"/>
      <c r="HR808" s="13"/>
      <c r="HS808" s="13"/>
      <c r="HT808" s="13"/>
      <c r="HU808" s="18"/>
      <c r="HV808" s="18"/>
      <c r="HW808" s="18"/>
      <c r="HX808" s="18"/>
      <c r="HY808" s="18"/>
      <c r="HZ808" s="18"/>
      <c r="IA808" s="18"/>
      <c r="IB808" s="18"/>
      <c r="IC808" s="18"/>
      <c r="ID808" s="18"/>
      <c r="IE808" s="18"/>
      <c r="IF808" s="18"/>
      <c r="IG808" s="18"/>
      <c r="IH808" s="18"/>
      <c r="II808" s="18"/>
      <c r="IJ808" s="18"/>
      <c r="IK808" s="18"/>
      <c r="IL808" s="18"/>
      <c r="IM808" s="18"/>
      <c r="IN808" s="18"/>
      <c r="IO808" s="18"/>
      <c r="IP808" s="18"/>
      <c r="IQ808" s="18"/>
      <c r="IR808" s="18"/>
      <c r="IS808" s="18"/>
      <c r="IT808" s="18"/>
      <c r="IU808" s="18"/>
      <c r="IV808" s="18"/>
      <c r="IW808" s="18"/>
      <c r="IX808" s="18"/>
      <c r="IY808" s="18"/>
      <c r="IZ808" s="18"/>
      <c r="JA808" s="18"/>
      <c r="JB808" s="18"/>
      <c r="JC808" s="18"/>
      <c r="JD808" s="18"/>
      <c r="JE808" s="18"/>
      <c r="JF808" s="18"/>
      <c r="JG808" s="18"/>
      <c r="JH808" s="18"/>
      <c r="JI808" s="18"/>
      <c r="JJ808" s="18"/>
      <c r="JK808" s="18"/>
      <c r="JL808" s="18"/>
      <c r="JM808" s="18"/>
      <c r="JN808" s="18"/>
      <c r="JO808" s="18"/>
      <c r="JP808" s="18"/>
      <c r="JQ808" s="18"/>
      <c r="JR808" s="18"/>
      <c r="JS808" s="18"/>
      <c r="JT808" s="18"/>
      <c r="JU808" s="18"/>
      <c r="JV808" s="18"/>
      <c r="JW808" s="18"/>
      <c r="JX808" s="18"/>
      <c r="JY808" s="18"/>
      <c r="JZ808" s="18"/>
      <c r="KA808" s="18"/>
      <c r="KB808" s="18"/>
      <c r="KC808" s="18"/>
      <c r="KD808" s="18"/>
      <c r="KE808" s="18"/>
      <c r="KF808" s="18"/>
      <c r="KG808" s="18"/>
      <c r="KH808" s="18"/>
      <c r="KI808" s="18"/>
      <c r="KJ808" s="18"/>
      <c r="KK808" s="18"/>
      <c r="KL808" s="18"/>
      <c r="KM808" s="18"/>
      <c r="KN808" s="18"/>
      <c r="KO808" s="18"/>
      <c r="KP808" s="18"/>
    </row>
    <row r="809" spans="1:302">
      <c r="A809" s="14"/>
      <c r="B809" s="14"/>
      <c r="F809" s="14"/>
      <c r="G809" s="23"/>
      <c r="H809" s="23"/>
      <c r="I809" s="23"/>
      <c r="J809" s="23"/>
      <c r="K809" s="14"/>
      <c r="L809" s="14"/>
      <c r="P809" s="14"/>
      <c r="AG809" s="44"/>
      <c r="AH809" s="44"/>
      <c r="AI809" s="45"/>
      <c r="AJ809" s="44"/>
      <c r="AK809" s="43"/>
      <c r="AS809" s="14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  <c r="EW809" s="18"/>
      <c r="EX809" s="18"/>
      <c r="EY809" s="18"/>
      <c r="EZ809" s="18"/>
      <c r="FA809" s="18"/>
      <c r="FB809" s="18"/>
      <c r="FC809" s="18"/>
      <c r="FD809" s="18"/>
      <c r="FE809" s="18"/>
      <c r="FF809" s="18"/>
      <c r="FG809" s="18"/>
      <c r="FH809" s="18"/>
      <c r="FI809" s="18"/>
      <c r="FJ809" s="18"/>
      <c r="FK809" s="18"/>
      <c r="FL809" s="18"/>
      <c r="FM809" s="18"/>
      <c r="FN809" s="18"/>
      <c r="FO809" s="18"/>
      <c r="FP809" s="18"/>
      <c r="FQ809" s="18"/>
      <c r="FR809" s="18"/>
      <c r="FS809" s="18"/>
      <c r="FT809" s="18"/>
      <c r="FU809" s="18"/>
      <c r="FV809" s="18"/>
      <c r="FW809" s="18"/>
      <c r="FX809" s="18"/>
      <c r="FY809" s="18"/>
      <c r="FZ809" s="18"/>
      <c r="GA809" s="18"/>
      <c r="GB809" s="18"/>
      <c r="GC809" s="18"/>
      <c r="GD809" s="18"/>
      <c r="GE809" s="18"/>
      <c r="GF809" s="18"/>
      <c r="GG809" s="18"/>
      <c r="GH809" s="18"/>
      <c r="GI809" s="18"/>
      <c r="GJ809" s="18"/>
      <c r="GK809" s="18"/>
      <c r="GL809" s="18"/>
      <c r="GM809" s="18"/>
      <c r="GN809" s="18"/>
      <c r="GO809" s="18"/>
      <c r="GP809" s="18"/>
      <c r="GQ809" s="18"/>
      <c r="GR809" s="18"/>
      <c r="GS809" s="18"/>
      <c r="GT809" s="18"/>
      <c r="GU809" s="18"/>
      <c r="GV809" s="18"/>
      <c r="GW809" s="18"/>
      <c r="GX809" s="18"/>
      <c r="GY809" s="18"/>
      <c r="GZ809" s="18"/>
      <c r="HA809" s="18"/>
      <c r="HB809" s="18"/>
      <c r="HC809" s="18"/>
      <c r="HD809" s="18"/>
      <c r="HE809" s="18"/>
      <c r="HF809" s="18"/>
      <c r="HG809" s="13"/>
      <c r="HH809" s="13"/>
      <c r="HI809" s="13"/>
      <c r="HJ809" s="13"/>
      <c r="HK809" s="13"/>
      <c r="HL809" s="13"/>
      <c r="HM809" s="13"/>
      <c r="HN809" s="13"/>
      <c r="HO809" s="13"/>
      <c r="HP809" s="13"/>
      <c r="HQ809" s="13"/>
      <c r="HR809" s="13"/>
      <c r="HS809" s="13"/>
      <c r="HT809" s="13"/>
      <c r="HU809" s="18"/>
      <c r="HV809" s="18"/>
      <c r="HW809" s="18"/>
      <c r="HX809" s="18"/>
      <c r="HY809" s="18"/>
      <c r="HZ809" s="18"/>
      <c r="IA809" s="18"/>
      <c r="IB809" s="18"/>
      <c r="IC809" s="18"/>
      <c r="ID809" s="18"/>
      <c r="IE809" s="18"/>
      <c r="IF809" s="18"/>
      <c r="IG809" s="18"/>
      <c r="IH809" s="18"/>
      <c r="II809" s="18"/>
      <c r="IJ809" s="18"/>
      <c r="IK809" s="18"/>
      <c r="IL809" s="18"/>
      <c r="IM809" s="18"/>
      <c r="IN809" s="18"/>
      <c r="IO809" s="18"/>
      <c r="IP809" s="18"/>
      <c r="IQ809" s="18"/>
      <c r="IR809" s="18"/>
      <c r="IS809" s="18"/>
      <c r="IT809" s="18"/>
      <c r="IU809" s="18"/>
      <c r="IV809" s="18"/>
      <c r="IW809" s="18"/>
      <c r="IX809" s="18"/>
      <c r="IY809" s="18"/>
      <c r="IZ809" s="18"/>
      <c r="JA809" s="18"/>
      <c r="JB809" s="18"/>
      <c r="JC809" s="18"/>
      <c r="JD809" s="18"/>
      <c r="JE809" s="18"/>
      <c r="JF809" s="18"/>
      <c r="JG809" s="18"/>
      <c r="JH809" s="18"/>
      <c r="JI809" s="18"/>
      <c r="JJ809" s="18"/>
      <c r="JK809" s="18"/>
      <c r="JL809" s="18"/>
      <c r="JM809" s="18"/>
      <c r="JN809" s="18"/>
      <c r="JO809" s="18"/>
      <c r="JP809" s="18"/>
      <c r="JQ809" s="18"/>
      <c r="JR809" s="18"/>
      <c r="JS809" s="18"/>
      <c r="JT809" s="18"/>
      <c r="JU809" s="18"/>
      <c r="JV809" s="18"/>
      <c r="JW809" s="18"/>
      <c r="JX809" s="18"/>
      <c r="JY809" s="18"/>
      <c r="JZ809" s="18"/>
      <c r="KA809" s="18"/>
      <c r="KB809" s="18"/>
      <c r="KC809" s="18"/>
      <c r="KD809" s="18"/>
      <c r="KE809" s="18"/>
      <c r="KF809" s="18"/>
      <c r="KG809" s="18"/>
      <c r="KH809" s="18"/>
      <c r="KI809" s="18"/>
      <c r="KJ809" s="18"/>
      <c r="KK809" s="18"/>
      <c r="KL809" s="18"/>
      <c r="KM809" s="18"/>
      <c r="KN809" s="18"/>
      <c r="KO809" s="18"/>
      <c r="KP809" s="18"/>
    </row>
    <row r="810" spans="1:302">
      <c r="A810" s="14"/>
      <c r="B810" s="14"/>
      <c r="F810" s="14"/>
      <c r="G810" s="23"/>
      <c r="H810" s="23"/>
      <c r="I810" s="23"/>
      <c r="J810" s="23"/>
      <c r="K810" s="14"/>
      <c r="L810" s="14"/>
      <c r="P810" s="14"/>
      <c r="AG810" s="44"/>
      <c r="AH810" s="44"/>
      <c r="AI810" s="45"/>
      <c r="AJ810" s="44"/>
      <c r="AK810" s="43"/>
      <c r="AS810" s="14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  <c r="FC810" s="18"/>
      <c r="FD810" s="18"/>
      <c r="FE810" s="18"/>
      <c r="FF810" s="18"/>
      <c r="FG810" s="18"/>
      <c r="FH810" s="18"/>
      <c r="FI810" s="18"/>
      <c r="FJ810" s="18"/>
      <c r="FK810" s="18"/>
      <c r="FL810" s="18"/>
      <c r="FM810" s="18"/>
      <c r="FN810" s="18"/>
      <c r="FO810" s="18"/>
      <c r="FP810" s="18"/>
      <c r="FQ810" s="18"/>
      <c r="FR810" s="18"/>
      <c r="FS810" s="18"/>
      <c r="FT810" s="18"/>
      <c r="FU810" s="18"/>
      <c r="FV810" s="18"/>
      <c r="FW810" s="18"/>
      <c r="FX810" s="18"/>
      <c r="FY810" s="18"/>
      <c r="FZ810" s="18"/>
      <c r="GA810" s="18"/>
      <c r="GB810" s="18"/>
      <c r="GC810" s="18"/>
      <c r="GD810" s="18"/>
      <c r="GE810" s="18"/>
      <c r="GF810" s="18"/>
      <c r="GG810" s="18"/>
      <c r="GH810" s="18"/>
      <c r="GI810" s="18"/>
      <c r="GJ810" s="18"/>
      <c r="GK810" s="18"/>
      <c r="GL810" s="18"/>
      <c r="GM810" s="18"/>
      <c r="GN810" s="18"/>
      <c r="GO810" s="18"/>
      <c r="GP810" s="18"/>
      <c r="GQ810" s="18"/>
      <c r="GR810" s="18"/>
      <c r="GS810" s="18"/>
      <c r="GT810" s="18"/>
      <c r="GU810" s="18"/>
      <c r="GV810" s="18"/>
      <c r="GW810" s="18"/>
      <c r="GX810" s="18"/>
      <c r="GY810" s="18"/>
      <c r="GZ810" s="18"/>
      <c r="HA810" s="18"/>
      <c r="HB810" s="18"/>
      <c r="HC810" s="18"/>
      <c r="HD810" s="18"/>
      <c r="HE810" s="18"/>
      <c r="HF810" s="18"/>
      <c r="HG810" s="13"/>
      <c r="HH810" s="13"/>
      <c r="HI810" s="13"/>
      <c r="HJ810" s="13"/>
      <c r="HK810" s="13"/>
      <c r="HL810" s="13"/>
      <c r="HM810" s="13"/>
      <c r="HN810" s="13"/>
      <c r="HO810" s="13"/>
      <c r="HP810" s="13"/>
      <c r="HQ810" s="13"/>
      <c r="HR810" s="13"/>
      <c r="HS810" s="13"/>
      <c r="HT810" s="13"/>
      <c r="HU810" s="18"/>
      <c r="HV810" s="18"/>
      <c r="HW810" s="18"/>
      <c r="HX810" s="18"/>
      <c r="HY810" s="18"/>
      <c r="HZ810" s="18"/>
      <c r="IA810" s="18"/>
      <c r="IB810" s="18"/>
      <c r="IC810" s="18"/>
      <c r="ID810" s="18"/>
      <c r="IE810" s="18"/>
      <c r="IF810" s="18"/>
      <c r="IG810" s="18"/>
      <c r="IH810" s="18"/>
      <c r="II810" s="18"/>
      <c r="IJ810" s="18"/>
      <c r="IK810" s="18"/>
      <c r="IL810" s="18"/>
      <c r="IM810" s="18"/>
      <c r="IN810" s="18"/>
      <c r="IO810" s="18"/>
      <c r="IP810" s="18"/>
      <c r="IQ810" s="18"/>
      <c r="IR810" s="18"/>
      <c r="IS810" s="18"/>
      <c r="IT810" s="18"/>
      <c r="IU810" s="18"/>
      <c r="IV810" s="18"/>
      <c r="IW810" s="18"/>
      <c r="IX810" s="18"/>
      <c r="IY810" s="18"/>
      <c r="IZ810" s="18"/>
      <c r="JA810" s="18"/>
      <c r="JB810" s="18"/>
      <c r="JC810" s="18"/>
      <c r="JD810" s="18"/>
      <c r="JE810" s="18"/>
      <c r="JF810" s="18"/>
      <c r="JG810" s="18"/>
      <c r="JH810" s="18"/>
      <c r="JI810" s="18"/>
      <c r="JJ810" s="18"/>
      <c r="JK810" s="18"/>
      <c r="JL810" s="18"/>
      <c r="JM810" s="18"/>
      <c r="JN810" s="18"/>
      <c r="JO810" s="18"/>
      <c r="JP810" s="18"/>
      <c r="JQ810" s="18"/>
      <c r="JR810" s="18"/>
      <c r="JS810" s="18"/>
      <c r="JT810" s="18"/>
      <c r="JU810" s="18"/>
      <c r="JV810" s="18"/>
      <c r="JW810" s="18"/>
      <c r="JX810" s="18"/>
      <c r="JY810" s="18"/>
      <c r="JZ810" s="18"/>
      <c r="KA810" s="18"/>
      <c r="KB810" s="18"/>
      <c r="KC810" s="18"/>
      <c r="KD810" s="18"/>
      <c r="KE810" s="18"/>
      <c r="KF810" s="18"/>
      <c r="KG810" s="18"/>
      <c r="KH810" s="18"/>
      <c r="KI810" s="18"/>
      <c r="KJ810" s="18"/>
      <c r="KK810" s="18"/>
      <c r="KL810" s="18"/>
      <c r="KM810" s="18"/>
      <c r="KN810" s="18"/>
      <c r="KO810" s="18"/>
      <c r="KP810" s="18"/>
    </row>
    <row r="811" spans="1:302">
      <c r="A811" s="14"/>
      <c r="B811" s="14"/>
      <c r="F811" s="14"/>
      <c r="G811" s="23"/>
      <c r="H811" s="23"/>
      <c r="I811" s="23"/>
      <c r="J811" s="23"/>
      <c r="K811" s="14"/>
      <c r="L811" s="14"/>
      <c r="P811" s="14"/>
      <c r="AG811" s="44"/>
      <c r="AH811" s="44"/>
      <c r="AI811" s="45"/>
      <c r="AJ811" s="44"/>
      <c r="AK811" s="43"/>
      <c r="AS811" s="14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  <c r="EW811" s="18"/>
      <c r="EX811" s="18"/>
      <c r="EY811" s="18"/>
      <c r="EZ811" s="18"/>
      <c r="FA811" s="18"/>
      <c r="FB811" s="18"/>
      <c r="FC811" s="18"/>
      <c r="FD811" s="18"/>
      <c r="FE811" s="18"/>
      <c r="FF811" s="18"/>
      <c r="FG811" s="18"/>
      <c r="FH811" s="18"/>
      <c r="FI811" s="18"/>
      <c r="FJ811" s="18"/>
      <c r="FK811" s="18"/>
      <c r="FL811" s="18"/>
      <c r="FM811" s="18"/>
      <c r="FN811" s="18"/>
      <c r="FO811" s="18"/>
      <c r="FP811" s="18"/>
      <c r="FQ811" s="18"/>
      <c r="FR811" s="18"/>
      <c r="FS811" s="18"/>
      <c r="FT811" s="18"/>
      <c r="FU811" s="18"/>
      <c r="FV811" s="18"/>
      <c r="FW811" s="18"/>
      <c r="FX811" s="18"/>
      <c r="FY811" s="18"/>
      <c r="FZ811" s="18"/>
      <c r="GA811" s="18"/>
      <c r="GB811" s="18"/>
      <c r="GC811" s="18"/>
      <c r="GD811" s="18"/>
      <c r="GE811" s="18"/>
      <c r="GF811" s="18"/>
      <c r="GG811" s="18"/>
      <c r="GH811" s="18"/>
      <c r="GI811" s="18"/>
      <c r="GJ811" s="18"/>
      <c r="GK811" s="18"/>
      <c r="GL811" s="18"/>
      <c r="GM811" s="18"/>
      <c r="GN811" s="18"/>
      <c r="GO811" s="18"/>
      <c r="GP811" s="18"/>
      <c r="GQ811" s="18"/>
      <c r="GR811" s="18"/>
      <c r="GS811" s="18"/>
      <c r="GT811" s="18"/>
      <c r="GU811" s="18"/>
      <c r="GV811" s="18"/>
      <c r="GW811" s="18"/>
      <c r="GX811" s="18"/>
      <c r="GY811" s="18"/>
      <c r="GZ811" s="18"/>
      <c r="HA811" s="18"/>
      <c r="HB811" s="18"/>
      <c r="HC811" s="18"/>
      <c r="HD811" s="18"/>
      <c r="HE811" s="18"/>
      <c r="HF811" s="18"/>
      <c r="HG811" s="13"/>
      <c r="HH811" s="13"/>
      <c r="HI811" s="13"/>
      <c r="HJ811" s="13"/>
      <c r="HK811" s="13"/>
      <c r="HL811" s="13"/>
      <c r="HM811" s="13"/>
      <c r="HN811" s="13"/>
      <c r="HO811" s="13"/>
      <c r="HP811" s="13"/>
      <c r="HQ811" s="13"/>
      <c r="HR811" s="13"/>
      <c r="HS811" s="13"/>
      <c r="HT811" s="13"/>
      <c r="HU811" s="18"/>
      <c r="HV811" s="18"/>
      <c r="HW811" s="18"/>
      <c r="HX811" s="18"/>
      <c r="HY811" s="18"/>
      <c r="HZ811" s="18"/>
      <c r="IA811" s="18"/>
      <c r="IB811" s="18"/>
      <c r="IC811" s="18"/>
      <c r="ID811" s="18"/>
      <c r="IE811" s="18"/>
      <c r="IF811" s="18"/>
      <c r="IG811" s="18"/>
      <c r="IH811" s="18"/>
      <c r="II811" s="18"/>
      <c r="IJ811" s="18"/>
      <c r="IK811" s="18"/>
      <c r="IL811" s="18"/>
      <c r="IM811" s="18"/>
      <c r="IN811" s="18"/>
      <c r="IO811" s="18"/>
      <c r="IP811" s="18"/>
      <c r="IQ811" s="18"/>
      <c r="IR811" s="18"/>
      <c r="IS811" s="18"/>
      <c r="IT811" s="18"/>
      <c r="IU811" s="18"/>
      <c r="IV811" s="18"/>
      <c r="IW811" s="18"/>
      <c r="IX811" s="18"/>
      <c r="IY811" s="18"/>
      <c r="IZ811" s="18"/>
      <c r="JA811" s="18"/>
      <c r="JB811" s="18"/>
      <c r="JC811" s="18"/>
      <c r="JD811" s="18"/>
      <c r="JE811" s="18"/>
      <c r="JF811" s="18"/>
      <c r="JG811" s="18"/>
      <c r="JH811" s="18"/>
      <c r="JI811" s="18"/>
      <c r="JJ811" s="18"/>
      <c r="JK811" s="18"/>
      <c r="JL811" s="18"/>
      <c r="JM811" s="18"/>
      <c r="JN811" s="18"/>
      <c r="JO811" s="18"/>
      <c r="JP811" s="18"/>
      <c r="JQ811" s="18"/>
      <c r="JR811" s="18"/>
      <c r="JS811" s="18"/>
      <c r="JT811" s="18"/>
      <c r="JU811" s="18"/>
      <c r="JV811" s="18"/>
      <c r="JW811" s="18"/>
      <c r="JX811" s="18"/>
      <c r="JY811" s="18"/>
      <c r="JZ811" s="18"/>
      <c r="KA811" s="18"/>
      <c r="KB811" s="18"/>
      <c r="KC811" s="18"/>
      <c r="KD811" s="18"/>
      <c r="KE811" s="18"/>
      <c r="KF811" s="18"/>
      <c r="KG811" s="18"/>
      <c r="KH811" s="18"/>
      <c r="KI811" s="18"/>
      <c r="KJ811" s="18"/>
      <c r="KK811" s="18"/>
      <c r="KL811" s="18"/>
      <c r="KM811" s="18"/>
      <c r="KN811" s="18"/>
      <c r="KO811" s="18"/>
      <c r="KP811" s="18"/>
    </row>
    <row r="812" spans="1:302">
      <c r="A812" s="14"/>
      <c r="B812" s="14"/>
      <c r="F812" s="14"/>
      <c r="G812" s="23"/>
      <c r="H812" s="23"/>
      <c r="I812" s="23"/>
      <c r="J812" s="23"/>
      <c r="K812" s="14"/>
      <c r="L812" s="14"/>
      <c r="P812" s="14"/>
      <c r="AG812" s="44"/>
      <c r="AH812" s="44"/>
      <c r="AI812" s="45"/>
      <c r="AJ812" s="44"/>
      <c r="AK812" s="43"/>
      <c r="AS812" s="14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  <c r="FC812" s="18"/>
      <c r="FD812" s="18"/>
      <c r="FE812" s="18"/>
      <c r="FF812" s="18"/>
      <c r="FG812" s="18"/>
      <c r="FH812" s="18"/>
      <c r="FI812" s="18"/>
      <c r="FJ812" s="18"/>
      <c r="FK812" s="18"/>
      <c r="FL812" s="18"/>
      <c r="FM812" s="18"/>
      <c r="FN812" s="18"/>
      <c r="FO812" s="18"/>
      <c r="FP812" s="18"/>
      <c r="FQ812" s="18"/>
      <c r="FR812" s="18"/>
      <c r="FS812" s="18"/>
      <c r="FT812" s="18"/>
      <c r="FU812" s="18"/>
      <c r="FV812" s="18"/>
      <c r="FW812" s="18"/>
      <c r="FX812" s="18"/>
      <c r="FY812" s="18"/>
      <c r="FZ812" s="18"/>
      <c r="GA812" s="18"/>
      <c r="GB812" s="18"/>
      <c r="GC812" s="18"/>
      <c r="GD812" s="18"/>
      <c r="GE812" s="18"/>
      <c r="GF812" s="18"/>
      <c r="GG812" s="18"/>
      <c r="GH812" s="18"/>
      <c r="GI812" s="18"/>
      <c r="GJ812" s="18"/>
      <c r="GK812" s="18"/>
      <c r="GL812" s="18"/>
      <c r="GM812" s="18"/>
      <c r="GN812" s="18"/>
      <c r="GO812" s="18"/>
      <c r="GP812" s="18"/>
      <c r="GQ812" s="18"/>
      <c r="GR812" s="18"/>
      <c r="GS812" s="18"/>
      <c r="GT812" s="18"/>
      <c r="GU812" s="18"/>
      <c r="GV812" s="18"/>
      <c r="GW812" s="18"/>
      <c r="GX812" s="18"/>
      <c r="GY812" s="18"/>
      <c r="GZ812" s="18"/>
      <c r="HA812" s="18"/>
      <c r="HB812" s="18"/>
      <c r="HC812" s="18"/>
      <c r="HD812" s="18"/>
      <c r="HE812" s="18"/>
      <c r="HF812" s="18"/>
      <c r="HG812" s="13"/>
      <c r="HH812" s="13"/>
      <c r="HI812" s="13"/>
      <c r="HJ812" s="13"/>
      <c r="HK812" s="13"/>
      <c r="HL812" s="13"/>
      <c r="HM812" s="13"/>
      <c r="HN812" s="13"/>
      <c r="HO812" s="13"/>
      <c r="HP812" s="13"/>
      <c r="HQ812" s="13"/>
      <c r="HR812" s="13"/>
      <c r="HS812" s="13"/>
      <c r="HT812" s="13"/>
      <c r="HU812" s="18"/>
      <c r="HV812" s="18"/>
      <c r="HW812" s="18"/>
      <c r="HX812" s="18"/>
      <c r="HY812" s="18"/>
      <c r="HZ812" s="18"/>
      <c r="IA812" s="18"/>
      <c r="IB812" s="18"/>
      <c r="IC812" s="18"/>
      <c r="ID812" s="18"/>
      <c r="IE812" s="18"/>
      <c r="IF812" s="18"/>
      <c r="IG812" s="18"/>
      <c r="IH812" s="18"/>
      <c r="II812" s="18"/>
      <c r="IJ812" s="18"/>
      <c r="IK812" s="18"/>
      <c r="IL812" s="18"/>
      <c r="IM812" s="18"/>
      <c r="IN812" s="18"/>
      <c r="IO812" s="18"/>
      <c r="IP812" s="18"/>
      <c r="IQ812" s="18"/>
      <c r="IR812" s="18"/>
      <c r="IS812" s="18"/>
      <c r="IT812" s="18"/>
      <c r="IU812" s="18"/>
      <c r="IV812" s="18"/>
      <c r="IW812" s="18"/>
      <c r="IX812" s="18"/>
      <c r="IY812" s="18"/>
      <c r="IZ812" s="18"/>
      <c r="JA812" s="18"/>
      <c r="JB812" s="18"/>
      <c r="JC812" s="18"/>
      <c r="JD812" s="18"/>
      <c r="JE812" s="18"/>
      <c r="JF812" s="18"/>
      <c r="JG812" s="18"/>
      <c r="JH812" s="18"/>
      <c r="JI812" s="18"/>
      <c r="JJ812" s="18"/>
      <c r="JK812" s="18"/>
      <c r="JL812" s="18"/>
      <c r="JM812" s="18"/>
      <c r="JN812" s="18"/>
      <c r="JO812" s="18"/>
      <c r="JP812" s="18"/>
      <c r="JQ812" s="18"/>
      <c r="JR812" s="18"/>
      <c r="JS812" s="18"/>
      <c r="JT812" s="18"/>
      <c r="JU812" s="18"/>
      <c r="JV812" s="18"/>
      <c r="JW812" s="18"/>
      <c r="JX812" s="18"/>
      <c r="JY812" s="18"/>
      <c r="JZ812" s="18"/>
      <c r="KA812" s="18"/>
      <c r="KB812" s="18"/>
      <c r="KC812" s="18"/>
      <c r="KD812" s="18"/>
      <c r="KE812" s="18"/>
      <c r="KF812" s="18"/>
      <c r="KG812" s="18"/>
      <c r="KH812" s="18"/>
      <c r="KI812" s="18"/>
      <c r="KJ812" s="18"/>
      <c r="KK812" s="18"/>
      <c r="KL812" s="18"/>
      <c r="KM812" s="18"/>
      <c r="KN812" s="18"/>
      <c r="KO812" s="18"/>
      <c r="KP812" s="18"/>
    </row>
    <row r="813" spans="1:302">
      <c r="A813" s="14"/>
      <c r="B813" s="14"/>
      <c r="F813" s="14"/>
      <c r="G813" s="23"/>
      <c r="H813" s="23"/>
      <c r="I813" s="23"/>
      <c r="J813" s="23"/>
      <c r="K813" s="14"/>
      <c r="L813" s="14"/>
      <c r="P813" s="14"/>
      <c r="AG813" s="44"/>
      <c r="AH813" s="44"/>
      <c r="AI813" s="45"/>
      <c r="AJ813" s="44"/>
      <c r="AK813" s="43"/>
      <c r="AS813" s="14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  <c r="EW813" s="18"/>
      <c r="EX813" s="18"/>
      <c r="EY813" s="18"/>
      <c r="EZ813" s="18"/>
      <c r="FA813" s="18"/>
      <c r="FB813" s="18"/>
      <c r="FC813" s="18"/>
      <c r="FD813" s="18"/>
      <c r="FE813" s="18"/>
      <c r="FF813" s="18"/>
      <c r="FG813" s="18"/>
      <c r="FH813" s="18"/>
      <c r="FI813" s="18"/>
      <c r="FJ813" s="18"/>
      <c r="FK813" s="18"/>
      <c r="FL813" s="18"/>
      <c r="FM813" s="18"/>
      <c r="FN813" s="18"/>
      <c r="FO813" s="18"/>
      <c r="FP813" s="18"/>
      <c r="FQ813" s="18"/>
      <c r="FR813" s="18"/>
      <c r="FS813" s="18"/>
      <c r="FT813" s="18"/>
      <c r="FU813" s="18"/>
      <c r="FV813" s="18"/>
      <c r="FW813" s="18"/>
      <c r="FX813" s="18"/>
      <c r="FY813" s="18"/>
      <c r="FZ813" s="18"/>
      <c r="GA813" s="18"/>
      <c r="GB813" s="18"/>
      <c r="GC813" s="18"/>
      <c r="GD813" s="18"/>
      <c r="GE813" s="18"/>
      <c r="GF813" s="18"/>
      <c r="GG813" s="18"/>
      <c r="GH813" s="18"/>
      <c r="GI813" s="18"/>
      <c r="GJ813" s="18"/>
      <c r="GK813" s="18"/>
      <c r="GL813" s="18"/>
      <c r="GM813" s="18"/>
      <c r="GN813" s="18"/>
      <c r="GO813" s="18"/>
      <c r="GP813" s="18"/>
      <c r="GQ813" s="18"/>
      <c r="GR813" s="18"/>
      <c r="GS813" s="18"/>
      <c r="GT813" s="18"/>
      <c r="GU813" s="18"/>
      <c r="GV813" s="18"/>
      <c r="GW813" s="18"/>
      <c r="GX813" s="18"/>
      <c r="GY813" s="18"/>
      <c r="GZ813" s="18"/>
      <c r="HA813" s="18"/>
      <c r="HB813" s="18"/>
      <c r="HC813" s="18"/>
      <c r="HD813" s="18"/>
      <c r="HE813" s="18"/>
      <c r="HF813" s="18"/>
      <c r="HG813" s="13"/>
      <c r="HH813" s="13"/>
      <c r="HI813" s="13"/>
      <c r="HJ813" s="13"/>
      <c r="HK813" s="13"/>
      <c r="HL813" s="13"/>
      <c r="HM813" s="13"/>
      <c r="HN813" s="13"/>
      <c r="HO813" s="13"/>
      <c r="HP813" s="13"/>
      <c r="HQ813" s="13"/>
      <c r="HR813" s="13"/>
      <c r="HS813" s="13"/>
      <c r="HT813" s="13"/>
      <c r="HU813" s="18"/>
      <c r="HV813" s="18"/>
      <c r="HW813" s="18"/>
      <c r="HX813" s="18"/>
      <c r="HY813" s="18"/>
      <c r="HZ813" s="18"/>
      <c r="IA813" s="18"/>
      <c r="IB813" s="18"/>
      <c r="IC813" s="18"/>
      <c r="ID813" s="18"/>
      <c r="IE813" s="18"/>
      <c r="IF813" s="18"/>
      <c r="IG813" s="18"/>
      <c r="IH813" s="18"/>
      <c r="II813" s="18"/>
      <c r="IJ813" s="18"/>
      <c r="IK813" s="18"/>
      <c r="IL813" s="18"/>
      <c r="IM813" s="18"/>
      <c r="IN813" s="18"/>
      <c r="IO813" s="18"/>
      <c r="IP813" s="18"/>
      <c r="IQ813" s="18"/>
      <c r="IR813" s="18"/>
      <c r="IS813" s="18"/>
      <c r="IT813" s="18"/>
      <c r="IU813" s="18"/>
      <c r="IV813" s="18"/>
      <c r="IW813" s="18"/>
      <c r="IX813" s="18"/>
      <c r="IY813" s="18"/>
      <c r="IZ813" s="18"/>
      <c r="JA813" s="18"/>
      <c r="JB813" s="18"/>
      <c r="JC813" s="18"/>
      <c r="JD813" s="18"/>
      <c r="JE813" s="18"/>
      <c r="JF813" s="18"/>
      <c r="JG813" s="18"/>
      <c r="JH813" s="18"/>
      <c r="JI813" s="18"/>
      <c r="JJ813" s="18"/>
      <c r="JK813" s="18"/>
      <c r="JL813" s="18"/>
      <c r="JM813" s="18"/>
      <c r="JN813" s="18"/>
      <c r="JO813" s="18"/>
      <c r="JP813" s="18"/>
      <c r="JQ813" s="18"/>
      <c r="JR813" s="18"/>
      <c r="JS813" s="18"/>
      <c r="JT813" s="18"/>
      <c r="JU813" s="18"/>
      <c r="JV813" s="18"/>
      <c r="JW813" s="18"/>
      <c r="JX813" s="18"/>
      <c r="JY813" s="18"/>
      <c r="JZ813" s="18"/>
      <c r="KA813" s="18"/>
      <c r="KB813" s="18"/>
      <c r="KC813" s="18"/>
      <c r="KD813" s="18"/>
      <c r="KE813" s="18"/>
      <c r="KF813" s="18"/>
      <c r="KG813" s="18"/>
      <c r="KH813" s="18"/>
      <c r="KI813" s="18"/>
      <c r="KJ813" s="18"/>
      <c r="KK813" s="18"/>
      <c r="KL813" s="18"/>
      <c r="KM813" s="18"/>
      <c r="KN813" s="18"/>
      <c r="KO813" s="18"/>
      <c r="KP813" s="18"/>
    </row>
    <row r="814" spans="1:302">
      <c r="A814" s="14"/>
      <c r="B814" s="14"/>
      <c r="F814" s="14"/>
      <c r="G814" s="23"/>
      <c r="H814" s="23"/>
      <c r="I814" s="23"/>
      <c r="J814" s="23"/>
      <c r="K814" s="14"/>
      <c r="L814" s="14"/>
      <c r="P814" s="14"/>
      <c r="AG814" s="44"/>
      <c r="AH814" s="44"/>
      <c r="AI814" s="45"/>
      <c r="AJ814" s="44"/>
      <c r="AK814" s="43"/>
      <c r="AS814" s="14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  <c r="EW814" s="18"/>
      <c r="EX814" s="18"/>
      <c r="EY814" s="18"/>
      <c r="EZ814" s="18"/>
      <c r="FA814" s="18"/>
      <c r="FB814" s="18"/>
      <c r="FC814" s="18"/>
      <c r="FD814" s="18"/>
      <c r="FE814" s="18"/>
      <c r="FF814" s="18"/>
      <c r="FG814" s="18"/>
      <c r="FH814" s="18"/>
      <c r="FI814" s="18"/>
      <c r="FJ814" s="18"/>
      <c r="FK814" s="18"/>
      <c r="FL814" s="18"/>
      <c r="FM814" s="18"/>
      <c r="FN814" s="18"/>
      <c r="FO814" s="18"/>
      <c r="FP814" s="18"/>
      <c r="FQ814" s="18"/>
      <c r="FR814" s="18"/>
      <c r="FS814" s="18"/>
      <c r="FT814" s="18"/>
      <c r="FU814" s="18"/>
      <c r="FV814" s="18"/>
      <c r="FW814" s="18"/>
      <c r="FX814" s="18"/>
      <c r="FY814" s="18"/>
      <c r="FZ814" s="18"/>
      <c r="GA814" s="18"/>
      <c r="GB814" s="18"/>
      <c r="GC814" s="18"/>
      <c r="GD814" s="18"/>
      <c r="GE814" s="18"/>
      <c r="GF814" s="18"/>
      <c r="GG814" s="18"/>
      <c r="GH814" s="18"/>
      <c r="GI814" s="18"/>
      <c r="GJ814" s="18"/>
      <c r="GK814" s="18"/>
      <c r="GL814" s="18"/>
      <c r="GM814" s="18"/>
      <c r="GN814" s="18"/>
      <c r="GO814" s="18"/>
      <c r="GP814" s="18"/>
      <c r="GQ814" s="18"/>
      <c r="GR814" s="18"/>
      <c r="GS814" s="18"/>
      <c r="GT814" s="18"/>
      <c r="GU814" s="18"/>
      <c r="GV814" s="18"/>
      <c r="GW814" s="18"/>
      <c r="GX814" s="18"/>
      <c r="GY814" s="18"/>
      <c r="GZ814" s="18"/>
      <c r="HA814" s="18"/>
      <c r="HB814" s="18"/>
      <c r="HC814" s="18"/>
      <c r="HD814" s="18"/>
      <c r="HE814" s="18"/>
      <c r="HF814" s="18"/>
      <c r="HG814" s="13"/>
      <c r="HH814" s="13"/>
      <c r="HI814" s="13"/>
      <c r="HJ814" s="13"/>
      <c r="HK814" s="13"/>
      <c r="HL814" s="13"/>
      <c r="HM814" s="13"/>
      <c r="HN814" s="13"/>
      <c r="HO814" s="13"/>
      <c r="HP814" s="13"/>
      <c r="HQ814" s="13"/>
      <c r="HR814" s="13"/>
      <c r="HS814" s="13"/>
      <c r="HT814" s="13"/>
      <c r="HU814" s="18"/>
      <c r="HV814" s="18"/>
      <c r="HW814" s="18"/>
      <c r="HX814" s="18"/>
      <c r="HY814" s="18"/>
      <c r="HZ814" s="18"/>
      <c r="IA814" s="18"/>
      <c r="IB814" s="18"/>
      <c r="IC814" s="18"/>
      <c r="ID814" s="18"/>
      <c r="IE814" s="18"/>
      <c r="IF814" s="18"/>
      <c r="IG814" s="18"/>
      <c r="IH814" s="18"/>
      <c r="II814" s="18"/>
      <c r="IJ814" s="18"/>
      <c r="IK814" s="18"/>
      <c r="IL814" s="18"/>
      <c r="IM814" s="18"/>
      <c r="IN814" s="18"/>
      <c r="IO814" s="18"/>
      <c r="IP814" s="18"/>
      <c r="IQ814" s="18"/>
      <c r="IR814" s="18"/>
      <c r="IS814" s="18"/>
      <c r="IT814" s="18"/>
      <c r="IU814" s="18"/>
      <c r="IV814" s="18"/>
      <c r="IW814" s="18"/>
      <c r="IX814" s="18"/>
      <c r="IY814" s="18"/>
      <c r="IZ814" s="18"/>
      <c r="JA814" s="18"/>
      <c r="JB814" s="18"/>
      <c r="JC814" s="18"/>
      <c r="JD814" s="18"/>
      <c r="JE814" s="18"/>
      <c r="JF814" s="18"/>
      <c r="JG814" s="18"/>
      <c r="JH814" s="18"/>
      <c r="JI814" s="18"/>
      <c r="JJ814" s="18"/>
      <c r="JK814" s="18"/>
      <c r="JL814" s="18"/>
      <c r="JM814" s="18"/>
      <c r="JN814" s="18"/>
      <c r="JO814" s="18"/>
      <c r="JP814" s="18"/>
      <c r="JQ814" s="18"/>
      <c r="JR814" s="18"/>
      <c r="JS814" s="18"/>
      <c r="JT814" s="18"/>
      <c r="JU814" s="18"/>
      <c r="JV814" s="18"/>
      <c r="JW814" s="18"/>
      <c r="JX814" s="18"/>
      <c r="JY814" s="18"/>
      <c r="JZ814" s="18"/>
      <c r="KA814" s="18"/>
      <c r="KB814" s="18"/>
      <c r="KC814" s="18"/>
      <c r="KD814" s="18"/>
      <c r="KE814" s="18"/>
      <c r="KF814" s="18"/>
      <c r="KG814" s="18"/>
      <c r="KH814" s="18"/>
      <c r="KI814" s="18"/>
      <c r="KJ814" s="18"/>
      <c r="KK814" s="18"/>
      <c r="KL814" s="18"/>
      <c r="KM814" s="18"/>
      <c r="KN814" s="18"/>
      <c r="KO814" s="18"/>
      <c r="KP814" s="18"/>
    </row>
    <row r="815" spans="1:302">
      <c r="A815" s="14"/>
      <c r="B815" s="14"/>
      <c r="F815" s="14"/>
      <c r="G815" s="23"/>
      <c r="H815" s="23"/>
      <c r="I815" s="23"/>
      <c r="J815" s="23"/>
      <c r="K815" s="14"/>
      <c r="L815" s="14"/>
      <c r="P815" s="14"/>
      <c r="AG815" s="44"/>
      <c r="AH815" s="44"/>
      <c r="AI815" s="45"/>
      <c r="AJ815" s="44"/>
      <c r="AK815" s="43"/>
      <c r="AS815" s="14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  <c r="EW815" s="18"/>
      <c r="EX815" s="18"/>
      <c r="EY815" s="18"/>
      <c r="EZ815" s="18"/>
      <c r="FA815" s="18"/>
      <c r="FB815" s="18"/>
      <c r="FC815" s="18"/>
      <c r="FD815" s="18"/>
      <c r="FE815" s="18"/>
      <c r="FF815" s="18"/>
      <c r="FG815" s="18"/>
      <c r="FH815" s="18"/>
      <c r="FI815" s="18"/>
      <c r="FJ815" s="18"/>
      <c r="FK815" s="18"/>
      <c r="FL815" s="18"/>
      <c r="FM815" s="18"/>
      <c r="FN815" s="18"/>
      <c r="FO815" s="18"/>
      <c r="FP815" s="18"/>
      <c r="FQ815" s="18"/>
      <c r="FR815" s="18"/>
      <c r="FS815" s="18"/>
      <c r="FT815" s="18"/>
      <c r="FU815" s="18"/>
      <c r="FV815" s="18"/>
      <c r="FW815" s="18"/>
      <c r="FX815" s="18"/>
      <c r="FY815" s="18"/>
      <c r="FZ815" s="18"/>
      <c r="GA815" s="18"/>
      <c r="GB815" s="18"/>
      <c r="GC815" s="18"/>
      <c r="GD815" s="18"/>
      <c r="GE815" s="18"/>
      <c r="GF815" s="18"/>
      <c r="GG815" s="18"/>
      <c r="GH815" s="18"/>
      <c r="GI815" s="18"/>
      <c r="GJ815" s="18"/>
      <c r="GK815" s="18"/>
      <c r="GL815" s="18"/>
      <c r="GM815" s="18"/>
      <c r="GN815" s="18"/>
      <c r="GO815" s="18"/>
      <c r="GP815" s="18"/>
      <c r="GQ815" s="18"/>
      <c r="GR815" s="18"/>
      <c r="GS815" s="18"/>
      <c r="GT815" s="18"/>
      <c r="GU815" s="18"/>
      <c r="GV815" s="18"/>
      <c r="GW815" s="18"/>
      <c r="GX815" s="18"/>
      <c r="GY815" s="18"/>
      <c r="GZ815" s="18"/>
      <c r="HA815" s="18"/>
      <c r="HB815" s="18"/>
      <c r="HC815" s="18"/>
      <c r="HD815" s="18"/>
      <c r="HE815" s="18"/>
      <c r="HF815" s="18"/>
      <c r="HG815" s="13"/>
      <c r="HH815" s="13"/>
      <c r="HI815" s="13"/>
      <c r="HJ815" s="13"/>
      <c r="HK815" s="13"/>
      <c r="HL815" s="13"/>
      <c r="HM815" s="13"/>
      <c r="HN815" s="13"/>
      <c r="HO815" s="13"/>
      <c r="HP815" s="13"/>
      <c r="HQ815" s="13"/>
      <c r="HR815" s="13"/>
      <c r="HS815" s="13"/>
      <c r="HT815" s="13"/>
      <c r="HU815" s="18"/>
      <c r="HV815" s="18"/>
      <c r="HW815" s="18"/>
      <c r="HX815" s="18"/>
      <c r="HY815" s="18"/>
      <c r="HZ815" s="18"/>
      <c r="IA815" s="18"/>
      <c r="IB815" s="18"/>
      <c r="IC815" s="18"/>
      <c r="ID815" s="18"/>
      <c r="IE815" s="18"/>
      <c r="IF815" s="18"/>
      <c r="IG815" s="18"/>
      <c r="IH815" s="18"/>
      <c r="II815" s="18"/>
      <c r="IJ815" s="18"/>
      <c r="IK815" s="18"/>
      <c r="IL815" s="18"/>
      <c r="IM815" s="18"/>
      <c r="IN815" s="18"/>
      <c r="IO815" s="18"/>
      <c r="IP815" s="18"/>
      <c r="IQ815" s="18"/>
      <c r="IR815" s="18"/>
      <c r="IS815" s="18"/>
      <c r="IT815" s="18"/>
      <c r="IU815" s="18"/>
      <c r="IV815" s="18"/>
      <c r="IW815" s="18"/>
      <c r="IX815" s="18"/>
      <c r="IY815" s="18"/>
      <c r="IZ815" s="18"/>
      <c r="JA815" s="18"/>
      <c r="JB815" s="18"/>
      <c r="JC815" s="18"/>
      <c r="JD815" s="18"/>
      <c r="JE815" s="18"/>
      <c r="JF815" s="18"/>
      <c r="JG815" s="18"/>
      <c r="JH815" s="18"/>
      <c r="JI815" s="18"/>
      <c r="JJ815" s="18"/>
      <c r="JK815" s="18"/>
      <c r="JL815" s="18"/>
      <c r="JM815" s="18"/>
      <c r="JN815" s="18"/>
      <c r="JO815" s="18"/>
      <c r="JP815" s="18"/>
      <c r="JQ815" s="18"/>
      <c r="JR815" s="18"/>
      <c r="JS815" s="18"/>
      <c r="JT815" s="18"/>
      <c r="JU815" s="18"/>
      <c r="JV815" s="18"/>
      <c r="JW815" s="18"/>
      <c r="JX815" s="18"/>
      <c r="JY815" s="18"/>
      <c r="JZ815" s="18"/>
      <c r="KA815" s="18"/>
      <c r="KB815" s="18"/>
      <c r="KC815" s="18"/>
      <c r="KD815" s="18"/>
      <c r="KE815" s="18"/>
      <c r="KF815" s="18"/>
      <c r="KG815" s="18"/>
      <c r="KH815" s="18"/>
      <c r="KI815" s="18"/>
      <c r="KJ815" s="18"/>
      <c r="KK815" s="18"/>
      <c r="KL815" s="18"/>
      <c r="KM815" s="18"/>
      <c r="KN815" s="18"/>
      <c r="KO815" s="18"/>
      <c r="KP815" s="18"/>
    </row>
    <row r="816" spans="1:302">
      <c r="A816" s="14"/>
      <c r="B816" s="14"/>
      <c r="F816" s="14"/>
      <c r="G816" s="23"/>
      <c r="H816" s="23"/>
      <c r="I816" s="23"/>
      <c r="J816" s="23"/>
      <c r="K816" s="14"/>
      <c r="L816" s="14"/>
      <c r="P816" s="14"/>
      <c r="AG816" s="44"/>
      <c r="AH816" s="44"/>
      <c r="AI816" s="45"/>
      <c r="AJ816" s="44"/>
      <c r="AK816" s="43"/>
      <c r="AS816" s="14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  <c r="EW816" s="18"/>
      <c r="EX816" s="18"/>
      <c r="EY816" s="18"/>
      <c r="EZ816" s="18"/>
      <c r="FA816" s="18"/>
      <c r="FB816" s="18"/>
      <c r="FC816" s="18"/>
      <c r="FD816" s="18"/>
      <c r="FE816" s="18"/>
      <c r="FF816" s="18"/>
      <c r="FG816" s="18"/>
      <c r="FH816" s="18"/>
      <c r="FI816" s="18"/>
      <c r="FJ816" s="18"/>
      <c r="FK816" s="18"/>
      <c r="FL816" s="18"/>
      <c r="FM816" s="18"/>
      <c r="FN816" s="18"/>
      <c r="FO816" s="18"/>
      <c r="FP816" s="18"/>
      <c r="FQ816" s="18"/>
      <c r="FR816" s="18"/>
      <c r="FS816" s="18"/>
      <c r="FT816" s="18"/>
      <c r="FU816" s="18"/>
      <c r="FV816" s="18"/>
      <c r="FW816" s="18"/>
      <c r="FX816" s="18"/>
      <c r="FY816" s="18"/>
      <c r="FZ816" s="18"/>
      <c r="GA816" s="18"/>
      <c r="GB816" s="18"/>
      <c r="GC816" s="18"/>
      <c r="GD816" s="18"/>
      <c r="GE816" s="18"/>
      <c r="GF816" s="18"/>
      <c r="GG816" s="18"/>
      <c r="GH816" s="18"/>
      <c r="GI816" s="18"/>
      <c r="GJ816" s="18"/>
      <c r="GK816" s="18"/>
      <c r="GL816" s="18"/>
      <c r="GM816" s="18"/>
      <c r="GN816" s="18"/>
      <c r="GO816" s="18"/>
      <c r="GP816" s="18"/>
      <c r="GQ816" s="18"/>
      <c r="GR816" s="18"/>
      <c r="GS816" s="18"/>
      <c r="GT816" s="18"/>
      <c r="GU816" s="18"/>
      <c r="GV816" s="18"/>
      <c r="GW816" s="18"/>
      <c r="GX816" s="18"/>
      <c r="GY816" s="18"/>
      <c r="GZ816" s="18"/>
      <c r="HA816" s="18"/>
      <c r="HB816" s="18"/>
      <c r="HC816" s="18"/>
      <c r="HD816" s="18"/>
      <c r="HE816" s="18"/>
      <c r="HF816" s="18"/>
      <c r="HG816" s="13"/>
      <c r="HH816" s="13"/>
      <c r="HI816" s="13"/>
      <c r="HJ816" s="13"/>
      <c r="HK816" s="13"/>
      <c r="HL816" s="13"/>
      <c r="HM816" s="13"/>
      <c r="HN816" s="13"/>
      <c r="HO816" s="13"/>
      <c r="HP816" s="13"/>
      <c r="HQ816" s="13"/>
      <c r="HR816" s="13"/>
      <c r="HS816" s="13"/>
      <c r="HT816" s="13"/>
      <c r="HU816" s="18"/>
      <c r="HV816" s="18"/>
      <c r="HW816" s="18"/>
      <c r="HX816" s="18"/>
      <c r="HY816" s="18"/>
      <c r="HZ816" s="18"/>
      <c r="IA816" s="18"/>
      <c r="IB816" s="18"/>
      <c r="IC816" s="18"/>
      <c r="ID816" s="18"/>
      <c r="IE816" s="18"/>
      <c r="IF816" s="18"/>
      <c r="IG816" s="18"/>
      <c r="IH816" s="18"/>
      <c r="II816" s="18"/>
      <c r="IJ816" s="18"/>
      <c r="IK816" s="18"/>
      <c r="IL816" s="18"/>
      <c r="IM816" s="18"/>
      <c r="IN816" s="18"/>
      <c r="IO816" s="18"/>
      <c r="IP816" s="18"/>
      <c r="IQ816" s="18"/>
      <c r="IR816" s="18"/>
      <c r="IS816" s="18"/>
      <c r="IT816" s="18"/>
      <c r="IU816" s="18"/>
      <c r="IV816" s="18"/>
      <c r="IW816" s="18"/>
      <c r="IX816" s="18"/>
      <c r="IY816" s="18"/>
      <c r="IZ816" s="18"/>
      <c r="JA816" s="18"/>
      <c r="JB816" s="18"/>
      <c r="JC816" s="18"/>
      <c r="JD816" s="18"/>
      <c r="JE816" s="18"/>
      <c r="JF816" s="18"/>
      <c r="JG816" s="18"/>
      <c r="JH816" s="18"/>
      <c r="JI816" s="18"/>
      <c r="JJ816" s="18"/>
      <c r="JK816" s="18"/>
      <c r="JL816" s="18"/>
      <c r="JM816" s="18"/>
      <c r="JN816" s="18"/>
      <c r="JO816" s="18"/>
      <c r="JP816" s="18"/>
      <c r="JQ816" s="18"/>
      <c r="JR816" s="18"/>
      <c r="JS816" s="18"/>
      <c r="JT816" s="18"/>
      <c r="JU816" s="18"/>
      <c r="JV816" s="18"/>
      <c r="JW816" s="18"/>
      <c r="JX816" s="18"/>
      <c r="JY816" s="18"/>
      <c r="JZ816" s="18"/>
      <c r="KA816" s="18"/>
      <c r="KB816" s="18"/>
      <c r="KC816" s="18"/>
      <c r="KD816" s="18"/>
      <c r="KE816" s="18"/>
      <c r="KF816" s="18"/>
      <c r="KG816" s="18"/>
      <c r="KH816" s="18"/>
      <c r="KI816" s="18"/>
      <c r="KJ816" s="18"/>
      <c r="KK816" s="18"/>
      <c r="KL816" s="18"/>
      <c r="KM816" s="18"/>
      <c r="KN816" s="18"/>
      <c r="KO816" s="18"/>
      <c r="KP816" s="18"/>
    </row>
    <row r="817" spans="1:302">
      <c r="A817" s="14"/>
      <c r="B817" s="14"/>
      <c r="F817" s="14"/>
      <c r="G817" s="23"/>
      <c r="H817" s="23"/>
      <c r="I817" s="23"/>
      <c r="J817" s="23"/>
      <c r="K817" s="14"/>
      <c r="L817" s="14"/>
      <c r="P817" s="14"/>
      <c r="AG817" s="44"/>
      <c r="AH817" s="44"/>
      <c r="AI817" s="45"/>
      <c r="AJ817" s="44"/>
      <c r="AK817" s="43"/>
      <c r="AS817" s="14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  <c r="EW817" s="18"/>
      <c r="EX817" s="18"/>
      <c r="EY817" s="18"/>
      <c r="EZ817" s="18"/>
      <c r="FA817" s="18"/>
      <c r="FB817" s="18"/>
      <c r="FC817" s="18"/>
      <c r="FD817" s="18"/>
      <c r="FE817" s="18"/>
      <c r="FF817" s="18"/>
      <c r="FG817" s="18"/>
      <c r="FH817" s="18"/>
      <c r="FI817" s="18"/>
      <c r="FJ817" s="18"/>
      <c r="FK817" s="18"/>
      <c r="FL817" s="18"/>
      <c r="FM817" s="18"/>
      <c r="FN817" s="18"/>
      <c r="FO817" s="18"/>
      <c r="FP817" s="18"/>
      <c r="FQ817" s="18"/>
      <c r="FR817" s="18"/>
      <c r="FS817" s="18"/>
      <c r="FT817" s="18"/>
      <c r="FU817" s="18"/>
      <c r="FV817" s="18"/>
      <c r="FW817" s="18"/>
      <c r="FX817" s="18"/>
      <c r="FY817" s="18"/>
      <c r="FZ817" s="18"/>
      <c r="GA817" s="18"/>
      <c r="GB817" s="18"/>
      <c r="GC817" s="18"/>
      <c r="GD817" s="18"/>
      <c r="GE817" s="18"/>
      <c r="GF817" s="18"/>
      <c r="GG817" s="18"/>
      <c r="GH817" s="18"/>
      <c r="GI817" s="18"/>
      <c r="GJ817" s="18"/>
      <c r="GK817" s="18"/>
      <c r="GL817" s="18"/>
      <c r="GM817" s="18"/>
      <c r="GN817" s="18"/>
      <c r="GO817" s="18"/>
      <c r="GP817" s="18"/>
      <c r="GQ817" s="18"/>
      <c r="GR817" s="18"/>
      <c r="GS817" s="18"/>
      <c r="GT817" s="18"/>
      <c r="GU817" s="18"/>
      <c r="GV817" s="18"/>
      <c r="GW817" s="18"/>
      <c r="GX817" s="18"/>
      <c r="GY817" s="18"/>
      <c r="GZ817" s="18"/>
      <c r="HA817" s="18"/>
      <c r="HB817" s="18"/>
      <c r="HC817" s="18"/>
      <c r="HD817" s="18"/>
      <c r="HE817" s="18"/>
      <c r="HF817" s="18"/>
      <c r="HG817" s="13"/>
      <c r="HH817" s="13"/>
      <c r="HI817" s="13"/>
      <c r="HJ817" s="13"/>
      <c r="HK817" s="13"/>
      <c r="HL817" s="13"/>
      <c r="HM817" s="13"/>
      <c r="HN817" s="13"/>
      <c r="HO817" s="13"/>
      <c r="HP817" s="13"/>
      <c r="HQ817" s="13"/>
      <c r="HR817" s="13"/>
      <c r="HS817" s="13"/>
      <c r="HT817" s="13"/>
      <c r="HU817" s="18"/>
      <c r="HV817" s="18"/>
      <c r="HW817" s="18"/>
      <c r="HX817" s="18"/>
      <c r="HY817" s="18"/>
      <c r="HZ817" s="18"/>
      <c r="IA817" s="18"/>
      <c r="IB817" s="18"/>
      <c r="IC817" s="18"/>
      <c r="ID817" s="18"/>
      <c r="IE817" s="18"/>
      <c r="IF817" s="18"/>
      <c r="IG817" s="18"/>
      <c r="IH817" s="18"/>
      <c r="II817" s="18"/>
      <c r="IJ817" s="18"/>
      <c r="IK817" s="18"/>
      <c r="IL817" s="18"/>
      <c r="IM817" s="18"/>
      <c r="IN817" s="18"/>
      <c r="IO817" s="18"/>
      <c r="IP817" s="18"/>
      <c r="IQ817" s="18"/>
      <c r="IR817" s="18"/>
      <c r="IS817" s="18"/>
      <c r="IT817" s="18"/>
      <c r="IU817" s="18"/>
      <c r="IV817" s="18"/>
      <c r="IW817" s="18"/>
      <c r="IX817" s="18"/>
      <c r="IY817" s="18"/>
      <c r="IZ817" s="18"/>
      <c r="JA817" s="18"/>
      <c r="JB817" s="18"/>
      <c r="JC817" s="18"/>
      <c r="JD817" s="18"/>
      <c r="JE817" s="18"/>
      <c r="JF817" s="18"/>
      <c r="JG817" s="18"/>
      <c r="JH817" s="18"/>
      <c r="JI817" s="18"/>
      <c r="JJ817" s="18"/>
      <c r="JK817" s="18"/>
      <c r="JL817" s="18"/>
      <c r="JM817" s="18"/>
      <c r="JN817" s="18"/>
      <c r="JO817" s="18"/>
      <c r="JP817" s="18"/>
      <c r="JQ817" s="18"/>
      <c r="JR817" s="18"/>
      <c r="JS817" s="18"/>
      <c r="JT817" s="18"/>
      <c r="JU817" s="18"/>
      <c r="JV817" s="18"/>
      <c r="JW817" s="18"/>
      <c r="JX817" s="18"/>
      <c r="JY817" s="18"/>
      <c r="JZ817" s="18"/>
      <c r="KA817" s="18"/>
      <c r="KB817" s="18"/>
      <c r="KC817" s="18"/>
      <c r="KD817" s="18"/>
      <c r="KE817" s="18"/>
      <c r="KF817" s="18"/>
      <c r="KG817" s="18"/>
      <c r="KH817" s="18"/>
      <c r="KI817" s="18"/>
      <c r="KJ817" s="18"/>
      <c r="KK817" s="18"/>
      <c r="KL817" s="18"/>
      <c r="KM817" s="18"/>
      <c r="KN817" s="18"/>
      <c r="KO817" s="18"/>
      <c r="KP817" s="18"/>
    </row>
    <row r="818" spans="1:302">
      <c r="A818" s="14"/>
      <c r="B818" s="14"/>
      <c r="F818" s="14"/>
      <c r="G818" s="23"/>
      <c r="H818" s="23"/>
      <c r="I818" s="23"/>
      <c r="J818" s="23"/>
      <c r="K818" s="14"/>
      <c r="L818" s="14"/>
      <c r="P818" s="14"/>
      <c r="AG818" s="44"/>
      <c r="AH818" s="44"/>
      <c r="AI818" s="45"/>
      <c r="AJ818" s="44"/>
      <c r="AK818" s="43"/>
      <c r="AS818" s="14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  <c r="EW818" s="18"/>
      <c r="EX818" s="18"/>
      <c r="EY818" s="18"/>
      <c r="EZ818" s="18"/>
      <c r="FA818" s="18"/>
      <c r="FB818" s="18"/>
      <c r="FC818" s="18"/>
      <c r="FD818" s="18"/>
      <c r="FE818" s="18"/>
      <c r="FF818" s="18"/>
      <c r="FG818" s="18"/>
      <c r="FH818" s="18"/>
      <c r="FI818" s="18"/>
      <c r="FJ818" s="18"/>
      <c r="FK818" s="18"/>
      <c r="FL818" s="18"/>
      <c r="FM818" s="18"/>
      <c r="FN818" s="18"/>
      <c r="FO818" s="18"/>
      <c r="FP818" s="18"/>
      <c r="FQ818" s="18"/>
      <c r="FR818" s="18"/>
      <c r="FS818" s="18"/>
      <c r="FT818" s="18"/>
      <c r="FU818" s="18"/>
      <c r="FV818" s="18"/>
      <c r="FW818" s="18"/>
      <c r="FX818" s="18"/>
      <c r="FY818" s="18"/>
      <c r="FZ818" s="18"/>
      <c r="GA818" s="18"/>
      <c r="GB818" s="18"/>
      <c r="GC818" s="18"/>
      <c r="GD818" s="18"/>
      <c r="GE818" s="18"/>
      <c r="GF818" s="18"/>
      <c r="GG818" s="18"/>
      <c r="GH818" s="18"/>
      <c r="GI818" s="18"/>
      <c r="GJ818" s="18"/>
      <c r="GK818" s="18"/>
      <c r="GL818" s="18"/>
      <c r="GM818" s="18"/>
      <c r="GN818" s="18"/>
      <c r="GO818" s="18"/>
      <c r="GP818" s="18"/>
      <c r="GQ818" s="18"/>
      <c r="GR818" s="18"/>
      <c r="GS818" s="18"/>
      <c r="GT818" s="18"/>
      <c r="GU818" s="18"/>
      <c r="GV818" s="18"/>
      <c r="GW818" s="18"/>
      <c r="GX818" s="18"/>
      <c r="GY818" s="18"/>
      <c r="GZ818" s="18"/>
      <c r="HA818" s="18"/>
      <c r="HB818" s="18"/>
      <c r="HC818" s="18"/>
      <c r="HD818" s="18"/>
      <c r="HE818" s="18"/>
      <c r="HF818" s="18"/>
      <c r="HG818" s="13"/>
      <c r="HH818" s="13"/>
      <c r="HI818" s="13"/>
      <c r="HJ818" s="13"/>
      <c r="HK818" s="13"/>
      <c r="HL818" s="13"/>
      <c r="HM818" s="13"/>
      <c r="HN818" s="13"/>
      <c r="HO818" s="13"/>
      <c r="HP818" s="13"/>
      <c r="HQ818" s="13"/>
      <c r="HR818" s="13"/>
      <c r="HS818" s="13"/>
      <c r="HT818" s="13"/>
      <c r="HU818" s="18"/>
      <c r="HV818" s="18"/>
      <c r="HW818" s="18"/>
      <c r="HX818" s="18"/>
      <c r="HY818" s="18"/>
      <c r="HZ818" s="18"/>
      <c r="IA818" s="18"/>
      <c r="IB818" s="18"/>
      <c r="IC818" s="18"/>
      <c r="ID818" s="18"/>
      <c r="IE818" s="18"/>
      <c r="IF818" s="18"/>
      <c r="IG818" s="18"/>
      <c r="IH818" s="18"/>
      <c r="II818" s="18"/>
      <c r="IJ818" s="18"/>
      <c r="IK818" s="18"/>
      <c r="IL818" s="18"/>
      <c r="IM818" s="18"/>
      <c r="IN818" s="18"/>
      <c r="IO818" s="18"/>
      <c r="IP818" s="18"/>
      <c r="IQ818" s="18"/>
      <c r="IR818" s="18"/>
      <c r="IS818" s="18"/>
      <c r="IT818" s="18"/>
      <c r="IU818" s="18"/>
      <c r="IV818" s="18"/>
      <c r="IW818" s="18"/>
      <c r="IX818" s="18"/>
      <c r="IY818" s="18"/>
      <c r="IZ818" s="18"/>
      <c r="JA818" s="18"/>
      <c r="JB818" s="18"/>
      <c r="JC818" s="18"/>
      <c r="JD818" s="18"/>
      <c r="JE818" s="18"/>
      <c r="JF818" s="18"/>
      <c r="JG818" s="18"/>
      <c r="JH818" s="18"/>
      <c r="JI818" s="18"/>
      <c r="JJ818" s="18"/>
      <c r="JK818" s="18"/>
      <c r="JL818" s="18"/>
      <c r="JM818" s="18"/>
      <c r="JN818" s="18"/>
      <c r="JO818" s="18"/>
      <c r="JP818" s="18"/>
      <c r="JQ818" s="18"/>
      <c r="JR818" s="18"/>
      <c r="JS818" s="18"/>
      <c r="JT818" s="18"/>
      <c r="JU818" s="18"/>
      <c r="JV818" s="18"/>
      <c r="JW818" s="18"/>
      <c r="JX818" s="18"/>
      <c r="JY818" s="18"/>
      <c r="JZ818" s="18"/>
      <c r="KA818" s="18"/>
      <c r="KB818" s="18"/>
      <c r="KC818" s="18"/>
      <c r="KD818" s="18"/>
      <c r="KE818" s="18"/>
      <c r="KF818" s="18"/>
      <c r="KG818" s="18"/>
      <c r="KH818" s="18"/>
      <c r="KI818" s="18"/>
      <c r="KJ818" s="18"/>
      <c r="KK818" s="18"/>
      <c r="KL818" s="18"/>
      <c r="KM818" s="18"/>
      <c r="KN818" s="18"/>
      <c r="KO818" s="18"/>
      <c r="KP818" s="18"/>
    </row>
    <row r="819" spans="1:302">
      <c r="A819" s="14"/>
      <c r="B819" s="14"/>
      <c r="F819" s="14"/>
      <c r="G819" s="23"/>
      <c r="H819" s="23"/>
      <c r="I819" s="23"/>
      <c r="J819" s="23"/>
      <c r="K819" s="14"/>
      <c r="L819" s="14"/>
      <c r="P819" s="14"/>
      <c r="AG819" s="44"/>
      <c r="AH819" s="44"/>
      <c r="AI819" s="45"/>
      <c r="AJ819" s="44"/>
      <c r="AK819" s="43"/>
      <c r="AS819" s="14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  <c r="EW819" s="18"/>
      <c r="EX819" s="18"/>
      <c r="EY819" s="18"/>
      <c r="EZ819" s="18"/>
      <c r="FA819" s="18"/>
      <c r="FB819" s="18"/>
      <c r="FC819" s="18"/>
      <c r="FD819" s="18"/>
      <c r="FE819" s="18"/>
      <c r="FF819" s="18"/>
      <c r="FG819" s="18"/>
      <c r="FH819" s="18"/>
      <c r="FI819" s="18"/>
      <c r="FJ819" s="18"/>
      <c r="FK819" s="18"/>
      <c r="FL819" s="18"/>
      <c r="FM819" s="18"/>
      <c r="FN819" s="18"/>
      <c r="FO819" s="18"/>
      <c r="FP819" s="18"/>
      <c r="FQ819" s="18"/>
      <c r="FR819" s="18"/>
      <c r="FS819" s="18"/>
      <c r="FT819" s="18"/>
      <c r="FU819" s="18"/>
      <c r="FV819" s="18"/>
      <c r="FW819" s="18"/>
      <c r="FX819" s="18"/>
      <c r="FY819" s="18"/>
      <c r="FZ819" s="18"/>
      <c r="GA819" s="18"/>
      <c r="GB819" s="18"/>
      <c r="GC819" s="18"/>
      <c r="GD819" s="18"/>
      <c r="GE819" s="18"/>
      <c r="GF819" s="18"/>
      <c r="GG819" s="18"/>
      <c r="GH819" s="18"/>
      <c r="GI819" s="18"/>
      <c r="GJ819" s="18"/>
      <c r="GK819" s="18"/>
      <c r="GL819" s="18"/>
      <c r="GM819" s="18"/>
      <c r="GN819" s="18"/>
      <c r="GO819" s="18"/>
      <c r="GP819" s="18"/>
      <c r="GQ819" s="18"/>
      <c r="GR819" s="18"/>
      <c r="GS819" s="18"/>
      <c r="GT819" s="18"/>
      <c r="GU819" s="18"/>
      <c r="GV819" s="18"/>
      <c r="GW819" s="18"/>
      <c r="GX819" s="18"/>
      <c r="GY819" s="18"/>
      <c r="GZ819" s="18"/>
      <c r="HA819" s="18"/>
      <c r="HB819" s="18"/>
      <c r="HC819" s="18"/>
      <c r="HD819" s="18"/>
      <c r="HE819" s="18"/>
      <c r="HF819" s="18"/>
      <c r="HG819" s="13"/>
      <c r="HH819" s="13"/>
      <c r="HI819" s="13"/>
      <c r="HJ819" s="13"/>
      <c r="HK819" s="13"/>
      <c r="HL819" s="13"/>
      <c r="HM819" s="13"/>
      <c r="HN819" s="13"/>
      <c r="HO819" s="13"/>
      <c r="HP819" s="13"/>
      <c r="HQ819" s="13"/>
      <c r="HR819" s="13"/>
      <c r="HS819" s="13"/>
      <c r="HT819" s="13"/>
      <c r="HU819" s="18"/>
      <c r="HV819" s="18"/>
      <c r="HW819" s="18"/>
      <c r="HX819" s="18"/>
      <c r="HY819" s="18"/>
      <c r="HZ819" s="18"/>
      <c r="IA819" s="18"/>
      <c r="IB819" s="18"/>
      <c r="IC819" s="18"/>
      <c r="ID819" s="18"/>
      <c r="IE819" s="18"/>
      <c r="IF819" s="18"/>
      <c r="IG819" s="18"/>
      <c r="IH819" s="18"/>
      <c r="II819" s="18"/>
      <c r="IJ819" s="18"/>
      <c r="IK819" s="18"/>
      <c r="IL819" s="18"/>
      <c r="IM819" s="18"/>
      <c r="IN819" s="18"/>
      <c r="IO819" s="18"/>
      <c r="IP819" s="18"/>
      <c r="IQ819" s="18"/>
      <c r="IR819" s="18"/>
      <c r="IS819" s="18"/>
      <c r="IT819" s="18"/>
      <c r="IU819" s="18"/>
      <c r="IV819" s="18"/>
      <c r="IW819" s="18"/>
      <c r="IX819" s="18"/>
      <c r="IY819" s="18"/>
      <c r="IZ819" s="18"/>
      <c r="JA819" s="18"/>
      <c r="JB819" s="18"/>
      <c r="JC819" s="18"/>
      <c r="JD819" s="18"/>
      <c r="JE819" s="18"/>
      <c r="JF819" s="18"/>
      <c r="JG819" s="18"/>
      <c r="JH819" s="18"/>
      <c r="JI819" s="18"/>
      <c r="JJ819" s="18"/>
      <c r="JK819" s="18"/>
      <c r="JL819" s="18"/>
      <c r="JM819" s="18"/>
      <c r="JN819" s="18"/>
      <c r="JO819" s="18"/>
      <c r="JP819" s="18"/>
      <c r="JQ819" s="18"/>
      <c r="JR819" s="18"/>
      <c r="JS819" s="18"/>
      <c r="JT819" s="18"/>
      <c r="JU819" s="18"/>
      <c r="JV819" s="18"/>
      <c r="JW819" s="18"/>
      <c r="JX819" s="18"/>
      <c r="JY819" s="18"/>
      <c r="JZ819" s="18"/>
      <c r="KA819" s="18"/>
      <c r="KB819" s="18"/>
      <c r="KC819" s="18"/>
      <c r="KD819" s="18"/>
      <c r="KE819" s="18"/>
      <c r="KF819" s="18"/>
      <c r="KG819" s="18"/>
      <c r="KH819" s="18"/>
      <c r="KI819" s="18"/>
      <c r="KJ819" s="18"/>
      <c r="KK819" s="18"/>
      <c r="KL819" s="18"/>
      <c r="KM819" s="18"/>
      <c r="KN819" s="18"/>
      <c r="KO819" s="18"/>
      <c r="KP819" s="18"/>
    </row>
    <row r="820" spans="1:302">
      <c r="A820" s="14"/>
      <c r="B820" s="14"/>
      <c r="F820" s="14"/>
      <c r="G820" s="23"/>
      <c r="H820" s="23"/>
      <c r="I820" s="23"/>
      <c r="J820" s="23"/>
      <c r="K820" s="14"/>
      <c r="L820" s="14"/>
      <c r="P820" s="14"/>
      <c r="AG820" s="44"/>
      <c r="AH820" s="44"/>
      <c r="AI820" s="45"/>
      <c r="AJ820" s="44"/>
      <c r="AK820" s="43"/>
      <c r="AS820" s="14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  <c r="EW820" s="18"/>
      <c r="EX820" s="18"/>
      <c r="EY820" s="18"/>
      <c r="EZ820" s="18"/>
      <c r="FA820" s="18"/>
      <c r="FB820" s="18"/>
      <c r="FC820" s="18"/>
      <c r="FD820" s="18"/>
      <c r="FE820" s="18"/>
      <c r="FF820" s="18"/>
      <c r="FG820" s="18"/>
      <c r="FH820" s="18"/>
      <c r="FI820" s="18"/>
      <c r="FJ820" s="18"/>
      <c r="FK820" s="18"/>
      <c r="FL820" s="18"/>
      <c r="FM820" s="18"/>
      <c r="FN820" s="18"/>
      <c r="FO820" s="18"/>
      <c r="FP820" s="18"/>
      <c r="FQ820" s="18"/>
      <c r="FR820" s="18"/>
      <c r="FS820" s="18"/>
      <c r="FT820" s="18"/>
      <c r="FU820" s="18"/>
      <c r="FV820" s="18"/>
      <c r="FW820" s="18"/>
      <c r="FX820" s="18"/>
      <c r="FY820" s="18"/>
      <c r="FZ820" s="18"/>
      <c r="GA820" s="18"/>
      <c r="GB820" s="18"/>
      <c r="GC820" s="18"/>
      <c r="GD820" s="18"/>
      <c r="GE820" s="18"/>
      <c r="GF820" s="18"/>
      <c r="GG820" s="18"/>
      <c r="GH820" s="18"/>
      <c r="GI820" s="18"/>
      <c r="GJ820" s="18"/>
      <c r="GK820" s="18"/>
      <c r="GL820" s="18"/>
      <c r="GM820" s="18"/>
      <c r="GN820" s="18"/>
      <c r="GO820" s="18"/>
      <c r="GP820" s="18"/>
      <c r="GQ820" s="18"/>
      <c r="GR820" s="18"/>
      <c r="GS820" s="18"/>
      <c r="GT820" s="18"/>
      <c r="GU820" s="18"/>
      <c r="GV820" s="18"/>
      <c r="GW820" s="18"/>
      <c r="GX820" s="18"/>
      <c r="GY820" s="18"/>
      <c r="GZ820" s="18"/>
      <c r="HA820" s="18"/>
      <c r="HB820" s="18"/>
      <c r="HC820" s="18"/>
      <c r="HD820" s="18"/>
      <c r="HE820" s="18"/>
      <c r="HF820" s="18"/>
      <c r="HG820" s="13"/>
      <c r="HH820" s="13"/>
      <c r="HI820" s="13"/>
      <c r="HJ820" s="13"/>
      <c r="HK820" s="13"/>
      <c r="HL820" s="13"/>
      <c r="HM820" s="13"/>
      <c r="HN820" s="13"/>
      <c r="HO820" s="13"/>
      <c r="HP820" s="13"/>
      <c r="HQ820" s="13"/>
      <c r="HR820" s="13"/>
      <c r="HS820" s="13"/>
      <c r="HT820" s="13"/>
      <c r="HU820" s="18"/>
      <c r="HV820" s="18"/>
      <c r="HW820" s="18"/>
      <c r="HX820" s="18"/>
      <c r="HY820" s="18"/>
      <c r="HZ820" s="18"/>
      <c r="IA820" s="18"/>
      <c r="IB820" s="18"/>
      <c r="IC820" s="18"/>
      <c r="ID820" s="18"/>
      <c r="IE820" s="18"/>
      <c r="IF820" s="18"/>
      <c r="IG820" s="18"/>
      <c r="IH820" s="18"/>
      <c r="II820" s="18"/>
      <c r="IJ820" s="18"/>
      <c r="IK820" s="18"/>
      <c r="IL820" s="18"/>
      <c r="IM820" s="18"/>
      <c r="IN820" s="18"/>
      <c r="IO820" s="18"/>
      <c r="IP820" s="18"/>
      <c r="IQ820" s="18"/>
      <c r="IR820" s="18"/>
      <c r="IS820" s="18"/>
      <c r="IT820" s="18"/>
      <c r="IU820" s="18"/>
      <c r="IV820" s="18"/>
      <c r="IW820" s="18"/>
      <c r="IX820" s="18"/>
      <c r="IY820" s="18"/>
      <c r="IZ820" s="18"/>
      <c r="JA820" s="18"/>
      <c r="JB820" s="18"/>
      <c r="JC820" s="18"/>
      <c r="JD820" s="18"/>
      <c r="JE820" s="18"/>
      <c r="JF820" s="18"/>
      <c r="JG820" s="18"/>
      <c r="JH820" s="18"/>
      <c r="JI820" s="18"/>
      <c r="JJ820" s="18"/>
      <c r="JK820" s="18"/>
      <c r="JL820" s="18"/>
      <c r="JM820" s="18"/>
      <c r="JN820" s="18"/>
      <c r="JO820" s="18"/>
      <c r="JP820" s="18"/>
      <c r="JQ820" s="18"/>
      <c r="JR820" s="18"/>
      <c r="JS820" s="18"/>
      <c r="JT820" s="18"/>
      <c r="JU820" s="18"/>
      <c r="JV820" s="18"/>
      <c r="JW820" s="18"/>
      <c r="JX820" s="18"/>
      <c r="JY820" s="18"/>
      <c r="JZ820" s="18"/>
      <c r="KA820" s="18"/>
      <c r="KB820" s="18"/>
      <c r="KC820" s="18"/>
      <c r="KD820" s="18"/>
      <c r="KE820" s="18"/>
      <c r="KF820" s="18"/>
      <c r="KG820" s="18"/>
      <c r="KH820" s="18"/>
      <c r="KI820" s="18"/>
      <c r="KJ820" s="18"/>
      <c r="KK820" s="18"/>
      <c r="KL820" s="18"/>
      <c r="KM820" s="18"/>
      <c r="KN820" s="18"/>
      <c r="KO820" s="18"/>
      <c r="KP820" s="18"/>
    </row>
    <row r="821" spans="1:302">
      <c r="A821" s="14"/>
      <c r="B821" s="14"/>
      <c r="F821" s="14"/>
      <c r="G821" s="23"/>
      <c r="H821" s="23"/>
      <c r="I821" s="23"/>
      <c r="J821" s="23"/>
      <c r="K821" s="14"/>
      <c r="L821" s="14"/>
      <c r="P821" s="14"/>
      <c r="AG821" s="44"/>
      <c r="AH821" s="44"/>
      <c r="AI821" s="45"/>
      <c r="AJ821" s="44"/>
      <c r="AK821" s="43"/>
      <c r="AS821" s="14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  <c r="FR821" s="18"/>
      <c r="FS821" s="18"/>
      <c r="FT821" s="18"/>
      <c r="FU821" s="18"/>
      <c r="FV821" s="18"/>
      <c r="FW821" s="18"/>
      <c r="FX821" s="18"/>
      <c r="FY821" s="18"/>
      <c r="FZ821" s="18"/>
      <c r="GA821" s="18"/>
      <c r="GB821" s="18"/>
      <c r="GC821" s="18"/>
      <c r="GD821" s="18"/>
      <c r="GE821" s="18"/>
      <c r="GF821" s="18"/>
      <c r="GG821" s="18"/>
      <c r="GH821" s="18"/>
      <c r="GI821" s="18"/>
      <c r="GJ821" s="18"/>
      <c r="GK821" s="18"/>
      <c r="GL821" s="18"/>
      <c r="GM821" s="18"/>
      <c r="GN821" s="18"/>
      <c r="GO821" s="18"/>
      <c r="GP821" s="18"/>
      <c r="GQ821" s="18"/>
      <c r="GR821" s="18"/>
      <c r="GS821" s="18"/>
      <c r="GT821" s="18"/>
      <c r="GU821" s="18"/>
      <c r="GV821" s="18"/>
      <c r="GW821" s="18"/>
      <c r="GX821" s="18"/>
      <c r="GY821" s="18"/>
      <c r="GZ821" s="18"/>
      <c r="HA821" s="18"/>
      <c r="HB821" s="18"/>
      <c r="HC821" s="18"/>
      <c r="HD821" s="18"/>
      <c r="HE821" s="18"/>
      <c r="HF821" s="18"/>
      <c r="HG821" s="13"/>
      <c r="HH821" s="13"/>
      <c r="HI821" s="13"/>
      <c r="HJ821" s="13"/>
      <c r="HK821" s="13"/>
      <c r="HL821" s="13"/>
      <c r="HM821" s="13"/>
      <c r="HN821" s="13"/>
      <c r="HO821" s="13"/>
      <c r="HP821" s="13"/>
      <c r="HQ821" s="13"/>
      <c r="HR821" s="13"/>
      <c r="HS821" s="13"/>
      <c r="HT821" s="13"/>
      <c r="HU821" s="18"/>
      <c r="HV821" s="18"/>
      <c r="HW821" s="18"/>
      <c r="HX821" s="18"/>
      <c r="HY821" s="18"/>
      <c r="HZ821" s="18"/>
      <c r="IA821" s="18"/>
      <c r="IB821" s="18"/>
      <c r="IC821" s="18"/>
      <c r="ID821" s="18"/>
      <c r="IE821" s="18"/>
      <c r="IF821" s="18"/>
      <c r="IG821" s="18"/>
      <c r="IH821" s="18"/>
      <c r="II821" s="18"/>
      <c r="IJ821" s="18"/>
      <c r="IK821" s="18"/>
      <c r="IL821" s="18"/>
      <c r="IM821" s="18"/>
      <c r="IN821" s="18"/>
      <c r="IO821" s="18"/>
      <c r="IP821" s="18"/>
      <c r="IQ821" s="18"/>
      <c r="IR821" s="18"/>
      <c r="IS821" s="18"/>
      <c r="IT821" s="18"/>
      <c r="IU821" s="18"/>
      <c r="IV821" s="18"/>
      <c r="IW821" s="18"/>
      <c r="IX821" s="18"/>
      <c r="IY821" s="18"/>
      <c r="IZ821" s="18"/>
      <c r="JA821" s="18"/>
      <c r="JB821" s="18"/>
      <c r="JC821" s="18"/>
      <c r="JD821" s="18"/>
      <c r="JE821" s="18"/>
      <c r="JF821" s="18"/>
      <c r="JG821" s="18"/>
      <c r="JH821" s="18"/>
      <c r="JI821" s="18"/>
      <c r="JJ821" s="18"/>
      <c r="JK821" s="18"/>
      <c r="JL821" s="18"/>
      <c r="JM821" s="18"/>
      <c r="JN821" s="18"/>
      <c r="JO821" s="18"/>
      <c r="JP821" s="18"/>
      <c r="JQ821" s="18"/>
      <c r="JR821" s="18"/>
      <c r="JS821" s="18"/>
      <c r="JT821" s="18"/>
      <c r="JU821" s="18"/>
      <c r="JV821" s="18"/>
      <c r="JW821" s="18"/>
      <c r="JX821" s="18"/>
      <c r="JY821" s="18"/>
      <c r="JZ821" s="18"/>
      <c r="KA821" s="18"/>
      <c r="KB821" s="18"/>
      <c r="KC821" s="18"/>
      <c r="KD821" s="18"/>
      <c r="KE821" s="18"/>
      <c r="KF821" s="18"/>
      <c r="KG821" s="18"/>
      <c r="KH821" s="18"/>
      <c r="KI821" s="18"/>
      <c r="KJ821" s="18"/>
      <c r="KK821" s="18"/>
      <c r="KL821" s="18"/>
      <c r="KM821" s="18"/>
      <c r="KN821" s="18"/>
      <c r="KO821" s="18"/>
      <c r="KP821" s="18"/>
    </row>
    <row r="822" spans="1:302">
      <c r="A822" s="14"/>
      <c r="B822" s="14"/>
      <c r="F822" s="14"/>
      <c r="G822" s="23"/>
      <c r="H822" s="23"/>
      <c r="I822" s="23"/>
      <c r="J822" s="23"/>
      <c r="K822" s="14"/>
      <c r="L822" s="14"/>
      <c r="P822" s="14"/>
      <c r="AG822" s="44"/>
      <c r="AH822" s="44"/>
      <c r="AI822" s="45"/>
      <c r="AJ822" s="44"/>
      <c r="AK822" s="43"/>
      <c r="AS822" s="14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  <c r="EW822" s="18"/>
      <c r="EX822" s="18"/>
      <c r="EY822" s="18"/>
      <c r="EZ822" s="18"/>
      <c r="FA822" s="18"/>
      <c r="FB822" s="18"/>
      <c r="FC822" s="18"/>
      <c r="FD822" s="18"/>
      <c r="FE822" s="18"/>
      <c r="FF822" s="18"/>
      <c r="FG822" s="18"/>
      <c r="FH822" s="18"/>
      <c r="FI822" s="18"/>
      <c r="FJ822" s="18"/>
      <c r="FK822" s="18"/>
      <c r="FL822" s="18"/>
      <c r="FM822" s="18"/>
      <c r="FN822" s="18"/>
      <c r="FO822" s="18"/>
      <c r="FP822" s="18"/>
      <c r="FQ822" s="18"/>
      <c r="FR822" s="18"/>
      <c r="FS822" s="18"/>
      <c r="FT822" s="18"/>
      <c r="FU822" s="18"/>
      <c r="FV822" s="18"/>
      <c r="FW822" s="18"/>
      <c r="FX822" s="18"/>
      <c r="FY822" s="18"/>
      <c r="FZ822" s="18"/>
      <c r="GA822" s="18"/>
      <c r="GB822" s="18"/>
      <c r="GC822" s="18"/>
      <c r="GD822" s="18"/>
      <c r="GE822" s="18"/>
      <c r="GF822" s="18"/>
      <c r="GG822" s="18"/>
      <c r="GH822" s="18"/>
      <c r="GI822" s="18"/>
      <c r="GJ822" s="18"/>
      <c r="GK822" s="18"/>
      <c r="GL822" s="18"/>
      <c r="GM822" s="18"/>
      <c r="GN822" s="18"/>
      <c r="GO822" s="18"/>
      <c r="GP822" s="18"/>
      <c r="GQ822" s="18"/>
      <c r="GR822" s="18"/>
      <c r="GS822" s="18"/>
      <c r="GT822" s="18"/>
      <c r="GU822" s="18"/>
      <c r="GV822" s="18"/>
      <c r="GW822" s="18"/>
      <c r="GX822" s="18"/>
      <c r="GY822" s="18"/>
      <c r="GZ822" s="18"/>
      <c r="HA822" s="18"/>
      <c r="HB822" s="18"/>
      <c r="HC822" s="18"/>
      <c r="HD822" s="18"/>
      <c r="HE822" s="18"/>
      <c r="HF822" s="18"/>
      <c r="HG822" s="13"/>
      <c r="HH822" s="13"/>
      <c r="HI822" s="13"/>
      <c r="HJ822" s="13"/>
      <c r="HK822" s="13"/>
      <c r="HL822" s="13"/>
      <c r="HM822" s="13"/>
      <c r="HN822" s="13"/>
      <c r="HO822" s="13"/>
      <c r="HP822" s="13"/>
      <c r="HQ822" s="13"/>
      <c r="HR822" s="13"/>
      <c r="HS822" s="13"/>
      <c r="HT822" s="13"/>
      <c r="HU822" s="18"/>
      <c r="HV822" s="18"/>
      <c r="HW822" s="18"/>
      <c r="HX822" s="18"/>
      <c r="HY822" s="18"/>
      <c r="HZ822" s="18"/>
      <c r="IA822" s="18"/>
      <c r="IB822" s="18"/>
      <c r="IC822" s="18"/>
      <c r="ID822" s="18"/>
      <c r="IE822" s="18"/>
      <c r="IF822" s="18"/>
      <c r="IG822" s="18"/>
      <c r="IH822" s="18"/>
      <c r="II822" s="18"/>
      <c r="IJ822" s="18"/>
      <c r="IK822" s="18"/>
      <c r="IL822" s="18"/>
      <c r="IM822" s="18"/>
      <c r="IN822" s="18"/>
      <c r="IO822" s="18"/>
      <c r="IP822" s="18"/>
      <c r="IQ822" s="18"/>
      <c r="IR822" s="18"/>
      <c r="IS822" s="18"/>
      <c r="IT822" s="18"/>
      <c r="IU822" s="18"/>
      <c r="IV822" s="18"/>
      <c r="IW822" s="18"/>
      <c r="IX822" s="18"/>
      <c r="IY822" s="18"/>
      <c r="IZ822" s="18"/>
      <c r="JA822" s="18"/>
      <c r="JB822" s="18"/>
      <c r="JC822" s="18"/>
      <c r="JD822" s="18"/>
      <c r="JE822" s="18"/>
      <c r="JF822" s="18"/>
      <c r="JG822" s="18"/>
      <c r="JH822" s="18"/>
      <c r="JI822" s="18"/>
      <c r="JJ822" s="18"/>
      <c r="JK822" s="18"/>
      <c r="JL822" s="18"/>
      <c r="JM822" s="18"/>
      <c r="JN822" s="18"/>
      <c r="JO822" s="18"/>
      <c r="JP822" s="18"/>
      <c r="JQ822" s="18"/>
      <c r="JR822" s="18"/>
      <c r="JS822" s="18"/>
      <c r="JT822" s="18"/>
      <c r="JU822" s="18"/>
      <c r="JV822" s="18"/>
      <c r="JW822" s="18"/>
      <c r="JX822" s="18"/>
      <c r="JY822" s="18"/>
      <c r="JZ822" s="18"/>
      <c r="KA822" s="18"/>
      <c r="KB822" s="18"/>
      <c r="KC822" s="18"/>
      <c r="KD822" s="18"/>
      <c r="KE822" s="18"/>
      <c r="KF822" s="18"/>
      <c r="KG822" s="18"/>
      <c r="KH822" s="18"/>
      <c r="KI822" s="18"/>
      <c r="KJ822" s="18"/>
      <c r="KK822" s="18"/>
      <c r="KL822" s="18"/>
      <c r="KM822" s="18"/>
      <c r="KN822" s="18"/>
      <c r="KO822" s="18"/>
      <c r="KP822" s="18"/>
    </row>
    <row r="823" spans="1:302">
      <c r="A823" s="14"/>
      <c r="B823" s="14"/>
      <c r="F823" s="14"/>
      <c r="G823" s="23"/>
      <c r="H823" s="23"/>
      <c r="I823" s="23"/>
      <c r="J823" s="23"/>
      <c r="K823" s="14"/>
      <c r="L823" s="14"/>
      <c r="P823" s="14"/>
      <c r="AG823" s="44"/>
      <c r="AH823" s="44"/>
      <c r="AI823" s="45"/>
      <c r="AJ823" s="44"/>
      <c r="AK823" s="43"/>
      <c r="AS823" s="14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  <c r="EW823" s="18"/>
      <c r="EX823" s="18"/>
      <c r="EY823" s="18"/>
      <c r="EZ823" s="18"/>
      <c r="FA823" s="18"/>
      <c r="FB823" s="18"/>
      <c r="FC823" s="18"/>
      <c r="FD823" s="18"/>
      <c r="FE823" s="18"/>
      <c r="FF823" s="18"/>
      <c r="FG823" s="18"/>
      <c r="FH823" s="18"/>
      <c r="FI823" s="18"/>
      <c r="FJ823" s="18"/>
      <c r="FK823" s="18"/>
      <c r="FL823" s="18"/>
      <c r="FM823" s="18"/>
      <c r="FN823" s="18"/>
      <c r="FO823" s="18"/>
      <c r="FP823" s="18"/>
      <c r="FQ823" s="18"/>
      <c r="FR823" s="18"/>
      <c r="FS823" s="18"/>
      <c r="FT823" s="18"/>
      <c r="FU823" s="18"/>
      <c r="FV823" s="18"/>
      <c r="FW823" s="18"/>
      <c r="FX823" s="18"/>
      <c r="FY823" s="18"/>
      <c r="FZ823" s="18"/>
      <c r="GA823" s="18"/>
      <c r="GB823" s="18"/>
      <c r="GC823" s="18"/>
      <c r="GD823" s="18"/>
      <c r="GE823" s="18"/>
      <c r="GF823" s="18"/>
      <c r="GG823" s="18"/>
      <c r="GH823" s="18"/>
      <c r="GI823" s="18"/>
      <c r="GJ823" s="18"/>
      <c r="GK823" s="18"/>
      <c r="GL823" s="18"/>
      <c r="GM823" s="18"/>
      <c r="GN823" s="18"/>
      <c r="GO823" s="18"/>
      <c r="GP823" s="18"/>
      <c r="GQ823" s="18"/>
      <c r="GR823" s="18"/>
      <c r="GS823" s="18"/>
      <c r="GT823" s="18"/>
      <c r="GU823" s="18"/>
      <c r="GV823" s="18"/>
      <c r="GW823" s="18"/>
      <c r="GX823" s="18"/>
      <c r="GY823" s="18"/>
      <c r="GZ823" s="18"/>
      <c r="HA823" s="18"/>
      <c r="HB823" s="18"/>
      <c r="HC823" s="18"/>
      <c r="HD823" s="18"/>
      <c r="HE823" s="18"/>
      <c r="HF823" s="18"/>
      <c r="HG823" s="13"/>
      <c r="HH823" s="13"/>
      <c r="HI823" s="13"/>
      <c r="HJ823" s="13"/>
      <c r="HK823" s="13"/>
      <c r="HL823" s="13"/>
      <c r="HM823" s="13"/>
      <c r="HN823" s="13"/>
      <c r="HO823" s="13"/>
      <c r="HP823" s="13"/>
      <c r="HQ823" s="13"/>
      <c r="HR823" s="13"/>
      <c r="HS823" s="13"/>
      <c r="HT823" s="13"/>
      <c r="HU823" s="18"/>
      <c r="HV823" s="18"/>
      <c r="HW823" s="18"/>
      <c r="HX823" s="18"/>
      <c r="HY823" s="18"/>
      <c r="HZ823" s="18"/>
      <c r="IA823" s="18"/>
      <c r="IB823" s="18"/>
      <c r="IC823" s="18"/>
      <c r="ID823" s="18"/>
      <c r="IE823" s="18"/>
      <c r="IF823" s="18"/>
      <c r="IG823" s="18"/>
      <c r="IH823" s="18"/>
      <c r="II823" s="18"/>
      <c r="IJ823" s="18"/>
      <c r="IK823" s="18"/>
      <c r="IL823" s="18"/>
      <c r="IM823" s="18"/>
      <c r="IN823" s="18"/>
      <c r="IO823" s="18"/>
      <c r="IP823" s="18"/>
      <c r="IQ823" s="18"/>
      <c r="IR823" s="18"/>
      <c r="IS823" s="18"/>
      <c r="IT823" s="18"/>
      <c r="IU823" s="18"/>
      <c r="IV823" s="18"/>
      <c r="IW823" s="18"/>
      <c r="IX823" s="18"/>
      <c r="IY823" s="18"/>
      <c r="IZ823" s="18"/>
      <c r="JA823" s="18"/>
      <c r="JB823" s="18"/>
      <c r="JC823" s="18"/>
      <c r="JD823" s="18"/>
      <c r="JE823" s="18"/>
      <c r="JF823" s="18"/>
      <c r="JG823" s="18"/>
      <c r="JH823" s="18"/>
      <c r="JI823" s="18"/>
      <c r="JJ823" s="18"/>
      <c r="JK823" s="18"/>
      <c r="JL823" s="18"/>
      <c r="JM823" s="18"/>
      <c r="JN823" s="18"/>
      <c r="JO823" s="18"/>
      <c r="JP823" s="18"/>
      <c r="JQ823" s="18"/>
      <c r="JR823" s="18"/>
      <c r="JS823" s="18"/>
      <c r="JT823" s="18"/>
      <c r="JU823" s="18"/>
      <c r="JV823" s="18"/>
      <c r="JW823" s="18"/>
      <c r="JX823" s="18"/>
      <c r="JY823" s="18"/>
      <c r="JZ823" s="18"/>
      <c r="KA823" s="18"/>
      <c r="KB823" s="18"/>
      <c r="KC823" s="18"/>
      <c r="KD823" s="18"/>
      <c r="KE823" s="18"/>
      <c r="KF823" s="18"/>
      <c r="KG823" s="18"/>
      <c r="KH823" s="18"/>
      <c r="KI823" s="18"/>
      <c r="KJ823" s="18"/>
      <c r="KK823" s="18"/>
      <c r="KL823" s="18"/>
      <c r="KM823" s="18"/>
      <c r="KN823" s="18"/>
      <c r="KO823" s="18"/>
      <c r="KP823" s="18"/>
    </row>
    <row r="824" spans="1:302">
      <c r="A824" s="14"/>
      <c r="B824" s="14"/>
      <c r="F824" s="14"/>
      <c r="G824" s="23"/>
      <c r="H824" s="23"/>
      <c r="I824" s="23"/>
      <c r="J824" s="23"/>
      <c r="K824" s="14"/>
      <c r="L824" s="14"/>
      <c r="P824" s="14"/>
      <c r="AG824" s="44"/>
      <c r="AH824" s="44"/>
      <c r="AI824" s="45"/>
      <c r="AJ824" s="44"/>
      <c r="AK824" s="43"/>
      <c r="AS824" s="14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  <c r="EW824" s="18"/>
      <c r="EX824" s="18"/>
      <c r="EY824" s="18"/>
      <c r="EZ824" s="18"/>
      <c r="FA824" s="18"/>
      <c r="FB824" s="18"/>
      <c r="FC824" s="18"/>
      <c r="FD824" s="18"/>
      <c r="FE824" s="18"/>
      <c r="FF824" s="18"/>
      <c r="FG824" s="18"/>
      <c r="FH824" s="18"/>
      <c r="FI824" s="18"/>
      <c r="FJ824" s="18"/>
      <c r="FK824" s="18"/>
      <c r="FL824" s="18"/>
      <c r="FM824" s="18"/>
      <c r="FN824" s="18"/>
      <c r="FO824" s="18"/>
      <c r="FP824" s="18"/>
      <c r="FQ824" s="18"/>
      <c r="FR824" s="18"/>
      <c r="FS824" s="18"/>
      <c r="FT824" s="18"/>
      <c r="FU824" s="18"/>
      <c r="FV824" s="18"/>
      <c r="FW824" s="18"/>
      <c r="FX824" s="18"/>
      <c r="FY824" s="18"/>
      <c r="FZ824" s="18"/>
      <c r="GA824" s="18"/>
      <c r="GB824" s="18"/>
      <c r="GC824" s="18"/>
      <c r="GD824" s="18"/>
      <c r="GE824" s="18"/>
      <c r="GF824" s="18"/>
      <c r="GG824" s="18"/>
      <c r="GH824" s="18"/>
      <c r="GI824" s="18"/>
      <c r="GJ824" s="18"/>
      <c r="GK824" s="18"/>
      <c r="GL824" s="18"/>
      <c r="GM824" s="18"/>
      <c r="GN824" s="18"/>
      <c r="GO824" s="18"/>
      <c r="GP824" s="18"/>
      <c r="GQ824" s="18"/>
      <c r="GR824" s="18"/>
      <c r="GS824" s="18"/>
      <c r="GT824" s="18"/>
      <c r="GU824" s="18"/>
      <c r="GV824" s="18"/>
      <c r="GW824" s="18"/>
      <c r="GX824" s="18"/>
      <c r="GY824" s="18"/>
      <c r="GZ824" s="18"/>
      <c r="HA824" s="18"/>
      <c r="HB824" s="18"/>
      <c r="HC824" s="18"/>
      <c r="HD824" s="18"/>
      <c r="HE824" s="18"/>
      <c r="HF824" s="18"/>
      <c r="HG824" s="13"/>
      <c r="HH824" s="13"/>
      <c r="HI824" s="13"/>
      <c r="HJ824" s="13"/>
      <c r="HK824" s="13"/>
      <c r="HL824" s="13"/>
      <c r="HM824" s="13"/>
      <c r="HN824" s="13"/>
      <c r="HO824" s="13"/>
      <c r="HP824" s="13"/>
      <c r="HQ824" s="13"/>
      <c r="HR824" s="13"/>
      <c r="HS824" s="13"/>
      <c r="HT824" s="13"/>
      <c r="HU824" s="18"/>
      <c r="HV824" s="18"/>
      <c r="HW824" s="18"/>
      <c r="HX824" s="18"/>
      <c r="HY824" s="18"/>
      <c r="HZ824" s="18"/>
      <c r="IA824" s="18"/>
      <c r="IB824" s="18"/>
      <c r="IC824" s="18"/>
      <c r="ID824" s="18"/>
      <c r="IE824" s="18"/>
      <c r="IF824" s="18"/>
      <c r="IG824" s="18"/>
      <c r="IH824" s="18"/>
      <c r="II824" s="18"/>
      <c r="IJ824" s="18"/>
      <c r="IK824" s="18"/>
      <c r="IL824" s="18"/>
      <c r="IM824" s="18"/>
      <c r="IN824" s="18"/>
      <c r="IO824" s="18"/>
      <c r="IP824" s="18"/>
      <c r="IQ824" s="18"/>
      <c r="IR824" s="18"/>
      <c r="IS824" s="18"/>
      <c r="IT824" s="18"/>
      <c r="IU824" s="18"/>
      <c r="IV824" s="18"/>
      <c r="IW824" s="18"/>
      <c r="IX824" s="18"/>
      <c r="IY824" s="18"/>
      <c r="IZ824" s="18"/>
      <c r="JA824" s="18"/>
      <c r="JB824" s="18"/>
      <c r="JC824" s="18"/>
      <c r="JD824" s="18"/>
      <c r="JE824" s="18"/>
      <c r="JF824" s="18"/>
      <c r="JG824" s="18"/>
      <c r="JH824" s="18"/>
      <c r="JI824" s="18"/>
      <c r="JJ824" s="18"/>
      <c r="JK824" s="18"/>
      <c r="JL824" s="18"/>
      <c r="JM824" s="18"/>
      <c r="JN824" s="18"/>
      <c r="JO824" s="18"/>
      <c r="JP824" s="18"/>
      <c r="JQ824" s="18"/>
      <c r="JR824" s="18"/>
      <c r="JS824" s="18"/>
      <c r="JT824" s="18"/>
      <c r="JU824" s="18"/>
      <c r="JV824" s="18"/>
      <c r="JW824" s="18"/>
      <c r="JX824" s="18"/>
      <c r="JY824" s="18"/>
      <c r="JZ824" s="18"/>
      <c r="KA824" s="18"/>
      <c r="KB824" s="18"/>
      <c r="KC824" s="18"/>
      <c r="KD824" s="18"/>
      <c r="KE824" s="18"/>
      <c r="KF824" s="18"/>
      <c r="KG824" s="18"/>
      <c r="KH824" s="18"/>
      <c r="KI824" s="18"/>
      <c r="KJ824" s="18"/>
      <c r="KK824" s="18"/>
      <c r="KL824" s="18"/>
      <c r="KM824" s="18"/>
      <c r="KN824" s="18"/>
      <c r="KO824" s="18"/>
      <c r="KP824" s="18"/>
    </row>
    <row r="825" spans="1:302">
      <c r="A825" s="14"/>
      <c r="B825" s="14"/>
      <c r="F825" s="14"/>
      <c r="G825" s="23"/>
      <c r="H825" s="23"/>
      <c r="I825" s="23"/>
      <c r="J825" s="23"/>
      <c r="K825" s="14"/>
      <c r="L825" s="14"/>
      <c r="P825" s="14"/>
      <c r="AG825" s="44"/>
      <c r="AH825" s="44"/>
      <c r="AI825" s="45"/>
      <c r="AJ825" s="44"/>
      <c r="AK825" s="43"/>
      <c r="AS825" s="14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  <c r="EW825" s="18"/>
      <c r="EX825" s="18"/>
      <c r="EY825" s="18"/>
      <c r="EZ825" s="18"/>
      <c r="FA825" s="18"/>
      <c r="FB825" s="18"/>
      <c r="FC825" s="18"/>
      <c r="FD825" s="18"/>
      <c r="FE825" s="18"/>
      <c r="FF825" s="18"/>
      <c r="FG825" s="18"/>
      <c r="FH825" s="18"/>
      <c r="FI825" s="18"/>
      <c r="FJ825" s="18"/>
      <c r="FK825" s="18"/>
      <c r="FL825" s="18"/>
      <c r="FM825" s="18"/>
      <c r="FN825" s="18"/>
      <c r="FO825" s="18"/>
      <c r="FP825" s="18"/>
      <c r="FQ825" s="18"/>
      <c r="FR825" s="18"/>
      <c r="FS825" s="18"/>
      <c r="FT825" s="18"/>
      <c r="FU825" s="18"/>
      <c r="FV825" s="18"/>
      <c r="FW825" s="18"/>
      <c r="FX825" s="18"/>
      <c r="FY825" s="18"/>
      <c r="FZ825" s="18"/>
      <c r="GA825" s="18"/>
      <c r="GB825" s="18"/>
      <c r="GC825" s="18"/>
      <c r="GD825" s="18"/>
      <c r="GE825" s="18"/>
      <c r="GF825" s="18"/>
      <c r="GG825" s="18"/>
      <c r="GH825" s="18"/>
      <c r="GI825" s="18"/>
      <c r="GJ825" s="18"/>
      <c r="GK825" s="18"/>
      <c r="GL825" s="18"/>
      <c r="GM825" s="18"/>
      <c r="GN825" s="18"/>
      <c r="GO825" s="18"/>
      <c r="GP825" s="18"/>
      <c r="GQ825" s="18"/>
      <c r="GR825" s="18"/>
      <c r="GS825" s="18"/>
      <c r="GT825" s="18"/>
      <c r="GU825" s="18"/>
      <c r="GV825" s="18"/>
      <c r="GW825" s="18"/>
      <c r="GX825" s="18"/>
      <c r="GY825" s="18"/>
      <c r="GZ825" s="18"/>
      <c r="HA825" s="18"/>
      <c r="HB825" s="18"/>
      <c r="HC825" s="18"/>
      <c r="HD825" s="18"/>
      <c r="HE825" s="18"/>
      <c r="HF825" s="18"/>
      <c r="HG825" s="13"/>
      <c r="HH825" s="13"/>
      <c r="HI825" s="13"/>
      <c r="HJ825" s="13"/>
      <c r="HK825" s="13"/>
      <c r="HL825" s="13"/>
      <c r="HM825" s="13"/>
      <c r="HN825" s="13"/>
      <c r="HO825" s="13"/>
      <c r="HP825" s="13"/>
      <c r="HQ825" s="13"/>
      <c r="HR825" s="13"/>
      <c r="HS825" s="13"/>
      <c r="HT825" s="13"/>
      <c r="HU825" s="18"/>
      <c r="HV825" s="18"/>
      <c r="HW825" s="18"/>
      <c r="HX825" s="18"/>
      <c r="HY825" s="18"/>
      <c r="HZ825" s="18"/>
      <c r="IA825" s="18"/>
      <c r="IB825" s="18"/>
      <c r="IC825" s="18"/>
      <c r="ID825" s="18"/>
      <c r="IE825" s="18"/>
      <c r="IF825" s="18"/>
      <c r="IG825" s="18"/>
      <c r="IH825" s="18"/>
      <c r="II825" s="18"/>
      <c r="IJ825" s="18"/>
      <c r="IK825" s="18"/>
      <c r="IL825" s="18"/>
      <c r="IM825" s="18"/>
      <c r="IN825" s="18"/>
      <c r="IO825" s="18"/>
      <c r="IP825" s="18"/>
      <c r="IQ825" s="18"/>
      <c r="IR825" s="18"/>
      <c r="IS825" s="18"/>
      <c r="IT825" s="18"/>
      <c r="IU825" s="18"/>
      <c r="IV825" s="18"/>
      <c r="IW825" s="18"/>
      <c r="IX825" s="18"/>
      <c r="IY825" s="18"/>
      <c r="IZ825" s="18"/>
      <c r="JA825" s="18"/>
      <c r="JB825" s="18"/>
      <c r="JC825" s="18"/>
      <c r="JD825" s="18"/>
      <c r="JE825" s="18"/>
      <c r="JF825" s="18"/>
      <c r="JG825" s="18"/>
      <c r="JH825" s="18"/>
      <c r="JI825" s="18"/>
      <c r="JJ825" s="18"/>
      <c r="JK825" s="18"/>
      <c r="JL825" s="18"/>
      <c r="JM825" s="18"/>
      <c r="JN825" s="18"/>
      <c r="JO825" s="18"/>
      <c r="JP825" s="18"/>
      <c r="JQ825" s="18"/>
      <c r="JR825" s="18"/>
      <c r="JS825" s="18"/>
      <c r="JT825" s="18"/>
      <c r="JU825" s="18"/>
      <c r="JV825" s="18"/>
      <c r="JW825" s="18"/>
      <c r="JX825" s="18"/>
      <c r="JY825" s="18"/>
      <c r="JZ825" s="18"/>
      <c r="KA825" s="18"/>
      <c r="KB825" s="18"/>
      <c r="KC825" s="18"/>
      <c r="KD825" s="18"/>
      <c r="KE825" s="18"/>
      <c r="KF825" s="18"/>
      <c r="KG825" s="18"/>
      <c r="KH825" s="18"/>
      <c r="KI825" s="18"/>
      <c r="KJ825" s="18"/>
      <c r="KK825" s="18"/>
      <c r="KL825" s="18"/>
      <c r="KM825" s="18"/>
      <c r="KN825" s="18"/>
      <c r="KO825" s="18"/>
      <c r="KP825" s="18"/>
    </row>
    <row r="826" spans="1:302">
      <c r="A826" s="14"/>
      <c r="B826" s="14"/>
      <c r="F826" s="14"/>
      <c r="G826" s="23"/>
      <c r="H826" s="23"/>
      <c r="I826" s="23"/>
      <c r="J826" s="23"/>
      <c r="K826" s="14"/>
      <c r="L826" s="14"/>
      <c r="P826" s="14"/>
      <c r="AG826" s="44"/>
      <c r="AH826" s="44"/>
      <c r="AI826" s="45"/>
      <c r="AJ826" s="44"/>
      <c r="AK826" s="43"/>
      <c r="AS826" s="14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  <c r="EW826" s="18"/>
      <c r="EX826" s="18"/>
      <c r="EY826" s="18"/>
      <c r="EZ826" s="18"/>
      <c r="FA826" s="18"/>
      <c r="FB826" s="18"/>
      <c r="FC826" s="18"/>
      <c r="FD826" s="18"/>
      <c r="FE826" s="18"/>
      <c r="FF826" s="18"/>
      <c r="FG826" s="18"/>
      <c r="FH826" s="18"/>
      <c r="FI826" s="18"/>
      <c r="FJ826" s="18"/>
      <c r="FK826" s="18"/>
      <c r="FL826" s="18"/>
      <c r="FM826" s="18"/>
      <c r="FN826" s="18"/>
      <c r="FO826" s="18"/>
      <c r="FP826" s="18"/>
      <c r="FQ826" s="18"/>
      <c r="FR826" s="18"/>
      <c r="FS826" s="18"/>
      <c r="FT826" s="18"/>
      <c r="FU826" s="18"/>
      <c r="FV826" s="18"/>
      <c r="FW826" s="18"/>
      <c r="FX826" s="18"/>
      <c r="FY826" s="18"/>
      <c r="FZ826" s="18"/>
      <c r="GA826" s="18"/>
      <c r="GB826" s="18"/>
      <c r="GC826" s="18"/>
      <c r="GD826" s="18"/>
      <c r="GE826" s="18"/>
      <c r="GF826" s="18"/>
      <c r="GG826" s="18"/>
      <c r="GH826" s="18"/>
      <c r="GI826" s="18"/>
      <c r="GJ826" s="18"/>
      <c r="GK826" s="18"/>
      <c r="GL826" s="18"/>
      <c r="GM826" s="18"/>
      <c r="GN826" s="18"/>
      <c r="GO826" s="18"/>
      <c r="GP826" s="18"/>
      <c r="GQ826" s="18"/>
      <c r="GR826" s="18"/>
      <c r="GS826" s="18"/>
      <c r="GT826" s="18"/>
      <c r="GU826" s="18"/>
      <c r="GV826" s="18"/>
      <c r="GW826" s="18"/>
      <c r="GX826" s="18"/>
      <c r="GY826" s="18"/>
      <c r="GZ826" s="18"/>
      <c r="HA826" s="18"/>
      <c r="HB826" s="18"/>
      <c r="HC826" s="18"/>
      <c r="HD826" s="18"/>
      <c r="HE826" s="18"/>
      <c r="HF826" s="18"/>
      <c r="HG826" s="13"/>
      <c r="HH826" s="13"/>
      <c r="HI826" s="13"/>
      <c r="HJ826" s="13"/>
      <c r="HK826" s="13"/>
      <c r="HL826" s="13"/>
      <c r="HM826" s="13"/>
      <c r="HN826" s="13"/>
      <c r="HO826" s="13"/>
      <c r="HP826" s="13"/>
      <c r="HQ826" s="13"/>
      <c r="HR826" s="13"/>
      <c r="HS826" s="13"/>
      <c r="HT826" s="13"/>
      <c r="HU826" s="18"/>
      <c r="HV826" s="18"/>
      <c r="HW826" s="18"/>
      <c r="HX826" s="18"/>
      <c r="HY826" s="18"/>
      <c r="HZ826" s="18"/>
      <c r="IA826" s="18"/>
      <c r="IB826" s="18"/>
      <c r="IC826" s="18"/>
      <c r="ID826" s="18"/>
      <c r="IE826" s="18"/>
      <c r="IF826" s="18"/>
      <c r="IG826" s="18"/>
      <c r="IH826" s="18"/>
      <c r="II826" s="18"/>
      <c r="IJ826" s="18"/>
      <c r="IK826" s="18"/>
      <c r="IL826" s="18"/>
      <c r="IM826" s="18"/>
      <c r="IN826" s="18"/>
      <c r="IO826" s="18"/>
      <c r="IP826" s="18"/>
      <c r="IQ826" s="18"/>
      <c r="IR826" s="18"/>
      <c r="IS826" s="18"/>
      <c r="IT826" s="18"/>
      <c r="IU826" s="18"/>
      <c r="IV826" s="18"/>
      <c r="IW826" s="18"/>
      <c r="IX826" s="18"/>
      <c r="IY826" s="18"/>
      <c r="IZ826" s="18"/>
      <c r="JA826" s="18"/>
      <c r="JB826" s="18"/>
      <c r="JC826" s="18"/>
      <c r="JD826" s="18"/>
      <c r="JE826" s="18"/>
      <c r="JF826" s="18"/>
      <c r="JG826" s="18"/>
      <c r="JH826" s="18"/>
      <c r="JI826" s="18"/>
      <c r="JJ826" s="18"/>
      <c r="JK826" s="18"/>
      <c r="JL826" s="18"/>
      <c r="JM826" s="18"/>
      <c r="JN826" s="18"/>
      <c r="JO826" s="18"/>
      <c r="JP826" s="18"/>
      <c r="JQ826" s="18"/>
      <c r="JR826" s="18"/>
      <c r="JS826" s="18"/>
      <c r="JT826" s="18"/>
      <c r="JU826" s="18"/>
      <c r="JV826" s="18"/>
      <c r="JW826" s="18"/>
      <c r="JX826" s="18"/>
      <c r="JY826" s="18"/>
      <c r="JZ826" s="18"/>
      <c r="KA826" s="18"/>
      <c r="KB826" s="18"/>
      <c r="KC826" s="18"/>
      <c r="KD826" s="18"/>
      <c r="KE826" s="18"/>
      <c r="KF826" s="18"/>
      <c r="KG826" s="18"/>
      <c r="KH826" s="18"/>
      <c r="KI826" s="18"/>
      <c r="KJ826" s="18"/>
      <c r="KK826" s="18"/>
      <c r="KL826" s="18"/>
      <c r="KM826" s="18"/>
      <c r="KN826" s="18"/>
      <c r="KO826" s="18"/>
      <c r="KP826" s="18"/>
    </row>
    <row r="827" spans="1:302">
      <c r="A827" s="14"/>
      <c r="B827" s="14"/>
      <c r="F827" s="14"/>
      <c r="G827" s="23"/>
      <c r="H827" s="23"/>
      <c r="I827" s="23"/>
      <c r="J827" s="23"/>
      <c r="K827" s="14"/>
      <c r="L827" s="14"/>
      <c r="P827" s="14"/>
      <c r="AG827" s="44"/>
      <c r="AH827" s="44"/>
      <c r="AI827" s="45"/>
      <c r="AJ827" s="44"/>
      <c r="AK827" s="43"/>
      <c r="AS827" s="14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  <c r="EW827" s="18"/>
      <c r="EX827" s="18"/>
      <c r="EY827" s="18"/>
      <c r="EZ827" s="18"/>
      <c r="FA827" s="18"/>
      <c r="FB827" s="18"/>
      <c r="FC827" s="18"/>
      <c r="FD827" s="18"/>
      <c r="FE827" s="18"/>
      <c r="FF827" s="18"/>
      <c r="FG827" s="18"/>
      <c r="FH827" s="18"/>
      <c r="FI827" s="18"/>
      <c r="FJ827" s="18"/>
      <c r="FK827" s="18"/>
      <c r="FL827" s="18"/>
      <c r="FM827" s="18"/>
      <c r="FN827" s="18"/>
      <c r="FO827" s="18"/>
      <c r="FP827" s="18"/>
      <c r="FQ827" s="18"/>
      <c r="FR827" s="18"/>
      <c r="FS827" s="18"/>
      <c r="FT827" s="18"/>
      <c r="FU827" s="18"/>
      <c r="FV827" s="18"/>
      <c r="FW827" s="18"/>
      <c r="FX827" s="18"/>
      <c r="FY827" s="18"/>
      <c r="FZ827" s="18"/>
      <c r="GA827" s="18"/>
      <c r="GB827" s="18"/>
      <c r="GC827" s="18"/>
      <c r="GD827" s="18"/>
      <c r="GE827" s="18"/>
      <c r="GF827" s="18"/>
      <c r="GG827" s="18"/>
      <c r="GH827" s="18"/>
      <c r="GI827" s="18"/>
      <c r="GJ827" s="18"/>
      <c r="GK827" s="18"/>
      <c r="GL827" s="18"/>
      <c r="GM827" s="18"/>
      <c r="GN827" s="18"/>
      <c r="GO827" s="18"/>
      <c r="GP827" s="18"/>
      <c r="GQ827" s="18"/>
      <c r="GR827" s="18"/>
      <c r="GS827" s="18"/>
      <c r="GT827" s="18"/>
      <c r="GU827" s="18"/>
      <c r="GV827" s="18"/>
      <c r="GW827" s="18"/>
      <c r="GX827" s="18"/>
      <c r="GY827" s="18"/>
      <c r="GZ827" s="18"/>
      <c r="HA827" s="18"/>
      <c r="HB827" s="18"/>
      <c r="HC827" s="18"/>
      <c r="HD827" s="18"/>
      <c r="HE827" s="18"/>
      <c r="HF827" s="18"/>
      <c r="HG827" s="13"/>
      <c r="HH827" s="13"/>
      <c r="HI827" s="13"/>
      <c r="HJ827" s="13"/>
      <c r="HK827" s="13"/>
      <c r="HL827" s="13"/>
      <c r="HM827" s="13"/>
      <c r="HN827" s="13"/>
      <c r="HO827" s="13"/>
      <c r="HP827" s="13"/>
      <c r="HQ827" s="13"/>
      <c r="HR827" s="13"/>
      <c r="HS827" s="13"/>
      <c r="HT827" s="13"/>
      <c r="HU827" s="18"/>
      <c r="HV827" s="18"/>
      <c r="HW827" s="18"/>
      <c r="HX827" s="18"/>
      <c r="HY827" s="18"/>
      <c r="HZ827" s="18"/>
      <c r="IA827" s="18"/>
      <c r="IB827" s="18"/>
      <c r="IC827" s="18"/>
      <c r="ID827" s="18"/>
      <c r="IE827" s="18"/>
      <c r="IF827" s="18"/>
      <c r="IG827" s="18"/>
      <c r="IH827" s="18"/>
      <c r="II827" s="18"/>
      <c r="IJ827" s="18"/>
      <c r="IK827" s="18"/>
      <c r="IL827" s="18"/>
      <c r="IM827" s="18"/>
      <c r="IN827" s="18"/>
      <c r="IO827" s="18"/>
      <c r="IP827" s="18"/>
      <c r="IQ827" s="18"/>
      <c r="IR827" s="18"/>
      <c r="IS827" s="18"/>
      <c r="IT827" s="18"/>
      <c r="IU827" s="18"/>
      <c r="IV827" s="18"/>
      <c r="IW827" s="18"/>
      <c r="IX827" s="18"/>
      <c r="IY827" s="18"/>
      <c r="IZ827" s="18"/>
      <c r="JA827" s="18"/>
      <c r="JB827" s="18"/>
      <c r="JC827" s="18"/>
      <c r="JD827" s="18"/>
      <c r="JE827" s="18"/>
      <c r="JF827" s="18"/>
      <c r="JG827" s="18"/>
      <c r="JH827" s="18"/>
      <c r="JI827" s="18"/>
      <c r="JJ827" s="18"/>
      <c r="JK827" s="18"/>
      <c r="JL827" s="18"/>
      <c r="JM827" s="18"/>
      <c r="JN827" s="18"/>
      <c r="JO827" s="18"/>
      <c r="JP827" s="18"/>
      <c r="JQ827" s="18"/>
      <c r="JR827" s="18"/>
      <c r="JS827" s="18"/>
      <c r="JT827" s="18"/>
      <c r="JU827" s="18"/>
      <c r="JV827" s="18"/>
      <c r="JW827" s="18"/>
      <c r="JX827" s="18"/>
      <c r="JY827" s="18"/>
      <c r="JZ827" s="18"/>
      <c r="KA827" s="18"/>
      <c r="KB827" s="18"/>
      <c r="KC827" s="18"/>
      <c r="KD827" s="18"/>
      <c r="KE827" s="18"/>
      <c r="KF827" s="18"/>
      <c r="KG827" s="18"/>
      <c r="KH827" s="18"/>
      <c r="KI827" s="18"/>
      <c r="KJ827" s="18"/>
      <c r="KK827" s="18"/>
      <c r="KL827" s="18"/>
      <c r="KM827" s="18"/>
      <c r="KN827" s="18"/>
      <c r="KO827" s="18"/>
      <c r="KP827" s="18"/>
    </row>
    <row r="828" spans="1:302">
      <c r="A828" s="14"/>
      <c r="B828" s="14"/>
      <c r="F828" s="14"/>
      <c r="G828" s="23"/>
      <c r="H828" s="23"/>
      <c r="I828" s="23"/>
      <c r="J828" s="23"/>
      <c r="K828" s="14"/>
      <c r="L828" s="14"/>
      <c r="P828" s="14"/>
      <c r="AG828" s="44"/>
      <c r="AH828" s="44"/>
      <c r="AI828" s="45"/>
      <c r="AJ828" s="44"/>
      <c r="AK828" s="43"/>
      <c r="AS828" s="14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  <c r="EW828" s="18"/>
      <c r="EX828" s="18"/>
      <c r="EY828" s="18"/>
      <c r="EZ828" s="18"/>
      <c r="FA828" s="18"/>
      <c r="FB828" s="18"/>
      <c r="FC828" s="18"/>
      <c r="FD828" s="18"/>
      <c r="FE828" s="18"/>
      <c r="FF828" s="18"/>
      <c r="FG828" s="18"/>
      <c r="FH828" s="18"/>
      <c r="FI828" s="18"/>
      <c r="FJ828" s="18"/>
      <c r="FK828" s="18"/>
      <c r="FL828" s="18"/>
      <c r="FM828" s="18"/>
      <c r="FN828" s="18"/>
      <c r="FO828" s="18"/>
      <c r="FP828" s="18"/>
      <c r="FQ828" s="18"/>
      <c r="FR828" s="18"/>
      <c r="FS828" s="18"/>
      <c r="FT828" s="18"/>
      <c r="FU828" s="18"/>
      <c r="FV828" s="18"/>
      <c r="FW828" s="18"/>
      <c r="FX828" s="18"/>
      <c r="FY828" s="18"/>
      <c r="FZ828" s="18"/>
      <c r="GA828" s="18"/>
      <c r="GB828" s="18"/>
      <c r="GC828" s="18"/>
      <c r="GD828" s="18"/>
      <c r="GE828" s="18"/>
      <c r="GF828" s="18"/>
      <c r="GG828" s="18"/>
      <c r="GH828" s="18"/>
      <c r="GI828" s="18"/>
      <c r="GJ828" s="18"/>
      <c r="GK828" s="18"/>
      <c r="GL828" s="18"/>
      <c r="GM828" s="18"/>
      <c r="GN828" s="18"/>
      <c r="GO828" s="18"/>
      <c r="GP828" s="18"/>
      <c r="GQ828" s="18"/>
      <c r="GR828" s="18"/>
      <c r="GS828" s="18"/>
      <c r="GT828" s="18"/>
      <c r="GU828" s="18"/>
      <c r="GV828" s="18"/>
      <c r="GW828" s="18"/>
      <c r="GX828" s="18"/>
      <c r="GY828" s="18"/>
      <c r="GZ828" s="18"/>
      <c r="HA828" s="18"/>
      <c r="HB828" s="18"/>
      <c r="HC828" s="18"/>
      <c r="HD828" s="18"/>
      <c r="HE828" s="18"/>
      <c r="HF828" s="18"/>
      <c r="HG828" s="13"/>
      <c r="HH828" s="13"/>
      <c r="HI828" s="13"/>
      <c r="HJ828" s="13"/>
      <c r="HK828" s="13"/>
      <c r="HL828" s="13"/>
      <c r="HM828" s="13"/>
      <c r="HN828" s="13"/>
      <c r="HO828" s="13"/>
      <c r="HP828" s="13"/>
      <c r="HQ828" s="13"/>
      <c r="HR828" s="13"/>
      <c r="HS828" s="13"/>
      <c r="HT828" s="13"/>
      <c r="HU828" s="18"/>
      <c r="HV828" s="18"/>
      <c r="HW828" s="18"/>
      <c r="HX828" s="18"/>
      <c r="HY828" s="18"/>
      <c r="HZ828" s="18"/>
      <c r="IA828" s="18"/>
      <c r="IB828" s="18"/>
      <c r="IC828" s="18"/>
      <c r="ID828" s="18"/>
      <c r="IE828" s="18"/>
      <c r="IF828" s="18"/>
      <c r="IG828" s="18"/>
      <c r="IH828" s="18"/>
      <c r="II828" s="18"/>
      <c r="IJ828" s="18"/>
      <c r="IK828" s="18"/>
      <c r="IL828" s="18"/>
      <c r="IM828" s="18"/>
      <c r="IN828" s="18"/>
      <c r="IO828" s="18"/>
      <c r="IP828" s="18"/>
      <c r="IQ828" s="18"/>
      <c r="IR828" s="18"/>
      <c r="IS828" s="18"/>
      <c r="IT828" s="18"/>
      <c r="IU828" s="18"/>
      <c r="IV828" s="18"/>
      <c r="IW828" s="18"/>
      <c r="IX828" s="18"/>
      <c r="IY828" s="18"/>
      <c r="IZ828" s="18"/>
      <c r="JA828" s="18"/>
      <c r="JB828" s="18"/>
      <c r="JC828" s="18"/>
      <c r="JD828" s="18"/>
      <c r="JE828" s="18"/>
      <c r="JF828" s="18"/>
      <c r="JG828" s="18"/>
      <c r="JH828" s="18"/>
      <c r="JI828" s="18"/>
      <c r="JJ828" s="18"/>
      <c r="JK828" s="18"/>
      <c r="JL828" s="18"/>
      <c r="JM828" s="18"/>
      <c r="JN828" s="18"/>
      <c r="JO828" s="18"/>
      <c r="JP828" s="18"/>
      <c r="JQ828" s="18"/>
      <c r="JR828" s="18"/>
      <c r="JS828" s="18"/>
      <c r="JT828" s="18"/>
      <c r="JU828" s="18"/>
      <c r="JV828" s="18"/>
      <c r="JW828" s="18"/>
      <c r="JX828" s="18"/>
      <c r="JY828" s="18"/>
      <c r="JZ828" s="18"/>
      <c r="KA828" s="18"/>
      <c r="KB828" s="18"/>
      <c r="KC828" s="18"/>
      <c r="KD828" s="18"/>
      <c r="KE828" s="18"/>
      <c r="KF828" s="18"/>
      <c r="KG828" s="18"/>
      <c r="KH828" s="18"/>
      <c r="KI828" s="18"/>
      <c r="KJ828" s="18"/>
      <c r="KK828" s="18"/>
      <c r="KL828" s="18"/>
      <c r="KM828" s="18"/>
      <c r="KN828" s="18"/>
      <c r="KO828" s="18"/>
      <c r="KP828" s="18"/>
    </row>
    <row r="829" spans="1:302">
      <c r="A829" s="14"/>
      <c r="B829" s="14"/>
      <c r="F829" s="14"/>
      <c r="G829" s="23"/>
      <c r="H829" s="23"/>
      <c r="I829" s="23"/>
      <c r="J829" s="23"/>
      <c r="K829" s="14"/>
      <c r="L829" s="14"/>
      <c r="P829" s="14"/>
      <c r="AG829" s="44"/>
      <c r="AH829" s="44"/>
      <c r="AI829" s="45"/>
      <c r="AJ829" s="44"/>
      <c r="AK829" s="43"/>
      <c r="AS829" s="14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  <c r="EW829" s="18"/>
      <c r="EX829" s="18"/>
      <c r="EY829" s="18"/>
      <c r="EZ829" s="18"/>
      <c r="FA829" s="18"/>
      <c r="FB829" s="18"/>
      <c r="FC829" s="18"/>
      <c r="FD829" s="18"/>
      <c r="FE829" s="18"/>
      <c r="FF829" s="18"/>
      <c r="FG829" s="18"/>
      <c r="FH829" s="18"/>
      <c r="FI829" s="18"/>
      <c r="FJ829" s="18"/>
      <c r="FK829" s="18"/>
      <c r="FL829" s="18"/>
      <c r="FM829" s="18"/>
      <c r="FN829" s="18"/>
      <c r="FO829" s="18"/>
      <c r="FP829" s="18"/>
      <c r="FQ829" s="18"/>
      <c r="FR829" s="18"/>
      <c r="FS829" s="18"/>
      <c r="FT829" s="18"/>
      <c r="FU829" s="18"/>
      <c r="FV829" s="18"/>
      <c r="FW829" s="18"/>
      <c r="FX829" s="18"/>
      <c r="FY829" s="18"/>
      <c r="FZ829" s="18"/>
      <c r="GA829" s="18"/>
      <c r="GB829" s="18"/>
      <c r="GC829" s="18"/>
      <c r="GD829" s="18"/>
      <c r="GE829" s="18"/>
      <c r="GF829" s="18"/>
      <c r="GG829" s="18"/>
      <c r="GH829" s="18"/>
      <c r="GI829" s="18"/>
      <c r="GJ829" s="18"/>
      <c r="GK829" s="18"/>
      <c r="GL829" s="18"/>
      <c r="GM829" s="18"/>
      <c r="GN829" s="18"/>
      <c r="GO829" s="18"/>
      <c r="GP829" s="18"/>
      <c r="GQ829" s="18"/>
      <c r="GR829" s="18"/>
      <c r="GS829" s="18"/>
      <c r="GT829" s="18"/>
      <c r="GU829" s="18"/>
      <c r="GV829" s="18"/>
      <c r="GW829" s="18"/>
      <c r="GX829" s="18"/>
      <c r="GY829" s="18"/>
      <c r="GZ829" s="18"/>
      <c r="HA829" s="18"/>
      <c r="HB829" s="18"/>
      <c r="HC829" s="18"/>
      <c r="HD829" s="18"/>
      <c r="HE829" s="18"/>
      <c r="HF829" s="18"/>
      <c r="HG829" s="13"/>
      <c r="HH829" s="13"/>
      <c r="HI829" s="13"/>
      <c r="HJ829" s="13"/>
      <c r="HK829" s="13"/>
      <c r="HL829" s="13"/>
      <c r="HM829" s="13"/>
      <c r="HN829" s="13"/>
      <c r="HO829" s="13"/>
      <c r="HP829" s="13"/>
      <c r="HQ829" s="13"/>
      <c r="HR829" s="13"/>
      <c r="HS829" s="13"/>
      <c r="HT829" s="13"/>
      <c r="HU829" s="18"/>
      <c r="HV829" s="18"/>
      <c r="HW829" s="18"/>
      <c r="HX829" s="18"/>
      <c r="HY829" s="18"/>
      <c r="HZ829" s="18"/>
      <c r="IA829" s="18"/>
      <c r="IB829" s="18"/>
      <c r="IC829" s="18"/>
      <c r="ID829" s="18"/>
      <c r="IE829" s="18"/>
      <c r="IF829" s="18"/>
      <c r="IG829" s="18"/>
      <c r="IH829" s="18"/>
      <c r="II829" s="18"/>
      <c r="IJ829" s="18"/>
      <c r="IK829" s="18"/>
      <c r="IL829" s="18"/>
      <c r="IM829" s="18"/>
      <c r="IN829" s="18"/>
      <c r="IO829" s="18"/>
      <c r="IP829" s="18"/>
      <c r="IQ829" s="18"/>
      <c r="IR829" s="18"/>
      <c r="IS829" s="18"/>
      <c r="IT829" s="18"/>
      <c r="IU829" s="18"/>
      <c r="IV829" s="18"/>
      <c r="IW829" s="18"/>
      <c r="IX829" s="18"/>
      <c r="IY829" s="18"/>
      <c r="IZ829" s="18"/>
      <c r="JA829" s="18"/>
      <c r="JB829" s="18"/>
      <c r="JC829" s="18"/>
      <c r="JD829" s="18"/>
      <c r="JE829" s="18"/>
      <c r="JF829" s="18"/>
      <c r="JG829" s="18"/>
      <c r="JH829" s="18"/>
      <c r="JI829" s="18"/>
      <c r="JJ829" s="18"/>
      <c r="JK829" s="18"/>
      <c r="JL829" s="18"/>
      <c r="JM829" s="18"/>
      <c r="JN829" s="18"/>
      <c r="JO829" s="18"/>
      <c r="JP829" s="18"/>
      <c r="JQ829" s="18"/>
      <c r="JR829" s="18"/>
      <c r="JS829" s="18"/>
      <c r="JT829" s="18"/>
      <c r="JU829" s="18"/>
      <c r="JV829" s="18"/>
      <c r="JW829" s="18"/>
      <c r="JX829" s="18"/>
      <c r="JY829" s="18"/>
      <c r="JZ829" s="18"/>
      <c r="KA829" s="18"/>
      <c r="KB829" s="18"/>
      <c r="KC829" s="18"/>
      <c r="KD829" s="18"/>
      <c r="KE829" s="18"/>
      <c r="KF829" s="18"/>
      <c r="KG829" s="18"/>
      <c r="KH829" s="18"/>
      <c r="KI829" s="18"/>
      <c r="KJ829" s="18"/>
      <c r="KK829" s="18"/>
      <c r="KL829" s="18"/>
      <c r="KM829" s="18"/>
      <c r="KN829" s="18"/>
      <c r="KO829" s="18"/>
      <c r="KP829" s="18"/>
    </row>
    <row r="830" spans="1:302">
      <c r="A830" s="14"/>
      <c r="B830" s="14"/>
      <c r="F830" s="14"/>
      <c r="G830" s="23"/>
      <c r="H830" s="23"/>
      <c r="I830" s="23"/>
      <c r="J830" s="23"/>
      <c r="K830" s="14"/>
      <c r="L830" s="14"/>
      <c r="P830" s="14"/>
      <c r="AG830" s="44"/>
      <c r="AH830" s="44"/>
      <c r="AI830" s="45"/>
      <c r="AJ830" s="44"/>
      <c r="AK830" s="43"/>
      <c r="AS830" s="14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  <c r="EW830" s="18"/>
      <c r="EX830" s="18"/>
      <c r="EY830" s="18"/>
      <c r="EZ830" s="18"/>
      <c r="FA830" s="18"/>
      <c r="FB830" s="18"/>
      <c r="FC830" s="18"/>
      <c r="FD830" s="18"/>
      <c r="FE830" s="18"/>
      <c r="FF830" s="18"/>
      <c r="FG830" s="18"/>
      <c r="FH830" s="18"/>
      <c r="FI830" s="18"/>
      <c r="FJ830" s="18"/>
      <c r="FK830" s="18"/>
      <c r="FL830" s="18"/>
      <c r="FM830" s="18"/>
      <c r="FN830" s="18"/>
      <c r="FO830" s="18"/>
      <c r="FP830" s="18"/>
      <c r="FQ830" s="18"/>
      <c r="FR830" s="18"/>
      <c r="FS830" s="18"/>
      <c r="FT830" s="18"/>
      <c r="FU830" s="18"/>
      <c r="FV830" s="18"/>
      <c r="FW830" s="18"/>
      <c r="FX830" s="18"/>
      <c r="FY830" s="18"/>
      <c r="FZ830" s="18"/>
      <c r="GA830" s="18"/>
      <c r="GB830" s="18"/>
      <c r="GC830" s="18"/>
      <c r="GD830" s="18"/>
      <c r="GE830" s="18"/>
      <c r="GF830" s="18"/>
      <c r="GG830" s="18"/>
      <c r="GH830" s="18"/>
      <c r="GI830" s="18"/>
      <c r="GJ830" s="18"/>
      <c r="GK830" s="18"/>
      <c r="GL830" s="18"/>
      <c r="GM830" s="18"/>
      <c r="GN830" s="18"/>
      <c r="GO830" s="18"/>
      <c r="GP830" s="18"/>
      <c r="GQ830" s="18"/>
      <c r="GR830" s="18"/>
      <c r="GS830" s="18"/>
      <c r="GT830" s="18"/>
      <c r="GU830" s="18"/>
      <c r="GV830" s="18"/>
      <c r="GW830" s="18"/>
      <c r="GX830" s="18"/>
      <c r="GY830" s="18"/>
      <c r="GZ830" s="18"/>
      <c r="HA830" s="18"/>
      <c r="HB830" s="18"/>
      <c r="HC830" s="18"/>
      <c r="HD830" s="18"/>
      <c r="HE830" s="18"/>
      <c r="HF830" s="18"/>
      <c r="HG830" s="13"/>
      <c r="HH830" s="13"/>
      <c r="HI830" s="13"/>
      <c r="HJ830" s="13"/>
      <c r="HK830" s="13"/>
      <c r="HL830" s="13"/>
      <c r="HM830" s="13"/>
      <c r="HN830" s="13"/>
      <c r="HO830" s="13"/>
      <c r="HP830" s="13"/>
      <c r="HQ830" s="13"/>
      <c r="HR830" s="13"/>
      <c r="HS830" s="13"/>
      <c r="HT830" s="13"/>
      <c r="HU830" s="18"/>
      <c r="HV830" s="18"/>
      <c r="HW830" s="18"/>
      <c r="HX830" s="18"/>
      <c r="HY830" s="18"/>
      <c r="HZ830" s="18"/>
      <c r="IA830" s="18"/>
      <c r="IB830" s="18"/>
      <c r="IC830" s="18"/>
      <c r="ID830" s="18"/>
      <c r="IE830" s="18"/>
      <c r="IF830" s="18"/>
      <c r="IG830" s="18"/>
      <c r="IH830" s="18"/>
      <c r="II830" s="18"/>
      <c r="IJ830" s="18"/>
      <c r="IK830" s="18"/>
      <c r="IL830" s="18"/>
      <c r="IM830" s="18"/>
      <c r="IN830" s="18"/>
      <c r="IO830" s="18"/>
      <c r="IP830" s="18"/>
      <c r="IQ830" s="18"/>
      <c r="IR830" s="18"/>
      <c r="IS830" s="18"/>
      <c r="IT830" s="18"/>
      <c r="IU830" s="18"/>
      <c r="IV830" s="18"/>
      <c r="IW830" s="18"/>
      <c r="IX830" s="18"/>
      <c r="IY830" s="18"/>
      <c r="IZ830" s="18"/>
      <c r="JA830" s="18"/>
      <c r="JB830" s="18"/>
      <c r="JC830" s="18"/>
      <c r="JD830" s="18"/>
      <c r="JE830" s="18"/>
      <c r="JF830" s="18"/>
      <c r="JG830" s="18"/>
      <c r="JH830" s="18"/>
      <c r="JI830" s="18"/>
      <c r="JJ830" s="18"/>
      <c r="JK830" s="18"/>
      <c r="JL830" s="18"/>
      <c r="JM830" s="18"/>
      <c r="JN830" s="18"/>
      <c r="JO830" s="18"/>
      <c r="JP830" s="18"/>
      <c r="JQ830" s="18"/>
      <c r="JR830" s="18"/>
      <c r="JS830" s="18"/>
      <c r="JT830" s="18"/>
      <c r="JU830" s="18"/>
      <c r="JV830" s="18"/>
      <c r="JW830" s="18"/>
      <c r="JX830" s="18"/>
      <c r="JY830" s="18"/>
      <c r="JZ830" s="18"/>
      <c r="KA830" s="18"/>
      <c r="KB830" s="18"/>
      <c r="KC830" s="18"/>
      <c r="KD830" s="18"/>
      <c r="KE830" s="18"/>
      <c r="KF830" s="18"/>
      <c r="KG830" s="18"/>
      <c r="KH830" s="18"/>
      <c r="KI830" s="18"/>
      <c r="KJ830" s="18"/>
      <c r="KK830" s="18"/>
      <c r="KL830" s="18"/>
      <c r="KM830" s="18"/>
      <c r="KN830" s="18"/>
      <c r="KO830" s="18"/>
      <c r="KP830" s="18"/>
    </row>
    <row r="831" spans="1:302">
      <c r="A831" s="14"/>
      <c r="B831" s="14"/>
      <c r="F831" s="14"/>
      <c r="G831" s="23"/>
      <c r="H831" s="23"/>
      <c r="I831" s="23"/>
      <c r="J831" s="23"/>
      <c r="K831" s="14"/>
      <c r="L831" s="14"/>
      <c r="P831" s="14"/>
      <c r="AG831" s="44"/>
      <c r="AH831" s="44"/>
      <c r="AI831" s="45"/>
      <c r="AJ831" s="44"/>
      <c r="AK831" s="43"/>
      <c r="AS831" s="14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  <c r="EW831" s="18"/>
      <c r="EX831" s="18"/>
      <c r="EY831" s="18"/>
      <c r="EZ831" s="18"/>
      <c r="FA831" s="18"/>
      <c r="FB831" s="18"/>
      <c r="FC831" s="18"/>
      <c r="FD831" s="18"/>
      <c r="FE831" s="18"/>
      <c r="FF831" s="18"/>
      <c r="FG831" s="18"/>
      <c r="FH831" s="18"/>
      <c r="FI831" s="18"/>
      <c r="FJ831" s="18"/>
      <c r="FK831" s="18"/>
      <c r="FL831" s="18"/>
      <c r="FM831" s="18"/>
      <c r="FN831" s="18"/>
      <c r="FO831" s="18"/>
      <c r="FP831" s="18"/>
      <c r="FQ831" s="18"/>
      <c r="FR831" s="18"/>
      <c r="FS831" s="18"/>
      <c r="FT831" s="18"/>
      <c r="FU831" s="18"/>
      <c r="FV831" s="18"/>
      <c r="FW831" s="18"/>
      <c r="FX831" s="18"/>
      <c r="FY831" s="18"/>
      <c r="FZ831" s="18"/>
      <c r="GA831" s="18"/>
      <c r="GB831" s="18"/>
      <c r="GC831" s="18"/>
      <c r="GD831" s="18"/>
      <c r="GE831" s="18"/>
      <c r="GF831" s="18"/>
      <c r="GG831" s="18"/>
      <c r="GH831" s="18"/>
      <c r="GI831" s="18"/>
      <c r="GJ831" s="18"/>
      <c r="GK831" s="18"/>
      <c r="GL831" s="18"/>
      <c r="GM831" s="18"/>
      <c r="GN831" s="18"/>
      <c r="GO831" s="18"/>
      <c r="GP831" s="18"/>
      <c r="GQ831" s="18"/>
      <c r="GR831" s="18"/>
      <c r="GS831" s="18"/>
      <c r="GT831" s="18"/>
      <c r="GU831" s="18"/>
      <c r="GV831" s="18"/>
      <c r="GW831" s="18"/>
      <c r="GX831" s="18"/>
      <c r="GY831" s="18"/>
      <c r="GZ831" s="18"/>
      <c r="HA831" s="18"/>
      <c r="HB831" s="18"/>
      <c r="HC831" s="18"/>
      <c r="HD831" s="18"/>
      <c r="HE831" s="18"/>
      <c r="HF831" s="18"/>
      <c r="HG831" s="13"/>
      <c r="HH831" s="13"/>
      <c r="HI831" s="13"/>
      <c r="HJ831" s="13"/>
      <c r="HK831" s="13"/>
      <c r="HL831" s="13"/>
      <c r="HM831" s="13"/>
      <c r="HN831" s="13"/>
      <c r="HO831" s="13"/>
      <c r="HP831" s="13"/>
      <c r="HQ831" s="13"/>
      <c r="HR831" s="13"/>
      <c r="HS831" s="13"/>
      <c r="HT831" s="13"/>
      <c r="HU831" s="18"/>
      <c r="HV831" s="18"/>
      <c r="HW831" s="18"/>
      <c r="HX831" s="18"/>
      <c r="HY831" s="18"/>
      <c r="HZ831" s="18"/>
      <c r="IA831" s="18"/>
      <c r="IB831" s="18"/>
      <c r="IC831" s="18"/>
      <c r="ID831" s="18"/>
      <c r="IE831" s="18"/>
      <c r="IF831" s="18"/>
      <c r="IG831" s="18"/>
      <c r="IH831" s="18"/>
      <c r="II831" s="18"/>
      <c r="IJ831" s="18"/>
      <c r="IK831" s="18"/>
      <c r="IL831" s="18"/>
      <c r="IM831" s="18"/>
      <c r="IN831" s="18"/>
      <c r="IO831" s="18"/>
      <c r="IP831" s="18"/>
      <c r="IQ831" s="18"/>
      <c r="IR831" s="18"/>
      <c r="IS831" s="18"/>
      <c r="IT831" s="18"/>
      <c r="IU831" s="18"/>
      <c r="IV831" s="18"/>
      <c r="IW831" s="18"/>
      <c r="IX831" s="18"/>
      <c r="IY831" s="18"/>
      <c r="IZ831" s="18"/>
      <c r="JA831" s="18"/>
      <c r="JB831" s="18"/>
      <c r="JC831" s="18"/>
      <c r="JD831" s="18"/>
      <c r="JE831" s="18"/>
      <c r="JF831" s="18"/>
      <c r="JG831" s="18"/>
      <c r="JH831" s="18"/>
      <c r="JI831" s="18"/>
      <c r="JJ831" s="18"/>
      <c r="JK831" s="18"/>
      <c r="JL831" s="18"/>
      <c r="JM831" s="18"/>
      <c r="JN831" s="18"/>
      <c r="JO831" s="18"/>
      <c r="JP831" s="18"/>
      <c r="JQ831" s="18"/>
      <c r="JR831" s="18"/>
      <c r="JS831" s="18"/>
      <c r="JT831" s="18"/>
      <c r="JU831" s="18"/>
      <c r="JV831" s="18"/>
      <c r="JW831" s="18"/>
      <c r="JX831" s="18"/>
      <c r="JY831" s="18"/>
      <c r="JZ831" s="18"/>
      <c r="KA831" s="18"/>
      <c r="KB831" s="18"/>
      <c r="KC831" s="18"/>
      <c r="KD831" s="18"/>
      <c r="KE831" s="18"/>
      <c r="KF831" s="18"/>
      <c r="KG831" s="18"/>
      <c r="KH831" s="18"/>
      <c r="KI831" s="18"/>
      <c r="KJ831" s="18"/>
      <c r="KK831" s="18"/>
      <c r="KL831" s="18"/>
      <c r="KM831" s="18"/>
      <c r="KN831" s="18"/>
      <c r="KO831" s="18"/>
      <c r="KP831" s="18"/>
    </row>
    <row r="832" spans="1:302">
      <c r="A832" s="14"/>
      <c r="B832" s="14"/>
      <c r="F832" s="14"/>
      <c r="G832" s="23"/>
      <c r="H832" s="23"/>
      <c r="I832" s="23"/>
      <c r="J832" s="23"/>
      <c r="K832" s="14"/>
      <c r="L832" s="14"/>
      <c r="P832" s="14"/>
      <c r="AG832" s="44"/>
      <c r="AH832" s="44"/>
      <c r="AI832" s="45"/>
      <c r="AJ832" s="44"/>
      <c r="AK832" s="43"/>
      <c r="AS832" s="14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  <c r="EW832" s="18"/>
      <c r="EX832" s="18"/>
      <c r="EY832" s="18"/>
      <c r="EZ832" s="18"/>
      <c r="FA832" s="18"/>
      <c r="FB832" s="18"/>
      <c r="FC832" s="18"/>
      <c r="FD832" s="18"/>
      <c r="FE832" s="18"/>
      <c r="FF832" s="18"/>
      <c r="FG832" s="18"/>
      <c r="FH832" s="18"/>
      <c r="FI832" s="18"/>
      <c r="FJ832" s="18"/>
      <c r="FK832" s="18"/>
      <c r="FL832" s="18"/>
      <c r="FM832" s="18"/>
      <c r="FN832" s="18"/>
      <c r="FO832" s="18"/>
      <c r="FP832" s="18"/>
      <c r="FQ832" s="18"/>
      <c r="FR832" s="18"/>
      <c r="FS832" s="18"/>
      <c r="FT832" s="18"/>
      <c r="FU832" s="18"/>
      <c r="FV832" s="18"/>
      <c r="FW832" s="18"/>
      <c r="FX832" s="18"/>
      <c r="FY832" s="18"/>
      <c r="FZ832" s="18"/>
      <c r="GA832" s="18"/>
      <c r="GB832" s="18"/>
      <c r="GC832" s="18"/>
      <c r="GD832" s="18"/>
      <c r="GE832" s="18"/>
      <c r="GF832" s="18"/>
      <c r="GG832" s="18"/>
      <c r="GH832" s="18"/>
      <c r="GI832" s="18"/>
      <c r="GJ832" s="18"/>
      <c r="GK832" s="18"/>
      <c r="GL832" s="18"/>
      <c r="GM832" s="18"/>
      <c r="GN832" s="18"/>
      <c r="GO832" s="18"/>
      <c r="GP832" s="18"/>
      <c r="GQ832" s="18"/>
      <c r="GR832" s="18"/>
      <c r="GS832" s="18"/>
      <c r="GT832" s="18"/>
      <c r="GU832" s="18"/>
      <c r="GV832" s="18"/>
      <c r="GW832" s="18"/>
      <c r="GX832" s="18"/>
      <c r="GY832" s="18"/>
      <c r="GZ832" s="18"/>
      <c r="HA832" s="18"/>
      <c r="HB832" s="18"/>
      <c r="HC832" s="18"/>
      <c r="HD832" s="18"/>
      <c r="HE832" s="18"/>
      <c r="HF832" s="18"/>
      <c r="HG832" s="13"/>
      <c r="HH832" s="13"/>
      <c r="HI832" s="13"/>
      <c r="HJ832" s="13"/>
      <c r="HK832" s="13"/>
      <c r="HL832" s="13"/>
      <c r="HM832" s="13"/>
      <c r="HN832" s="13"/>
      <c r="HO832" s="13"/>
      <c r="HP832" s="13"/>
      <c r="HQ832" s="13"/>
      <c r="HR832" s="13"/>
      <c r="HS832" s="13"/>
      <c r="HT832" s="13"/>
      <c r="HU832" s="18"/>
      <c r="HV832" s="18"/>
      <c r="HW832" s="18"/>
      <c r="HX832" s="18"/>
      <c r="HY832" s="18"/>
      <c r="HZ832" s="18"/>
      <c r="IA832" s="18"/>
      <c r="IB832" s="18"/>
      <c r="IC832" s="18"/>
      <c r="ID832" s="18"/>
      <c r="IE832" s="18"/>
      <c r="IF832" s="18"/>
      <c r="IG832" s="18"/>
      <c r="IH832" s="18"/>
      <c r="II832" s="18"/>
      <c r="IJ832" s="18"/>
      <c r="IK832" s="18"/>
      <c r="IL832" s="18"/>
      <c r="IM832" s="18"/>
      <c r="IN832" s="18"/>
      <c r="IO832" s="18"/>
      <c r="IP832" s="18"/>
      <c r="IQ832" s="18"/>
      <c r="IR832" s="18"/>
      <c r="IS832" s="18"/>
      <c r="IT832" s="18"/>
      <c r="IU832" s="18"/>
      <c r="IV832" s="18"/>
      <c r="IW832" s="18"/>
      <c r="IX832" s="18"/>
      <c r="IY832" s="18"/>
      <c r="IZ832" s="18"/>
      <c r="JA832" s="18"/>
      <c r="JB832" s="18"/>
      <c r="JC832" s="18"/>
      <c r="JD832" s="18"/>
      <c r="JE832" s="18"/>
      <c r="JF832" s="18"/>
      <c r="JG832" s="18"/>
      <c r="JH832" s="18"/>
      <c r="JI832" s="18"/>
      <c r="JJ832" s="18"/>
      <c r="JK832" s="18"/>
      <c r="JL832" s="18"/>
      <c r="JM832" s="18"/>
      <c r="JN832" s="18"/>
      <c r="JO832" s="18"/>
      <c r="JP832" s="18"/>
      <c r="JQ832" s="18"/>
      <c r="JR832" s="18"/>
      <c r="JS832" s="18"/>
      <c r="JT832" s="18"/>
      <c r="JU832" s="18"/>
      <c r="JV832" s="18"/>
      <c r="JW832" s="18"/>
      <c r="JX832" s="18"/>
      <c r="JY832" s="18"/>
      <c r="JZ832" s="18"/>
      <c r="KA832" s="18"/>
      <c r="KB832" s="18"/>
      <c r="KC832" s="18"/>
      <c r="KD832" s="18"/>
      <c r="KE832" s="18"/>
      <c r="KF832" s="18"/>
      <c r="KG832" s="18"/>
      <c r="KH832" s="18"/>
      <c r="KI832" s="18"/>
      <c r="KJ832" s="18"/>
      <c r="KK832" s="18"/>
      <c r="KL832" s="18"/>
      <c r="KM832" s="18"/>
      <c r="KN832" s="18"/>
      <c r="KO832" s="18"/>
      <c r="KP832" s="18"/>
    </row>
    <row r="833" spans="1:302">
      <c r="A833" s="14"/>
      <c r="B833" s="14"/>
      <c r="F833" s="14"/>
      <c r="G833" s="23"/>
      <c r="H833" s="23"/>
      <c r="I833" s="23"/>
      <c r="J833" s="23"/>
      <c r="K833" s="14"/>
      <c r="L833" s="14"/>
      <c r="P833" s="14"/>
      <c r="AG833" s="44"/>
      <c r="AH833" s="44"/>
      <c r="AI833" s="45"/>
      <c r="AJ833" s="44"/>
      <c r="AK833" s="43"/>
      <c r="AS833" s="14"/>
      <c r="AT833" s="18"/>
      <c r="AU833" s="18"/>
      <c r="AV833" s="18"/>
      <c r="AW833" s="18"/>
      <c r="AX833" s="18"/>
      <c r="AY833" s="18"/>
      <c r="AZ833" s="18"/>
      <c r="BA833" s="18"/>
      <c r="BB833" s="18"/>
      <c r="BC833" s="18"/>
      <c r="BD833" s="18"/>
      <c r="BE833" s="18"/>
      <c r="BF833" s="18"/>
      <c r="BG833" s="18"/>
      <c r="BH833" s="18"/>
      <c r="BI833" s="18"/>
      <c r="BJ833" s="18"/>
      <c r="BK833" s="18"/>
      <c r="BL833" s="18"/>
      <c r="BM833" s="18"/>
      <c r="BN833" s="18"/>
      <c r="BO833" s="18"/>
      <c r="BP833" s="18"/>
      <c r="BQ833" s="18"/>
      <c r="BR833" s="18"/>
      <c r="BS833" s="18"/>
      <c r="BT833" s="18"/>
      <c r="BU833" s="18"/>
      <c r="BV833" s="18"/>
      <c r="BW833" s="18"/>
      <c r="BX833" s="18"/>
      <c r="BY833" s="18"/>
      <c r="BZ833" s="18"/>
      <c r="CA833" s="18"/>
      <c r="CB833" s="18"/>
      <c r="CC833" s="18"/>
      <c r="CD833" s="18"/>
      <c r="CE833" s="18"/>
      <c r="CF833" s="18"/>
      <c r="CG833" s="18"/>
      <c r="CH833" s="18"/>
      <c r="CI833" s="18"/>
      <c r="CJ833" s="18"/>
      <c r="CK833" s="18"/>
      <c r="CL833" s="18"/>
      <c r="CM833" s="18"/>
      <c r="CN833" s="18"/>
      <c r="CO833" s="18"/>
      <c r="CP833" s="18"/>
      <c r="CQ833" s="18"/>
      <c r="CR833" s="18"/>
      <c r="CS833" s="18"/>
      <c r="CT833" s="18"/>
      <c r="CU833" s="18"/>
      <c r="CV833" s="18"/>
      <c r="CW833" s="18"/>
      <c r="CX833" s="18"/>
      <c r="CY833" s="18"/>
      <c r="CZ833" s="18"/>
      <c r="DA833" s="18"/>
      <c r="DB833" s="18"/>
      <c r="DC833" s="18"/>
      <c r="DD833" s="18"/>
      <c r="DE833" s="18"/>
      <c r="DF833" s="18"/>
      <c r="DG833" s="18"/>
      <c r="DH833" s="18"/>
      <c r="DI833" s="18"/>
      <c r="DJ833" s="18"/>
      <c r="DK833" s="18"/>
      <c r="DL833" s="18"/>
      <c r="DM833" s="18"/>
      <c r="DN833" s="18"/>
      <c r="DO833" s="18"/>
      <c r="DP833" s="18"/>
      <c r="DQ833" s="18"/>
      <c r="DR833" s="18"/>
      <c r="DS833" s="18"/>
      <c r="DT833" s="18"/>
      <c r="DU833" s="18"/>
      <c r="DV833" s="18"/>
      <c r="DW833" s="18"/>
      <c r="DX833" s="18"/>
      <c r="DY833" s="18"/>
      <c r="DZ833" s="18"/>
      <c r="EA833" s="18"/>
      <c r="EB833" s="18"/>
      <c r="EC833" s="18"/>
      <c r="ED833" s="18"/>
      <c r="EE833" s="18"/>
      <c r="EF833" s="18"/>
      <c r="EG833" s="18"/>
      <c r="EH833" s="18"/>
      <c r="EI833" s="18"/>
      <c r="EJ833" s="18"/>
      <c r="EK833" s="18"/>
      <c r="EL833" s="18"/>
      <c r="EM833" s="18"/>
      <c r="EN833" s="18"/>
      <c r="EO833" s="18"/>
      <c r="EP833" s="18"/>
      <c r="EQ833" s="18"/>
      <c r="ER833" s="18"/>
      <c r="ES833" s="18"/>
      <c r="ET833" s="18"/>
      <c r="EU833" s="18"/>
      <c r="EV833" s="18"/>
      <c r="EW833" s="18"/>
      <c r="EX833" s="18"/>
      <c r="EY833" s="18"/>
      <c r="EZ833" s="18"/>
      <c r="FA833" s="18"/>
      <c r="FB833" s="18"/>
      <c r="FC833" s="18"/>
      <c r="FD833" s="18"/>
      <c r="FE833" s="18"/>
      <c r="FF833" s="18"/>
      <c r="FG833" s="18"/>
      <c r="FH833" s="18"/>
      <c r="FI833" s="18"/>
      <c r="FJ833" s="18"/>
      <c r="FK833" s="18"/>
      <c r="FL833" s="18"/>
      <c r="FM833" s="18"/>
      <c r="FN833" s="18"/>
      <c r="FO833" s="18"/>
      <c r="FP833" s="18"/>
      <c r="FQ833" s="18"/>
      <c r="FR833" s="18"/>
      <c r="FS833" s="18"/>
      <c r="FT833" s="18"/>
      <c r="FU833" s="18"/>
      <c r="FV833" s="18"/>
      <c r="FW833" s="18"/>
      <c r="FX833" s="18"/>
      <c r="FY833" s="18"/>
      <c r="FZ833" s="18"/>
      <c r="GA833" s="18"/>
      <c r="GB833" s="18"/>
      <c r="GC833" s="18"/>
      <c r="GD833" s="18"/>
      <c r="GE833" s="18"/>
      <c r="GF833" s="18"/>
      <c r="GG833" s="18"/>
      <c r="GH833" s="18"/>
      <c r="GI833" s="18"/>
      <c r="GJ833" s="18"/>
      <c r="GK833" s="18"/>
      <c r="GL833" s="18"/>
      <c r="GM833" s="18"/>
      <c r="GN833" s="18"/>
      <c r="GO833" s="18"/>
      <c r="GP833" s="18"/>
      <c r="GQ833" s="18"/>
      <c r="GR833" s="18"/>
      <c r="GS833" s="18"/>
      <c r="GT833" s="18"/>
      <c r="GU833" s="18"/>
      <c r="GV833" s="18"/>
      <c r="GW833" s="18"/>
      <c r="GX833" s="18"/>
      <c r="GY833" s="18"/>
      <c r="GZ833" s="18"/>
      <c r="HA833" s="18"/>
      <c r="HB833" s="18"/>
      <c r="HC833" s="18"/>
      <c r="HD833" s="18"/>
      <c r="HE833" s="18"/>
      <c r="HF833" s="18"/>
      <c r="HG833" s="13"/>
      <c r="HH833" s="13"/>
      <c r="HI833" s="13"/>
      <c r="HJ833" s="13"/>
      <c r="HK833" s="13"/>
      <c r="HL833" s="13"/>
      <c r="HM833" s="13"/>
      <c r="HN833" s="13"/>
      <c r="HO833" s="13"/>
      <c r="HP833" s="13"/>
      <c r="HQ833" s="13"/>
      <c r="HR833" s="13"/>
      <c r="HS833" s="13"/>
      <c r="HT833" s="13"/>
      <c r="HU833" s="18"/>
      <c r="HV833" s="18"/>
      <c r="HW833" s="18"/>
      <c r="HX833" s="18"/>
      <c r="HY833" s="18"/>
      <c r="HZ833" s="18"/>
      <c r="IA833" s="18"/>
      <c r="IB833" s="18"/>
      <c r="IC833" s="18"/>
      <c r="ID833" s="18"/>
      <c r="IE833" s="18"/>
      <c r="IF833" s="18"/>
      <c r="IG833" s="18"/>
      <c r="IH833" s="18"/>
      <c r="II833" s="18"/>
      <c r="IJ833" s="18"/>
      <c r="IK833" s="18"/>
      <c r="IL833" s="18"/>
      <c r="IM833" s="18"/>
      <c r="IN833" s="18"/>
      <c r="IO833" s="18"/>
      <c r="IP833" s="18"/>
      <c r="IQ833" s="18"/>
      <c r="IR833" s="18"/>
      <c r="IS833" s="18"/>
      <c r="IT833" s="18"/>
      <c r="IU833" s="18"/>
      <c r="IV833" s="18"/>
      <c r="IW833" s="18"/>
      <c r="IX833" s="18"/>
      <c r="IY833" s="18"/>
      <c r="IZ833" s="18"/>
      <c r="JA833" s="18"/>
      <c r="JB833" s="18"/>
      <c r="JC833" s="18"/>
      <c r="JD833" s="18"/>
      <c r="JE833" s="18"/>
      <c r="JF833" s="18"/>
      <c r="JG833" s="18"/>
      <c r="JH833" s="18"/>
      <c r="JI833" s="18"/>
      <c r="JJ833" s="18"/>
      <c r="JK833" s="18"/>
      <c r="JL833" s="18"/>
      <c r="JM833" s="18"/>
      <c r="JN833" s="18"/>
      <c r="JO833" s="18"/>
      <c r="JP833" s="18"/>
      <c r="JQ833" s="18"/>
      <c r="JR833" s="18"/>
      <c r="JS833" s="18"/>
      <c r="JT833" s="18"/>
      <c r="JU833" s="18"/>
      <c r="JV833" s="18"/>
      <c r="JW833" s="18"/>
      <c r="JX833" s="18"/>
      <c r="JY833" s="18"/>
      <c r="JZ833" s="18"/>
      <c r="KA833" s="18"/>
      <c r="KB833" s="18"/>
      <c r="KC833" s="18"/>
      <c r="KD833" s="18"/>
      <c r="KE833" s="18"/>
      <c r="KF833" s="18"/>
      <c r="KG833" s="18"/>
      <c r="KH833" s="18"/>
      <c r="KI833" s="18"/>
      <c r="KJ833" s="18"/>
      <c r="KK833" s="18"/>
      <c r="KL833" s="18"/>
      <c r="KM833" s="18"/>
      <c r="KN833" s="18"/>
      <c r="KO833" s="18"/>
      <c r="KP833" s="18"/>
    </row>
    <row r="834" spans="1:302">
      <c r="A834" s="14"/>
      <c r="B834" s="14"/>
      <c r="F834" s="14"/>
      <c r="G834" s="23"/>
      <c r="H834" s="23"/>
      <c r="I834" s="23"/>
      <c r="J834" s="23"/>
      <c r="K834" s="14"/>
      <c r="L834" s="14"/>
      <c r="P834" s="14"/>
      <c r="AG834" s="44"/>
      <c r="AH834" s="44"/>
      <c r="AI834" s="45"/>
      <c r="AJ834" s="44"/>
      <c r="AK834" s="43"/>
      <c r="AS834" s="14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  <c r="EW834" s="18"/>
      <c r="EX834" s="18"/>
      <c r="EY834" s="18"/>
      <c r="EZ834" s="18"/>
      <c r="FA834" s="18"/>
      <c r="FB834" s="18"/>
      <c r="FC834" s="18"/>
      <c r="FD834" s="18"/>
      <c r="FE834" s="18"/>
      <c r="FF834" s="18"/>
      <c r="FG834" s="18"/>
      <c r="FH834" s="18"/>
      <c r="FI834" s="18"/>
      <c r="FJ834" s="18"/>
      <c r="FK834" s="18"/>
      <c r="FL834" s="18"/>
      <c r="FM834" s="18"/>
      <c r="FN834" s="18"/>
      <c r="FO834" s="18"/>
      <c r="FP834" s="18"/>
      <c r="FQ834" s="18"/>
      <c r="FR834" s="18"/>
      <c r="FS834" s="18"/>
      <c r="FT834" s="18"/>
      <c r="FU834" s="18"/>
      <c r="FV834" s="18"/>
      <c r="FW834" s="18"/>
      <c r="FX834" s="18"/>
      <c r="FY834" s="18"/>
      <c r="FZ834" s="18"/>
      <c r="GA834" s="18"/>
      <c r="GB834" s="18"/>
      <c r="GC834" s="18"/>
      <c r="GD834" s="18"/>
      <c r="GE834" s="18"/>
      <c r="GF834" s="18"/>
      <c r="GG834" s="18"/>
      <c r="GH834" s="18"/>
      <c r="GI834" s="18"/>
      <c r="GJ834" s="18"/>
      <c r="GK834" s="18"/>
      <c r="GL834" s="18"/>
      <c r="GM834" s="18"/>
      <c r="GN834" s="18"/>
      <c r="GO834" s="18"/>
      <c r="GP834" s="18"/>
      <c r="GQ834" s="18"/>
      <c r="GR834" s="18"/>
      <c r="GS834" s="18"/>
      <c r="GT834" s="18"/>
      <c r="GU834" s="18"/>
      <c r="GV834" s="18"/>
      <c r="GW834" s="18"/>
      <c r="GX834" s="18"/>
      <c r="GY834" s="18"/>
      <c r="GZ834" s="18"/>
      <c r="HA834" s="18"/>
      <c r="HB834" s="18"/>
      <c r="HC834" s="18"/>
      <c r="HD834" s="18"/>
      <c r="HE834" s="18"/>
      <c r="HF834" s="18"/>
      <c r="HG834" s="13"/>
      <c r="HH834" s="13"/>
      <c r="HI834" s="13"/>
      <c r="HJ834" s="13"/>
      <c r="HK834" s="13"/>
      <c r="HL834" s="13"/>
      <c r="HM834" s="13"/>
      <c r="HN834" s="13"/>
      <c r="HO834" s="13"/>
      <c r="HP834" s="13"/>
      <c r="HQ834" s="13"/>
      <c r="HR834" s="13"/>
      <c r="HS834" s="13"/>
      <c r="HT834" s="13"/>
      <c r="HU834" s="18"/>
      <c r="HV834" s="18"/>
      <c r="HW834" s="18"/>
      <c r="HX834" s="18"/>
      <c r="HY834" s="18"/>
      <c r="HZ834" s="18"/>
      <c r="IA834" s="18"/>
      <c r="IB834" s="18"/>
      <c r="IC834" s="18"/>
      <c r="ID834" s="18"/>
      <c r="IE834" s="18"/>
      <c r="IF834" s="18"/>
      <c r="IG834" s="18"/>
      <c r="IH834" s="18"/>
      <c r="II834" s="18"/>
      <c r="IJ834" s="18"/>
      <c r="IK834" s="18"/>
      <c r="IL834" s="18"/>
      <c r="IM834" s="18"/>
      <c r="IN834" s="18"/>
      <c r="IO834" s="18"/>
      <c r="IP834" s="18"/>
      <c r="IQ834" s="18"/>
      <c r="IR834" s="18"/>
      <c r="IS834" s="18"/>
      <c r="IT834" s="18"/>
      <c r="IU834" s="18"/>
      <c r="IV834" s="18"/>
      <c r="IW834" s="18"/>
      <c r="IX834" s="18"/>
      <c r="IY834" s="18"/>
      <c r="IZ834" s="18"/>
      <c r="JA834" s="18"/>
      <c r="JB834" s="18"/>
      <c r="JC834" s="18"/>
      <c r="JD834" s="18"/>
      <c r="JE834" s="18"/>
      <c r="JF834" s="18"/>
      <c r="JG834" s="18"/>
      <c r="JH834" s="18"/>
      <c r="JI834" s="18"/>
      <c r="JJ834" s="18"/>
      <c r="JK834" s="18"/>
      <c r="JL834" s="18"/>
      <c r="JM834" s="18"/>
      <c r="JN834" s="18"/>
      <c r="JO834" s="18"/>
      <c r="JP834" s="18"/>
      <c r="JQ834" s="18"/>
      <c r="JR834" s="18"/>
      <c r="JS834" s="18"/>
      <c r="JT834" s="18"/>
      <c r="JU834" s="18"/>
      <c r="JV834" s="18"/>
      <c r="JW834" s="18"/>
      <c r="JX834" s="18"/>
      <c r="JY834" s="18"/>
      <c r="JZ834" s="18"/>
      <c r="KA834" s="18"/>
      <c r="KB834" s="18"/>
      <c r="KC834" s="18"/>
      <c r="KD834" s="18"/>
      <c r="KE834" s="18"/>
      <c r="KF834" s="18"/>
      <c r="KG834" s="18"/>
      <c r="KH834" s="18"/>
      <c r="KI834" s="18"/>
      <c r="KJ834" s="18"/>
      <c r="KK834" s="18"/>
      <c r="KL834" s="18"/>
      <c r="KM834" s="18"/>
      <c r="KN834" s="18"/>
      <c r="KO834" s="18"/>
      <c r="KP834" s="18"/>
    </row>
    <row r="835" spans="1:302">
      <c r="A835" s="14"/>
      <c r="B835" s="14"/>
      <c r="F835" s="14"/>
      <c r="G835" s="23"/>
      <c r="H835" s="23"/>
      <c r="I835" s="23"/>
      <c r="J835" s="23"/>
      <c r="K835" s="14"/>
      <c r="L835" s="14"/>
      <c r="P835" s="14"/>
      <c r="AG835" s="44"/>
      <c r="AH835" s="44"/>
      <c r="AI835" s="45"/>
      <c r="AJ835" s="44"/>
      <c r="AK835" s="43"/>
      <c r="AS835" s="14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  <c r="EW835" s="18"/>
      <c r="EX835" s="18"/>
      <c r="EY835" s="18"/>
      <c r="EZ835" s="18"/>
      <c r="FA835" s="18"/>
      <c r="FB835" s="18"/>
      <c r="FC835" s="18"/>
      <c r="FD835" s="18"/>
      <c r="FE835" s="18"/>
      <c r="FF835" s="18"/>
      <c r="FG835" s="18"/>
      <c r="FH835" s="18"/>
      <c r="FI835" s="18"/>
      <c r="FJ835" s="18"/>
      <c r="FK835" s="18"/>
      <c r="FL835" s="18"/>
      <c r="FM835" s="18"/>
      <c r="FN835" s="18"/>
      <c r="FO835" s="18"/>
      <c r="FP835" s="18"/>
      <c r="FQ835" s="18"/>
      <c r="FR835" s="18"/>
      <c r="FS835" s="18"/>
      <c r="FT835" s="18"/>
      <c r="FU835" s="18"/>
      <c r="FV835" s="18"/>
      <c r="FW835" s="18"/>
      <c r="FX835" s="18"/>
      <c r="FY835" s="18"/>
      <c r="FZ835" s="18"/>
      <c r="GA835" s="18"/>
      <c r="GB835" s="18"/>
      <c r="GC835" s="18"/>
      <c r="GD835" s="18"/>
      <c r="GE835" s="18"/>
      <c r="GF835" s="18"/>
      <c r="GG835" s="18"/>
      <c r="GH835" s="18"/>
      <c r="GI835" s="18"/>
      <c r="GJ835" s="18"/>
      <c r="GK835" s="18"/>
      <c r="GL835" s="18"/>
      <c r="GM835" s="18"/>
      <c r="GN835" s="18"/>
      <c r="GO835" s="18"/>
      <c r="GP835" s="18"/>
      <c r="GQ835" s="18"/>
      <c r="GR835" s="18"/>
      <c r="GS835" s="18"/>
      <c r="GT835" s="18"/>
      <c r="GU835" s="18"/>
      <c r="GV835" s="18"/>
      <c r="GW835" s="18"/>
      <c r="GX835" s="18"/>
      <c r="GY835" s="18"/>
      <c r="GZ835" s="18"/>
      <c r="HA835" s="18"/>
      <c r="HB835" s="18"/>
      <c r="HC835" s="18"/>
      <c r="HD835" s="18"/>
      <c r="HE835" s="18"/>
      <c r="HF835" s="18"/>
      <c r="HG835" s="13"/>
      <c r="HH835" s="13"/>
      <c r="HI835" s="13"/>
      <c r="HJ835" s="13"/>
      <c r="HK835" s="13"/>
      <c r="HL835" s="13"/>
      <c r="HM835" s="13"/>
      <c r="HN835" s="13"/>
      <c r="HO835" s="13"/>
      <c r="HP835" s="13"/>
      <c r="HQ835" s="13"/>
      <c r="HR835" s="13"/>
      <c r="HS835" s="13"/>
      <c r="HT835" s="13"/>
      <c r="HU835" s="18"/>
      <c r="HV835" s="18"/>
      <c r="HW835" s="18"/>
      <c r="HX835" s="18"/>
      <c r="HY835" s="18"/>
      <c r="HZ835" s="18"/>
      <c r="IA835" s="18"/>
      <c r="IB835" s="18"/>
      <c r="IC835" s="18"/>
      <c r="ID835" s="18"/>
      <c r="IE835" s="18"/>
      <c r="IF835" s="18"/>
      <c r="IG835" s="18"/>
      <c r="IH835" s="18"/>
      <c r="II835" s="18"/>
      <c r="IJ835" s="18"/>
      <c r="IK835" s="18"/>
      <c r="IL835" s="18"/>
      <c r="IM835" s="18"/>
      <c r="IN835" s="18"/>
      <c r="IO835" s="18"/>
      <c r="IP835" s="18"/>
      <c r="IQ835" s="18"/>
      <c r="IR835" s="18"/>
      <c r="IS835" s="18"/>
      <c r="IT835" s="18"/>
      <c r="IU835" s="18"/>
      <c r="IV835" s="18"/>
      <c r="IW835" s="18"/>
      <c r="IX835" s="18"/>
      <c r="IY835" s="18"/>
      <c r="IZ835" s="18"/>
      <c r="JA835" s="18"/>
      <c r="JB835" s="18"/>
      <c r="JC835" s="18"/>
      <c r="JD835" s="18"/>
      <c r="JE835" s="18"/>
      <c r="JF835" s="18"/>
      <c r="JG835" s="18"/>
      <c r="JH835" s="18"/>
      <c r="JI835" s="18"/>
      <c r="JJ835" s="18"/>
      <c r="JK835" s="18"/>
      <c r="JL835" s="18"/>
      <c r="JM835" s="18"/>
      <c r="JN835" s="18"/>
      <c r="JO835" s="18"/>
      <c r="JP835" s="18"/>
      <c r="JQ835" s="18"/>
      <c r="JR835" s="18"/>
      <c r="JS835" s="18"/>
      <c r="JT835" s="18"/>
      <c r="JU835" s="18"/>
      <c r="JV835" s="18"/>
      <c r="JW835" s="18"/>
      <c r="JX835" s="18"/>
      <c r="JY835" s="18"/>
      <c r="JZ835" s="18"/>
      <c r="KA835" s="18"/>
      <c r="KB835" s="18"/>
      <c r="KC835" s="18"/>
      <c r="KD835" s="18"/>
      <c r="KE835" s="18"/>
      <c r="KF835" s="18"/>
      <c r="KG835" s="18"/>
      <c r="KH835" s="18"/>
      <c r="KI835" s="18"/>
      <c r="KJ835" s="18"/>
      <c r="KK835" s="18"/>
      <c r="KL835" s="18"/>
      <c r="KM835" s="18"/>
      <c r="KN835" s="18"/>
      <c r="KO835" s="18"/>
      <c r="KP835" s="18"/>
    </row>
    <row r="836" spans="1:302">
      <c r="A836" s="14"/>
      <c r="B836" s="14"/>
      <c r="F836" s="14"/>
      <c r="G836" s="23"/>
      <c r="H836" s="23"/>
      <c r="I836" s="23"/>
      <c r="J836" s="23"/>
      <c r="K836" s="14"/>
      <c r="L836" s="14"/>
      <c r="P836" s="14"/>
      <c r="AG836" s="44"/>
      <c r="AH836" s="44"/>
      <c r="AI836" s="45"/>
      <c r="AJ836" s="44"/>
      <c r="AK836" s="43"/>
      <c r="AS836" s="14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  <c r="EW836" s="18"/>
      <c r="EX836" s="18"/>
      <c r="EY836" s="18"/>
      <c r="EZ836" s="18"/>
      <c r="FA836" s="18"/>
      <c r="FB836" s="18"/>
      <c r="FC836" s="18"/>
      <c r="FD836" s="18"/>
      <c r="FE836" s="18"/>
      <c r="FF836" s="18"/>
      <c r="FG836" s="18"/>
      <c r="FH836" s="18"/>
      <c r="FI836" s="18"/>
      <c r="FJ836" s="18"/>
      <c r="FK836" s="18"/>
      <c r="FL836" s="18"/>
      <c r="FM836" s="18"/>
      <c r="FN836" s="18"/>
      <c r="FO836" s="18"/>
      <c r="FP836" s="18"/>
      <c r="FQ836" s="18"/>
      <c r="FR836" s="18"/>
      <c r="FS836" s="18"/>
      <c r="FT836" s="18"/>
      <c r="FU836" s="18"/>
      <c r="FV836" s="18"/>
      <c r="FW836" s="18"/>
      <c r="FX836" s="18"/>
      <c r="FY836" s="18"/>
      <c r="FZ836" s="18"/>
      <c r="GA836" s="18"/>
      <c r="GB836" s="18"/>
      <c r="GC836" s="18"/>
      <c r="GD836" s="18"/>
      <c r="GE836" s="18"/>
      <c r="GF836" s="18"/>
      <c r="GG836" s="18"/>
      <c r="GH836" s="18"/>
      <c r="GI836" s="18"/>
      <c r="GJ836" s="18"/>
      <c r="GK836" s="18"/>
      <c r="GL836" s="18"/>
      <c r="GM836" s="18"/>
      <c r="GN836" s="18"/>
      <c r="GO836" s="18"/>
      <c r="GP836" s="18"/>
      <c r="GQ836" s="18"/>
      <c r="GR836" s="18"/>
      <c r="GS836" s="18"/>
      <c r="GT836" s="18"/>
      <c r="GU836" s="18"/>
      <c r="GV836" s="18"/>
      <c r="GW836" s="18"/>
      <c r="GX836" s="18"/>
      <c r="GY836" s="18"/>
      <c r="GZ836" s="18"/>
      <c r="HA836" s="18"/>
      <c r="HB836" s="18"/>
      <c r="HC836" s="18"/>
      <c r="HD836" s="18"/>
      <c r="HE836" s="18"/>
      <c r="HF836" s="18"/>
      <c r="HG836" s="13"/>
      <c r="HH836" s="13"/>
      <c r="HI836" s="13"/>
      <c r="HJ836" s="13"/>
      <c r="HK836" s="13"/>
      <c r="HL836" s="13"/>
      <c r="HM836" s="13"/>
      <c r="HN836" s="13"/>
      <c r="HO836" s="13"/>
      <c r="HP836" s="13"/>
      <c r="HQ836" s="13"/>
      <c r="HR836" s="13"/>
      <c r="HS836" s="13"/>
      <c r="HT836" s="13"/>
      <c r="HU836" s="18"/>
      <c r="HV836" s="18"/>
      <c r="HW836" s="18"/>
      <c r="HX836" s="18"/>
      <c r="HY836" s="18"/>
      <c r="HZ836" s="18"/>
      <c r="IA836" s="18"/>
      <c r="IB836" s="18"/>
      <c r="IC836" s="18"/>
      <c r="ID836" s="18"/>
      <c r="IE836" s="18"/>
      <c r="IF836" s="18"/>
      <c r="IG836" s="18"/>
      <c r="IH836" s="18"/>
      <c r="II836" s="18"/>
      <c r="IJ836" s="18"/>
      <c r="IK836" s="18"/>
      <c r="IL836" s="18"/>
      <c r="IM836" s="18"/>
      <c r="IN836" s="18"/>
      <c r="IO836" s="18"/>
      <c r="IP836" s="18"/>
      <c r="IQ836" s="18"/>
      <c r="IR836" s="18"/>
      <c r="IS836" s="18"/>
      <c r="IT836" s="18"/>
      <c r="IU836" s="18"/>
      <c r="IV836" s="18"/>
      <c r="IW836" s="18"/>
      <c r="IX836" s="18"/>
      <c r="IY836" s="18"/>
      <c r="IZ836" s="18"/>
      <c r="JA836" s="18"/>
      <c r="JB836" s="18"/>
      <c r="JC836" s="18"/>
      <c r="JD836" s="18"/>
      <c r="JE836" s="18"/>
      <c r="JF836" s="18"/>
      <c r="JG836" s="18"/>
      <c r="JH836" s="18"/>
      <c r="JI836" s="18"/>
      <c r="JJ836" s="18"/>
      <c r="JK836" s="18"/>
      <c r="JL836" s="18"/>
      <c r="JM836" s="18"/>
      <c r="JN836" s="18"/>
      <c r="JO836" s="18"/>
      <c r="JP836" s="18"/>
      <c r="JQ836" s="18"/>
      <c r="JR836" s="18"/>
      <c r="JS836" s="18"/>
      <c r="JT836" s="18"/>
      <c r="JU836" s="18"/>
      <c r="JV836" s="18"/>
      <c r="JW836" s="18"/>
      <c r="JX836" s="18"/>
      <c r="JY836" s="18"/>
      <c r="JZ836" s="18"/>
      <c r="KA836" s="18"/>
      <c r="KB836" s="18"/>
      <c r="KC836" s="18"/>
      <c r="KD836" s="18"/>
      <c r="KE836" s="18"/>
      <c r="KF836" s="18"/>
      <c r="KG836" s="18"/>
      <c r="KH836" s="18"/>
      <c r="KI836" s="18"/>
      <c r="KJ836" s="18"/>
      <c r="KK836" s="18"/>
      <c r="KL836" s="18"/>
      <c r="KM836" s="18"/>
      <c r="KN836" s="18"/>
      <c r="KO836" s="18"/>
      <c r="KP836" s="18"/>
    </row>
    <row r="837" spans="1:302">
      <c r="A837" s="14"/>
      <c r="B837" s="14"/>
      <c r="F837" s="14"/>
      <c r="G837" s="23"/>
      <c r="H837" s="23"/>
      <c r="I837" s="23"/>
      <c r="J837" s="23"/>
      <c r="K837" s="14"/>
      <c r="L837" s="14"/>
      <c r="P837" s="14"/>
      <c r="AG837" s="44"/>
      <c r="AH837" s="44"/>
      <c r="AI837" s="45"/>
      <c r="AJ837" s="44"/>
      <c r="AK837" s="43"/>
      <c r="AS837" s="14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  <c r="EW837" s="18"/>
      <c r="EX837" s="18"/>
      <c r="EY837" s="18"/>
      <c r="EZ837" s="18"/>
      <c r="FA837" s="18"/>
      <c r="FB837" s="18"/>
      <c r="FC837" s="18"/>
      <c r="FD837" s="18"/>
      <c r="FE837" s="18"/>
      <c r="FF837" s="18"/>
      <c r="FG837" s="18"/>
      <c r="FH837" s="18"/>
      <c r="FI837" s="18"/>
      <c r="FJ837" s="18"/>
      <c r="FK837" s="18"/>
      <c r="FL837" s="18"/>
      <c r="FM837" s="18"/>
      <c r="FN837" s="18"/>
      <c r="FO837" s="18"/>
      <c r="FP837" s="18"/>
      <c r="FQ837" s="18"/>
      <c r="FR837" s="18"/>
      <c r="FS837" s="18"/>
      <c r="FT837" s="18"/>
      <c r="FU837" s="18"/>
      <c r="FV837" s="18"/>
      <c r="FW837" s="18"/>
      <c r="FX837" s="18"/>
      <c r="FY837" s="18"/>
      <c r="FZ837" s="18"/>
      <c r="GA837" s="18"/>
      <c r="GB837" s="18"/>
      <c r="GC837" s="18"/>
      <c r="GD837" s="18"/>
      <c r="GE837" s="18"/>
      <c r="GF837" s="18"/>
      <c r="GG837" s="18"/>
      <c r="GH837" s="18"/>
      <c r="GI837" s="18"/>
      <c r="GJ837" s="18"/>
      <c r="GK837" s="18"/>
      <c r="GL837" s="18"/>
      <c r="GM837" s="18"/>
      <c r="GN837" s="18"/>
      <c r="GO837" s="18"/>
      <c r="GP837" s="18"/>
      <c r="GQ837" s="18"/>
      <c r="GR837" s="18"/>
      <c r="GS837" s="18"/>
      <c r="GT837" s="18"/>
      <c r="GU837" s="18"/>
      <c r="GV837" s="18"/>
      <c r="GW837" s="18"/>
      <c r="GX837" s="18"/>
      <c r="GY837" s="18"/>
      <c r="GZ837" s="18"/>
      <c r="HA837" s="18"/>
      <c r="HB837" s="18"/>
      <c r="HC837" s="18"/>
      <c r="HD837" s="18"/>
      <c r="HE837" s="18"/>
      <c r="HF837" s="18"/>
      <c r="HG837" s="13"/>
      <c r="HH837" s="13"/>
      <c r="HI837" s="13"/>
      <c r="HJ837" s="13"/>
      <c r="HK837" s="13"/>
      <c r="HL837" s="13"/>
      <c r="HM837" s="13"/>
      <c r="HN837" s="13"/>
      <c r="HO837" s="13"/>
      <c r="HP837" s="13"/>
      <c r="HQ837" s="13"/>
      <c r="HR837" s="13"/>
      <c r="HS837" s="13"/>
      <c r="HT837" s="13"/>
      <c r="HU837" s="18"/>
      <c r="HV837" s="18"/>
      <c r="HW837" s="18"/>
      <c r="HX837" s="18"/>
      <c r="HY837" s="18"/>
      <c r="HZ837" s="18"/>
      <c r="IA837" s="18"/>
      <c r="IB837" s="18"/>
      <c r="IC837" s="18"/>
      <c r="ID837" s="18"/>
      <c r="IE837" s="18"/>
      <c r="IF837" s="18"/>
      <c r="IG837" s="18"/>
      <c r="IH837" s="18"/>
      <c r="II837" s="18"/>
      <c r="IJ837" s="18"/>
      <c r="IK837" s="18"/>
      <c r="IL837" s="18"/>
      <c r="IM837" s="18"/>
      <c r="IN837" s="18"/>
      <c r="IO837" s="18"/>
      <c r="IP837" s="18"/>
      <c r="IQ837" s="18"/>
      <c r="IR837" s="18"/>
      <c r="IS837" s="18"/>
      <c r="IT837" s="18"/>
      <c r="IU837" s="18"/>
      <c r="IV837" s="18"/>
      <c r="IW837" s="18"/>
      <c r="IX837" s="18"/>
      <c r="IY837" s="18"/>
      <c r="IZ837" s="18"/>
      <c r="JA837" s="18"/>
      <c r="JB837" s="18"/>
      <c r="JC837" s="18"/>
      <c r="JD837" s="18"/>
      <c r="JE837" s="18"/>
      <c r="JF837" s="18"/>
      <c r="JG837" s="18"/>
      <c r="JH837" s="18"/>
      <c r="JI837" s="18"/>
      <c r="JJ837" s="18"/>
      <c r="JK837" s="18"/>
      <c r="JL837" s="18"/>
      <c r="JM837" s="18"/>
      <c r="JN837" s="18"/>
      <c r="JO837" s="18"/>
      <c r="JP837" s="18"/>
      <c r="JQ837" s="18"/>
      <c r="JR837" s="18"/>
      <c r="JS837" s="18"/>
      <c r="JT837" s="18"/>
      <c r="JU837" s="18"/>
      <c r="JV837" s="18"/>
      <c r="JW837" s="18"/>
      <c r="JX837" s="18"/>
      <c r="JY837" s="18"/>
      <c r="JZ837" s="18"/>
      <c r="KA837" s="18"/>
      <c r="KB837" s="18"/>
      <c r="KC837" s="18"/>
      <c r="KD837" s="18"/>
      <c r="KE837" s="18"/>
      <c r="KF837" s="18"/>
      <c r="KG837" s="18"/>
      <c r="KH837" s="18"/>
      <c r="KI837" s="18"/>
      <c r="KJ837" s="18"/>
      <c r="KK837" s="18"/>
      <c r="KL837" s="18"/>
      <c r="KM837" s="18"/>
      <c r="KN837" s="18"/>
      <c r="KO837" s="18"/>
      <c r="KP837" s="18"/>
    </row>
    <row r="838" spans="1:302">
      <c r="A838" s="14"/>
      <c r="B838" s="14"/>
      <c r="F838" s="14"/>
      <c r="G838" s="23"/>
      <c r="H838" s="23"/>
      <c r="I838" s="23"/>
      <c r="J838" s="23"/>
      <c r="K838" s="14"/>
      <c r="L838" s="14"/>
      <c r="P838" s="14"/>
      <c r="AG838" s="44"/>
      <c r="AH838" s="44"/>
      <c r="AI838" s="45"/>
      <c r="AJ838" s="44"/>
      <c r="AK838" s="43"/>
      <c r="AS838" s="14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  <c r="FC838" s="18"/>
      <c r="FD838" s="18"/>
      <c r="FE838" s="18"/>
      <c r="FF838" s="18"/>
      <c r="FG838" s="18"/>
      <c r="FH838" s="18"/>
      <c r="FI838" s="18"/>
      <c r="FJ838" s="18"/>
      <c r="FK838" s="18"/>
      <c r="FL838" s="18"/>
      <c r="FM838" s="18"/>
      <c r="FN838" s="18"/>
      <c r="FO838" s="18"/>
      <c r="FP838" s="18"/>
      <c r="FQ838" s="18"/>
      <c r="FR838" s="18"/>
      <c r="FS838" s="18"/>
      <c r="FT838" s="18"/>
      <c r="FU838" s="18"/>
      <c r="FV838" s="18"/>
      <c r="FW838" s="18"/>
      <c r="FX838" s="18"/>
      <c r="FY838" s="18"/>
      <c r="FZ838" s="18"/>
      <c r="GA838" s="18"/>
      <c r="GB838" s="18"/>
      <c r="GC838" s="18"/>
      <c r="GD838" s="18"/>
      <c r="GE838" s="18"/>
      <c r="GF838" s="18"/>
      <c r="GG838" s="18"/>
      <c r="GH838" s="18"/>
      <c r="GI838" s="18"/>
      <c r="GJ838" s="18"/>
      <c r="GK838" s="18"/>
      <c r="GL838" s="18"/>
      <c r="GM838" s="18"/>
      <c r="GN838" s="18"/>
      <c r="GO838" s="18"/>
      <c r="GP838" s="18"/>
      <c r="GQ838" s="18"/>
      <c r="GR838" s="18"/>
      <c r="GS838" s="18"/>
      <c r="GT838" s="18"/>
      <c r="GU838" s="18"/>
      <c r="GV838" s="18"/>
      <c r="GW838" s="18"/>
      <c r="GX838" s="18"/>
      <c r="GY838" s="18"/>
      <c r="GZ838" s="18"/>
      <c r="HA838" s="18"/>
      <c r="HB838" s="18"/>
      <c r="HC838" s="18"/>
      <c r="HD838" s="18"/>
      <c r="HE838" s="18"/>
      <c r="HF838" s="18"/>
      <c r="HG838" s="13"/>
      <c r="HH838" s="13"/>
      <c r="HI838" s="13"/>
      <c r="HJ838" s="13"/>
      <c r="HK838" s="13"/>
      <c r="HL838" s="13"/>
      <c r="HM838" s="13"/>
      <c r="HN838" s="13"/>
      <c r="HO838" s="13"/>
      <c r="HP838" s="13"/>
      <c r="HQ838" s="13"/>
      <c r="HR838" s="13"/>
      <c r="HS838" s="13"/>
      <c r="HT838" s="13"/>
      <c r="HU838" s="18"/>
      <c r="HV838" s="18"/>
      <c r="HW838" s="18"/>
      <c r="HX838" s="18"/>
      <c r="HY838" s="18"/>
      <c r="HZ838" s="18"/>
      <c r="IA838" s="18"/>
      <c r="IB838" s="18"/>
      <c r="IC838" s="18"/>
      <c r="ID838" s="18"/>
      <c r="IE838" s="18"/>
      <c r="IF838" s="18"/>
      <c r="IG838" s="18"/>
      <c r="IH838" s="18"/>
      <c r="II838" s="18"/>
      <c r="IJ838" s="18"/>
      <c r="IK838" s="18"/>
      <c r="IL838" s="18"/>
      <c r="IM838" s="18"/>
      <c r="IN838" s="18"/>
      <c r="IO838" s="18"/>
      <c r="IP838" s="18"/>
      <c r="IQ838" s="18"/>
      <c r="IR838" s="18"/>
      <c r="IS838" s="18"/>
      <c r="IT838" s="18"/>
      <c r="IU838" s="18"/>
      <c r="IV838" s="18"/>
      <c r="IW838" s="18"/>
      <c r="IX838" s="18"/>
      <c r="IY838" s="18"/>
      <c r="IZ838" s="18"/>
      <c r="JA838" s="18"/>
      <c r="JB838" s="18"/>
      <c r="JC838" s="18"/>
      <c r="JD838" s="18"/>
      <c r="JE838" s="18"/>
      <c r="JF838" s="18"/>
      <c r="JG838" s="18"/>
      <c r="JH838" s="18"/>
      <c r="JI838" s="18"/>
      <c r="JJ838" s="18"/>
      <c r="JK838" s="18"/>
      <c r="JL838" s="18"/>
      <c r="JM838" s="18"/>
      <c r="JN838" s="18"/>
      <c r="JO838" s="18"/>
      <c r="JP838" s="18"/>
      <c r="JQ838" s="18"/>
      <c r="JR838" s="18"/>
      <c r="JS838" s="18"/>
      <c r="JT838" s="18"/>
      <c r="JU838" s="18"/>
      <c r="JV838" s="18"/>
      <c r="JW838" s="18"/>
      <c r="JX838" s="18"/>
      <c r="JY838" s="18"/>
      <c r="JZ838" s="18"/>
      <c r="KA838" s="18"/>
      <c r="KB838" s="18"/>
      <c r="KC838" s="18"/>
      <c r="KD838" s="18"/>
      <c r="KE838" s="18"/>
      <c r="KF838" s="18"/>
      <c r="KG838" s="18"/>
      <c r="KH838" s="18"/>
      <c r="KI838" s="18"/>
      <c r="KJ838" s="18"/>
      <c r="KK838" s="18"/>
      <c r="KL838" s="18"/>
      <c r="KM838" s="18"/>
      <c r="KN838" s="18"/>
      <c r="KO838" s="18"/>
      <c r="KP838" s="18"/>
    </row>
    <row r="839" spans="1:302">
      <c r="A839" s="14"/>
      <c r="B839" s="14"/>
      <c r="F839" s="14"/>
      <c r="G839" s="23"/>
      <c r="H839" s="23"/>
      <c r="I839" s="23"/>
      <c r="J839" s="23"/>
      <c r="K839" s="14"/>
      <c r="L839" s="14"/>
      <c r="P839" s="14"/>
      <c r="AG839" s="44"/>
      <c r="AH839" s="44"/>
      <c r="AI839" s="45"/>
      <c r="AJ839" s="44"/>
      <c r="AK839" s="43"/>
      <c r="AS839" s="14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  <c r="EW839" s="18"/>
      <c r="EX839" s="18"/>
      <c r="EY839" s="18"/>
      <c r="EZ839" s="18"/>
      <c r="FA839" s="18"/>
      <c r="FB839" s="18"/>
      <c r="FC839" s="18"/>
      <c r="FD839" s="18"/>
      <c r="FE839" s="18"/>
      <c r="FF839" s="18"/>
      <c r="FG839" s="18"/>
      <c r="FH839" s="18"/>
      <c r="FI839" s="18"/>
      <c r="FJ839" s="18"/>
      <c r="FK839" s="18"/>
      <c r="FL839" s="18"/>
      <c r="FM839" s="18"/>
      <c r="FN839" s="18"/>
      <c r="FO839" s="18"/>
      <c r="FP839" s="18"/>
      <c r="FQ839" s="18"/>
      <c r="FR839" s="18"/>
      <c r="FS839" s="18"/>
      <c r="FT839" s="18"/>
      <c r="FU839" s="18"/>
      <c r="FV839" s="18"/>
      <c r="FW839" s="18"/>
      <c r="FX839" s="18"/>
      <c r="FY839" s="18"/>
      <c r="FZ839" s="18"/>
      <c r="GA839" s="18"/>
      <c r="GB839" s="18"/>
      <c r="GC839" s="18"/>
      <c r="GD839" s="18"/>
      <c r="GE839" s="18"/>
      <c r="GF839" s="18"/>
      <c r="GG839" s="18"/>
      <c r="GH839" s="18"/>
      <c r="GI839" s="18"/>
      <c r="GJ839" s="18"/>
      <c r="GK839" s="18"/>
      <c r="GL839" s="18"/>
      <c r="GM839" s="18"/>
      <c r="GN839" s="18"/>
      <c r="GO839" s="18"/>
      <c r="GP839" s="18"/>
      <c r="GQ839" s="18"/>
      <c r="GR839" s="18"/>
      <c r="GS839" s="18"/>
      <c r="GT839" s="18"/>
      <c r="GU839" s="18"/>
      <c r="GV839" s="18"/>
      <c r="GW839" s="18"/>
      <c r="GX839" s="18"/>
      <c r="GY839" s="18"/>
      <c r="GZ839" s="18"/>
      <c r="HA839" s="18"/>
      <c r="HB839" s="18"/>
      <c r="HC839" s="18"/>
      <c r="HD839" s="18"/>
      <c r="HE839" s="18"/>
      <c r="HF839" s="18"/>
      <c r="HG839" s="13"/>
      <c r="HH839" s="13"/>
      <c r="HI839" s="13"/>
      <c r="HJ839" s="13"/>
      <c r="HK839" s="13"/>
      <c r="HL839" s="13"/>
      <c r="HM839" s="13"/>
      <c r="HN839" s="13"/>
      <c r="HO839" s="13"/>
      <c r="HP839" s="13"/>
      <c r="HQ839" s="13"/>
      <c r="HR839" s="13"/>
      <c r="HS839" s="13"/>
      <c r="HT839" s="13"/>
      <c r="HU839" s="18"/>
      <c r="HV839" s="18"/>
      <c r="HW839" s="18"/>
      <c r="HX839" s="18"/>
      <c r="HY839" s="18"/>
      <c r="HZ839" s="18"/>
      <c r="IA839" s="18"/>
      <c r="IB839" s="18"/>
      <c r="IC839" s="18"/>
      <c r="ID839" s="18"/>
      <c r="IE839" s="18"/>
      <c r="IF839" s="18"/>
      <c r="IG839" s="18"/>
      <c r="IH839" s="18"/>
      <c r="II839" s="18"/>
      <c r="IJ839" s="18"/>
      <c r="IK839" s="18"/>
      <c r="IL839" s="18"/>
      <c r="IM839" s="18"/>
      <c r="IN839" s="18"/>
      <c r="IO839" s="18"/>
      <c r="IP839" s="18"/>
      <c r="IQ839" s="18"/>
      <c r="IR839" s="18"/>
      <c r="IS839" s="18"/>
      <c r="IT839" s="18"/>
      <c r="IU839" s="18"/>
      <c r="IV839" s="18"/>
      <c r="IW839" s="18"/>
      <c r="IX839" s="18"/>
      <c r="IY839" s="18"/>
      <c r="IZ839" s="18"/>
      <c r="JA839" s="18"/>
      <c r="JB839" s="18"/>
      <c r="JC839" s="18"/>
      <c r="JD839" s="18"/>
      <c r="JE839" s="18"/>
      <c r="JF839" s="18"/>
      <c r="JG839" s="18"/>
      <c r="JH839" s="18"/>
      <c r="JI839" s="18"/>
      <c r="JJ839" s="18"/>
      <c r="JK839" s="18"/>
      <c r="JL839" s="18"/>
      <c r="JM839" s="18"/>
      <c r="JN839" s="18"/>
      <c r="JO839" s="18"/>
      <c r="JP839" s="18"/>
      <c r="JQ839" s="18"/>
      <c r="JR839" s="18"/>
      <c r="JS839" s="18"/>
      <c r="JT839" s="18"/>
      <c r="JU839" s="18"/>
      <c r="JV839" s="18"/>
      <c r="JW839" s="18"/>
      <c r="JX839" s="18"/>
      <c r="JY839" s="18"/>
      <c r="JZ839" s="18"/>
      <c r="KA839" s="18"/>
      <c r="KB839" s="18"/>
      <c r="KC839" s="18"/>
      <c r="KD839" s="18"/>
      <c r="KE839" s="18"/>
      <c r="KF839" s="18"/>
      <c r="KG839" s="18"/>
      <c r="KH839" s="18"/>
      <c r="KI839" s="18"/>
      <c r="KJ839" s="18"/>
      <c r="KK839" s="18"/>
      <c r="KL839" s="18"/>
      <c r="KM839" s="18"/>
      <c r="KN839" s="18"/>
      <c r="KO839" s="18"/>
      <c r="KP839" s="18"/>
    </row>
    <row r="840" spans="1:302">
      <c r="A840" s="14"/>
      <c r="B840" s="14"/>
      <c r="F840" s="14"/>
      <c r="G840" s="23"/>
      <c r="H840" s="23"/>
      <c r="I840" s="23"/>
      <c r="J840" s="23"/>
      <c r="K840" s="14"/>
      <c r="L840" s="14"/>
      <c r="P840" s="14"/>
      <c r="AG840" s="44"/>
      <c r="AH840" s="44"/>
      <c r="AI840" s="45"/>
      <c r="AJ840" s="44"/>
      <c r="AK840" s="43"/>
      <c r="AS840" s="14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  <c r="EW840" s="18"/>
      <c r="EX840" s="18"/>
      <c r="EY840" s="18"/>
      <c r="EZ840" s="18"/>
      <c r="FA840" s="18"/>
      <c r="FB840" s="18"/>
      <c r="FC840" s="18"/>
      <c r="FD840" s="18"/>
      <c r="FE840" s="18"/>
      <c r="FF840" s="18"/>
      <c r="FG840" s="18"/>
      <c r="FH840" s="18"/>
      <c r="FI840" s="18"/>
      <c r="FJ840" s="18"/>
      <c r="FK840" s="18"/>
      <c r="FL840" s="18"/>
      <c r="FM840" s="18"/>
      <c r="FN840" s="18"/>
      <c r="FO840" s="18"/>
      <c r="FP840" s="18"/>
      <c r="FQ840" s="18"/>
      <c r="FR840" s="18"/>
      <c r="FS840" s="18"/>
      <c r="FT840" s="18"/>
      <c r="FU840" s="18"/>
      <c r="FV840" s="18"/>
      <c r="FW840" s="18"/>
      <c r="FX840" s="18"/>
      <c r="FY840" s="18"/>
      <c r="FZ840" s="18"/>
      <c r="GA840" s="18"/>
      <c r="GB840" s="18"/>
      <c r="GC840" s="18"/>
      <c r="GD840" s="18"/>
      <c r="GE840" s="18"/>
      <c r="GF840" s="18"/>
      <c r="GG840" s="18"/>
      <c r="GH840" s="18"/>
      <c r="GI840" s="18"/>
      <c r="GJ840" s="18"/>
      <c r="GK840" s="18"/>
      <c r="GL840" s="18"/>
      <c r="GM840" s="18"/>
      <c r="GN840" s="18"/>
      <c r="GO840" s="18"/>
      <c r="GP840" s="18"/>
      <c r="GQ840" s="18"/>
      <c r="GR840" s="18"/>
      <c r="GS840" s="18"/>
      <c r="GT840" s="18"/>
      <c r="GU840" s="18"/>
      <c r="GV840" s="18"/>
      <c r="GW840" s="18"/>
      <c r="GX840" s="18"/>
      <c r="GY840" s="18"/>
      <c r="GZ840" s="18"/>
      <c r="HA840" s="18"/>
      <c r="HB840" s="18"/>
      <c r="HC840" s="18"/>
      <c r="HD840" s="18"/>
      <c r="HE840" s="18"/>
      <c r="HF840" s="18"/>
      <c r="HG840" s="13"/>
      <c r="HH840" s="13"/>
      <c r="HI840" s="13"/>
      <c r="HJ840" s="13"/>
      <c r="HK840" s="13"/>
      <c r="HL840" s="13"/>
      <c r="HM840" s="13"/>
      <c r="HN840" s="13"/>
      <c r="HO840" s="13"/>
      <c r="HP840" s="13"/>
      <c r="HQ840" s="13"/>
      <c r="HR840" s="13"/>
      <c r="HS840" s="13"/>
      <c r="HT840" s="13"/>
      <c r="HU840" s="18"/>
      <c r="HV840" s="18"/>
      <c r="HW840" s="18"/>
      <c r="HX840" s="18"/>
      <c r="HY840" s="18"/>
      <c r="HZ840" s="18"/>
      <c r="IA840" s="18"/>
      <c r="IB840" s="18"/>
      <c r="IC840" s="18"/>
      <c r="ID840" s="18"/>
      <c r="IE840" s="18"/>
      <c r="IF840" s="18"/>
      <c r="IG840" s="18"/>
      <c r="IH840" s="18"/>
      <c r="II840" s="18"/>
      <c r="IJ840" s="18"/>
      <c r="IK840" s="18"/>
      <c r="IL840" s="18"/>
      <c r="IM840" s="18"/>
      <c r="IN840" s="18"/>
      <c r="IO840" s="18"/>
      <c r="IP840" s="18"/>
      <c r="IQ840" s="18"/>
      <c r="IR840" s="18"/>
      <c r="IS840" s="18"/>
      <c r="IT840" s="18"/>
      <c r="IU840" s="18"/>
      <c r="IV840" s="18"/>
      <c r="IW840" s="18"/>
      <c r="IX840" s="18"/>
      <c r="IY840" s="18"/>
      <c r="IZ840" s="18"/>
      <c r="JA840" s="18"/>
      <c r="JB840" s="18"/>
      <c r="JC840" s="18"/>
      <c r="JD840" s="18"/>
      <c r="JE840" s="18"/>
      <c r="JF840" s="18"/>
      <c r="JG840" s="18"/>
      <c r="JH840" s="18"/>
      <c r="JI840" s="18"/>
      <c r="JJ840" s="18"/>
      <c r="JK840" s="18"/>
      <c r="JL840" s="18"/>
      <c r="JM840" s="18"/>
      <c r="JN840" s="18"/>
      <c r="JO840" s="18"/>
      <c r="JP840" s="18"/>
      <c r="JQ840" s="18"/>
      <c r="JR840" s="18"/>
      <c r="JS840" s="18"/>
      <c r="JT840" s="18"/>
      <c r="JU840" s="18"/>
      <c r="JV840" s="18"/>
      <c r="JW840" s="18"/>
      <c r="JX840" s="18"/>
      <c r="JY840" s="18"/>
      <c r="JZ840" s="18"/>
      <c r="KA840" s="18"/>
      <c r="KB840" s="18"/>
      <c r="KC840" s="18"/>
      <c r="KD840" s="18"/>
      <c r="KE840" s="18"/>
      <c r="KF840" s="18"/>
      <c r="KG840" s="18"/>
      <c r="KH840" s="18"/>
      <c r="KI840" s="18"/>
      <c r="KJ840" s="18"/>
      <c r="KK840" s="18"/>
      <c r="KL840" s="18"/>
      <c r="KM840" s="18"/>
      <c r="KN840" s="18"/>
      <c r="KO840" s="18"/>
      <c r="KP840" s="18"/>
    </row>
    <row r="841" spans="1:302">
      <c r="A841" s="14"/>
      <c r="B841" s="14"/>
      <c r="F841" s="14"/>
      <c r="G841" s="23"/>
      <c r="H841" s="23"/>
      <c r="I841" s="23"/>
      <c r="J841" s="23"/>
      <c r="K841" s="14"/>
      <c r="L841" s="14"/>
      <c r="P841" s="14"/>
      <c r="AG841" s="44"/>
      <c r="AH841" s="44"/>
      <c r="AI841" s="45"/>
      <c r="AJ841" s="44"/>
      <c r="AK841" s="43"/>
      <c r="AS841" s="14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  <c r="EW841" s="18"/>
      <c r="EX841" s="18"/>
      <c r="EY841" s="18"/>
      <c r="EZ841" s="18"/>
      <c r="FA841" s="18"/>
      <c r="FB841" s="18"/>
      <c r="FC841" s="18"/>
      <c r="FD841" s="18"/>
      <c r="FE841" s="18"/>
      <c r="FF841" s="18"/>
      <c r="FG841" s="18"/>
      <c r="FH841" s="18"/>
      <c r="FI841" s="18"/>
      <c r="FJ841" s="18"/>
      <c r="FK841" s="18"/>
      <c r="FL841" s="18"/>
      <c r="FM841" s="18"/>
      <c r="FN841" s="18"/>
      <c r="FO841" s="18"/>
      <c r="FP841" s="18"/>
      <c r="FQ841" s="18"/>
      <c r="FR841" s="18"/>
      <c r="FS841" s="18"/>
      <c r="FT841" s="18"/>
      <c r="FU841" s="18"/>
      <c r="FV841" s="18"/>
      <c r="FW841" s="18"/>
      <c r="FX841" s="18"/>
      <c r="FY841" s="18"/>
      <c r="FZ841" s="18"/>
      <c r="GA841" s="18"/>
      <c r="GB841" s="18"/>
      <c r="GC841" s="18"/>
      <c r="GD841" s="18"/>
      <c r="GE841" s="18"/>
      <c r="GF841" s="18"/>
      <c r="GG841" s="18"/>
      <c r="GH841" s="18"/>
      <c r="GI841" s="18"/>
      <c r="GJ841" s="18"/>
      <c r="GK841" s="18"/>
      <c r="GL841" s="18"/>
      <c r="GM841" s="18"/>
      <c r="GN841" s="18"/>
      <c r="GO841" s="18"/>
      <c r="GP841" s="18"/>
      <c r="GQ841" s="18"/>
      <c r="GR841" s="18"/>
      <c r="GS841" s="18"/>
      <c r="GT841" s="18"/>
      <c r="GU841" s="18"/>
      <c r="GV841" s="18"/>
      <c r="GW841" s="18"/>
      <c r="GX841" s="18"/>
      <c r="GY841" s="18"/>
      <c r="GZ841" s="18"/>
      <c r="HA841" s="18"/>
      <c r="HB841" s="18"/>
      <c r="HC841" s="18"/>
      <c r="HD841" s="18"/>
      <c r="HE841" s="18"/>
      <c r="HF841" s="18"/>
      <c r="HG841" s="13"/>
      <c r="HH841" s="13"/>
      <c r="HI841" s="13"/>
      <c r="HJ841" s="13"/>
      <c r="HK841" s="13"/>
      <c r="HL841" s="13"/>
      <c r="HM841" s="13"/>
      <c r="HN841" s="13"/>
      <c r="HO841" s="13"/>
      <c r="HP841" s="13"/>
      <c r="HQ841" s="13"/>
      <c r="HR841" s="13"/>
      <c r="HS841" s="13"/>
      <c r="HT841" s="13"/>
      <c r="HU841" s="18"/>
      <c r="HV841" s="18"/>
      <c r="HW841" s="18"/>
      <c r="HX841" s="18"/>
      <c r="HY841" s="18"/>
      <c r="HZ841" s="18"/>
      <c r="IA841" s="18"/>
      <c r="IB841" s="18"/>
      <c r="IC841" s="18"/>
      <c r="ID841" s="18"/>
      <c r="IE841" s="18"/>
      <c r="IF841" s="18"/>
      <c r="IG841" s="18"/>
      <c r="IH841" s="18"/>
      <c r="II841" s="18"/>
      <c r="IJ841" s="18"/>
      <c r="IK841" s="18"/>
      <c r="IL841" s="18"/>
      <c r="IM841" s="18"/>
      <c r="IN841" s="18"/>
      <c r="IO841" s="18"/>
      <c r="IP841" s="18"/>
      <c r="IQ841" s="18"/>
      <c r="IR841" s="18"/>
      <c r="IS841" s="18"/>
      <c r="IT841" s="18"/>
      <c r="IU841" s="18"/>
      <c r="IV841" s="18"/>
      <c r="IW841" s="18"/>
      <c r="IX841" s="18"/>
      <c r="IY841" s="18"/>
      <c r="IZ841" s="18"/>
      <c r="JA841" s="18"/>
      <c r="JB841" s="18"/>
      <c r="JC841" s="18"/>
      <c r="JD841" s="18"/>
      <c r="JE841" s="18"/>
      <c r="JF841" s="18"/>
      <c r="JG841" s="18"/>
      <c r="JH841" s="18"/>
      <c r="JI841" s="18"/>
      <c r="JJ841" s="18"/>
      <c r="JK841" s="18"/>
      <c r="JL841" s="18"/>
      <c r="JM841" s="18"/>
      <c r="JN841" s="18"/>
      <c r="JO841" s="18"/>
      <c r="JP841" s="18"/>
      <c r="JQ841" s="18"/>
      <c r="JR841" s="18"/>
      <c r="JS841" s="18"/>
      <c r="JT841" s="18"/>
      <c r="JU841" s="18"/>
      <c r="JV841" s="18"/>
      <c r="JW841" s="18"/>
      <c r="JX841" s="18"/>
      <c r="JY841" s="18"/>
      <c r="JZ841" s="18"/>
      <c r="KA841" s="18"/>
      <c r="KB841" s="18"/>
      <c r="KC841" s="18"/>
      <c r="KD841" s="18"/>
      <c r="KE841" s="18"/>
      <c r="KF841" s="18"/>
      <c r="KG841" s="18"/>
      <c r="KH841" s="18"/>
      <c r="KI841" s="18"/>
      <c r="KJ841" s="18"/>
      <c r="KK841" s="18"/>
      <c r="KL841" s="18"/>
      <c r="KM841" s="18"/>
      <c r="KN841" s="18"/>
      <c r="KO841" s="18"/>
      <c r="KP841" s="18"/>
    </row>
    <row r="842" spans="1:302">
      <c r="A842" s="14"/>
      <c r="B842" s="14"/>
      <c r="F842" s="14"/>
      <c r="G842" s="23"/>
      <c r="H842" s="23"/>
      <c r="I842" s="23"/>
      <c r="J842" s="23"/>
      <c r="K842" s="14"/>
      <c r="L842" s="14"/>
      <c r="P842" s="14"/>
      <c r="AG842" s="44"/>
      <c r="AH842" s="44"/>
      <c r="AI842" s="45"/>
      <c r="AJ842" s="44"/>
      <c r="AK842" s="43"/>
      <c r="AS842" s="14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  <c r="EW842" s="18"/>
      <c r="EX842" s="18"/>
      <c r="EY842" s="18"/>
      <c r="EZ842" s="18"/>
      <c r="FA842" s="18"/>
      <c r="FB842" s="18"/>
      <c r="FC842" s="18"/>
      <c r="FD842" s="18"/>
      <c r="FE842" s="18"/>
      <c r="FF842" s="18"/>
      <c r="FG842" s="18"/>
      <c r="FH842" s="18"/>
      <c r="FI842" s="18"/>
      <c r="FJ842" s="18"/>
      <c r="FK842" s="18"/>
      <c r="FL842" s="18"/>
      <c r="FM842" s="18"/>
      <c r="FN842" s="18"/>
      <c r="FO842" s="18"/>
      <c r="FP842" s="18"/>
      <c r="FQ842" s="18"/>
      <c r="FR842" s="18"/>
      <c r="FS842" s="18"/>
      <c r="FT842" s="18"/>
      <c r="FU842" s="18"/>
      <c r="FV842" s="18"/>
      <c r="FW842" s="18"/>
      <c r="FX842" s="18"/>
      <c r="FY842" s="18"/>
      <c r="FZ842" s="18"/>
      <c r="GA842" s="18"/>
      <c r="GB842" s="18"/>
      <c r="GC842" s="18"/>
      <c r="GD842" s="18"/>
      <c r="GE842" s="18"/>
      <c r="GF842" s="18"/>
      <c r="GG842" s="18"/>
      <c r="GH842" s="18"/>
      <c r="GI842" s="18"/>
      <c r="GJ842" s="18"/>
      <c r="GK842" s="18"/>
      <c r="GL842" s="18"/>
      <c r="GM842" s="18"/>
      <c r="GN842" s="18"/>
      <c r="GO842" s="18"/>
      <c r="GP842" s="18"/>
      <c r="GQ842" s="18"/>
      <c r="GR842" s="18"/>
      <c r="GS842" s="18"/>
      <c r="GT842" s="18"/>
      <c r="GU842" s="18"/>
      <c r="GV842" s="18"/>
      <c r="GW842" s="18"/>
      <c r="GX842" s="18"/>
      <c r="GY842" s="18"/>
      <c r="GZ842" s="18"/>
      <c r="HA842" s="18"/>
      <c r="HB842" s="18"/>
      <c r="HC842" s="18"/>
      <c r="HD842" s="18"/>
      <c r="HE842" s="18"/>
      <c r="HF842" s="18"/>
      <c r="HG842" s="13"/>
      <c r="HH842" s="13"/>
      <c r="HI842" s="13"/>
      <c r="HJ842" s="13"/>
      <c r="HK842" s="13"/>
      <c r="HL842" s="13"/>
      <c r="HM842" s="13"/>
      <c r="HN842" s="13"/>
      <c r="HO842" s="13"/>
      <c r="HP842" s="13"/>
      <c r="HQ842" s="13"/>
      <c r="HR842" s="13"/>
      <c r="HS842" s="13"/>
      <c r="HT842" s="13"/>
      <c r="HU842" s="18"/>
      <c r="HV842" s="18"/>
      <c r="HW842" s="18"/>
      <c r="HX842" s="18"/>
      <c r="HY842" s="18"/>
      <c r="HZ842" s="18"/>
      <c r="IA842" s="18"/>
      <c r="IB842" s="18"/>
      <c r="IC842" s="18"/>
      <c r="ID842" s="18"/>
      <c r="IE842" s="18"/>
      <c r="IF842" s="18"/>
      <c r="IG842" s="18"/>
      <c r="IH842" s="18"/>
      <c r="II842" s="18"/>
      <c r="IJ842" s="18"/>
      <c r="IK842" s="18"/>
      <c r="IL842" s="18"/>
      <c r="IM842" s="18"/>
      <c r="IN842" s="18"/>
      <c r="IO842" s="18"/>
      <c r="IP842" s="18"/>
      <c r="IQ842" s="18"/>
      <c r="IR842" s="18"/>
      <c r="IS842" s="18"/>
      <c r="IT842" s="18"/>
      <c r="IU842" s="18"/>
      <c r="IV842" s="18"/>
      <c r="IW842" s="18"/>
      <c r="IX842" s="18"/>
      <c r="IY842" s="18"/>
      <c r="IZ842" s="18"/>
      <c r="JA842" s="18"/>
      <c r="JB842" s="18"/>
      <c r="JC842" s="18"/>
      <c r="JD842" s="18"/>
      <c r="JE842" s="18"/>
      <c r="JF842" s="18"/>
      <c r="JG842" s="18"/>
      <c r="JH842" s="18"/>
      <c r="JI842" s="18"/>
      <c r="JJ842" s="18"/>
      <c r="JK842" s="18"/>
      <c r="JL842" s="18"/>
      <c r="JM842" s="18"/>
      <c r="JN842" s="18"/>
      <c r="JO842" s="18"/>
      <c r="JP842" s="18"/>
      <c r="JQ842" s="18"/>
      <c r="JR842" s="18"/>
      <c r="JS842" s="18"/>
      <c r="JT842" s="18"/>
      <c r="JU842" s="18"/>
      <c r="JV842" s="18"/>
      <c r="JW842" s="18"/>
      <c r="JX842" s="18"/>
      <c r="JY842" s="18"/>
      <c r="JZ842" s="18"/>
      <c r="KA842" s="18"/>
      <c r="KB842" s="18"/>
      <c r="KC842" s="18"/>
      <c r="KD842" s="18"/>
      <c r="KE842" s="18"/>
      <c r="KF842" s="18"/>
      <c r="KG842" s="18"/>
      <c r="KH842" s="18"/>
      <c r="KI842" s="18"/>
      <c r="KJ842" s="18"/>
      <c r="KK842" s="18"/>
      <c r="KL842" s="18"/>
      <c r="KM842" s="18"/>
      <c r="KN842" s="18"/>
      <c r="KO842" s="18"/>
      <c r="KP842" s="18"/>
    </row>
    <row r="843" spans="1:302">
      <c r="A843" s="14"/>
      <c r="B843" s="14"/>
      <c r="F843" s="14"/>
      <c r="G843" s="23"/>
      <c r="H843" s="23"/>
      <c r="I843" s="23"/>
      <c r="J843" s="23"/>
      <c r="K843" s="14"/>
      <c r="L843" s="14"/>
      <c r="P843" s="14"/>
      <c r="AG843" s="44"/>
      <c r="AH843" s="44"/>
      <c r="AI843" s="45"/>
      <c r="AJ843" s="44"/>
      <c r="AK843" s="43"/>
      <c r="AS843" s="14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  <c r="FR843" s="18"/>
      <c r="FS843" s="18"/>
      <c r="FT843" s="18"/>
      <c r="FU843" s="18"/>
      <c r="FV843" s="18"/>
      <c r="FW843" s="18"/>
      <c r="FX843" s="18"/>
      <c r="FY843" s="18"/>
      <c r="FZ843" s="18"/>
      <c r="GA843" s="18"/>
      <c r="GB843" s="18"/>
      <c r="GC843" s="18"/>
      <c r="GD843" s="18"/>
      <c r="GE843" s="18"/>
      <c r="GF843" s="18"/>
      <c r="GG843" s="18"/>
      <c r="GH843" s="18"/>
      <c r="GI843" s="18"/>
      <c r="GJ843" s="18"/>
      <c r="GK843" s="18"/>
      <c r="GL843" s="18"/>
      <c r="GM843" s="18"/>
      <c r="GN843" s="18"/>
      <c r="GO843" s="18"/>
      <c r="GP843" s="18"/>
      <c r="GQ843" s="18"/>
      <c r="GR843" s="18"/>
      <c r="GS843" s="18"/>
      <c r="GT843" s="18"/>
      <c r="GU843" s="18"/>
      <c r="GV843" s="18"/>
      <c r="GW843" s="18"/>
      <c r="GX843" s="18"/>
      <c r="GY843" s="18"/>
      <c r="GZ843" s="18"/>
      <c r="HA843" s="18"/>
      <c r="HB843" s="18"/>
      <c r="HC843" s="18"/>
      <c r="HD843" s="18"/>
      <c r="HE843" s="18"/>
      <c r="HF843" s="18"/>
      <c r="HG843" s="13"/>
      <c r="HH843" s="13"/>
      <c r="HI843" s="13"/>
      <c r="HJ843" s="13"/>
      <c r="HK843" s="13"/>
      <c r="HL843" s="13"/>
      <c r="HM843" s="13"/>
      <c r="HN843" s="13"/>
      <c r="HO843" s="13"/>
      <c r="HP843" s="13"/>
      <c r="HQ843" s="13"/>
      <c r="HR843" s="13"/>
      <c r="HS843" s="13"/>
      <c r="HT843" s="13"/>
      <c r="HU843" s="18"/>
      <c r="HV843" s="18"/>
      <c r="HW843" s="18"/>
      <c r="HX843" s="18"/>
      <c r="HY843" s="18"/>
      <c r="HZ843" s="18"/>
      <c r="IA843" s="18"/>
      <c r="IB843" s="18"/>
      <c r="IC843" s="18"/>
      <c r="ID843" s="18"/>
      <c r="IE843" s="18"/>
      <c r="IF843" s="18"/>
      <c r="IG843" s="18"/>
      <c r="IH843" s="18"/>
      <c r="II843" s="18"/>
      <c r="IJ843" s="18"/>
      <c r="IK843" s="18"/>
      <c r="IL843" s="18"/>
      <c r="IM843" s="18"/>
      <c r="IN843" s="18"/>
      <c r="IO843" s="18"/>
      <c r="IP843" s="18"/>
      <c r="IQ843" s="18"/>
      <c r="IR843" s="18"/>
      <c r="IS843" s="18"/>
      <c r="IT843" s="18"/>
      <c r="IU843" s="18"/>
      <c r="IV843" s="18"/>
      <c r="IW843" s="18"/>
      <c r="IX843" s="18"/>
      <c r="IY843" s="18"/>
      <c r="IZ843" s="18"/>
      <c r="JA843" s="18"/>
      <c r="JB843" s="18"/>
      <c r="JC843" s="18"/>
      <c r="JD843" s="18"/>
      <c r="JE843" s="18"/>
      <c r="JF843" s="18"/>
      <c r="JG843" s="18"/>
      <c r="JH843" s="18"/>
      <c r="JI843" s="18"/>
      <c r="JJ843" s="18"/>
      <c r="JK843" s="18"/>
      <c r="JL843" s="18"/>
      <c r="JM843" s="18"/>
      <c r="JN843" s="18"/>
      <c r="JO843" s="18"/>
      <c r="JP843" s="18"/>
      <c r="JQ843" s="18"/>
      <c r="JR843" s="18"/>
      <c r="JS843" s="18"/>
      <c r="JT843" s="18"/>
      <c r="JU843" s="18"/>
      <c r="JV843" s="18"/>
      <c r="JW843" s="18"/>
      <c r="JX843" s="18"/>
      <c r="JY843" s="18"/>
      <c r="JZ843" s="18"/>
      <c r="KA843" s="18"/>
      <c r="KB843" s="18"/>
      <c r="KC843" s="18"/>
      <c r="KD843" s="18"/>
      <c r="KE843" s="18"/>
      <c r="KF843" s="18"/>
      <c r="KG843" s="18"/>
      <c r="KH843" s="18"/>
      <c r="KI843" s="18"/>
      <c r="KJ843" s="18"/>
      <c r="KK843" s="18"/>
      <c r="KL843" s="18"/>
      <c r="KM843" s="18"/>
      <c r="KN843" s="18"/>
      <c r="KO843" s="18"/>
      <c r="KP843" s="18"/>
    </row>
    <row r="844" spans="1:302">
      <c r="A844" s="14"/>
      <c r="B844" s="14"/>
      <c r="F844" s="14"/>
      <c r="G844" s="23"/>
      <c r="H844" s="23"/>
      <c r="I844" s="23"/>
      <c r="J844" s="23"/>
      <c r="K844" s="14"/>
      <c r="L844" s="14"/>
      <c r="P844" s="14"/>
      <c r="AG844" s="44"/>
      <c r="AH844" s="44"/>
      <c r="AI844" s="45"/>
      <c r="AJ844" s="44"/>
      <c r="AK844" s="43"/>
      <c r="AS844" s="14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  <c r="EW844" s="18"/>
      <c r="EX844" s="18"/>
      <c r="EY844" s="18"/>
      <c r="EZ844" s="18"/>
      <c r="FA844" s="18"/>
      <c r="FB844" s="18"/>
      <c r="FC844" s="18"/>
      <c r="FD844" s="18"/>
      <c r="FE844" s="18"/>
      <c r="FF844" s="18"/>
      <c r="FG844" s="18"/>
      <c r="FH844" s="18"/>
      <c r="FI844" s="18"/>
      <c r="FJ844" s="18"/>
      <c r="FK844" s="18"/>
      <c r="FL844" s="18"/>
      <c r="FM844" s="18"/>
      <c r="FN844" s="18"/>
      <c r="FO844" s="18"/>
      <c r="FP844" s="18"/>
      <c r="FQ844" s="18"/>
      <c r="FR844" s="18"/>
      <c r="FS844" s="18"/>
      <c r="FT844" s="18"/>
      <c r="FU844" s="18"/>
      <c r="FV844" s="18"/>
      <c r="FW844" s="18"/>
      <c r="FX844" s="18"/>
      <c r="FY844" s="18"/>
      <c r="FZ844" s="18"/>
      <c r="GA844" s="18"/>
      <c r="GB844" s="18"/>
      <c r="GC844" s="18"/>
      <c r="GD844" s="18"/>
      <c r="GE844" s="18"/>
      <c r="GF844" s="18"/>
      <c r="GG844" s="18"/>
      <c r="GH844" s="18"/>
      <c r="GI844" s="18"/>
      <c r="GJ844" s="18"/>
      <c r="GK844" s="18"/>
      <c r="GL844" s="18"/>
      <c r="GM844" s="18"/>
      <c r="GN844" s="18"/>
      <c r="GO844" s="18"/>
      <c r="GP844" s="18"/>
      <c r="GQ844" s="18"/>
      <c r="GR844" s="18"/>
      <c r="GS844" s="18"/>
      <c r="GT844" s="18"/>
      <c r="GU844" s="18"/>
      <c r="GV844" s="18"/>
      <c r="GW844" s="18"/>
      <c r="GX844" s="18"/>
      <c r="GY844" s="18"/>
      <c r="GZ844" s="18"/>
      <c r="HA844" s="18"/>
      <c r="HB844" s="18"/>
      <c r="HC844" s="18"/>
      <c r="HD844" s="18"/>
      <c r="HE844" s="18"/>
      <c r="HF844" s="18"/>
      <c r="HG844" s="13"/>
      <c r="HH844" s="13"/>
      <c r="HI844" s="13"/>
      <c r="HJ844" s="13"/>
      <c r="HK844" s="13"/>
      <c r="HL844" s="13"/>
      <c r="HM844" s="13"/>
      <c r="HN844" s="13"/>
      <c r="HO844" s="13"/>
      <c r="HP844" s="13"/>
      <c r="HQ844" s="13"/>
      <c r="HR844" s="13"/>
      <c r="HS844" s="13"/>
      <c r="HT844" s="13"/>
      <c r="HU844" s="18"/>
      <c r="HV844" s="18"/>
      <c r="HW844" s="18"/>
      <c r="HX844" s="18"/>
      <c r="HY844" s="18"/>
      <c r="HZ844" s="18"/>
      <c r="IA844" s="18"/>
      <c r="IB844" s="18"/>
      <c r="IC844" s="18"/>
      <c r="ID844" s="18"/>
      <c r="IE844" s="18"/>
      <c r="IF844" s="18"/>
      <c r="IG844" s="18"/>
      <c r="IH844" s="18"/>
      <c r="II844" s="18"/>
      <c r="IJ844" s="18"/>
      <c r="IK844" s="18"/>
      <c r="IL844" s="18"/>
      <c r="IM844" s="18"/>
      <c r="IN844" s="18"/>
      <c r="IO844" s="18"/>
      <c r="IP844" s="18"/>
      <c r="IQ844" s="18"/>
      <c r="IR844" s="18"/>
      <c r="IS844" s="18"/>
      <c r="IT844" s="18"/>
      <c r="IU844" s="18"/>
      <c r="IV844" s="18"/>
      <c r="IW844" s="18"/>
      <c r="IX844" s="18"/>
      <c r="IY844" s="18"/>
      <c r="IZ844" s="18"/>
      <c r="JA844" s="18"/>
      <c r="JB844" s="18"/>
      <c r="JC844" s="18"/>
      <c r="JD844" s="18"/>
      <c r="JE844" s="18"/>
      <c r="JF844" s="18"/>
      <c r="JG844" s="18"/>
      <c r="JH844" s="18"/>
      <c r="JI844" s="18"/>
      <c r="JJ844" s="18"/>
      <c r="JK844" s="18"/>
      <c r="JL844" s="18"/>
      <c r="JM844" s="18"/>
      <c r="JN844" s="18"/>
      <c r="JO844" s="18"/>
      <c r="JP844" s="18"/>
      <c r="JQ844" s="18"/>
      <c r="JR844" s="18"/>
      <c r="JS844" s="18"/>
      <c r="JT844" s="18"/>
      <c r="JU844" s="18"/>
      <c r="JV844" s="18"/>
      <c r="JW844" s="18"/>
      <c r="JX844" s="18"/>
      <c r="JY844" s="18"/>
      <c r="JZ844" s="18"/>
      <c r="KA844" s="18"/>
      <c r="KB844" s="18"/>
      <c r="KC844" s="18"/>
      <c r="KD844" s="18"/>
      <c r="KE844" s="18"/>
      <c r="KF844" s="18"/>
      <c r="KG844" s="18"/>
      <c r="KH844" s="18"/>
      <c r="KI844" s="18"/>
      <c r="KJ844" s="18"/>
      <c r="KK844" s="18"/>
      <c r="KL844" s="18"/>
      <c r="KM844" s="18"/>
      <c r="KN844" s="18"/>
      <c r="KO844" s="18"/>
      <c r="KP844" s="18"/>
    </row>
    <row r="845" spans="1:302">
      <c r="A845" s="14"/>
      <c r="B845" s="14"/>
      <c r="F845" s="14"/>
      <c r="G845" s="23"/>
      <c r="H845" s="23"/>
      <c r="I845" s="23"/>
      <c r="J845" s="23"/>
      <c r="K845" s="14"/>
      <c r="L845" s="14"/>
      <c r="P845" s="14"/>
      <c r="AG845" s="44"/>
      <c r="AH845" s="44"/>
      <c r="AI845" s="45"/>
      <c r="AJ845" s="44"/>
      <c r="AK845" s="43"/>
      <c r="AS845" s="14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  <c r="FR845" s="18"/>
      <c r="FS845" s="18"/>
      <c r="FT845" s="18"/>
      <c r="FU845" s="18"/>
      <c r="FV845" s="18"/>
      <c r="FW845" s="18"/>
      <c r="FX845" s="18"/>
      <c r="FY845" s="18"/>
      <c r="FZ845" s="18"/>
      <c r="GA845" s="18"/>
      <c r="GB845" s="18"/>
      <c r="GC845" s="18"/>
      <c r="GD845" s="18"/>
      <c r="GE845" s="18"/>
      <c r="GF845" s="18"/>
      <c r="GG845" s="18"/>
      <c r="GH845" s="18"/>
      <c r="GI845" s="18"/>
      <c r="GJ845" s="18"/>
      <c r="GK845" s="18"/>
      <c r="GL845" s="18"/>
      <c r="GM845" s="18"/>
      <c r="GN845" s="18"/>
      <c r="GO845" s="18"/>
      <c r="GP845" s="18"/>
      <c r="GQ845" s="18"/>
      <c r="GR845" s="18"/>
      <c r="GS845" s="18"/>
      <c r="GT845" s="18"/>
      <c r="GU845" s="18"/>
      <c r="GV845" s="18"/>
      <c r="GW845" s="18"/>
      <c r="GX845" s="18"/>
      <c r="GY845" s="18"/>
      <c r="GZ845" s="18"/>
      <c r="HA845" s="18"/>
      <c r="HB845" s="18"/>
      <c r="HC845" s="18"/>
      <c r="HD845" s="18"/>
      <c r="HE845" s="18"/>
      <c r="HF845" s="18"/>
      <c r="HG845" s="13"/>
      <c r="HH845" s="13"/>
      <c r="HI845" s="13"/>
      <c r="HJ845" s="13"/>
      <c r="HK845" s="13"/>
      <c r="HL845" s="13"/>
      <c r="HM845" s="13"/>
      <c r="HN845" s="13"/>
      <c r="HO845" s="13"/>
      <c r="HP845" s="13"/>
      <c r="HQ845" s="13"/>
      <c r="HR845" s="13"/>
      <c r="HS845" s="13"/>
      <c r="HT845" s="13"/>
      <c r="HU845" s="18"/>
      <c r="HV845" s="18"/>
      <c r="HW845" s="18"/>
      <c r="HX845" s="18"/>
      <c r="HY845" s="18"/>
      <c r="HZ845" s="18"/>
      <c r="IA845" s="18"/>
      <c r="IB845" s="18"/>
      <c r="IC845" s="18"/>
      <c r="ID845" s="18"/>
      <c r="IE845" s="18"/>
      <c r="IF845" s="18"/>
      <c r="IG845" s="18"/>
      <c r="IH845" s="18"/>
      <c r="II845" s="18"/>
      <c r="IJ845" s="18"/>
      <c r="IK845" s="18"/>
      <c r="IL845" s="18"/>
      <c r="IM845" s="18"/>
      <c r="IN845" s="18"/>
      <c r="IO845" s="18"/>
      <c r="IP845" s="18"/>
      <c r="IQ845" s="18"/>
      <c r="IR845" s="18"/>
      <c r="IS845" s="18"/>
      <c r="IT845" s="18"/>
      <c r="IU845" s="18"/>
      <c r="IV845" s="18"/>
      <c r="IW845" s="18"/>
      <c r="IX845" s="18"/>
      <c r="IY845" s="18"/>
      <c r="IZ845" s="18"/>
      <c r="JA845" s="18"/>
      <c r="JB845" s="18"/>
      <c r="JC845" s="18"/>
      <c r="JD845" s="18"/>
      <c r="JE845" s="18"/>
      <c r="JF845" s="18"/>
      <c r="JG845" s="18"/>
      <c r="JH845" s="18"/>
      <c r="JI845" s="18"/>
      <c r="JJ845" s="18"/>
      <c r="JK845" s="18"/>
      <c r="JL845" s="18"/>
      <c r="JM845" s="18"/>
      <c r="JN845" s="18"/>
      <c r="JO845" s="18"/>
      <c r="JP845" s="18"/>
      <c r="JQ845" s="18"/>
      <c r="JR845" s="18"/>
      <c r="JS845" s="18"/>
      <c r="JT845" s="18"/>
      <c r="JU845" s="18"/>
      <c r="JV845" s="18"/>
      <c r="JW845" s="18"/>
      <c r="JX845" s="18"/>
      <c r="JY845" s="18"/>
      <c r="JZ845" s="18"/>
      <c r="KA845" s="18"/>
      <c r="KB845" s="18"/>
      <c r="KC845" s="18"/>
      <c r="KD845" s="18"/>
      <c r="KE845" s="18"/>
      <c r="KF845" s="18"/>
      <c r="KG845" s="18"/>
      <c r="KH845" s="18"/>
      <c r="KI845" s="18"/>
      <c r="KJ845" s="18"/>
      <c r="KK845" s="18"/>
      <c r="KL845" s="18"/>
      <c r="KM845" s="18"/>
      <c r="KN845" s="18"/>
      <c r="KO845" s="18"/>
      <c r="KP845" s="18"/>
    </row>
    <row r="846" spans="1:302">
      <c r="A846" s="14"/>
      <c r="B846" s="14"/>
      <c r="F846" s="14"/>
      <c r="G846" s="23"/>
      <c r="H846" s="23"/>
      <c r="I846" s="23"/>
      <c r="J846" s="23"/>
      <c r="K846" s="14"/>
      <c r="L846" s="14"/>
      <c r="P846" s="14"/>
      <c r="AG846" s="44"/>
      <c r="AH846" s="44"/>
      <c r="AI846" s="45"/>
      <c r="AJ846" s="44"/>
      <c r="AK846" s="43"/>
      <c r="AS846" s="14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  <c r="EW846" s="18"/>
      <c r="EX846" s="18"/>
      <c r="EY846" s="18"/>
      <c r="EZ846" s="18"/>
      <c r="FA846" s="18"/>
      <c r="FB846" s="18"/>
      <c r="FC846" s="18"/>
      <c r="FD846" s="18"/>
      <c r="FE846" s="18"/>
      <c r="FF846" s="18"/>
      <c r="FG846" s="18"/>
      <c r="FH846" s="18"/>
      <c r="FI846" s="18"/>
      <c r="FJ846" s="18"/>
      <c r="FK846" s="18"/>
      <c r="FL846" s="18"/>
      <c r="FM846" s="18"/>
      <c r="FN846" s="18"/>
      <c r="FO846" s="18"/>
      <c r="FP846" s="18"/>
      <c r="FQ846" s="18"/>
      <c r="FR846" s="18"/>
      <c r="FS846" s="18"/>
      <c r="FT846" s="18"/>
      <c r="FU846" s="18"/>
      <c r="FV846" s="18"/>
      <c r="FW846" s="18"/>
      <c r="FX846" s="18"/>
      <c r="FY846" s="18"/>
      <c r="FZ846" s="18"/>
      <c r="GA846" s="18"/>
      <c r="GB846" s="18"/>
      <c r="GC846" s="18"/>
      <c r="GD846" s="18"/>
      <c r="GE846" s="18"/>
      <c r="GF846" s="18"/>
      <c r="GG846" s="18"/>
      <c r="GH846" s="18"/>
      <c r="GI846" s="18"/>
      <c r="GJ846" s="18"/>
      <c r="GK846" s="18"/>
      <c r="GL846" s="18"/>
      <c r="GM846" s="18"/>
      <c r="GN846" s="18"/>
      <c r="GO846" s="18"/>
      <c r="GP846" s="18"/>
      <c r="GQ846" s="18"/>
      <c r="GR846" s="18"/>
      <c r="GS846" s="18"/>
      <c r="GT846" s="18"/>
      <c r="GU846" s="18"/>
      <c r="GV846" s="18"/>
      <c r="GW846" s="18"/>
      <c r="GX846" s="18"/>
      <c r="GY846" s="18"/>
      <c r="GZ846" s="18"/>
      <c r="HA846" s="18"/>
      <c r="HB846" s="18"/>
      <c r="HC846" s="18"/>
      <c r="HD846" s="18"/>
      <c r="HE846" s="18"/>
      <c r="HF846" s="18"/>
      <c r="HG846" s="13"/>
      <c r="HH846" s="13"/>
      <c r="HI846" s="13"/>
      <c r="HJ846" s="13"/>
      <c r="HK846" s="13"/>
      <c r="HL846" s="13"/>
      <c r="HM846" s="13"/>
      <c r="HN846" s="13"/>
      <c r="HO846" s="13"/>
      <c r="HP846" s="13"/>
      <c r="HQ846" s="13"/>
      <c r="HR846" s="13"/>
      <c r="HS846" s="13"/>
      <c r="HT846" s="13"/>
      <c r="HU846" s="18"/>
      <c r="HV846" s="18"/>
      <c r="HW846" s="18"/>
      <c r="HX846" s="18"/>
      <c r="HY846" s="18"/>
      <c r="HZ846" s="18"/>
      <c r="IA846" s="18"/>
      <c r="IB846" s="18"/>
      <c r="IC846" s="18"/>
      <c r="ID846" s="18"/>
      <c r="IE846" s="18"/>
      <c r="IF846" s="18"/>
      <c r="IG846" s="18"/>
      <c r="IH846" s="18"/>
      <c r="II846" s="18"/>
      <c r="IJ846" s="18"/>
      <c r="IK846" s="18"/>
      <c r="IL846" s="18"/>
      <c r="IM846" s="18"/>
      <c r="IN846" s="18"/>
      <c r="IO846" s="18"/>
      <c r="IP846" s="18"/>
      <c r="IQ846" s="18"/>
      <c r="IR846" s="18"/>
      <c r="IS846" s="18"/>
      <c r="IT846" s="18"/>
      <c r="IU846" s="18"/>
      <c r="IV846" s="18"/>
      <c r="IW846" s="18"/>
      <c r="IX846" s="18"/>
      <c r="IY846" s="18"/>
      <c r="IZ846" s="18"/>
      <c r="JA846" s="18"/>
      <c r="JB846" s="18"/>
      <c r="JC846" s="18"/>
      <c r="JD846" s="18"/>
      <c r="JE846" s="18"/>
      <c r="JF846" s="18"/>
      <c r="JG846" s="18"/>
      <c r="JH846" s="18"/>
      <c r="JI846" s="18"/>
      <c r="JJ846" s="18"/>
      <c r="JK846" s="18"/>
      <c r="JL846" s="18"/>
      <c r="JM846" s="18"/>
      <c r="JN846" s="18"/>
      <c r="JO846" s="18"/>
      <c r="JP846" s="18"/>
      <c r="JQ846" s="18"/>
      <c r="JR846" s="18"/>
      <c r="JS846" s="18"/>
      <c r="JT846" s="18"/>
      <c r="JU846" s="18"/>
      <c r="JV846" s="18"/>
      <c r="JW846" s="18"/>
      <c r="JX846" s="18"/>
      <c r="JY846" s="18"/>
      <c r="JZ846" s="18"/>
      <c r="KA846" s="18"/>
      <c r="KB846" s="18"/>
      <c r="KC846" s="18"/>
      <c r="KD846" s="18"/>
      <c r="KE846" s="18"/>
      <c r="KF846" s="18"/>
      <c r="KG846" s="18"/>
      <c r="KH846" s="18"/>
      <c r="KI846" s="18"/>
      <c r="KJ846" s="18"/>
      <c r="KK846" s="18"/>
      <c r="KL846" s="18"/>
      <c r="KM846" s="18"/>
      <c r="KN846" s="18"/>
      <c r="KO846" s="18"/>
      <c r="KP846" s="18"/>
    </row>
    <row r="847" spans="1:302">
      <c r="A847" s="14"/>
      <c r="B847" s="14"/>
      <c r="F847" s="14"/>
      <c r="G847" s="23"/>
      <c r="H847" s="23"/>
      <c r="I847" s="23"/>
      <c r="J847" s="23"/>
      <c r="K847" s="14"/>
      <c r="L847" s="14"/>
      <c r="P847" s="14"/>
      <c r="AG847" s="44"/>
      <c r="AH847" s="44"/>
      <c r="AI847" s="45"/>
      <c r="AJ847" s="44"/>
      <c r="AK847" s="43"/>
      <c r="AS847" s="14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  <c r="FR847" s="18"/>
      <c r="FS847" s="18"/>
      <c r="FT847" s="18"/>
      <c r="FU847" s="18"/>
      <c r="FV847" s="18"/>
      <c r="FW847" s="18"/>
      <c r="FX847" s="18"/>
      <c r="FY847" s="18"/>
      <c r="FZ847" s="18"/>
      <c r="GA847" s="18"/>
      <c r="GB847" s="18"/>
      <c r="GC847" s="18"/>
      <c r="GD847" s="18"/>
      <c r="GE847" s="18"/>
      <c r="GF847" s="18"/>
      <c r="GG847" s="18"/>
      <c r="GH847" s="18"/>
      <c r="GI847" s="18"/>
      <c r="GJ847" s="18"/>
      <c r="GK847" s="18"/>
      <c r="GL847" s="18"/>
      <c r="GM847" s="18"/>
      <c r="GN847" s="18"/>
      <c r="GO847" s="18"/>
      <c r="GP847" s="18"/>
      <c r="GQ847" s="18"/>
      <c r="GR847" s="18"/>
      <c r="GS847" s="18"/>
      <c r="GT847" s="18"/>
      <c r="GU847" s="18"/>
      <c r="GV847" s="18"/>
      <c r="GW847" s="18"/>
      <c r="GX847" s="18"/>
      <c r="GY847" s="18"/>
      <c r="GZ847" s="18"/>
      <c r="HA847" s="18"/>
      <c r="HB847" s="18"/>
      <c r="HC847" s="18"/>
      <c r="HD847" s="18"/>
      <c r="HE847" s="18"/>
      <c r="HF847" s="18"/>
      <c r="HG847" s="13"/>
      <c r="HH847" s="13"/>
      <c r="HI847" s="13"/>
      <c r="HJ847" s="13"/>
      <c r="HK847" s="13"/>
      <c r="HL847" s="13"/>
      <c r="HM847" s="13"/>
      <c r="HN847" s="13"/>
      <c r="HO847" s="13"/>
      <c r="HP847" s="13"/>
      <c r="HQ847" s="13"/>
      <c r="HR847" s="13"/>
      <c r="HS847" s="13"/>
      <c r="HT847" s="13"/>
      <c r="HU847" s="18"/>
      <c r="HV847" s="18"/>
      <c r="HW847" s="18"/>
      <c r="HX847" s="18"/>
      <c r="HY847" s="18"/>
      <c r="HZ847" s="18"/>
      <c r="IA847" s="18"/>
      <c r="IB847" s="18"/>
      <c r="IC847" s="18"/>
      <c r="ID847" s="18"/>
      <c r="IE847" s="18"/>
      <c r="IF847" s="18"/>
      <c r="IG847" s="18"/>
      <c r="IH847" s="18"/>
      <c r="II847" s="18"/>
      <c r="IJ847" s="18"/>
      <c r="IK847" s="18"/>
      <c r="IL847" s="18"/>
      <c r="IM847" s="18"/>
      <c r="IN847" s="18"/>
      <c r="IO847" s="18"/>
      <c r="IP847" s="18"/>
      <c r="IQ847" s="18"/>
      <c r="IR847" s="18"/>
      <c r="IS847" s="18"/>
      <c r="IT847" s="18"/>
      <c r="IU847" s="18"/>
      <c r="IV847" s="18"/>
      <c r="IW847" s="18"/>
      <c r="IX847" s="18"/>
      <c r="IY847" s="18"/>
      <c r="IZ847" s="18"/>
      <c r="JA847" s="18"/>
      <c r="JB847" s="18"/>
      <c r="JC847" s="18"/>
      <c r="JD847" s="18"/>
      <c r="JE847" s="18"/>
      <c r="JF847" s="18"/>
      <c r="JG847" s="18"/>
      <c r="JH847" s="18"/>
      <c r="JI847" s="18"/>
      <c r="JJ847" s="18"/>
      <c r="JK847" s="18"/>
      <c r="JL847" s="18"/>
      <c r="JM847" s="18"/>
      <c r="JN847" s="18"/>
      <c r="JO847" s="18"/>
      <c r="JP847" s="18"/>
      <c r="JQ847" s="18"/>
      <c r="JR847" s="18"/>
      <c r="JS847" s="18"/>
      <c r="JT847" s="18"/>
      <c r="JU847" s="18"/>
      <c r="JV847" s="18"/>
      <c r="JW847" s="18"/>
      <c r="JX847" s="18"/>
      <c r="JY847" s="18"/>
      <c r="JZ847" s="18"/>
      <c r="KA847" s="18"/>
      <c r="KB847" s="18"/>
      <c r="KC847" s="18"/>
      <c r="KD847" s="18"/>
      <c r="KE847" s="18"/>
      <c r="KF847" s="18"/>
      <c r="KG847" s="18"/>
      <c r="KH847" s="18"/>
      <c r="KI847" s="18"/>
      <c r="KJ847" s="18"/>
      <c r="KK847" s="18"/>
      <c r="KL847" s="18"/>
      <c r="KM847" s="18"/>
      <c r="KN847" s="18"/>
      <c r="KO847" s="18"/>
      <c r="KP847" s="18"/>
    </row>
    <row r="848" spans="1:302">
      <c r="A848" s="14"/>
      <c r="B848" s="14"/>
      <c r="F848" s="14"/>
      <c r="G848" s="23"/>
      <c r="H848" s="23"/>
      <c r="I848" s="23"/>
      <c r="J848" s="23"/>
      <c r="K848" s="14"/>
      <c r="L848" s="14"/>
      <c r="P848" s="14"/>
      <c r="AG848" s="44"/>
      <c r="AH848" s="44"/>
      <c r="AI848" s="45"/>
      <c r="AJ848" s="44"/>
      <c r="AK848" s="43"/>
      <c r="AS848" s="14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  <c r="EW848" s="18"/>
      <c r="EX848" s="18"/>
      <c r="EY848" s="18"/>
      <c r="EZ848" s="18"/>
      <c r="FA848" s="18"/>
      <c r="FB848" s="18"/>
      <c r="FC848" s="18"/>
      <c r="FD848" s="18"/>
      <c r="FE848" s="18"/>
      <c r="FF848" s="18"/>
      <c r="FG848" s="18"/>
      <c r="FH848" s="18"/>
      <c r="FI848" s="18"/>
      <c r="FJ848" s="18"/>
      <c r="FK848" s="18"/>
      <c r="FL848" s="18"/>
      <c r="FM848" s="18"/>
      <c r="FN848" s="18"/>
      <c r="FO848" s="18"/>
      <c r="FP848" s="18"/>
      <c r="FQ848" s="18"/>
      <c r="FR848" s="18"/>
      <c r="FS848" s="18"/>
      <c r="FT848" s="18"/>
      <c r="FU848" s="18"/>
      <c r="FV848" s="18"/>
      <c r="FW848" s="18"/>
      <c r="FX848" s="18"/>
      <c r="FY848" s="18"/>
      <c r="FZ848" s="18"/>
      <c r="GA848" s="18"/>
      <c r="GB848" s="18"/>
      <c r="GC848" s="18"/>
      <c r="GD848" s="18"/>
      <c r="GE848" s="18"/>
      <c r="GF848" s="18"/>
      <c r="GG848" s="18"/>
      <c r="GH848" s="18"/>
      <c r="GI848" s="18"/>
      <c r="GJ848" s="18"/>
      <c r="GK848" s="18"/>
      <c r="GL848" s="18"/>
      <c r="GM848" s="18"/>
      <c r="GN848" s="18"/>
      <c r="GO848" s="18"/>
      <c r="GP848" s="18"/>
      <c r="GQ848" s="18"/>
      <c r="GR848" s="18"/>
      <c r="GS848" s="18"/>
      <c r="GT848" s="18"/>
      <c r="GU848" s="18"/>
      <c r="GV848" s="18"/>
      <c r="GW848" s="18"/>
      <c r="GX848" s="18"/>
      <c r="GY848" s="18"/>
      <c r="GZ848" s="18"/>
      <c r="HA848" s="18"/>
      <c r="HB848" s="18"/>
      <c r="HC848" s="18"/>
      <c r="HD848" s="18"/>
      <c r="HE848" s="18"/>
      <c r="HF848" s="18"/>
      <c r="HG848" s="13"/>
      <c r="HH848" s="13"/>
      <c r="HI848" s="13"/>
      <c r="HJ848" s="13"/>
      <c r="HK848" s="13"/>
      <c r="HL848" s="13"/>
      <c r="HM848" s="13"/>
      <c r="HN848" s="13"/>
      <c r="HO848" s="13"/>
      <c r="HP848" s="13"/>
      <c r="HQ848" s="13"/>
      <c r="HR848" s="13"/>
      <c r="HS848" s="13"/>
      <c r="HT848" s="13"/>
      <c r="HU848" s="18"/>
      <c r="HV848" s="18"/>
      <c r="HW848" s="18"/>
      <c r="HX848" s="18"/>
      <c r="HY848" s="18"/>
      <c r="HZ848" s="18"/>
      <c r="IA848" s="18"/>
      <c r="IB848" s="18"/>
      <c r="IC848" s="18"/>
      <c r="ID848" s="18"/>
      <c r="IE848" s="18"/>
      <c r="IF848" s="18"/>
      <c r="IG848" s="18"/>
      <c r="IH848" s="18"/>
      <c r="II848" s="18"/>
      <c r="IJ848" s="18"/>
      <c r="IK848" s="18"/>
      <c r="IL848" s="18"/>
      <c r="IM848" s="18"/>
      <c r="IN848" s="18"/>
      <c r="IO848" s="18"/>
      <c r="IP848" s="18"/>
      <c r="IQ848" s="18"/>
      <c r="IR848" s="18"/>
      <c r="IS848" s="18"/>
      <c r="IT848" s="18"/>
      <c r="IU848" s="18"/>
      <c r="IV848" s="18"/>
      <c r="IW848" s="18"/>
      <c r="IX848" s="18"/>
      <c r="IY848" s="18"/>
      <c r="IZ848" s="18"/>
      <c r="JA848" s="18"/>
      <c r="JB848" s="18"/>
      <c r="JC848" s="18"/>
      <c r="JD848" s="18"/>
      <c r="JE848" s="18"/>
      <c r="JF848" s="18"/>
      <c r="JG848" s="18"/>
      <c r="JH848" s="18"/>
      <c r="JI848" s="18"/>
      <c r="JJ848" s="18"/>
      <c r="JK848" s="18"/>
      <c r="JL848" s="18"/>
      <c r="JM848" s="18"/>
      <c r="JN848" s="18"/>
      <c r="JO848" s="18"/>
      <c r="JP848" s="18"/>
      <c r="JQ848" s="18"/>
      <c r="JR848" s="18"/>
      <c r="JS848" s="18"/>
      <c r="JT848" s="18"/>
      <c r="JU848" s="18"/>
      <c r="JV848" s="18"/>
      <c r="JW848" s="18"/>
      <c r="JX848" s="18"/>
      <c r="JY848" s="18"/>
      <c r="JZ848" s="18"/>
      <c r="KA848" s="18"/>
      <c r="KB848" s="18"/>
      <c r="KC848" s="18"/>
      <c r="KD848" s="18"/>
      <c r="KE848" s="18"/>
      <c r="KF848" s="18"/>
      <c r="KG848" s="18"/>
      <c r="KH848" s="18"/>
      <c r="KI848" s="18"/>
      <c r="KJ848" s="18"/>
      <c r="KK848" s="18"/>
      <c r="KL848" s="18"/>
      <c r="KM848" s="18"/>
      <c r="KN848" s="18"/>
      <c r="KO848" s="18"/>
      <c r="KP848" s="18"/>
    </row>
    <row r="849" spans="1:302">
      <c r="A849" s="14"/>
      <c r="B849" s="14"/>
      <c r="F849" s="14"/>
      <c r="G849" s="23"/>
      <c r="H849" s="23"/>
      <c r="I849" s="23"/>
      <c r="J849" s="23"/>
      <c r="K849" s="14"/>
      <c r="L849" s="14"/>
      <c r="P849" s="14"/>
      <c r="AG849" s="44"/>
      <c r="AH849" s="44"/>
      <c r="AI849" s="45"/>
      <c r="AJ849" s="44"/>
      <c r="AK849" s="43"/>
      <c r="AS849" s="14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  <c r="FR849" s="18"/>
      <c r="FS849" s="18"/>
      <c r="FT849" s="18"/>
      <c r="FU849" s="18"/>
      <c r="FV849" s="18"/>
      <c r="FW849" s="18"/>
      <c r="FX849" s="18"/>
      <c r="FY849" s="18"/>
      <c r="FZ849" s="18"/>
      <c r="GA849" s="18"/>
      <c r="GB849" s="18"/>
      <c r="GC849" s="18"/>
      <c r="GD849" s="18"/>
      <c r="GE849" s="18"/>
      <c r="GF849" s="18"/>
      <c r="GG849" s="18"/>
      <c r="GH849" s="18"/>
      <c r="GI849" s="18"/>
      <c r="GJ849" s="18"/>
      <c r="GK849" s="18"/>
      <c r="GL849" s="18"/>
      <c r="GM849" s="18"/>
      <c r="GN849" s="18"/>
      <c r="GO849" s="18"/>
      <c r="GP849" s="18"/>
      <c r="GQ849" s="18"/>
      <c r="GR849" s="18"/>
      <c r="GS849" s="18"/>
      <c r="GT849" s="18"/>
      <c r="GU849" s="18"/>
      <c r="GV849" s="18"/>
      <c r="GW849" s="18"/>
      <c r="GX849" s="18"/>
      <c r="GY849" s="18"/>
      <c r="GZ849" s="18"/>
      <c r="HA849" s="18"/>
      <c r="HB849" s="18"/>
      <c r="HC849" s="18"/>
      <c r="HD849" s="18"/>
      <c r="HE849" s="18"/>
      <c r="HF849" s="18"/>
      <c r="HG849" s="13"/>
      <c r="HH849" s="13"/>
      <c r="HI849" s="13"/>
      <c r="HJ849" s="13"/>
      <c r="HK849" s="13"/>
      <c r="HL849" s="13"/>
      <c r="HM849" s="13"/>
      <c r="HN849" s="13"/>
      <c r="HO849" s="13"/>
      <c r="HP849" s="13"/>
      <c r="HQ849" s="13"/>
      <c r="HR849" s="13"/>
      <c r="HS849" s="13"/>
      <c r="HT849" s="13"/>
      <c r="HU849" s="18"/>
      <c r="HV849" s="18"/>
      <c r="HW849" s="18"/>
      <c r="HX849" s="18"/>
      <c r="HY849" s="18"/>
      <c r="HZ849" s="18"/>
      <c r="IA849" s="18"/>
      <c r="IB849" s="18"/>
      <c r="IC849" s="18"/>
      <c r="ID849" s="18"/>
      <c r="IE849" s="18"/>
      <c r="IF849" s="18"/>
      <c r="IG849" s="18"/>
      <c r="IH849" s="18"/>
      <c r="II849" s="18"/>
      <c r="IJ849" s="18"/>
      <c r="IK849" s="18"/>
      <c r="IL849" s="18"/>
      <c r="IM849" s="18"/>
      <c r="IN849" s="18"/>
      <c r="IO849" s="18"/>
      <c r="IP849" s="18"/>
      <c r="IQ849" s="18"/>
      <c r="IR849" s="18"/>
      <c r="IS849" s="18"/>
      <c r="IT849" s="18"/>
      <c r="IU849" s="18"/>
      <c r="IV849" s="18"/>
      <c r="IW849" s="18"/>
      <c r="IX849" s="18"/>
      <c r="IY849" s="18"/>
      <c r="IZ849" s="18"/>
      <c r="JA849" s="18"/>
      <c r="JB849" s="18"/>
      <c r="JC849" s="18"/>
      <c r="JD849" s="18"/>
      <c r="JE849" s="18"/>
      <c r="JF849" s="18"/>
      <c r="JG849" s="18"/>
      <c r="JH849" s="18"/>
      <c r="JI849" s="18"/>
      <c r="JJ849" s="18"/>
      <c r="JK849" s="18"/>
      <c r="JL849" s="18"/>
      <c r="JM849" s="18"/>
      <c r="JN849" s="18"/>
      <c r="JO849" s="18"/>
      <c r="JP849" s="18"/>
      <c r="JQ849" s="18"/>
      <c r="JR849" s="18"/>
      <c r="JS849" s="18"/>
      <c r="JT849" s="18"/>
      <c r="JU849" s="18"/>
      <c r="JV849" s="18"/>
      <c r="JW849" s="18"/>
      <c r="JX849" s="18"/>
      <c r="JY849" s="18"/>
      <c r="JZ849" s="18"/>
      <c r="KA849" s="18"/>
      <c r="KB849" s="18"/>
      <c r="KC849" s="18"/>
      <c r="KD849" s="18"/>
      <c r="KE849" s="18"/>
      <c r="KF849" s="18"/>
      <c r="KG849" s="18"/>
      <c r="KH849" s="18"/>
      <c r="KI849" s="18"/>
      <c r="KJ849" s="18"/>
      <c r="KK849" s="18"/>
      <c r="KL849" s="18"/>
      <c r="KM849" s="18"/>
      <c r="KN849" s="18"/>
      <c r="KO849" s="18"/>
      <c r="KP849" s="18"/>
    </row>
    <row r="850" spans="1:302">
      <c r="A850" s="14"/>
      <c r="B850" s="14"/>
      <c r="F850" s="14"/>
      <c r="G850" s="23"/>
      <c r="H850" s="23"/>
      <c r="I850" s="23"/>
      <c r="J850" s="23"/>
      <c r="K850" s="14"/>
      <c r="L850" s="14"/>
      <c r="P850" s="14"/>
      <c r="AG850" s="44"/>
      <c r="AH850" s="44"/>
      <c r="AI850" s="45"/>
      <c r="AJ850" s="44"/>
      <c r="AK850" s="43"/>
      <c r="AS850" s="14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  <c r="FR850" s="18"/>
      <c r="FS850" s="18"/>
      <c r="FT850" s="18"/>
      <c r="FU850" s="18"/>
      <c r="FV850" s="18"/>
      <c r="FW850" s="18"/>
      <c r="FX850" s="18"/>
      <c r="FY850" s="18"/>
      <c r="FZ850" s="18"/>
      <c r="GA850" s="18"/>
      <c r="GB850" s="18"/>
      <c r="GC850" s="18"/>
      <c r="GD850" s="18"/>
      <c r="GE850" s="18"/>
      <c r="GF850" s="18"/>
      <c r="GG850" s="18"/>
      <c r="GH850" s="18"/>
      <c r="GI850" s="18"/>
      <c r="GJ850" s="18"/>
      <c r="GK850" s="18"/>
      <c r="GL850" s="18"/>
      <c r="GM850" s="18"/>
      <c r="GN850" s="18"/>
      <c r="GO850" s="18"/>
      <c r="GP850" s="18"/>
      <c r="GQ850" s="18"/>
      <c r="GR850" s="18"/>
      <c r="GS850" s="18"/>
      <c r="GT850" s="18"/>
      <c r="GU850" s="18"/>
      <c r="GV850" s="18"/>
      <c r="GW850" s="18"/>
      <c r="GX850" s="18"/>
      <c r="GY850" s="18"/>
      <c r="GZ850" s="18"/>
      <c r="HA850" s="18"/>
      <c r="HB850" s="18"/>
      <c r="HC850" s="18"/>
      <c r="HD850" s="18"/>
      <c r="HE850" s="18"/>
      <c r="HF850" s="18"/>
      <c r="HG850" s="13"/>
      <c r="HH850" s="13"/>
      <c r="HI850" s="13"/>
      <c r="HJ850" s="13"/>
      <c r="HK850" s="13"/>
      <c r="HL850" s="13"/>
      <c r="HM850" s="13"/>
      <c r="HN850" s="13"/>
      <c r="HO850" s="13"/>
      <c r="HP850" s="13"/>
      <c r="HQ850" s="13"/>
      <c r="HR850" s="13"/>
      <c r="HS850" s="13"/>
      <c r="HT850" s="13"/>
      <c r="HU850" s="18"/>
      <c r="HV850" s="18"/>
      <c r="HW850" s="18"/>
      <c r="HX850" s="18"/>
      <c r="HY850" s="18"/>
      <c r="HZ850" s="18"/>
      <c r="IA850" s="18"/>
      <c r="IB850" s="18"/>
      <c r="IC850" s="18"/>
      <c r="ID850" s="18"/>
      <c r="IE850" s="18"/>
      <c r="IF850" s="18"/>
      <c r="IG850" s="18"/>
      <c r="IH850" s="18"/>
      <c r="II850" s="18"/>
      <c r="IJ850" s="18"/>
      <c r="IK850" s="18"/>
      <c r="IL850" s="18"/>
      <c r="IM850" s="18"/>
      <c r="IN850" s="18"/>
      <c r="IO850" s="18"/>
      <c r="IP850" s="18"/>
      <c r="IQ850" s="18"/>
      <c r="IR850" s="18"/>
      <c r="IS850" s="18"/>
      <c r="IT850" s="18"/>
      <c r="IU850" s="18"/>
      <c r="IV850" s="18"/>
      <c r="IW850" s="18"/>
      <c r="IX850" s="18"/>
      <c r="IY850" s="18"/>
      <c r="IZ850" s="18"/>
      <c r="JA850" s="18"/>
      <c r="JB850" s="18"/>
      <c r="JC850" s="18"/>
      <c r="JD850" s="18"/>
      <c r="JE850" s="18"/>
      <c r="JF850" s="18"/>
      <c r="JG850" s="18"/>
      <c r="JH850" s="18"/>
      <c r="JI850" s="18"/>
      <c r="JJ850" s="18"/>
      <c r="JK850" s="18"/>
      <c r="JL850" s="18"/>
      <c r="JM850" s="18"/>
      <c r="JN850" s="18"/>
      <c r="JO850" s="18"/>
      <c r="JP850" s="18"/>
      <c r="JQ850" s="18"/>
      <c r="JR850" s="18"/>
      <c r="JS850" s="18"/>
      <c r="JT850" s="18"/>
      <c r="JU850" s="18"/>
      <c r="JV850" s="18"/>
      <c r="JW850" s="18"/>
      <c r="JX850" s="18"/>
      <c r="JY850" s="18"/>
      <c r="JZ850" s="18"/>
      <c r="KA850" s="18"/>
      <c r="KB850" s="18"/>
      <c r="KC850" s="18"/>
      <c r="KD850" s="18"/>
      <c r="KE850" s="18"/>
      <c r="KF850" s="18"/>
      <c r="KG850" s="18"/>
      <c r="KH850" s="18"/>
      <c r="KI850" s="18"/>
      <c r="KJ850" s="18"/>
      <c r="KK850" s="18"/>
      <c r="KL850" s="18"/>
      <c r="KM850" s="18"/>
      <c r="KN850" s="18"/>
      <c r="KO850" s="18"/>
      <c r="KP850" s="18"/>
    </row>
    <row r="851" spans="1:302">
      <c r="A851" s="14"/>
      <c r="B851" s="14"/>
      <c r="F851" s="14"/>
      <c r="G851" s="23"/>
      <c r="H851" s="23"/>
      <c r="I851" s="23"/>
      <c r="J851" s="23"/>
      <c r="K851" s="14"/>
      <c r="L851" s="14"/>
      <c r="P851" s="14"/>
      <c r="AG851" s="44"/>
      <c r="AH851" s="44"/>
      <c r="AI851" s="45"/>
      <c r="AJ851" s="44"/>
      <c r="AK851" s="43"/>
      <c r="AS851" s="14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  <c r="FR851" s="18"/>
      <c r="FS851" s="18"/>
      <c r="FT851" s="18"/>
      <c r="FU851" s="18"/>
      <c r="FV851" s="18"/>
      <c r="FW851" s="18"/>
      <c r="FX851" s="18"/>
      <c r="FY851" s="18"/>
      <c r="FZ851" s="18"/>
      <c r="GA851" s="18"/>
      <c r="GB851" s="18"/>
      <c r="GC851" s="18"/>
      <c r="GD851" s="18"/>
      <c r="GE851" s="18"/>
      <c r="GF851" s="18"/>
      <c r="GG851" s="18"/>
      <c r="GH851" s="18"/>
      <c r="GI851" s="18"/>
      <c r="GJ851" s="18"/>
      <c r="GK851" s="18"/>
      <c r="GL851" s="18"/>
      <c r="GM851" s="18"/>
      <c r="GN851" s="18"/>
      <c r="GO851" s="18"/>
      <c r="GP851" s="18"/>
      <c r="GQ851" s="18"/>
      <c r="GR851" s="18"/>
      <c r="GS851" s="18"/>
      <c r="GT851" s="18"/>
      <c r="GU851" s="18"/>
      <c r="GV851" s="18"/>
      <c r="GW851" s="18"/>
      <c r="GX851" s="18"/>
      <c r="GY851" s="18"/>
      <c r="GZ851" s="18"/>
      <c r="HA851" s="18"/>
      <c r="HB851" s="18"/>
      <c r="HC851" s="18"/>
      <c r="HD851" s="18"/>
      <c r="HE851" s="18"/>
      <c r="HF851" s="18"/>
      <c r="HG851" s="13"/>
      <c r="HH851" s="13"/>
      <c r="HI851" s="13"/>
      <c r="HJ851" s="13"/>
      <c r="HK851" s="13"/>
      <c r="HL851" s="13"/>
      <c r="HM851" s="13"/>
      <c r="HN851" s="13"/>
      <c r="HO851" s="13"/>
      <c r="HP851" s="13"/>
      <c r="HQ851" s="13"/>
      <c r="HR851" s="13"/>
      <c r="HS851" s="13"/>
      <c r="HT851" s="13"/>
      <c r="HU851" s="18"/>
      <c r="HV851" s="18"/>
      <c r="HW851" s="18"/>
      <c r="HX851" s="18"/>
      <c r="HY851" s="18"/>
      <c r="HZ851" s="18"/>
      <c r="IA851" s="18"/>
      <c r="IB851" s="18"/>
      <c r="IC851" s="18"/>
      <c r="ID851" s="18"/>
      <c r="IE851" s="18"/>
      <c r="IF851" s="18"/>
      <c r="IG851" s="18"/>
      <c r="IH851" s="18"/>
      <c r="II851" s="18"/>
      <c r="IJ851" s="18"/>
      <c r="IK851" s="18"/>
      <c r="IL851" s="18"/>
      <c r="IM851" s="18"/>
      <c r="IN851" s="18"/>
      <c r="IO851" s="18"/>
      <c r="IP851" s="18"/>
      <c r="IQ851" s="18"/>
      <c r="IR851" s="18"/>
      <c r="IS851" s="18"/>
      <c r="IT851" s="18"/>
      <c r="IU851" s="18"/>
      <c r="IV851" s="18"/>
      <c r="IW851" s="18"/>
      <c r="IX851" s="18"/>
      <c r="IY851" s="18"/>
      <c r="IZ851" s="18"/>
      <c r="JA851" s="18"/>
      <c r="JB851" s="18"/>
      <c r="JC851" s="18"/>
      <c r="JD851" s="18"/>
      <c r="JE851" s="18"/>
      <c r="JF851" s="18"/>
      <c r="JG851" s="18"/>
      <c r="JH851" s="18"/>
      <c r="JI851" s="18"/>
      <c r="JJ851" s="18"/>
      <c r="JK851" s="18"/>
      <c r="JL851" s="18"/>
      <c r="JM851" s="18"/>
      <c r="JN851" s="18"/>
      <c r="JO851" s="18"/>
      <c r="JP851" s="18"/>
      <c r="JQ851" s="18"/>
      <c r="JR851" s="18"/>
      <c r="JS851" s="18"/>
      <c r="JT851" s="18"/>
      <c r="JU851" s="18"/>
      <c r="JV851" s="18"/>
      <c r="JW851" s="18"/>
      <c r="JX851" s="18"/>
      <c r="JY851" s="18"/>
      <c r="JZ851" s="18"/>
      <c r="KA851" s="18"/>
      <c r="KB851" s="18"/>
      <c r="KC851" s="18"/>
      <c r="KD851" s="18"/>
      <c r="KE851" s="18"/>
      <c r="KF851" s="18"/>
      <c r="KG851" s="18"/>
      <c r="KH851" s="18"/>
      <c r="KI851" s="18"/>
      <c r="KJ851" s="18"/>
      <c r="KK851" s="18"/>
      <c r="KL851" s="18"/>
      <c r="KM851" s="18"/>
      <c r="KN851" s="18"/>
      <c r="KO851" s="18"/>
      <c r="KP851" s="18"/>
    </row>
    <row r="852" spans="1:302">
      <c r="A852" s="14"/>
      <c r="B852" s="14"/>
      <c r="F852" s="14"/>
      <c r="G852" s="23"/>
      <c r="H852" s="23"/>
      <c r="I852" s="23"/>
      <c r="J852" s="23"/>
      <c r="K852" s="14"/>
      <c r="L852" s="14"/>
      <c r="P852" s="14"/>
      <c r="AG852" s="44"/>
      <c r="AH852" s="44"/>
      <c r="AI852" s="45"/>
      <c r="AJ852" s="44"/>
      <c r="AK852" s="43"/>
      <c r="AS852" s="14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  <c r="EW852" s="18"/>
      <c r="EX852" s="18"/>
      <c r="EY852" s="18"/>
      <c r="EZ852" s="18"/>
      <c r="FA852" s="18"/>
      <c r="FB852" s="18"/>
      <c r="FC852" s="18"/>
      <c r="FD852" s="18"/>
      <c r="FE852" s="18"/>
      <c r="FF852" s="18"/>
      <c r="FG852" s="18"/>
      <c r="FH852" s="18"/>
      <c r="FI852" s="18"/>
      <c r="FJ852" s="18"/>
      <c r="FK852" s="18"/>
      <c r="FL852" s="18"/>
      <c r="FM852" s="18"/>
      <c r="FN852" s="18"/>
      <c r="FO852" s="18"/>
      <c r="FP852" s="18"/>
      <c r="FQ852" s="18"/>
      <c r="FR852" s="18"/>
      <c r="FS852" s="18"/>
      <c r="FT852" s="18"/>
      <c r="FU852" s="18"/>
      <c r="FV852" s="18"/>
      <c r="FW852" s="18"/>
      <c r="FX852" s="18"/>
      <c r="FY852" s="18"/>
      <c r="FZ852" s="18"/>
      <c r="GA852" s="18"/>
      <c r="GB852" s="18"/>
      <c r="GC852" s="18"/>
      <c r="GD852" s="18"/>
      <c r="GE852" s="18"/>
      <c r="GF852" s="18"/>
      <c r="GG852" s="18"/>
      <c r="GH852" s="18"/>
      <c r="GI852" s="18"/>
      <c r="GJ852" s="18"/>
      <c r="GK852" s="18"/>
      <c r="GL852" s="18"/>
      <c r="GM852" s="18"/>
      <c r="GN852" s="18"/>
      <c r="GO852" s="18"/>
      <c r="GP852" s="18"/>
      <c r="GQ852" s="18"/>
      <c r="GR852" s="18"/>
      <c r="GS852" s="18"/>
      <c r="GT852" s="18"/>
      <c r="GU852" s="18"/>
      <c r="GV852" s="18"/>
      <c r="GW852" s="18"/>
      <c r="GX852" s="18"/>
      <c r="GY852" s="18"/>
      <c r="GZ852" s="18"/>
      <c r="HA852" s="18"/>
      <c r="HB852" s="18"/>
      <c r="HC852" s="18"/>
      <c r="HD852" s="18"/>
      <c r="HE852" s="18"/>
      <c r="HF852" s="18"/>
      <c r="HG852" s="13"/>
      <c r="HH852" s="13"/>
      <c r="HI852" s="13"/>
      <c r="HJ852" s="13"/>
      <c r="HK852" s="13"/>
      <c r="HL852" s="13"/>
      <c r="HM852" s="13"/>
      <c r="HN852" s="13"/>
      <c r="HO852" s="13"/>
      <c r="HP852" s="13"/>
      <c r="HQ852" s="13"/>
      <c r="HR852" s="13"/>
      <c r="HS852" s="13"/>
      <c r="HT852" s="13"/>
      <c r="HU852" s="18"/>
      <c r="HV852" s="18"/>
      <c r="HW852" s="18"/>
      <c r="HX852" s="18"/>
      <c r="HY852" s="18"/>
      <c r="HZ852" s="18"/>
      <c r="IA852" s="18"/>
      <c r="IB852" s="18"/>
      <c r="IC852" s="18"/>
      <c r="ID852" s="18"/>
      <c r="IE852" s="18"/>
      <c r="IF852" s="18"/>
      <c r="IG852" s="18"/>
      <c r="IH852" s="18"/>
      <c r="II852" s="18"/>
      <c r="IJ852" s="18"/>
      <c r="IK852" s="18"/>
      <c r="IL852" s="18"/>
      <c r="IM852" s="18"/>
      <c r="IN852" s="18"/>
      <c r="IO852" s="18"/>
      <c r="IP852" s="18"/>
      <c r="IQ852" s="18"/>
      <c r="IR852" s="18"/>
      <c r="IS852" s="18"/>
      <c r="IT852" s="18"/>
      <c r="IU852" s="18"/>
      <c r="IV852" s="18"/>
      <c r="IW852" s="18"/>
      <c r="IX852" s="18"/>
      <c r="IY852" s="18"/>
      <c r="IZ852" s="18"/>
      <c r="JA852" s="18"/>
      <c r="JB852" s="18"/>
      <c r="JC852" s="18"/>
      <c r="JD852" s="18"/>
      <c r="JE852" s="18"/>
      <c r="JF852" s="18"/>
      <c r="JG852" s="18"/>
      <c r="JH852" s="18"/>
      <c r="JI852" s="18"/>
      <c r="JJ852" s="18"/>
      <c r="JK852" s="18"/>
      <c r="JL852" s="18"/>
      <c r="JM852" s="18"/>
      <c r="JN852" s="18"/>
      <c r="JO852" s="18"/>
      <c r="JP852" s="18"/>
      <c r="JQ852" s="18"/>
      <c r="JR852" s="18"/>
      <c r="JS852" s="18"/>
      <c r="JT852" s="18"/>
      <c r="JU852" s="18"/>
      <c r="JV852" s="18"/>
      <c r="JW852" s="18"/>
      <c r="JX852" s="18"/>
      <c r="JY852" s="18"/>
      <c r="JZ852" s="18"/>
      <c r="KA852" s="18"/>
      <c r="KB852" s="18"/>
      <c r="KC852" s="18"/>
      <c r="KD852" s="18"/>
      <c r="KE852" s="18"/>
      <c r="KF852" s="18"/>
      <c r="KG852" s="18"/>
      <c r="KH852" s="18"/>
      <c r="KI852" s="18"/>
      <c r="KJ852" s="18"/>
      <c r="KK852" s="18"/>
      <c r="KL852" s="18"/>
      <c r="KM852" s="18"/>
      <c r="KN852" s="18"/>
      <c r="KO852" s="18"/>
      <c r="KP852" s="18"/>
    </row>
    <row r="853" spans="1:302">
      <c r="A853" s="14"/>
      <c r="B853" s="14"/>
      <c r="F853" s="14"/>
      <c r="G853" s="23"/>
      <c r="H853" s="23"/>
      <c r="I853" s="23"/>
      <c r="J853" s="23"/>
      <c r="K853" s="14"/>
      <c r="L853" s="14"/>
      <c r="P853" s="14"/>
      <c r="AG853" s="44"/>
      <c r="AH853" s="44"/>
      <c r="AI853" s="45"/>
      <c r="AJ853" s="44"/>
      <c r="AK853" s="43"/>
      <c r="AS853" s="14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  <c r="FR853" s="18"/>
      <c r="FS853" s="18"/>
      <c r="FT853" s="18"/>
      <c r="FU853" s="18"/>
      <c r="FV853" s="18"/>
      <c r="FW853" s="18"/>
      <c r="FX853" s="18"/>
      <c r="FY853" s="18"/>
      <c r="FZ853" s="18"/>
      <c r="GA853" s="18"/>
      <c r="GB853" s="18"/>
      <c r="GC853" s="18"/>
      <c r="GD853" s="18"/>
      <c r="GE853" s="18"/>
      <c r="GF853" s="18"/>
      <c r="GG853" s="18"/>
      <c r="GH853" s="18"/>
      <c r="GI853" s="18"/>
      <c r="GJ853" s="18"/>
      <c r="GK853" s="18"/>
      <c r="GL853" s="18"/>
      <c r="GM853" s="18"/>
      <c r="GN853" s="18"/>
      <c r="GO853" s="18"/>
      <c r="GP853" s="18"/>
      <c r="GQ853" s="18"/>
      <c r="GR853" s="18"/>
      <c r="GS853" s="18"/>
      <c r="GT853" s="18"/>
      <c r="GU853" s="18"/>
      <c r="GV853" s="18"/>
      <c r="GW853" s="18"/>
      <c r="GX853" s="18"/>
      <c r="GY853" s="18"/>
      <c r="GZ853" s="18"/>
      <c r="HA853" s="18"/>
      <c r="HB853" s="18"/>
      <c r="HC853" s="18"/>
      <c r="HD853" s="18"/>
      <c r="HE853" s="18"/>
      <c r="HF853" s="18"/>
      <c r="HG853" s="13"/>
      <c r="HH853" s="13"/>
      <c r="HI853" s="13"/>
      <c r="HJ853" s="13"/>
      <c r="HK853" s="13"/>
      <c r="HL853" s="13"/>
      <c r="HM853" s="13"/>
      <c r="HN853" s="13"/>
      <c r="HO853" s="13"/>
      <c r="HP853" s="13"/>
      <c r="HQ853" s="13"/>
      <c r="HR853" s="13"/>
      <c r="HS853" s="13"/>
      <c r="HT853" s="13"/>
      <c r="HU853" s="18"/>
      <c r="HV853" s="18"/>
      <c r="HW853" s="18"/>
      <c r="HX853" s="18"/>
      <c r="HY853" s="18"/>
      <c r="HZ853" s="18"/>
      <c r="IA853" s="18"/>
      <c r="IB853" s="18"/>
      <c r="IC853" s="18"/>
      <c r="ID853" s="18"/>
      <c r="IE853" s="18"/>
      <c r="IF853" s="18"/>
      <c r="IG853" s="18"/>
      <c r="IH853" s="18"/>
      <c r="II853" s="18"/>
      <c r="IJ853" s="18"/>
      <c r="IK853" s="18"/>
      <c r="IL853" s="18"/>
      <c r="IM853" s="18"/>
      <c r="IN853" s="18"/>
      <c r="IO853" s="18"/>
      <c r="IP853" s="18"/>
      <c r="IQ853" s="18"/>
      <c r="IR853" s="18"/>
      <c r="IS853" s="18"/>
      <c r="IT853" s="18"/>
      <c r="IU853" s="18"/>
      <c r="IV853" s="18"/>
      <c r="IW853" s="18"/>
      <c r="IX853" s="18"/>
      <c r="IY853" s="18"/>
      <c r="IZ853" s="18"/>
      <c r="JA853" s="18"/>
      <c r="JB853" s="18"/>
      <c r="JC853" s="18"/>
      <c r="JD853" s="18"/>
      <c r="JE853" s="18"/>
      <c r="JF853" s="18"/>
      <c r="JG853" s="18"/>
      <c r="JH853" s="18"/>
      <c r="JI853" s="18"/>
      <c r="JJ853" s="18"/>
      <c r="JK853" s="18"/>
      <c r="JL853" s="18"/>
      <c r="JM853" s="18"/>
      <c r="JN853" s="18"/>
      <c r="JO853" s="18"/>
      <c r="JP853" s="18"/>
      <c r="JQ853" s="18"/>
      <c r="JR853" s="18"/>
      <c r="JS853" s="18"/>
      <c r="JT853" s="18"/>
      <c r="JU853" s="18"/>
      <c r="JV853" s="18"/>
      <c r="JW853" s="18"/>
      <c r="JX853" s="18"/>
      <c r="JY853" s="18"/>
      <c r="JZ853" s="18"/>
      <c r="KA853" s="18"/>
      <c r="KB853" s="18"/>
      <c r="KC853" s="18"/>
      <c r="KD853" s="18"/>
      <c r="KE853" s="18"/>
      <c r="KF853" s="18"/>
      <c r="KG853" s="18"/>
      <c r="KH853" s="18"/>
      <c r="KI853" s="18"/>
      <c r="KJ853" s="18"/>
      <c r="KK853" s="18"/>
      <c r="KL853" s="18"/>
      <c r="KM853" s="18"/>
      <c r="KN853" s="18"/>
      <c r="KO853" s="18"/>
      <c r="KP853" s="18"/>
    </row>
    <row r="854" spans="1:302">
      <c r="A854" s="14"/>
      <c r="B854" s="14"/>
      <c r="F854" s="14"/>
      <c r="G854" s="23"/>
      <c r="H854" s="23"/>
      <c r="I854" s="23"/>
      <c r="J854" s="23"/>
      <c r="K854" s="14"/>
      <c r="L854" s="14"/>
      <c r="P854" s="14"/>
      <c r="AG854" s="44"/>
      <c r="AH854" s="44"/>
      <c r="AI854" s="45"/>
      <c r="AJ854" s="44"/>
      <c r="AK854" s="43"/>
      <c r="AS854" s="14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  <c r="FR854" s="18"/>
      <c r="FS854" s="18"/>
      <c r="FT854" s="18"/>
      <c r="FU854" s="18"/>
      <c r="FV854" s="18"/>
      <c r="FW854" s="18"/>
      <c r="FX854" s="18"/>
      <c r="FY854" s="18"/>
      <c r="FZ854" s="18"/>
      <c r="GA854" s="18"/>
      <c r="GB854" s="18"/>
      <c r="GC854" s="18"/>
      <c r="GD854" s="18"/>
      <c r="GE854" s="18"/>
      <c r="GF854" s="18"/>
      <c r="GG854" s="18"/>
      <c r="GH854" s="18"/>
      <c r="GI854" s="18"/>
      <c r="GJ854" s="18"/>
      <c r="GK854" s="18"/>
      <c r="GL854" s="18"/>
      <c r="GM854" s="18"/>
      <c r="GN854" s="18"/>
      <c r="GO854" s="18"/>
      <c r="GP854" s="18"/>
      <c r="GQ854" s="18"/>
      <c r="GR854" s="18"/>
      <c r="GS854" s="18"/>
      <c r="GT854" s="18"/>
      <c r="GU854" s="18"/>
      <c r="GV854" s="18"/>
      <c r="GW854" s="18"/>
      <c r="GX854" s="18"/>
      <c r="GY854" s="18"/>
      <c r="GZ854" s="18"/>
      <c r="HA854" s="18"/>
      <c r="HB854" s="18"/>
      <c r="HC854" s="18"/>
      <c r="HD854" s="18"/>
      <c r="HE854" s="18"/>
      <c r="HF854" s="18"/>
      <c r="HG854" s="13"/>
      <c r="HH854" s="13"/>
      <c r="HI854" s="13"/>
      <c r="HJ854" s="13"/>
      <c r="HK854" s="13"/>
      <c r="HL854" s="13"/>
      <c r="HM854" s="13"/>
      <c r="HN854" s="13"/>
      <c r="HO854" s="13"/>
      <c r="HP854" s="13"/>
      <c r="HQ854" s="13"/>
      <c r="HR854" s="13"/>
      <c r="HS854" s="13"/>
      <c r="HT854" s="13"/>
      <c r="HU854" s="18"/>
      <c r="HV854" s="18"/>
      <c r="HW854" s="18"/>
      <c r="HX854" s="18"/>
      <c r="HY854" s="18"/>
      <c r="HZ854" s="18"/>
      <c r="IA854" s="18"/>
      <c r="IB854" s="18"/>
      <c r="IC854" s="18"/>
      <c r="ID854" s="18"/>
      <c r="IE854" s="18"/>
      <c r="IF854" s="18"/>
      <c r="IG854" s="18"/>
      <c r="IH854" s="18"/>
      <c r="II854" s="18"/>
      <c r="IJ854" s="18"/>
      <c r="IK854" s="18"/>
      <c r="IL854" s="18"/>
      <c r="IM854" s="18"/>
      <c r="IN854" s="18"/>
      <c r="IO854" s="18"/>
      <c r="IP854" s="18"/>
      <c r="IQ854" s="18"/>
      <c r="IR854" s="18"/>
      <c r="IS854" s="18"/>
      <c r="IT854" s="18"/>
      <c r="IU854" s="18"/>
      <c r="IV854" s="18"/>
      <c r="IW854" s="18"/>
      <c r="IX854" s="18"/>
      <c r="IY854" s="18"/>
      <c r="IZ854" s="18"/>
      <c r="JA854" s="18"/>
      <c r="JB854" s="18"/>
      <c r="JC854" s="18"/>
      <c r="JD854" s="18"/>
      <c r="JE854" s="18"/>
      <c r="JF854" s="18"/>
      <c r="JG854" s="18"/>
      <c r="JH854" s="18"/>
      <c r="JI854" s="18"/>
      <c r="JJ854" s="18"/>
      <c r="JK854" s="18"/>
      <c r="JL854" s="18"/>
      <c r="JM854" s="18"/>
      <c r="JN854" s="18"/>
      <c r="JO854" s="18"/>
      <c r="JP854" s="18"/>
      <c r="JQ854" s="18"/>
      <c r="JR854" s="18"/>
      <c r="JS854" s="18"/>
      <c r="JT854" s="18"/>
      <c r="JU854" s="18"/>
      <c r="JV854" s="18"/>
      <c r="JW854" s="18"/>
      <c r="JX854" s="18"/>
      <c r="JY854" s="18"/>
      <c r="JZ854" s="18"/>
      <c r="KA854" s="18"/>
      <c r="KB854" s="18"/>
      <c r="KC854" s="18"/>
      <c r="KD854" s="18"/>
      <c r="KE854" s="18"/>
      <c r="KF854" s="18"/>
      <c r="KG854" s="18"/>
      <c r="KH854" s="18"/>
      <c r="KI854" s="18"/>
      <c r="KJ854" s="18"/>
      <c r="KK854" s="18"/>
      <c r="KL854" s="18"/>
      <c r="KM854" s="18"/>
      <c r="KN854" s="18"/>
      <c r="KO854" s="18"/>
      <c r="KP854" s="18"/>
    </row>
    <row r="855" spans="1:302">
      <c r="A855" s="14"/>
      <c r="B855" s="14"/>
      <c r="F855" s="14"/>
      <c r="G855" s="23"/>
      <c r="H855" s="23"/>
      <c r="I855" s="23"/>
      <c r="J855" s="23"/>
      <c r="K855" s="14"/>
      <c r="L855" s="14"/>
      <c r="P855" s="14"/>
      <c r="AG855" s="44"/>
      <c r="AH855" s="44"/>
      <c r="AI855" s="45"/>
      <c r="AJ855" s="44"/>
      <c r="AK855" s="43"/>
      <c r="AS855" s="14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  <c r="EW855" s="18"/>
      <c r="EX855" s="18"/>
      <c r="EY855" s="18"/>
      <c r="EZ855" s="18"/>
      <c r="FA855" s="18"/>
      <c r="FB855" s="18"/>
      <c r="FC855" s="18"/>
      <c r="FD855" s="18"/>
      <c r="FE855" s="18"/>
      <c r="FF855" s="18"/>
      <c r="FG855" s="18"/>
      <c r="FH855" s="18"/>
      <c r="FI855" s="18"/>
      <c r="FJ855" s="18"/>
      <c r="FK855" s="18"/>
      <c r="FL855" s="18"/>
      <c r="FM855" s="18"/>
      <c r="FN855" s="18"/>
      <c r="FO855" s="18"/>
      <c r="FP855" s="18"/>
      <c r="FQ855" s="18"/>
      <c r="FR855" s="18"/>
      <c r="FS855" s="18"/>
      <c r="FT855" s="18"/>
      <c r="FU855" s="18"/>
      <c r="FV855" s="18"/>
      <c r="FW855" s="18"/>
      <c r="FX855" s="18"/>
      <c r="FY855" s="18"/>
      <c r="FZ855" s="18"/>
      <c r="GA855" s="18"/>
      <c r="GB855" s="18"/>
      <c r="GC855" s="18"/>
      <c r="GD855" s="18"/>
      <c r="GE855" s="18"/>
      <c r="GF855" s="18"/>
      <c r="GG855" s="18"/>
      <c r="GH855" s="18"/>
      <c r="GI855" s="18"/>
      <c r="GJ855" s="18"/>
      <c r="GK855" s="18"/>
      <c r="GL855" s="18"/>
      <c r="GM855" s="18"/>
      <c r="GN855" s="18"/>
      <c r="GO855" s="18"/>
      <c r="GP855" s="18"/>
      <c r="GQ855" s="18"/>
      <c r="GR855" s="18"/>
      <c r="GS855" s="18"/>
      <c r="GT855" s="18"/>
      <c r="GU855" s="18"/>
      <c r="GV855" s="18"/>
      <c r="GW855" s="18"/>
      <c r="GX855" s="18"/>
      <c r="GY855" s="18"/>
      <c r="GZ855" s="18"/>
      <c r="HA855" s="18"/>
      <c r="HB855" s="18"/>
      <c r="HC855" s="18"/>
      <c r="HD855" s="18"/>
      <c r="HE855" s="18"/>
      <c r="HF855" s="18"/>
      <c r="HG855" s="13"/>
      <c r="HH855" s="13"/>
      <c r="HI855" s="13"/>
      <c r="HJ855" s="13"/>
      <c r="HK855" s="13"/>
      <c r="HL855" s="13"/>
      <c r="HM855" s="13"/>
      <c r="HN855" s="13"/>
      <c r="HO855" s="13"/>
      <c r="HP855" s="13"/>
      <c r="HQ855" s="13"/>
      <c r="HR855" s="13"/>
      <c r="HS855" s="13"/>
      <c r="HT855" s="13"/>
      <c r="HU855" s="18"/>
      <c r="HV855" s="18"/>
      <c r="HW855" s="18"/>
      <c r="HX855" s="18"/>
      <c r="HY855" s="18"/>
      <c r="HZ855" s="18"/>
      <c r="IA855" s="18"/>
      <c r="IB855" s="18"/>
      <c r="IC855" s="18"/>
      <c r="ID855" s="18"/>
      <c r="IE855" s="18"/>
      <c r="IF855" s="18"/>
      <c r="IG855" s="18"/>
      <c r="IH855" s="18"/>
      <c r="II855" s="18"/>
      <c r="IJ855" s="18"/>
      <c r="IK855" s="18"/>
      <c r="IL855" s="18"/>
      <c r="IM855" s="18"/>
      <c r="IN855" s="18"/>
      <c r="IO855" s="18"/>
      <c r="IP855" s="18"/>
      <c r="IQ855" s="18"/>
      <c r="IR855" s="18"/>
      <c r="IS855" s="18"/>
      <c r="IT855" s="18"/>
      <c r="IU855" s="18"/>
      <c r="IV855" s="18"/>
      <c r="IW855" s="18"/>
      <c r="IX855" s="18"/>
      <c r="IY855" s="18"/>
      <c r="IZ855" s="18"/>
      <c r="JA855" s="18"/>
      <c r="JB855" s="18"/>
      <c r="JC855" s="18"/>
      <c r="JD855" s="18"/>
      <c r="JE855" s="18"/>
      <c r="JF855" s="18"/>
      <c r="JG855" s="18"/>
      <c r="JH855" s="18"/>
      <c r="JI855" s="18"/>
      <c r="JJ855" s="18"/>
      <c r="JK855" s="18"/>
      <c r="JL855" s="18"/>
      <c r="JM855" s="18"/>
      <c r="JN855" s="18"/>
      <c r="JO855" s="18"/>
      <c r="JP855" s="18"/>
      <c r="JQ855" s="18"/>
      <c r="JR855" s="18"/>
      <c r="JS855" s="18"/>
      <c r="JT855" s="18"/>
      <c r="JU855" s="18"/>
      <c r="JV855" s="18"/>
      <c r="JW855" s="18"/>
      <c r="JX855" s="18"/>
      <c r="JY855" s="18"/>
      <c r="JZ855" s="18"/>
      <c r="KA855" s="18"/>
      <c r="KB855" s="18"/>
      <c r="KC855" s="18"/>
      <c r="KD855" s="18"/>
      <c r="KE855" s="18"/>
      <c r="KF855" s="18"/>
      <c r="KG855" s="18"/>
      <c r="KH855" s="18"/>
      <c r="KI855" s="18"/>
      <c r="KJ855" s="18"/>
      <c r="KK855" s="18"/>
      <c r="KL855" s="18"/>
      <c r="KM855" s="18"/>
      <c r="KN855" s="18"/>
      <c r="KO855" s="18"/>
      <c r="KP855" s="18"/>
    </row>
    <row r="856" spans="1:302">
      <c r="A856" s="14"/>
      <c r="B856" s="14"/>
      <c r="F856" s="14"/>
      <c r="G856" s="23"/>
      <c r="H856" s="23"/>
      <c r="I856" s="23"/>
      <c r="J856" s="23"/>
      <c r="K856" s="14"/>
      <c r="L856" s="14"/>
      <c r="P856" s="14"/>
      <c r="AG856" s="44"/>
      <c r="AH856" s="44"/>
      <c r="AI856" s="45"/>
      <c r="AJ856" s="44"/>
      <c r="AK856" s="43"/>
      <c r="AS856" s="14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  <c r="EW856" s="18"/>
      <c r="EX856" s="18"/>
      <c r="EY856" s="18"/>
      <c r="EZ856" s="18"/>
      <c r="FA856" s="18"/>
      <c r="FB856" s="18"/>
      <c r="FC856" s="18"/>
      <c r="FD856" s="18"/>
      <c r="FE856" s="18"/>
      <c r="FF856" s="18"/>
      <c r="FG856" s="18"/>
      <c r="FH856" s="18"/>
      <c r="FI856" s="18"/>
      <c r="FJ856" s="18"/>
      <c r="FK856" s="18"/>
      <c r="FL856" s="18"/>
      <c r="FM856" s="18"/>
      <c r="FN856" s="18"/>
      <c r="FO856" s="18"/>
      <c r="FP856" s="18"/>
      <c r="FQ856" s="18"/>
      <c r="FR856" s="18"/>
      <c r="FS856" s="18"/>
      <c r="FT856" s="18"/>
      <c r="FU856" s="18"/>
      <c r="FV856" s="18"/>
      <c r="FW856" s="18"/>
      <c r="FX856" s="18"/>
      <c r="FY856" s="18"/>
      <c r="FZ856" s="18"/>
      <c r="GA856" s="18"/>
      <c r="GB856" s="18"/>
      <c r="GC856" s="18"/>
      <c r="GD856" s="18"/>
      <c r="GE856" s="18"/>
      <c r="GF856" s="18"/>
      <c r="GG856" s="18"/>
      <c r="GH856" s="18"/>
      <c r="GI856" s="18"/>
      <c r="GJ856" s="18"/>
      <c r="GK856" s="18"/>
      <c r="GL856" s="18"/>
      <c r="GM856" s="18"/>
      <c r="GN856" s="18"/>
      <c r="GO856" s="18"/>
      <c r="GP856" s="18"/>
      <c r="GQ856" s="18"/>
      <c r="GR856" s="18"/>
      <c r="GS856" s="18"/>
      <c r="GT856" s="18"/>
      <c r="GU856" s="18"/>
      <c r="GV856" s="18"/>
      <c r="GW856" s="18"/>
      <c r="GX856" s="18"/>
      <c r="GY856" s="18"/>
      <c r="GZ856" s="18"/>
      <c r="HA856" s="18"/>
      <c r="HB856" s="18"/>
      <c r="HC856" s="18"/>
      <c r="HD856" s="18"/>
      <c r="HE856" s="18"/>
      <c r="HF856" s="18"/>
      <c r="HG856" s="13"/>
      <c r="HH856" s="13"/>
      <c r="HI856" s="13"/>
      <c r="HJ856" s="13"/>
      <c r="HK856" s="13"/>
      <c r="HL856" s="13"/>
      <c r="HM856" s="13"/>
      <c r="HN856" s="13"/>
      <c r="HO856" s="13"/>
      <c r="HP856" s="13"/>
      <c r="HQ856" s="13"/>
      <c r="HR856" s="13"/>
      <c r="HS856" s="13"/>
      <c r="HT856" s="13"/>
      <c r="HU856" s="18"/>
      <c r="HV856" s="18"/>
      <c r="HW856" s="18"/>
      <c r="HX856" s="18"/>
      <c r="HY856" s="18"/>
      <c r="HZ856" s="18"/>
      <c r="IA856" s="18"/>
      <c r="IB856" s="18"/>
      <c r="IC856" s="18"/>
      <c r="ID856" s="18"/>
      <c r="IE856" s="18"/>
      <c r="IF856" s="18"/>
      <c r="IG856" s="18"/>
      <c r="IH856" s="18"/>
      <c r="II856" s="18"/>
      <c r="IJ856" s="18"/>
      <c r="IK856" s="18"/>
      <c r="IL856" s="18"/>
      <c r="IM856" s="18"/>
      <c r="IN856" s="18"/>
      <c r="IO856" s="18"/>
      <c r="IP856" s="18"/>
      <c r="IQ856" s="18"/>
      <c r="IR856" s="18"/>
      <c r="IS856" s="18"/>
      <c r="IT856" s="18"/>
      <c r="IU856" s="18"/>
      <c r="IV856" s="18"/>
      <c r="IW856" s="18"/>
      <c r="IX856" s="18"/>
      <c r="IY856" s="18"/>
      <c r="IZ856" s="18"/>
      <c r="JA856" s="18"/>
      <c r="JB856" s="18"/>
      <c r="JC856" s="18"/>
      <c r="JD856" s="18"/>
      <c r="JE856" s="18"/>
      <c r="JF856" s="18"/>
      <c r="JG856" s="18"/>
      <c r="JH856" s="18"/>
      <c r="JI856" s="18"/>
      <c r="JJ856" s="18"/>
      <c r="JK856" s="18"/>
      <c r="JL856" s="18"/>
      <c r="JM856" s="18"/>
      <c r="JN856" s="18"/>
      <c r="JO856" s="18"/>
      <c r="JP856" s="18"/>
      <c r="JQ856" s="18"/>
      <c r="JR856" s="18"/>
      <c r="JS856" s="18"/>
      <c r="JT856" s="18"/>
      <c r="JU856" s="18"/>
      <c r="JV856" s="18"/>
      <c r="JW856" s="18"/>
      <c r="JX856" s="18"/>
      <c r="JY856" s="18"/>
      <c r="JZ856" s="18"/>
      <c r="KA856" s="18"/>
      <c r="KB856" s="18"/>
      <c r="KC856" s="18"/>
      <c r="KD856" s="18"/>
      <c r="KE856" s="18"/>
      <c r="KF856" s="18"/>
      <c r="KG856" s="18"/>
      <c r="KH856" s="18"/>
      <c r="KI856" s="18"/>
      <c r="KJ856" s="18"/>
      <c r="KK856" s="18"/>
      <c r="KL856" s="18"/>
      <c r="KM856" s="18"/>
      <c r="KN856" s="18"/>
      <c r="KO856" s="18"/>
      <c r="KP856" s="18"/>
    </row>
    <row r="857" spans="1:302">
      <c r="A857" s="14"/>
      <c r="B857" s="14"/>
      <c r="F857" s="14"/>
      <c r="G857" s="23"/>
      <c r="H857" s="23"/>
      <c r="I857" s="23"/>
      <c r="J857" s="23"/>
      <c r="K857" s="14"/>
      <c r="L857" s="14"/>
      <c r="P857" s="14"/>
      <c r="AG857" s="44"/>
      <c r="AH857" s="44"/>
      <c r="AI857" s="45"/>
      <c r="AJ857" s="44"/>
      <c r="AK857" s="43"/>
      <c r="AS857" s="14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  <c r="FR857" s="18"/>
      <c r="FS857" s="18"/>
      <c r="FT857" s="18"/>
      <c r="FU857" s="18"/>
      <c r="FV857" s="18"/>
      <c r="FW857" s="18"/>
      <c r="FX857" s="18"/>
      <c r="FY857" s="18"/>
      <c r="FZ857" s="18"/>
      <c r="GA857" s="18"/>
      <c r="GB857" s="18"/>
      <c r="GC857" s="18"/>
      <c r="GD857" s="18"/>
      <c r="GE857" s="18"/>
      <c r="GF857" s="18"/>
      <c r="GG857" s="18"/>
      <c r="GH857" s="18"/>
      <c r="GI857" s="18"/>
      <c r="GJ857" s="18"/>
      <c r="GK857" s="18"/>
      <c r="GL857" s="18"/>
      <c r="GM857" s="18"/>
      <c r="GN857" s="18"/>
      <c r="GO857" s="18"/>
      <c r="GP857" s="18"/>
      <c r="GQ857" s="18"/>
      <c r="GR857" s="18"/>
      <c r="GS857" s="18"/>
      <c r="GT857" s="18"/>
      <c r="GU857" s="18"/>
      <c r="GV857" s="18"/>
      <c r="GW857" s="18"/>
      <c r="GX857" s="18"/>
      <c r="GY857" s="18"/>
      <c r="GZ857" s="18"/>
      <c r="HA857" s="18"/>
      <c r="HB857" s="18"/>
      <c r="HC857" s="18"/>
      <c r="HD857" s="18"/>
      <c r="HE857" s="18"/>
      <c r="HF857" s="18"/>
      <c r="HG857" s="13"/>
      <c r="HH857" s="13"/>
      <c r="HI857" s="13"/>
      <c r="HJ857" s="13"/>
      <c r="HK857" s="13"/>
      <c r="HL857" s="13"/>
      <c r="HM857" s="13"/>
      <c r="HN857" s="13"/>
      <c r="HO857" s="13"/>
      <c r="HP857" s="13"/>
      <c r="HQ857" s="13"/>
      <c r="HR857" s="13"/>
      <c r="HS857" s="13"/>
      <c r="HT857" s="13"/>
      <c r="HU857" s="18"/>
      <c r="HV857" s="18"/>
      <c r="HW857" s="18"/>
      <c r="HX857" s="18"/>
      <c r="HY857" s="18"/>
      <c r="HZ857" s="18"/>
      <c r="IA857" s="18"/>
      <c r="IB857" s="18"/>
      <c r="IC857" s="18"/>
      <c r="ID857" s="18"/>
      <c r="IE857" s="18"/>
      <c r="IF857" s="18"/>
      <c r="IG857" s="18"/>
      <c r="IH857" s="18"/>
      <c r="II857" s="18"/>
      <c r="IJ857" s="18"/>
      <c r="IK857" s="18"/>
      <c r="IL857" s="18"/>
      <c r="IM857" s="18"/>
      <c r="IN857" s="18"/>
      <c r="IO857" s="18"/>
      <c r="IP857" s="18"/>
      <c r="IQ857" s="18"/>
      <c r="IR857" s="18"/>
      <c r="IS857" s="18"/>
      <c r="IT857" s="18"/>
      <c r="IU857" s="18"/>
      <c r="IV857" s="18"/>
      <c r="IW857" s="18"/>
      <c r="IX857" s="18"/>
      <c r="IY857" s="18"/>
      <c r="IZ857" s="18"/>
      <c r="JA857" s="18"/>
      <c r="JB857" s="18"/>
      <c r="JC857" s="18"/>
      <c r="JD857" s="18"/>
      <c r="JE857" s="18"/>
      <c r="JF857" s="18"/>
      <c r="JG857" s="18"/>
      <c r="JH857" s="18"/>
      <c r="JI857" s="18"/>
      <c r="JJ857" s="18"/>
      <c r="JK857" s="18"/>
      <c r="JL857" s="18"/>
      <c r="JM857" s="18"/>
      <c r="JN857" s="18"/>
      <c r="JO857" s="18"/>
      <c r="JP857" s="18"/>
      <c r="JQ857" s="18"/>
      <c r="JR857" s="18"/>
      <c r="JS857" s="18"/>
      <c r="JT857" s="18"/>
      <c r="JU857" s="18"/>
      <c r="JV857" s="18"/>
      <c r="JW857" s="18"/>
      <c r="JX857" s="18"/>
      <c r="JY857" s="18"/>
      <c r="JZ857" s="18"/>
      <c r="KA857" s="18"/>
      <c r="KB857" s="18"/>
      <c r="KC857" s="18"/>
      <c r="KD857" s="18"/>
      <c r="KE857" s="18"/>
      <c r="KF857" s="18"/>
      <c r="KG857" s="18"/>
      <c r="KH857" s="18"/>
      <c r="KI857" s="18"/>
      <c r="KJ857" s="18"/>
      <c r="KK857" s="18"/>
      <c r="KL857" s="18"/>
      <c r="KM857" s="18"/>
      <c r="KN857" s="18"/>
      <c r="KO857" s="18"/>
      <c r="KP857" s="18"/>
    </row>
    <row r="858" spans="1:302">
      <c r="A858" s="14"/>
      <c r="B858" s="14"/>
      <c r="F858" s="14"/>
      <c r="G858" s="23"/>
      <c r="H858" s="23"/>
      <c r="I858" s="23"/>
      <c r="J858" s="23"/>
      <c r="K858" s="14"/>
      <c r="L858" s="14"/>
      <c r="P858" s="14"/>
      <c r="AG858" s="44"/>
      <c r="AH858" s="44"/>
      <c r="AI858" s="45"/>
      <c r="AJ858" s="44"/>
      <c r="AK858" s="43"/>
      <c r="AS858" s="14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  <c r="FR858" s="18"/>
      <c r="FS858" s="18"/>
      <c r="FT858" s="18"/>
      <c r="FU858" s="18"/>
      <c r="FV858" s="18"/>
      <c r="FW858" s="18"/>
      <c r="FX858" s="18"/>
      <c r="FY858" s="18"/>
      <c r="FZ858" s="18"/>
      <c r="GA858" s="18"/>
      <c r="GB858" s="18"/>
      <c r="GC858" s="18"/>
      <c r="GD858" s="18"/>
      <c r="GE858" s="18"/>
      <c r="GF858" s="18"/>
      <c r="GG858" s="18"/>
      <c r="GH858" s="18"/>
      <c r="GI858" s="18"/>
      <c r="GJ858" s="18"/>
      <c r="GK858" s="18"/>
      <c r="GL858" s="18"/>
      <c r="GM858" s="18"/>
      <c r="GN858" s="18"/>
      <c r="GO858" s="18"/>
      <c r="GP858" s="18"/>
      <c r="GQ858" s="18"/>
      <c r="GR858" s="18"/>
      <c r="GS858" s="18"/>
      <c r="GT858" s="18"/>
      <c r="GU858" s="18"/>
      <c r="GV858" s="18"/>
      <c r="GW858" s="18"/>
      <c r="GX858" s="18"/>
      <c r="GY858" s="18"/>
      <c r="GZ858" s="18"/>
      <c r="HA858" s="18"/>
      <c r="HB858" s="18"/>
      <c r="HC858" s="18"/>
      <c r="HD858" s="18"/>
      <c r="HE858" s="18"/>
      <c r="HF858" s="18"/>
      <c r="HG858" s="13"/>
      <c r="HH858" s="13"/>
      <c r="HI858" s="13"/>
      <c r="HJ858" s="13"/>
      <c r="HK858" s="13"/>
      <c r="HL858" s="13"/>
      <c r="HM858" s="13"/>
      <c r="HN858" s="13"/>
      <c r="HO858" s="13"/>
      <c r="HP858" s="13"/>
      <c r="HQ858" s="13"/>
      <c r="HR858" s="13"/>
      <c r="HS858" s="13"/>
      <c r="HT858" s="13"/>
      <c r="HU858" s="18"/>
      <c r="HV858" s="18"/>
      <c r="HW858" s="18"/>
      <c r="HX858" s="18"/>
      <c r="HY858" s="18"/>
      <c r="HZ858" s="18"/>
      <c r="IA858" s="18"/>
      <c r="IB858" s="18"/>
      <c r="IC858" s="18"/>
      <c r="ID858" s="18"/>
      <c r="IE858" s="18"/>
      <c r="IF858" s="18"/>
      <c r="IG858" s="18"/>
      <c r="IH858" s="18"/>
      <c r="II858" s="18"/>
      <c r="IJ858" s="18"/>
      <c r="IK858" s="18"/>
      <c r="IL858" s="18"/>
      <c r="IM858" s="18"/>
      <c r="IN858" s="18"/>
      <c r="IO858" s="18"/>
      <c r="IP858" s="18"/>
      <c r="IQ858" s="18"/>
      <c r="IR858" s="18"/>
      <c r="IS858" s="18"/>
      <c r="IT858" s="18"/>
      <c r="IU858" s="18"/>
      <c r="IV858" s="18"/>
      <c r="IW858" s="18"/>
      <c r="IX858" s="18"/>
      <c r="IY858" s="18"/>
      <c r="IZ858" s="18"/>
      <c r="JA858" s="18"/>
      <c r="JB858" s="18"/>
      <c r="JC858" s="18"/>
      <c r="JD858" s="18"/>
      <c r="JE858" s="18"/>
      <c r="JF858" s="18"/>
      <c r="JG858" s="18"/>
      <c r="JH858" s="18"/>
      <c r="JI858" s="18"/>
      <c r="JJ858" s="18"/>
      <c r="JK858" s="18"/>
      <c r="JL858" s="18"/>
      <c r="JM858" s="18"/>
      <c r="JN858" s="18"/>
      <c r="JO858" s="18"/>
      <c r="JP858" s="18"/>
      <c r="JQ858" s="18"/>
      <c r="JR858" s="18"/>
      <c r="JS858" s="18"/>
      <c r="JT858" s="18"/>
      <c r="JU858" s="18"/>
      <c r="JV858" s="18"/>
      <c r="JW858" s="18"/>
      <c r="JX858" s="18"/>
      <c r="JY858" s="18"/>
      <c r="JZ858" s="18"/>
      <c r="KA858" s="18"/>
      <c r="KB858" s="18"/>
      <c r="KC858" s="18"/>
      <c r="KD858" s="18"/>
      <c r="KE858" s="18"/>
      <c r="KF858" s="18"/>
      <c r="KG858" s="18"/>
      <c r="KH858" s="18"/>
      <c r="KI858" s="18"/>
      <c r="KJ858" s="18"/>
      <c r="KK858" s="18"/>
      <c r="KL858" s="18"/>
      <c r="KM858" s="18"/>
      <c r="KN858" s="18"/>
      <c r="KO858" s="18"/>
      <c r="KP858" s="18"/>
    </row>
    <row r="859" spans="1:302">
      <c r="A859" s="14"/>
      <c r="B859" s="14"/>
      <c r="F859" s="14"/>
      <c r="G859" s="23"/>
      <c r="H859" s="23"/>
      <c r="I859" s="23"/>
      <c r="J859" s="23"/>
      <c r="K859" s="14"/>
      <c r="L859" s="14"/>
      <c r="P859" s="14"/>
      <c r="AG859" s="44"/>
      <c r="AH859" s="44"/>
      <c r="AI859" s="45"/>
      <c r="AJ859" s="44"/>
      <c r="AK859" s="43"/>
      <c r="AS859" s="14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  <c r="EW859" s="18"/>
      <c r="EX859" s="18"/>
      <c r="EY859" s="18"/>
      <c r="EZ859" s="18"/>
      <c r="FA859" s="18"/>
      <c r="FB859" s="18"/>
      <c r="FC859" s="18"/>
      <c r="FD859" s="18"/>
      <c r="FE859" s="18"/>
      <c r="FF859" s="18"/>
      <c r="FG859" s="18"/>
      <c r="FH859" s="18"/>
      <c r="FI859" s="18"/>
      <c r="FJ859" s="18"/>
      <c r="FK859" s="18"/>
      <c r="FL859" s="18"/>
      <c r="FM859" s="18"/>
      <c r="FN859" s="18"/>
      <c r="FO859" s="18"/>
      <c r="FP859" s="18"/>
      <c r="FQ859" s="18"/>
      <c r="FR859" s="18"/>
      <c r="FS859" s="18"/>
      <c r="FT859" s="18"/>
      <c r="FU859" s="18"/>
      <c r="FV859" s="18"/>
      <c r="FW859" s="18"/>
      <c r="FX859" s="18"/>
      <c r="FY859" s="18"/>
      <c r="FZ859" s="18"/>
      <c r="GA859" s="18"/>
      <c r="GB859" s="18"/>
      <c r="GC859" s="18"/>
      <c r="GD859" s="18"/>
      <c r="GE859" s="18"/>
      <c r="GF859" s="18"/>
      <c r="GG859" s="18"/>
      <c r="GH859" s="18"/>
      <c r="GI859" s="18"/>
      <c r="GJ859" s="18"/>
      <c r="GK859" s="18"/>
      <c r="GL859" s="18"/>
      <c r="GM859" s="18"/>
      <c r="GN859" s="18"/>
      <c r="GO859" s="18"/>
      <c r="GP859" s="18"/>
      <c r="GQ859" s="18"/>
      <c r="GR859" s="18"/>
      <c r="GS859" s="18"/>
      <c r="GT859" s="18"/>
      <c r="GU859" s="18"/>
      <c r="GV859" s="18"/>
      <c r="GW859" s="18"/>
      <c r="GX859" s="18"/>
      <c r="GY859" s="18"/>
      <c r="GZ859" s="18"/>
      <c r="HA859" s="18"/>
      <c r="HB859" s="18"/>
      <c r="HC859" s="18"/>
      <c r="HD859" s="18"/>
      <c r="HE859" s="18"/>
      <c r="HF859" s="18"/>
      <c r="HG859" s="13"/>
      <c r="HH859" s="13"/>
      <c r="HI859" s="13"/>
      <c r="HJ859" s="13"/>
      <c r="HK859" s="13"/>
      <c r="HL859" s="13"/>
      <c r="HM859" s="13"/>
      <c r="HN859" s="13"/>
      <c r="HO859" s="13"/>
      <c r="HP859" s="13"/>
      <c r="HQ859" s="13"/>
      <c r="HR859" s="13"/>
      <c r="HS859" s="13"/>
      <c r="HT859" s="13"/>
      <c r="HU859" s="18"/>
      <c r="HV859" s="18"/>
      <c r="HW859" s="18"/>
      <c r="HX859" s="18"/>
      <c r="HY859" s="18"/>
      <c r="HZ859" s="18"/>
      <c r="IA859" s="18"/>
      <c r="IB859" s="18"/>
      <c r="IC859" s="18"/>
      <c r="ID859" s="18"/>
      <c r="IE859" s="18"/>
      <c r="IF859" s="18"/>
      <c r="IG859" s="18"/>
      <c r="IH859" s="18"/>
      <c r="II859" s="18"/>
      <c r="IJ859" s="18"/>
      <c r="IK859" s="18"/>
      <c r="IL859" s="18"/>
      <c r="IM859" s="18"/>
      <c r="IN859" s="18"/>
      <c r="IO859" s="18"/>
      <c r="IP859" s="18"/>
      <c r="IQ859" s="18"/>
      <c r="IR859" s="18"/>
      <c r="IS859" s="18"/>
      <c r="IT859" s="18"/>
      <c r="IU859" s="18"/>
      <c r="IV859" s="18"/>
      <c r="IW859" s="18"/>
      <c r="IX859" s="18"/>
      <c r="IY859" s="18"/>
      <c r="IZ859" s="18"/>
      <c r="JA859" s="18"/>
      <c r="JB859" s="18"/>
      <c r="JC859" s="18"/>
      <c r="JD859" s="18"/>
      <c r="JE859" s="18"/>
      <c r="JF859" s="18"/>
      <c r="JG859" s="18"/>
      <c r="JH859" s="18"/>
      <c r="JI859" s="18"/>
      <c r="JJ859" s="18"/>
      <c r="JK859" s="18"/>
      <c r="JL859" s="18"/>
      <c r="JM859" s="18"/>
      <c r="JN859" s="18"/>
      <c r="JO859" s="18"/>
      <c r="JP859" s="18"/>
      <c r="JQ859" s="18"/>
      <c r="JR859" s="18"/>
      <c r="JS859" s="18"/>
      <c r="JT859" s="18"/>
      <c r="JU859" s="18"/>
      <c r="JV859" s="18"/>
      <c r="JW859" s="18"/>
      <c r="JX859" s="18"/>
      <c r="JY859" s="18"/>
      <c r="JZ859" s="18"/>
      <c r="KA859" s="18"/>
      <c r="KB859" s="18"/>
      <c r="KC859" s="18"/>
      <c r="KD859" s="18"/>
      <c r="KE859" s="18"/>
      <c r="KF859" s="18"/>
      <c r="KG859" s="18"/>
      <c r="KH859" s="18"/>
      <c r="KI859" s="18"/>
      <c r="KJ859" s="18"/>
      <c r="KK859" s="18"/>
      <c r="KL859" s="18"/>
      <c r="KM859" s="18"/>
      <c r="KN859" s="18"/>
      <c r="KO859" s="18"/>
      <c r="KP859" s="18"/>
    </row>
    <row r="860" spans="1:302">
      <c r="A860" s="14"/>
      <c r="B860" s="14"/>
      <c r="F860" s="14"/>
      <c r="G860" s="23"/>
      <c r="H860" s="23"/>
      <c r="I860" s="23"/>
      <c r="J860" s="23"/>
      <c r="K860" s="14"/>
      <c r="L860" s="14"/>
      <c r="P860" s="14"/>
      <c r="AG860" s="44"/>
      <c r="AH860" s="44"/>
      <c r="AI860" s="45"/>
      <c r="AJ860" s="44"/>
      <c r="AK860" s="43"/>
      <c r="AS860" s="14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  <c r="FR860" s="18"/>
      <c r="FS860" s="18"/>
      <c r="FT860" s="18"/>
      <c r="FU860" s="18"/>
      <c r="FV860" s="18"/>
      <c r="FW860" s="18"/>
      <c r="FX860" s="18"/>
      <c r="FY860" s="18"/>
      <c r="FZ860" s="18"/>
      <c r="GA860" s="18"/>
      <c r="GB860" s="18"/>
      <c r="GC860" s="18"/>
      <c r="GD860" s="18"/>
      <c r="GE860" s="18"/>
      <c r="GF860" s="18"/>
      <c r="GG860" s="18"/>
      <c r="GH860" s="18"/>
      <c r="GI860" s="18"/>
      <c r="GJ860" s="18"/>
      <c r="GK860" s="18"/>
      <c r="GL860" s="18"/>
      <c r="GM860" s="18"/>
      <c r="GN860" s="18"/>
      <c r="GO860" s="18"/>
      <c r="GP860" s="18"/>
      <c r="GQ860" s="18"/>
      <c r="GR860" s="18"/>
      <c r="GS860" s="18"/>
      <c r="GT860" s="18"/>
      <c r="GU860" s="18"/>
      <c r="GV860" s="18"/>
      <c r="GW860" s="18"/>
      <c r="GX860" s="18"/>
      <c r="GY860" s="18"/>
      <c r="GZ860" s="18"/>
      <c r="HA860" s="18"/>
      <c r="HB860" s="18"/>
      <c r="HC860" s="18"/>
      <c r="HD860" s="18"/>
      <c r="HE860" s="18"/>
      <c r="HF860" s="18"/>
      <c r="HG860" s="13"/>
      <c r="HH860" s="13"/>
      <c r="HI860" s="13"/>
      <c r="HJ860" s="13"/>
      <c r="HK860" s="13"/>
      <c r="HL860" s="13"/>
      <c r="HM860" s="13"/>
      <c r="HN860" s="13"/>
      <c r="HO860" s="13"/>
      <c r="HP860" s="13"/>
      <c r="HQ860" s="13"/>
      <c r="HR860" s="13"/>
      <c r="HS860" s="13"/>
      <c r="HT860" s="13"/>
      <c r="HU860" s="18"/>
      <c r="HV860" s="18"/>
      <c r="HW860" s="18"/>
      <c r="HX860" s="18"/>
      <c r="HY860" s="18"/>
      <c r="HZ860" s="18"/>
      <c r="IA860" s="18"/>
      <c r="IB860" s="18"/>
      <c r="IC860" s="18"/>
      <c r="ID860" s="18"/>
      <c r="IE860" s="18"/>
      <c r="IF860" s="18"/>
      <c r="IG860" s="18"/>
      <c r="IH860" s="18"/>
      <c r="II860" s="18"/>
      <c r="IJ860" s="18"/>
      <c r="IK860" s="18"/>
      <c r="IL860" s="18"/>
      <c r="IM860" s="18"/>
      <c r="IN860" s="18"/>
      <c r="IO860" s="18"/>
      <c r="IP860" s="18"/>
      <c r="IQ860" s="18"/>
      <c r="IR860" s="18"/>
      <c r="IS860" s="18"/>
      <c r="IT860" s="18"/>
      <c r="IU860" s="18"/>
      <c r="IV860" s="18"/>
      <c r="IW860" s="18"/>
      <c r="IX860" s="18"/>
      <c r="IY860" s="18"/>
      <c r="IZ860" s="18"/>
      <c r="JA860" s="18"/>
      <c r="JB860" s="18"/>
      <c r="JC860" s="18"/>
      <c r="JD860" s="18"/>
      <c r="JE860" s="18"/>
      <c r="JF860" s="18"/>
      <c r="JG860" s="18"/>
      <c r="JH860" s="18"/>
      <c r="JI860" s="18"/>
      <c r="JJ860" s="18"/>
      <c r="JK860" s="18"/>
      <c r="JL860" s="18"/>
      <c r="JM860" s="18"/>
      <c r="JN860" s="18"/>
      <c r="JO860" s="18"/>
      <c r="JP860" s="18"/>
      <c r="JQ860" s="18"/>
      <c r="JR860" s="18"/>
      <c r="JS860" s="18"/>
      <c r="JT860" s="18"/>
      <c r="JU860" s="18"/>
      <c r="JV860" s="18"/>
      <c r="JW860" s="18"/>
      <c r="JX860" s="18"/>
      <c r="JY860" s="18"/>
      <c r="JZ860" s="18"/>
      <c r="KA860" s="18"/>
      <c r="KB860" s="18"/>
      <c r="KC860" s="18"/>
      <c r="KD860" s="18"/>
      <c r="KE860" s="18"/>
      <c r="KF860" s="18"/>
      <c r="KG860" s="18"/>
      <c r="KH860" s="18"/>
      <c r="KI860" s="18"/>
      <c r="KJ860" s="18"/>
      <c r="KK860" s="18"/>
      <c r="KL860" s="18"/>
      <c r="KM860" s="18"/>
      <c r="KN860" s="18"/>
      <c r="KO860" s="18"/>
      <c r="KP860" s="18"/>
    </row>
    <row r="861" spans="1:302">
      <c r="A861" s="14"/>
      <c r="B861" s="14"/>
      <c r="F861" s="14"/>
      <c r="G861" s="23"/>
      <c r="H861" s="23"/>
      <c r="I861" s="23"/>
      <c r="J861" s="23"/>
      <c r="K861" s="14"/>
      <c r="L861" s="14"/>
      <c r="P861" s="14"/>
      <c r="AG861" s="44"/>
      <c r="AH861" s="44"/>
      <c r="AI861" s="45"/>
      <c r="AJ861" s="44"/>
      <c r="AK861" s="43"/>
      <c r="AS861" s="14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  <c r="FR861" s="18"/>
      <c r="FS861" s="18"/>
      <c r="FT861" s="18"/>
      <c r="FU861" s="18"/>
      <c r="FV861" s="18"/>
      <c r="FW861" s="18"/>
      <c r="FX861" s="18"/>
      <c r="FY861" s="18"/>
      <c r="FZ861" s="18"/>
      <c r="GA861" s="18"/>
      <c r="GB861" s="18"/>
      <c r="GC861" s="18"/>
      <c r="GD861" s="18"/>
      <c r="GE861" s="18"/>
      <c r="GF861" s="18"/>
      <c r="GG861" s="18"/>
      <c r="GH861" s="18"/>
      <c r="GI861" s="18"/>
      <c r="GJ861" s="18"/>
      <c r="GK861" s="18"/>
      <c r="GL861" s="18"/>
      <c r="GM861" s="18"/>
      <c r="GN861" s="18"/>
      <c r="GO861" s="18"/>
      <c r="GP861" s="18"/>
      <c r="GQ861" s="18"/>
      <c r="GR861" s="18"/>
      <c r="GS861" s="18"/>
      <c r="GT861" s="18"/>
      <c r="GU861" s="18"/>
      <c r="GV861" s="18"/>
      <c r="GW861" s="18"/>
      <c r="GX861" s="18"/>
      <c r="GY861" s="18"/>
      <c r="GZ861" s="18"/>
      <c r="HA861" s="18"/>
      <c r="HB861" s="18"/>
      <c r="HC861" s="18"/>
      <c r="HD861" s="18"/>
      <c r="HE861" s="18"/>
      <c r="HF861" s="18"/>
      <c r="HG861" s="13"/>
      <c r="HH861" s="13"/>
      <c r="HI861" s="13"/>
      <c r="HJ861" s="13"/>
      <c r="HK861" s="13"/>
      <c r="HL861" s="13"/>
      <c r="HM861" s="13"/>
      <c r="HN861" s="13"/>
      <c r="HO861" s="13"/>
      <c r="HP861" s="13"/>
      <c r="HQ861" s="13"/>
      <c r="HR861" s="13"/>
      <c r="HS861" s="13"/>
      <c r="HT861" s="13"/>
      <c r="HU861" s="18"/>
      <c r="HV861" s="18"/>
      <c r="HW861" s="18"/>
      <c r="HX861" s="18"/>
      <c r="HY861" s="18"/>
      <c r="HZ861" s="18"/>
      <c r="IA861" s="18"/>
      <c r="IB861" s="18"/>
      <c r="IC861" s="18"/>
      <c r="ID861" s="18"/>
      <c r="IE861" s="18"/>
      <c r="IF861" s="18"/>
      <c r="IG861" s="18"/>
      <c r="IH861" s="18"/>
      <c r="II861" s="18"/>
      <c r="IJ861" s="18"/>
      <c r="IK861" s="18"/>
      <c r="IL861" s="18"/>
      <c r="IM861" s="18"/>
      <c r="IN861" s="18"/>
      <c r="IO861" s="18"/>
      <c r="IP861" s="18"/>
      <c r="IQ861" s="18"/>
      <c r="IR861" s="18"/>
      <c r="IS861" s="18"/>
      <c r="IT861" s="18"/>
      <c r="IU861" s="18"/>
      <c r="IV861" s="18"/>
      <c r="IW861" s="18"/>
      <c r="IX861" s="18"/>
      <c r="IY861" s="18"/>
      <c r="IZ861" s="18"/>
      <c r="JA861" s="18"/>
      <c r="JB861" s="18"/>
      <c r="JC861" s="18"/>
      <c r="JD861" s="18"/>
      <c r="JE861" s="18"/>
      <c r="JF861" s="18"/>
      <c r="JG861" s="18"/>
      <c r="JH861" s="18"/>
      <c r="JI861" s="18"/>
      <c r="JJ861" s="18"/>
      <c r="JK861" s="18"/>
      <c r="JL861" s="18"/>
      <c r="JM861" s="18"/>
      <c r="JN861" s="18"/>
      <c r="JO861" s="18"/>
      <c r="JP861" s="18"/>
      <c r="JQ861" s="18"/>
      <c r="JR861" s="18"/>
      <c r="JS861" s="18"/>
      <c r="JT861" s="18"/>
      <c r="JU861" s="18"/>
      <c r="JV861" s="18"/>
      <c r="JW861" s="18"/>
      <c r="JX861" s="18"/>
      <c r="JY861" s="18"/>
      <c r="JZ861" s="18"/>
      <c r="KA861" s="18"/>
      <c r="KB861" s="18"/>
      <c r="KC861" s="18"/>
      <c r="KD861" s="18"/>
      <c r="KE861" s="18"/>
      <c r="KF861" s="18"/>
      <c r="KG861" s="18"/>
      <c r="KH861" s="18"/>
      <c r="KI861" s="18"/>
      <c r="KJ861" s="18"/>
      <c r="KK861" s="18"/>
      <c r="KL861" s="18"/>
      <c r="KM861" s="18"/>
      <c r="KN861" s="18"/>
      <c r="KO861" s="18"/>
      <c r="KP861" s="18"/>
    </row>
    <row r="862" spans="1:302">
      <c r="A862" s="14"/>
      <c r="B862" s="14"/>
      <c r="F862" s="14"/>
      <c r="G862" s="23"/>
      <c r="H862" s="23"/>
      <c r="I862" s="23"/>
      <c r="J862" s="23"/>
      <c r="K862" s="14"/>
      <c r="L862" s="14"/>
      <c r="P862" s="14"/>
      <c r="AG862" s="44"/>
      <c r="AH862" s="44"/>
      <c r="AI862" s="45"/>
      <c r="AJ862" s="44"/>
      <c r="AK862" s="43"/>
      <c r="AS862" s="14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  <c r="FR862" s="18"/>
      <c r="FS862" s="18"/>
      <c r="FT862" s="18"/>
      <c r="FU862" s="18"/>
      <c r="FV862" s="18"/>
      <c r="FW862" s="18"/>
      <c r="FX862" s="18"/>
      <c r="FY862" s="18"/>
      <c r="FZ862" s="18"/>
      <c r="GA862" s="18"/>
      <c r="GB862" s="18"/>
      <c r="GC862" s="18"/>
      <c r="GD862" s="18"/>
      <c r="GE862" s="18"/>
      <c r="GF862" s="18"/>
      <c r="GG862" s="18"/>
      <c r="GH862" s="18"/>
      <c r="GI862" s="18"/>
      <c r="GJ862" s="18"/>
      <c r="GK862" s="18"/>
      <c r="GL862" s="18"/>
      <c r="GM862" s="18"/>
      <c r="GN862" s="18"/>
      <c r="GO862" s="18"/>
      <c r="GP862" s="18"/>
      <c r="GQ862" s="18"/>
      <c r="GR862" s="18"/>
      <c r="GS862" s="18"/>
      <c r="GT862" s="18"/>
      <c r="GU862" s="18"/>
      <c r="GV862" s="18"/>
      <c r="GW862" s="18"/>
      <c r="GX862" s="18"/>
      <c r="GY862" s="18"/>
      <c r="GZ862" s="18"/>
      <c r="HA862" s="18"/>
      <c r="HB862" s="18"/>
      <c r="HC862" s="18"/>
      <c r="HD862" s="18"/>
      <c r="HE862" s="18"/>
      <c r="HF862" s="18"/>
      <c r="HG862" s="13"/>
      <c r="HH862" s="13"/>
      <c r="HI862" s="13"/>
      <c r="HJ862" s="13"/>
      <c r="HK862" s="13"/>
      <c r="HL862" s="13"/>
      <c r="HM862" s="13"/>
      <c r="HN862" s="13"/>
      <c r="HO862" s="13"/>
      <c r="HP862" s="13"/>
      <c r="HQ862" s="13"/>
      <c r="HR862" s="13"/>
      <c r="HS862" s="13"/>
      <c r="HT862" s="13"/>
      <c r="HU862" s="18"/>
      <c r="HV862" s="18"/>
      <c r="HW862" s="18"/>
      <c r="HX862" s="18"/>
      <c r="HY862" s="18"/>
      <c r="HZ862" s="18"/>
      <c r="IA862" s="18"/>
      <c r="IB862" s="18"/>
      <c r="IC862" s="18"/>
      <c r="ID862" s="18"/>
      <c r="IE862" s="18"/>
      <c r="IF862" s="18"/>
      <c r="IG862" s="18"/>
      <c r="IH862" s="18"/>
      <c r="II862" s="18"/>
      <c r="IJ862" s="18"/>
      <c r="IK862" s="18"/>
      <c r="IL862" s="18"/>
      <c r="IM862" s="18"/>
      <c r="IN862" s="18"/>
      <c r="IO862" s="18"/>
      <c r="IP862" s="18"/>
      <c r="IQ862" s="18"/>
      <c r="IR862" s="18"/>
      <c r="IS862" s="18"/>
      <c r="IT862" s="18"/>
      <c r="IU862" s="18"/>
      <c r="IV862" s="18"/>
      <c r="IW862" s="18"/>
      <c r="IX862" s="18"/>
      <c r="IY862" s="18"/>
      <c r="IZ862" s="18"/>
      <c r="JA862" s="18"/>
      <c r="JB862" s="18"/>
      <c r="JC862" s="18"/>
      <c r="JD862" s="18"/>
      <c r="JE862" s="18"/>
      <c r="JF862" s="18"/>
      <c r="JG862" s="18"/>
      <c r="JH862" s="18"/>
      <c r="JI862" s="18"/>
      <c r="JJ862" s="18"/>
      <c r="JK862" s="18"/>
      <c r="JL862" s="18"/>
      <c r="JM862" s="18"/>
      <c r="JN862" s="18"/>
      <c r="JO862" s="18"/>
      <c r="JP862" s="18"/>
      <c r="JQ862" s="18"/>
      <c r="JR862" s="18"/>
      <c r="JS862" s="18"/>
      <c r="JT862" s="18"/>
      <c r="JU862" s="18"/>
      <c r="JV862" s="18"/>
      <c r="JW862" s="18"/>
      <c r="JX862" s="18"/>
      <c r="JY862" s="18"/>
      <c r="JZ862" s="18"/>
      <c r="KA862" s="18"/>
      <c r="KB862" s="18"/>
      <c r="KC862" s="18"/>
      <c r="KD862" s="18"/>
      <c r="KE862" s="18"/>
      <c r="KF862" s="18"/>
      <c r="KG862" s="18"/>
      <c r="KH862" s="18"/>
      <c r="KI862" s="18"/>
      <c r="KJ862" s="18"/>
      <c r="KK862" s="18"/>
      <c r="KL862" s="18"/>
      <c r="KM862" s="18"/>
      <c r="KN862" s="18"/>
      <c r="KO862" s="18"/>
      <c r="KP862" s="18"/>
    </row>
    <row r="863" spans="1:302">
      <c r="A863" s="14"/>
      <c r="B863" s="14"/>
      <c r="F863" s="14"/>
      <c r="G863" s="23"/>
      <c r="H863" s="23"/>
      <c r="I863" s="23"/>
      <c r="J863" s="23"/>
      <c r="K863" s="14"/>
      <c r="L863" s="14"/>
      <c r="P863" s="14"/>
      <c r="AG863" s="44"/>
      <c r="AH863" s="44"/>
      <c r="AI863" s="45"/>
      <c r="AJ863" s="44"/>
      <c r="AK863" s="43"/>
      <c r="AS863" s="14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  <c r="FR863" s="18"/>
      <c r="FS863" s="18"/>
      <c r="FT863" s="18"/>
      <c r="FU863" s="18"/>
      <c r="FV863" s="18"/>
      <c r="FW863" s="18"/>
      <c r="FX863" s="18"/>
      <c r="FY863" s="18"/>
      <c r="FZ863" s="18"/>
      <c r="GA863" s="18"/>
      <c r="GB863" s="18"/>
      <c r="GC863" s="18"/>
      <c r="GD863" s="18"/>
      <c r="GE863" s="18"/>
      <c r="GF863" s="18"/>
      <c r="GG863" s="18"/>
      <c r="GH863" s="18"/>
      <c r="GI863" s="18"/>
      <c r="GJ863" s="18"/>
      <c r="GK863" s="18"/>
      <c r="GL863" s="18"/>
      <c r="GM863" s="18"/>
      <c r="GN863" s="18"/>
      <c r="GO863" s="18"/>
      <c r="GP863" s="18"/>
      <c r="GQ863" s="18"/>
      <c r="GR863" s="18"/>
      <c r="GS863" s="18"/>
      <c r="GT863" s="18"/>
      <c r="GU863" s="18"/>
      <c r="GV863" s="18"/>
      <c r="GW863" s="18"/>
      <c r="GX863" s="18"/>
      <c r="GY863" s="18"/>
      <c r="GZ863" s="18"/>
      <c r="HA863" s="18"/>
      <c r="HB863" s="18"/>
      <c r="HC863" s="18"/>
      <c r="HD863" s="18"/>
      <c r="HE863" s="18"/>
      <c r="HF863" s="18"/>
      <c r="HG863" s="13"/>
      <c r="HH863" s="13"/>
      <c r="HI863" s="13"/>
      <c r="HJ863" s="13"/>
      <c r="HK863" s="13"/>
      <c r="HL863" s="13"/>
      <c r="HM863" s="13"/>
      <c r="HN863" s="13"/>
      <c r="HO863" s="13"/>
      <c r="HP863" s="13"/>
      <c r="HQ863" s="13"/>
      <c r="HR863" s="13"/>
      <c r="HS863" s="13"/>
      <c r="HT863" s="13"/>
      <c r="HU863" s="18"/>
      <c r="HV863" s="18"/>
      <c r="HW863" s="18"/>
      <c r="HX863" s="18"/>
      <c r="HY863" s="18"/>
      <c r="HZ863" s="18"/>
      <c r="IA863" s="18"/>
      <c r="IB863" s="18"/>
      <c r="IC863" s="18"/>
      <c r="ID863" s="18"/>
      <c r="IE863" s="18"/>
      <c r="IF863" s="18"/>
      <c r="IG863" s="18"/>
      <c r="IH863" s="18"/>
      <c r="II863" s="18"/>
      <c r="IJ863" s="18"/>
      <c r="IK863" s="18"/>
      <c r="IL863" s="18"/>
      <c r="IM863" s="18"/>
      <c r="IN863" s="18"/>
      <c r="IO863" s="18"/>
      <c r="IP863" s="18"/>
      <c r="IQ863" s="18"/>
      <c r="IR863" s="18"/>
      <c r="IS863" s="18"/>
      <c r="IT863" s="18"/>
      <c r="IU863" s="18"/>
      <c r="IV863" s="18"/>
      <c r="IW863" s="18"/>
      <c r="IX863" s="18"/>
      <c r="IY863" s="18"/>
      <c r="IZ863" s="18"/>
      <c r="JA863" s="18"/>
      <c r="JB863" s="18"/>
      <c r="JC863" s="18"/>
      <c r="JD863" s="18"/>
      <c r="JE863" s="18"/>
      <c r="JF863" s="18"/>
      <c r="JG863" s="18"/>
      <c r="JH863" s="18"/>
      <c r="JI863" s="18"/>
      <c r="JJ863" s="18"/>
      <c r="JK863" s="18"/>
      <c r="JL863" s="18"/>
      <c r="JM863" s="18"/>
      <c r="JN863" s="18"/>
      <c r="JO863" s="18"/>
      <c r="JP863" s="18"/>
      <c r="JQ863" s="18"/>
      <c r="JR863" s="18"/>
      <c r="JS863" s="18"/>
      <c r="JT863" s="18"/>
      <c r="JU863" s="18"/>
      <c r="JV863" s="18"/>
      <c r="JW863" s="18"/>
      <c r="JX863" s="18"/>
      <c r="JY863" s="18"/>
      <c r="JZ863" s="18"/>
      <c r="KA863" s="18"/>
      <c r="KB863" s="18"/>
      <c r="KC863" s="18"/>
      <c r="KD863" s="18"/>
      <c r="KE863" s="18"/>
      <c r="KF863" s="18"/>
      <c r="KG863" s="18"/>
      <c r="KH863" s="18"/>
      <c r="KI863" s="18"/>
      <c r="KJ863" s="18"/>
      <c r="KK863" s="18"/>
      <c r="KL863" s="18"/>
      <c r="KM863" s="18"/>
      <c r="KN863" s="18"/>
      <c r="KO863" s="18"/>
      <c r="KP863" s="18"/>
    </row>
    <row r="864" spans="1:302">
      <c r="A864" s="14"/>
      <c r="B864" s="14"/>
      <c r="F864" s="14"/>
      <c r="G864" s="23"/>
      <c r="H864" s="23"/>
      <c r="I864" s="23"/>
      <c r="J864" s="23"/>
      <c r="K864" s="14"/>
      <c r="L864" s="14"/>
      <c r="P864" s="14"/>
      <c r="AG864" s="44"/>
      <c r="AH864" s="44"/>
      <c r="AI864" s="45"/>
      <c r="AJ864" s="44"/>
      <c r="AK864" s="43"/>
      <c r="AS864" s="14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  <c r="EW864" s="18"/>
      <c r="EX864" s="18"/>
      <c r="EY864" s="18"/>
      <c r="EZ864" s="18"/>
      <c r="FA864" s="18"/>
      <c r="FB864" s="18"/>
      <c r="FC864" s="18"/>
      <c r="FD864" s="18"/>
      <c r="FE864" s="18"/>
      <c r="FF864" s="18"/>
      <c r="FG864" s="18"/>
      <c r="FH864" s="18"/>
      <c r="FI864" s="18"/>
      <c r="FJ864" s="18"/>
      <c r="FK864" s="18"/>
      <c r="FL864" s="18"/>
      <c r="FM864" s="18"/>
      <c r="FN864" s="18"/>
      <c r="FO864" s="18"/>
      <c r="FP864" s="18"/>
      <c r="FQ864" s="18"/>
      <c r="FR864" s="18"/>
      <c r="FS864" s="18"/>
      <c r="FT864" s="18"/>
      <c r="FU864" s="18"/>
      <c r="FV864" s="18"/>
      <c r="FW864" s="18"/>
      <c r="FX864" s="18"/>
      <c r="FY864" s="18"/>
      <c r="FZ864" s="18"/>
      <c r="GA864" s="18"/>
      <c r="GB864" s="18"/>
      <c r="GC864" s="18"/>
      <c r="GD864" s="18"/>
      <c r="GE864" s="18"/>
      <c r="GF864" s="18"/>
      <c r="GG864" s="18"/>
      <c r="GH864" s="18"/>
      <c r="GI864" s="18"/>
      <c r="GJ864" s="18"/>
      <c r="GK864" s="18"/>
      <c r="GL864" s="18"/>
      <c r="GM864" s="18"/>
      <c r="GN864" s="18"/>
      <c r="GO864" s="18"/>
      <c r="GP864" s="18"/>
      <c r="GQ864" s="18"/>
      <c r="GR864" s="18"/>
      <c r="GS864" s="18"/>
      <c r="GT864" s="18"/>
      <c r="GU864" s="18"/>
      <c r="GV864" s="18"/>
      <c r="GW864" s="18"/>
      <c r="GX864" s="18"/>
      <c r="GY864" s="18"/>
      <c r="GZ864" s="18"/>
      <c r="HA864" s="18"/>
      <c r="HB864" s="18"/>
      <c r="HC864" s="18"/>
      <c r="HD864" s="18"/>
      <c r="HE864" s="18"/>
      <c r="HF864" s="18"/>
      <c r="HG864" s="13"/>
      <c r="HH864" s="13"/>
      <c r="HI864" s="13"/>
      <c r="HJ864" s="13"/>
      <c r="HK864" s="13"/>
      <c r="HL864" s="13"/>
      <c r="HM864" s="13"/>
      <c r="HN864" s="13"/>
      <c r="HO864" s="13"/>
      <c r="HP864" s="13"/>
      <c r="HQ864" s="13"/>
      <c r="HR864" s="13"/>
      <c r="HS864" s="13"/>
      <c r="HT864" s="13"/>
      <c r="HU864" s="18"/>
      <c r="HV864" s="18"/>
      <c r="HW864" s="18"/>
      <c r="HX864" s="18"/>
      <c r="HY864" s="18"/>
      <c r="HZ864" s="18"/>
      <c r="IA864" s="18"/>
      <c r="IB864" s="18"/>
      <c r="IC864" s="18"/>
      <c r="ID864" s="18"/>
      <c r="IE864" s="18"/>
      <c r="IF864" s="18"/>
      <c r="IG864" s="18"/>
      <c r="IH864" s="18"/>
      <c r="II864" s="18"/>
      <c r="IJ864" s="18"/>
      <c r="IK864" s="18"/>
      <c r="IL864" s="18"/>
      <c r="IM864" s="18"/>
      <c r="IN864" s="18"/>
      <c r="IO864" s="18"/>
      <c r="IP864" s="18"/>
      <c r="IQ864" s="18"/>
      <c r="IR864" s="18"/>
      <c r="IS864" s="18"/>
      <c r="IT864" s="18"/>
      <c r="IU864" s="18"/>
      <c r="IV864" s="18"/>
      <c r="IW864" s="18"/>
      <c r="IX864" s="18"/>
      <c r="IY864" s="18"/>
      <c r="IZ864" s="18"/>
      <c r="JA864" s="18"/>
      <c r="JB864" s="18"/>
      <c r="JC864" s="18"/>
      <c r="JD864" s="18"/>
      <c r="JE864" s="18"/>
      <c r="JF864" s="18"/>
      <c r="JG864" s="18"/>
      <c r="JH864" s="18"/>
      <c r="JI864" s="18"/>
      <c r="JJ864" s="18"/>
      <c r="JK864" s="18"/>
      <c r="JL864" s="18"/>
      <c r="JM864" s="18"/>
      <c r="JN864" s="18"/>
      <c r="JO864" s="18"/>
      <c r="JP864" s="18"/>
      <c r="JQ864" s="18"/>
      <c r="JR864" s="18"/>
      <c r="JS864" s="18"/>
      <c r="JT864" s="18"/>
      <c r="JU864" s="18"/>
      <c r="JV864" s="18"/>
      <c r="JW864" s="18"/>
      <c r="JX864" s="18"/>
      <c r="JY864" s="18"/>
      <c r="JZ864" s="18"/>
      <c r="KA864" s="18"/>
      <c r="KB864" s="18"/>
      <c r="KC864" s="18"/>
      <c r="KD864" s="18"/>
      <c r="KE864" s="18"/>
      <c r="KF864" s="18"/>
      <c r="KG864" s="18"/>
      <c r="KH864" s="18"/>
      <c r="KI864" s="18"/>
      <c r="KJ864" s="18"/>
      <c r="KK864" s="18"/>
      <c r="KL864" s="18"/>
      <c r="KM864" s="18"/>
      <c r="KN864" s="18"/>
      <c r="KO864" s="18"/>
      <c r="KP864" s="18"/>
    </row>
    <row r="865" spans="1:302">
      <c r="A865" s="14"/>
      <c r="B865" s="14"/>
      <c r="F865" s="14"/>
      <c r="G865" s="23"/>
      <c r="H865" s="23"/>
      <c r="I865" s="23"/>
      <c r="J865" s="23"/>
      <c r="K865" s="14"/>
      <c r="L865" s="14"/>
      <c r="P865" s="14"/>
      <c r="AG865" s="44"/>
      <c r="AH865" s="44"/>
      <c r="AI865" s="45"/>
      <c r="AJ865" s="44"/>
      <c r="AK865" s="43"/>
      <c r="AS865" s="14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  <c r="FR865" s="18"/>
      <c r="FS865" s="18"/>
      <c r="FT865" s="18"/>
      <c r="FU865" s="18"/>
      <c r="FV865" s="18"/>
      <c r="FW865" s="18"/>
      <c r="FX865" s="18"/>
      <c r="FY865" s="18"/>
      <c r="FZ865" s="18"/>
      <c r="GA865" s="18"/>
      <c r="GB865" s="18"/>
      <c r="GC865" s="18"/>
      <c r="GD865" s="18"/>
      <c r="GE865" s="18"/>
      <c r="GF865" s="18"/>
      <c r="GG865" s="18"/>
      <c r="GH865" s="18"/>
      <c r="GI865" s="18"/>
      <c r="GJ865" s="18"/>
      <c r="GK865" s="18"/>
      <c r="GL865" s="18"/>
      <c r="GM865" s="18"/>
      <c r="GN865" s="18"/>
      <c r="GO865" s="18"/>
      <c r="GP865" s="18"/>
      <c r="GQ865" s="18"/>
      <c r="GR865" s="18"/>
      <c r="GS865" s="18"/>
      <c r="GT865" s="18"/>
      <c r="GU865" s="18"/>
      <c r="GV865" s="18"/>
      <c r="GW865" s="18"/>
      <c r="GX865" s="18"/>
      <c r="GY865" s="18"/>
      <c r="GZ865" s="18"/>
      <c r="HA865" s="18"/>
      <c r="HB865" s="18"/>
      <c r="HC865" s="18"/>
      <c r="HD865" s="18"/>
      <c r="HE865" s="18"/>
      <c r="HF865" s="18"/>
      <c r="HG865" s="13"/>
      <c r="HH865" s="13"/>
      <c r="HI865" s="13"/>
      <c r="HJ865" s="13"/>
      <c r="HK865" s="13"/>
      <c r="HL865" s="13"/>
      <c r="HM865" s="13"/>
      <c r="HN865" s="13"/>
      <c r="HO865" s="13"/>
      <c r="HP865" s="13"/>
      <c r="HQ865" s="13"/>
      <c r="HR865" s="13"/>
      <c r="HS865" s="13"/>
      <c r="HT865" s="13"/>
      <c r="HU865" s="18"/>
      <c r="HV865" s="18"/>
      <c r="HW865" s="18"/>
      <c r="HX865" s="18"/>
      <c r="HY865" s="18"/>
      <c r="HZ865" s="18"/>
      <c r="IA865" s="18"/>
      <c r="IB865" s="18"/>
      <c r="IC865" s="18"/>
      <c r="ID865" s="18"/>
      <c r="IE865" s="18"/>
      <c r="IF865" s="18"/>
      <c r="IG865" s="18"/>
      <c r="IH865" s="18"/>
      <c r="II865" s="18"/>
      <c r="IJ865" s="18"/>
      <c r="IK865" s="18"/>
      <c r="IL865" s="18"/>
      <c r="IM865" s="18"/>
      <c r="IN865" s="18"/>
      <c r="IO865" s="18"/>
      <c r="IP865" s="18"/>
      <c r="IQ865" s="18"/>
      <c r="IR865" s="18"/>
      <c r="IS865" s="18"/>
      <c r="IT865" s="18"/>
      <c r="IU865" s="18"/>
      <c r="IV865" s="18"/>
      <c r="IW865" s="18"/>
      <c r="IX865" s="18"/>
      <c r="IY865" s="18"/>
      <c r="IZ865" s="18"/>
      <c r="JA865" s="18"/>
      <c r="JB865" s="18"/>
      <c r="JC865" s="18"/>
      <c r="JD865" s="18"/>
      <c r="JE865" s="18"/>
      <c r="JF865" s="18"/>
      <c r="JG865" s="18"/>
      <c r="JH865" s="18"/>
      <c r="JI865" s="18"/>
      <c r="JJ865" s="18"/>
      <c r="JK865" s="18"/>
      <c r="JL865" s="18"/>
      <c r="JM865" s="18"/>
      <c r="JN865" s="18"/>
      <c r="JO865" s="18"/>
      <c r="JP865" s="18"/>
      <c r="JQ865" s="18"/>
      <c r="JR865" s="18"/>
      <c r="JS865" s="18"/>
      <c r="JT865" s="18"/>
      <c r="JU865" s="18"/>
      <c r="JV865" s="18"/>
      <c r="JW865" s="18"/>
      <c r="JX865" s="18"/>
      <c r="JY865" s="18"/>
      <c r="JZ865" s="18"/>
      <c r="KA865" s="18"/>
      <c r="KB865" s="18"/>
      <c r="KC865" s="18"/>
      <c r="KD865" s="18"/>
      <c r="KE865" s="18"/>
      <c r="KF865" s="18"/>
      <c r="KG865" s="18"/>
      <c r="KH865" s="18"/>
      <c r="KI865" s="18"/>
      <c r="KJ865" s="18"/>
      <c r="KK865" s="18"/>
      <c r="KL865" s="18"/>
      <c r="KM865" s="18"/>
      <c r="KN865" s="18"/>
      <c r="KO865" s="18"/>
      <c r="KP865" s="18"/>
    </row>
    <row r="866" spans="1:302">
      <c r="A866" s="14"/>
      <c r="B866" s="14"/>
      <c r="F866" s="14"/>
      <c r="G866" s="23"/>
      <c r="H866" s="23"/>
      <c r="I866" s="23"/>
      <c r="J866" s="23"/>
      <c r="K866" s="14"/>
      <c r="L866" s="14"/>
      <c r="P866" s="14"/>
      <c r="AG866" s="44"/>
      <c r="AH866" s="44"/>
      <c r="AI866" s="45"/>
      <c r="AJ866" s="44"/>
      <c r="AK866" s="43"/>
      <c r="AS866" s="14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  <c r="FR866" s="18"/>
      <c r="FS866" s="18"/>
      <c r="FT866" s="18"/>
      <c r="FU866" s="18"/>
      <c r="FV866" s="18"/>
      <c r="FW866" s="18"/>
      <c r="FX866" s="18"/>
      <c r="FY866" s="18"/>
      <c r="FZ866" s="18"/>
      <c r="GA866" s="18"/>
      <c r="GB866" s="18"/>
      <c r="GC866" s="18"/>
      <c r="GD866" s="18"/>
      <c r="GE866" s="18"/>
      <c r="GF866" s="18"/>
      <c r="GG866" s="18"/>
      <c r="GH866" s="18"/>
      <c r="GI866" s="18"/>
      <c r="GJ866" s="18"/>
      <c r="GK866" s="18"/>
      <c r="GL866" s="18"/>
      <c r="GM866" s="18"/>
      <c r="GN866" s="18"/>
      <c r="GO866" s="18"/>
      <c r="GP866" s="18"/>
      <c r="GQ866" s="18"/>
      <c r="GR866" s="18"/>
      <c r="GS866" s="18"/>
      <c r="GT866" s="18"/>
      <c r="GU866" s="18"/>
      <c r="GV866" s="18"/>
      <c r="GW866" s="18"/>
      <c r="GX866" s="18"/>
      <c r="GY866" s="18"/>
      <c r="GZ866" s="18"/>
      <c r="HA866" s="18"/>
      <c r="HB866" s="18"/>
      <c r="HC866" s="18"/>
      <c r="HD866" s="18"/>
      <c r="HE866" s="18"/>
      <c r="HF866" s="18"/>
      <c r="HG866" s="13"/>
      <c r="HH866" s="13"/>
      <c r="HI866" s="13"/>
      <c r="HJ866" s="13"/>
      <c r="HK866" s="13"/>
      <c r="HL866" s="13"/>
      <c r="HM866" s="13"/>
      <c r="HN866" s="13"/>
      <c r="HO866" s="13"/>
      <c r="HP866" s="13"/>
      <c r="HQ866" s="13"/>
      <c r="HR866" s="13"/>
      <c r="HS866" s="13"/>
      <c r="HT866" s="13"/>
      <c r="HU866" s="18"/>
      <c r="HV866" s="18"/>
      <c r="HW866" s="18"/>
      <c r="HX866" s="18"/>
      <c r="HY866" s="18"/>
      <c r="HZ866" s="18"/>
      <c r="IA866" s="18"/>
      <c r="IB866" s="18"/>
      <c r="IC866" s="18"/>
      <c r="ID866" s="18"/>
      <c r="IE866" s="18"/>
      <c r="IF866" s="18"/>
      <c r="IG866" s="18"/>
      <c r="IH866" s="18"/>
      <c r="II866" s="18"/>
      <c r="IJ866" s="18"/>
      <c r="IK866" s="18"/>
      <c r="IL866" s="18"/>
      <c r="IM866" s="18"/>
      <c r="IN866" s="18"/>
      <c r="IO866" s="18"/>
      <c r="IP866" s="18"/>
      <c r="IQ866" s="18"/>
      <c r="IR866" s="18"/>
      <c r="IS866" s="18"/>
      <c r="IT866" s="18"/>
      <c r="IU866" s="18"/>
      <c r="IV866" s="18"/>
      <c r="IW866" s="18"/>
      <c r="IX866" s="18"/>
      <c r="IY866" s="18"/>
      <c r="IZ866" s="18"/>
      <c r="JA866" s="18"/>
      <c r="JB866" s="18"/>
      <c r="JC866" s="18"/>
      <c r="JD866" s="18"/>
      <c r="JE866" s="18"/>
      <c r="JF866" s="18"/>
      <c r="JG866" s="18"/>
      <c r="JH866" s="18"/>
      <c r="JI866" s="18"/>
      <c r="JJ866" s="18"/>
      <c r="JK866" s="18"/>
      <c r="JL866" s="18"/>
      <c r="JM866" s="18"/>
      <c r="JN866" s="18"/>
      <c r="JO866" s="18"/>
      <c r="JP866" s="18"/>
      <c r="JQ866" s="18"/>
      <c r="JR866" s="18"/>
      <c r="JS866" s="18"/>
      <c r="JT866" s="18"/>
      <c r="JU866" s="18"/>
      <c r="JV866" s="18"/>
      <c r="JW866" s="18"/>
      <c r="JX866" s="18"/>
      <c r="JY866" s="18"/>
      <c r="JZ866" s="18"/>
      <c r="KA866" s="18"/>
      <c r="KB866" s="18"/>
      <c r="KC866" s="18"/>
      <c r="KD866" s="18"/>
      <c r="KE866" s="18"/>
      <c r="KF866" s="18"/>
      <c r="KG866" s="18"/>
      <c r="KH866" s="18"/>
      <c r="KI866" s="18"/>
      <c r="KJ866" s="18"/>
      <c r="KK866" s="18"/>
      <c r="KL866" s="18"/>
      <c r="KM866" s="18"/>
      <c r="KN866" s="18"/>
      <c r="KO866" s="18"/>
      <c r="KP866" s="18"/>
    </row>
    <row r="867" spans="1:302">
      <c r="A867" s="14"/>
      <c r="B867" s="14"/>
      <c r="F867" s="14"/>
      <c r="G867" s="23"/>
      <c r="H867" s="23"/>
      <c r="I867" s="23"/>
      <c r="J867" s="23"/>
      <c r="K867" s="14"/>
      <c r="L867" s="14"/>
      <c r="P867" s="14"/>
      <c r="AG867" s="44"/>
      <c r="AH867" s="44"/>
      <c r="AI867" s="45"/>
      <c r="AJ867" s="44"/>
      <c r="AK867" s="43"/>
      <c r="AS867" s="14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  <c r="EW867" s="18"/>
      <c r="EX867" s="18"/>
      <c r="EY867" s="18"/>
      <c r="EZ867" s="18"/>
      <c r="FA867" s="18"/>
      <c r="FB867" s="18"/>
      <c r="FC867" s="18"/>
      <c r="FD867" s="18"/>
      <c r="FE867" s="18"/>
      <c r="FF867" s="18"/>
      <c r="FG867" s="18"/>
      <c r="FH867" s="18"/>
      <c r="FI867" s="18"/>
      <c r="FJ867" s="18"/>
      <c r="FK867" s="18"/>
      <c r="FL867" s="18"/>
      <c r="FM867" s="18"/>
      <c r="FN867" s="18"/>
      <c r="FO867" s="18"/>
      <c r="FP867" s="18"/>
      <c r="FQ867" s="18"/>
      <c r="FR867" s="18"/>
      <c r="FS867" s="18"/>
      <c r="FT867" s="18"/>
      <c r="FU867" s="18"/>
      <c r="FV867" s="18"/>
      <c r="FW867" s="18"/>
      <c r="FX867" s="18"/>
      <c r="FY867" s="18"/>
      <c r="FZ867" s="18"/>
      <c r="GA867" s="18"/>
      <c r="GB867" s="18"/>
      <c r="GC867" s="18"/>
      <c r="GD867" s="18"/>
      <c r="GE867" s="18"/>
      <c r="GF867" s="18"/>
      <c r="GG867" s="18"/>
      <c r="GH867" s="18"/>
      <c r="GI867" s="18"/>
      <c r="GJ867" s="18"/>
      <c r="GK867" s="18"/>
      <c r="GL867" s="18"/>
      <c r="GM867" s="18"/>
      <c r="GN867" s="18"/>
      <c r="GO867" s="18"/>
      <c r="GP867" s="18"/>
      <c r="GQ867" s="18"/>
      <c r="GR867" s="18"/>
      <c r="GS867" s="18"/>
      <c r="GT867" s="18"/>
      <c r="GU867" s="18"/>
      <c r="GV867" s="18"/>
      <c r="GW867" s="18"/>
      <c r="GX867" s="18"/>
      <c r="GY867" s="18"/>
      <c r="GZ867" s="18"/>
      <c r="HA867" s="18"/>
      <c r="HB867" s="18"/>
      <c r="HC867" s="18"/>
      <c r="HD867" s="18"/>
      <c r="HE867" s="18"/>
      <c r="HF867" s="18"/>
      <c r="HG867" s="13"/>
      <c r="HH867" s="13"/>
      <c r="HI867" s="13"/>
      <c r="HJ867" s="13"/>
      <c r="HK867" s="13"/>
      <c r="HL867" s="13"/>
      <c r="HM867" s="13"/>
      <c r="HN867" s="13"/>
      <c r="HO867" s="13"/>
      <c r="HP867" s="13"/>
      <c r="HQ867" s="13"/>
      <c r="HR867" s="13"/>
      <c r="HS867" s="13"/>
      <c r="HT867" s="13"/>
      <c r="HU867" s="18"/>
      <c r="HV867" s="18"/>
      <c r="HW867" s="18"/>
      <c r="HX867" s="18"/>
      <c r="HY867" s="18"/>
      <c r="HZ867" s="18"/>
      <c r="IA867" s="18"/>
      <c r="IB867" s="18"/>
      <c r="IC867" s="18"/>
      <c r="ID867" s="18"/>
      <c r="IE867" s="18"/>
      <c r="IF867" s="18"/>
      <c r="IG867" s="18"/>
      <c r="IH867" s="18"/>
      <c r="II867" s="18"/>
      <c r="IJ867" s="18"/>
      <c r="IK867" s="18"/>
      <c r="IL867" s="18"/>
      <c r="IM867" s="18"/>
      <c r="IN867" s="18"/>
      <c r="IO867" s="18"/>
      <c r="IP867" s="18"/>
      <c r="IQ867" s="18"/>
      <c r="IR867" s="18"/>
      <c r="IS867" s="18"/>
      <c r="IT867" s="18"/>
      <c r="IU867" s="18"/>
      <c r="IV867" s="18"/>
      <c r="IW867" s="18"/>
      <c r="IX867" s="18"/>
      <c r="IY867" s="18"/>
      <c r="IZ867" s="18"/>
      <c r="JA867" s="18"/>
      <c r="JB867" s="18"/>
      <c r="JC867" s="18"/>
      <c r="JD867" s="18"/>
      <c r="JE867" s="18"/>
      <c r="JF867" s="18"/>
      <c r="JG867" s="18"/>
      <c r="JH867" s="18"/>
      <c r="JI867" s="18"/>
      <c r="JJ867" s="18"/>
      <c r="JK867" s="18"/>
      <c r="JL867" s="18"/>
      <c r="JM867" s="18"/>
      <c r="JN867" s="18"/>
      <c r="JO867" s="18"/>
      <c r="JP867" s="18"/>
      <c r="JQ867" s="18"/>
      <c r="JR867" s="18"/>
      <c r="JS867" s="18"/>
      <c r="JT867" s="18"/>
      <c r="JU867" s="18"/>
      <c r="JV867" s="18"/>
      <c r="JW867" s="18"/>
      <c r="JX867" s="18"/>
      <c r="JY867" s="18"/>
      <c r="JZ867" s="18"/>
      <c r="KA867" s="18"/>
      <c r="KB867" s="18"/>
      <c r="KC867" s="18"/>
      <c r="KD867" s="18"/>
      <c r="KE867" s="18"/>
      <c r="KF867" s="18"/>
      <c r="KG867" s="18"/>
      <c r="KH867" s="18"/>
      <c r="KI867" s="18"/>
      <c r="KJ867" s="18"/>
      <c r="KK867" s="18"/>
      <c r="KL867" s="18"/>
      <c r="KM867" s="18"/>
      <c r="KN867" s="18"/>
      <c r="KO867" s="18"/>
      <c r="KP867" s="18"/>
    </row>
    <row r="868" spans="1:302">
      <c r="A868" s="14"/>
      <c r="B868" s="14"/>
      <c r="F868" s="14"/>
      <c r="G868" s="23"/>
      <c r="H868" s="23"/>
      <c r="I868" s="23"/>
      <c r="J868" s="23"/>
      <c r="K868" s="14"/>
      <c r="L868" s="14"/>
      <c r="P868" s="14"/>
      <c r="AG868" s="44"/>
      <c r="AH868" s="44"/>
      <c r="AI868" s="45"/>
      <c r="AJ868" s="44"/>
      <c r="AK868" s="43"/>
      <c r="AS868" s="14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  <c r="EW868" s="18"/>
      <c r="EX868" s="18"/>
      <c r="EY868" s="18"/>
      <c r="EZ868" s="18"/>
      <c r="FA868" s="18"/>
      <c r="FB868" s="18"/>
      <c r="FC868" s="18"/>
      <c r="FD868" s="18"/>
      <c r="FE868" s="18"/>
      <c r="FF868" s="18"/>
      <c r="FG868" s="18"/>
      <c r="FH868" s="18"/>
      <c r="FI868" s="18"/>
      <c r="FJ868" s="18"/>
      <c r="FK868" s="18"/>
      <c r="FL868" s="18"/>
      <c r="FM868" s="18"/>
      <c r="FN868" s="18"/>
      <c r="FO868" s="18"/>
      <c r="FP868" s="18"/>
      <c r="FQ868" s="18"/>
      <c r="FR868" s="18"/>
      <c r="FS868" s="18"/>
      <c r="FT868" s="18"/>
      <c r="FU868" s="18"/>
      <c r="FV868" s="18"/>
      <c r="FW868" s="18"/>
      <c r="FX868" s="18"/>
      <c r="FY868" s="18"/>
      <c r="FZ868" s="18"/>
      <c r="GA868" s="18"/>
      <c r="GB868" s="18"/>
      <c r="GC868" s="18"/>
      <c r="GD868" s="18"/>
      <c r="GE868" s="18"/>
      <c r="GF868" s="18"/>
      <c r="GG868" s="18"/>
      <c r="GH868" s="18"/>
      <c r="GI868" s="18"/>
      <c r="GJ868" s="18"/>
      <c r="GK868" s="18"/>
      <c r="GL868" s="18"/>
      <c r="GM868" s="18"/>
      <c r="GN868" s="18"/>
      <c r="GO868" s="18"/>
      <c r="GP868" s="18"/>
      <c r="GQ868" s="18"/>
      <c r="GR868" s="18"/>
      <c r="GS868" s="18"/>
      <c r="GT868" s="18"/>
      <c r="GU868" s="18"/>
      <c r="GV868" s="18"/>
      <c r="GW868" s="18"/>
      <c r="GX868" s="18"/>
      <c r="GY868" s="18"/>
      <c r="GZ868" s="18"/>
      <c r="HA868" s="18"/>
      <c r="HB868" s="18"/>
      <c r="HC868" s="18"/>
      <c r="HD868" s="18"/>
      <c r="HE868" s="18"/>
      <c r="HF868" s="18"/>
      <c r="HG868" s="13"/>
      <c r="HH868" s="13"/>
      <c r="HI868" s="13"/>
      <c r="HJ868" s="13"/>
      <c r="HK868" s="13"/>
      <c r="HL868" s="13"/>
      <c r="HM868" s="13"/>
      <c r="HN868" s="13"/>
      <c r="HO868" s="13"/>
      <c r="HP868" s="13"/>
      <c r="HQ868" s="13"/>
      <c r="HR868" s="13"/>
      <c r="HS868" s="13"/>
      <c r="HT868" s="13"/>
      <c r="HU868" s="18"/>
      <c r="HV868" s="18"/>
      <c r="HW868" s="18"/>
      <c r="HX868" s="18"/>
      <c r="HY868" s="18"/>
      <c r="HZ868" s="18"/>
      <c r="IA868" s="18"/>
      <c r="IB868" s="18"/>
      <c r="IC868" s="18"/>
      <c r="ID868" s="18"/>
      <c r="IE868" s="18"/>
      <c r="IF868" s="18"/>
      <c r="IG868" s="18"/>
      <c r="IH868" s="18"/>
      <c r="II868" s="18"/>
      <c r="IJ868" s="18"/>
      <c r="IK868" s="18"/>
      <c r="IL868" s="18"/>
      <c r="IM868" s="18"/>
      <c r="IN868" s="18"/>
      <c r="IO868" s="18"/>
      <c r="IP868" s="18"/>
      <c r="IQ868" s="18"/>
      <c r="IR868" s="18"/>
      <c r="IS868" s="18"/>
      <c r="IT868" s="18"/>
      <c r="IU868" s="18"/>
      <c r="IV868" s="18"/>
      <c r="IW868" s="18"/>
      <c r="IX868" s="18"/>
      <c r="IY868" s="18"/>
      <c r="IZ868" s="18"/>
      <c r="JA868" s="18"/>
      <c r="JB868" s="18"/>
      <c r="JC868" s="18"/>
      <c r="JD868" s="18"/>
      <c r="JE868" s="18"/>
      <c r="JF868" s="18"/>
      <c r="JG868" s="18"/>
      <c r="JH868" s="18"/>
      <c r="JI868" s="18"/>
      <c r="JJ868" s="18"/>
      <c r="JK868" s="18"/>
      <c r="JL868" s="18"/>
      <c r="JM868" s="18"/>
      <c r="JN868" s="18"/>
      <c r="JO868" s="18"/>
      <c r="JP868" s="18"/>
      <c r="JQ868" s="18"/>
      <c r="JR868" s="18"/>
      <c r="JS868" s="18"/>
      <c r="JT868" s="18"/>
      <c r="JU868" s="18"/>
      <c r="JV868" s="18"/>
      <c r="JW868" s="18"/>
      <c r="JX868" s="18"/>
      <c r="JY868" s="18"/>
      <c r="JZ868" s="18"/>
      <c r="KA868" s="18"/>
      <c r="KB868" s="18"/>
      <c r="KC868" s="18"/>
      <c r="KD868" s="18"/>
      <c r="KE868" s="18"/>
      <c r="KF868" s="18"/>
      <c r="KG868" s="18"/>
      <c r="KH868" s="18"/>
      <c r="KI868" s="18"/>
      <c r="KJ868" s="18"/>
      <c r="KK868" s="18"/>
      <c r="KL868" s="18"/>
      <c r="KM868" s="18"/>
      <c r="KN868" s="18"/>
      <c r="KO868" s="18"/>
      <c r="KP868" s="18"/>
    </row>
    <row r="869" spans="1:302">
      <c r="A869" s="14"/>
      <c r="B869" s="14"/>
      <c r="F869" s="14"/>
      <c r="G869" s="23"/>
      <c r="H869" s="23"/>
      <c r="I869" s="23"/>
      <c r="J869" s="23"/>
      <c r="K869" s="14"/>
      <c r="L869" s="14"/>
      <c r="P869" s="14"/>
      <c r="AG869" s="44"/>
      <c r="AH869" s="44"/>
      <c r="AI869" s="45"/>
      <c r="AJ869" s="44"/>
      <c r="AK869" s="43"/>
      <c r="AS869" s="14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  <c r="EW869" s="18"/>
      <c r="EX869" s="18"/>
      <c r="EY869" s="18"/>
      <c r="EZ869" s="18"/>
      <c r="FA869" s="18"/>
      <c r="FB869" s="18"/>
      <c r="FC869" s="18"/>
      <c r="FD869" s="18"/>
      <c r="FE869" s="18"/>
      <c r="FF869" s="18"/>
      <c r="FG869" s="18"/>
      <c r="FH869" s="18"/>
      <c r="FI869" s="18"/>
      <c r="FJ869" s="18"/>
      <c r="FK869" s="18"/>
      <c r="FL869" s="18"/>
      <c r="FM869" s="18"/>
      <c r="FN869" s="18"/>
      <c r="FO869" s="18"/>
      <c r="FP869" s="18"/>
      <c r="FQ869" s="18"/>
      <c r="FR869" s="18"/>
      <c r="FS869" s="18"/>
      <c r="FT869" s="18"/>
      <c r="FU869" s="18"/>
      <c r="FV869" s="18"/>
      <c r="FW869" s="18"/>
      <c r="FX869" s="18"/>
      <c r="FY869" s="18"/>
      <c r="FZ869" s="18"/>
      <c r="GA869" s="18"/>
      <c r="GB869" s="18"/>
      <c r="GC869" s="18"/>
      <c r="GD869" s="18"/>
      <c r="GE869" s="18"/>
      <c r="GF869" s="18"/>
      <c r="GG869" s="18"/>
      <c r="GH869" s="18"/>
      <c r="GI869" s="18"/>
      <c r="GJ869" s="18"/>
      <c r="GK869" s="18"/>
      <c r="GL869" s="18"/>
      <c r="GM869" s="18"/>
      <c r="GN869" s="18"/>
      <c r="GO869" s="18"/>
      <c r="GP869" s="18"/>
      <c r="GQ869" s="18"/>
      <c r="GR869" s="18"/>
      <c r="GS869" s="18"/>
      <c r="GT869" s="18"/>
      <c r="GU869" s="18"/>
      <c r="GV869" s="18"/>
      <c r="GW869" s="18"/>
      <c r="GX869" s="18"/>
      <c r="GY869" s="18"/>
      <c r="GZ869" s="18"/>
      <c r="HA869" s="18"/>
      <c r="HB869" s="18"/>
      <c r="HC869" s="18"/>
      <c r="HD869" s="18"/>
      <c r="HE869" s="18"/>
      <c r="HF869" s="18"/>
      <c r="HG869" s="13"/>
      <c r="HH869" s="13"/>
      <c r="HI869" s="13"/>
      <c r="HJ869" s="13"/>
      <c r="HK869" s="13"/>
      <c r="HL869" s="13"/>
      <c r="HM869" s="13"/>
      <c r="HN869" s="13"/>
      <c r="HO869" s="13"/>
      <c r="HP869" s="13"/>
      <c r="HQ869" s="13"/>
      <c r="HR869" s="13"/>
      <c r="HS869" s="13"/>
      <c r="HT869" s="13"/>
      <c r="HU869" s="18"/>
      <c r="HV869" s="18"/>
      <c r="HW869" s="18"/>
      <c r="HX869" s="18"/>
      <c r="HY869" s="18"/>
      <c r="HZ869" s="18"/>
      <c r="IA869" s="18"/>
      <c r="IB869" s="18"/>
      <c r="IC869" s="18"/>
      <c r="ID869" s="18"/>
      <c r="IE869" s="18"/>
      <c r="IF869" s="18"/>
      <c r="IG869" s="18"/>
      <c r="IH869" s="18"/>
      <c r="II869" s="18"/>
      <c r="IJ869" s="18"/>
      <c r="IK869" s="18"/>
      <c r="IL869" s="18"/>
      <c r="IM869" s="18"/>
      <c r="IN869" s="18"/>
      <c r="IO869" s="18"/>
      <c r="IP869" s="18"/>
      <c r="IQ869" s="18"/>
      <c r="IR869" s="18"/>
      <c r="IS869" s="18"/>
      <c r="IT869" s="18"/>
      <c r="IU869" s="18"/>
      <c r="IV869" s="18"/>
      <c r="IW869" s="18"/>
      <c r="IX869" s="18"/>
      <c r="IY869" s="18"/>
      <c r="IZ869" s="18"/>
      <c r="JA869" s="18"/>
      <c r="JB869" s="18"/>
      <c r="JC869" s="18"/>
      <c r="JD869" s="18"/>
      <c r="JE869" s="18"/>
      <c r="JF869" s="18"/>
      <c r="JG869" s="18"/>
      <c r="JH869" s="18"/>
      <c r="JI869" s="18"/>
      <c r="JJ869" s="18"/>
      <c r="JK869" s="18"/>
      <c r="JL869" s="18"/>
      <c r="JM869" s="18"/>
      <c r="JN869" s="18"/>
      <c r="JO869" s="18"/>
      <c r="JP869" s="18"/>
      <c r="JQ869" s="18"/>
      <c r="JR869" s="18"/>
      <c r="JS869" s="18"/>
      <c r="JT869" s="18"/>
      <c r="JU869" s="18"/>
      <c r="JV869" s="18"/>
      <c r="JW869" s="18"/>
      <c r="JX869" s="18"/>
      <c r="JY869" s="18"/>
      <c r="JZ869" s="18"/>
      <c r="KA869" s="18"/>
      <c r="KB869" s="18"/>
      <c r="KC869" s="18"/>
      <c r="KD869" s="18"/>
      <c r="KE869" s="18"/>
      <c r="KF869" s="18"/>
      <c r="KG869" s="18"/>
      <c r="KH869" s="18"/>
      <c r="KI869" s="18"/>
      <c r="KJ869" s="18"/>
      <c r="KK869" s="18"/>
      <c r="KL869" s="18"/>
      <c r="KM869" s="18"/>
      <c r="KN869" s="18"/>
      <c r="KO869" s="18"/>
      <c r="KP869" s="18"/>
    </row>
    <row r="870" spans="1:302">
      <c r="A870" s="14"/>
      <c r="B870" s="14"/>
      <c r="F870" s="14"/>
      <c r="G870" s="23"/>
      <c r="H870" s="23"/>
      <c r="I870" s="23"/>
      <c r="J870" s="23"/>
      <c r="K870" s="14"/>
      <c r="L870" s="14"/>
      <c r="P870" s="14"/>
      <c r="AG870" s="44"/>
      <c r="AH870" s="44"/>
      <c r="AI870" s="45"/>
      <c r="AJ870" s="44"/>
      <c r="AK870" s="43"/>
      <c r="AS870" s="14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  <c r="EW870" s="18"/>
      <c r="EX870" s="18"/>
      <c r="EY870" s="18"/>
      <c r="EZ870" s="18"/>
      <c r="FA870" s="18"/>
      <c r="FB870" s="18"/>
      <c r="FC870" s="18"/>
      <c r="FD870" s="18"/>
      <c r="FE870" s="18"/>
      <c r="FF870" s="18"/>
      <c r="FG870" s="18"/>
      <c r="FH870" s="18"/>
      <c r="FI870" s="18"/>
      <c r="FJ870" s="18"/>
      <c r="FK870" s="18"/>
      <c r="FL870" s="18"/>
      <c r="FM870" s="18"/>
      <c r="FN870" s="18"/>
      <c r="FO870" s="18"/>
      <c r="FP870" s="18"/>
      <c r="FQ870" s="18"/>
      <c r="FR870" s="18"/>
      <c r="FS870" s="18"/>
      <c r="FT870" s="18"/>
      <c r="FU870" s="18"/>
      <c r="FV870" s="18"/>
      <c r="FW870" s="18"/>
      <c r="FX870" s="18"/>
      <c r="FY870" s="18"/>
      <c r="FZ870" s="18"/>
      <c r="GA870" s="18"/>
      <c r="GB870" s="18"/>
      <c r="GC870" s="18"/>
      <c r="GD870" s="18"/>
      <c r="GE870" s="18"/>
      <c r="GF870" s="18"/>
      <c r="GG870" s="18"/>
      <c r="GH870" s="18"/>
      <c r="GI870" s="18"/>
      <c r="GJ870" s="18"/>
      <c r="GK870" s="18"/>
      <c r="GL870" s="18"/>
      <c r="GM870" s="18"/>
      <c r="GN870" s="18"/>
      <c r="GO870" s="18"/>
      <c r="GP870" s="18"/>
      <c r="GQ870" s="18"/>
      <c r="GR870" s="18"/>
      <c r="GS870" s="18"/>
      <c r="GT870" s="18"/>
      <c r="GU870" s="18"/>
      <c r="GV870" s="18"/>
      <c r="GW870" s="18"/>
      <c r="GX870" s="18"/>
      <c r="GY870" s="18"/>
      <c r="GZ870" s="18"/>
      <c r="HA870" s="18"/>
      <c r="HB870" s="18"/>
      <c r="HC870" s="18"/>
      <c r="HD870" s="18"/>
      <c r="HE870" s="18"/>
      <c r="HF870" s="18"/>
      <c r="HG870" s="13"/>
      <c r="HH870" s="13"/>
      <c r="HI870" s="13"/>
      <c r="HJ870" s="13"/>
      <c r="HK870" s="13"/>
      <c r="HL870" s="13"/>
      <c r="HM870" s="13"/>
      <c r="HN870" s="13"/>
      <c r="HO870" s="13"/>
      <c r="HP870" s="13"/>
      <c r="HQ870" s="13"/>
      <c r="HR870" s="13"/>
      <c r="HS870" s="13"/>
      <c r="HT870" s="13"/>
      <c r="HU870" s="18"/>
      <c r="HV870" s="18"/>
      <c r="HW870" s="18"/>
      <c r="HX870" s="18"/>
      <c r="HY870" s="18"/>
      <c r="HZ870" s="18"/>
      <c r="IA870" s="18"/>
      <c r="IB870" s="18"/>
      <c r="IC870" s="18"/>
      <c r="ID870" s="18"/>
      <c r="IE870" s="18"/>
      <c r="IF870" s="18"/>
      <c r="IG870" s="18"/>
      <c r="IH870" s="18"/>
      <c r="II870" s="18"/>
      <c r="IJ870" s="18"/>
      <c r="IK870" s="18"/>
      <c r="IL870" s="18"/>
      <c r="IM870" s="18"/>
      <c r="IN870" s="18"/>
      <c r="IO870" s="18"/>
      <c r="IP870" s="18"/>
      <c r="IQ870" s="18"/>
      <c r="IR870" s="18"/>
      <c r="IS870" s="18"/>
      <c r="IT870" s="18"/>
      <c r="IU870" s="18"/>
      <c r="IV870" s="18"/>
      <c r="IW870" s="18"/>
      <c r="IX870" s="18"/>
      <c r="IY870" s="18"/>
      <c r="IZ870" s="18"/>
      <c r="JA870" s="18"/>
      <c r="JB870" s="18"/>
      <c r="JC870" s="18"/>
      <c r="JD870" s="18"/>
      <c r="JE870" s="18"/>
      <c r="JF870" s="18"/>
      <c r="JG870" s="18"/>
      <c r="JH870" s="18"/>
      <c r="JI870" s="18"/>
      <c r="JJ870" s="18"/>
      <c r="JK870" s="18"/>
      <c r="JL870" s="18"/>
      <c r="JM870" s="18"/>
      <c r="JN870" s="18"/>
      <c r="JO870" s="18"/>
      <c r="JP870" s="18"/>
      <c r="JQ870" s="18"/>
      <c r="JR870" s="18"/>
      <c r="JS870" s="18"/>
      <c r="JT870" s="18"/>
      <c r="JU870" s="18"/>
      <c r="JV870" s="18"/>
      <c r="JW870" s="18"/>
      <c r="JX870" s="18"/>
      <c r="JY870" s="18"/>
      <c r="JZ870" s="18"/>
      <c r="KA870" s="18"/>
      <c r="KB870" s="18"/>
      <c r="KC870" s="18"/>
      <c r="KD870" s="18"/>
      <c r="KE870" s="18"/>
      <c r="KF870" s="18"/>
      <c r="KG870" s="18"/>
      <c r="KH870" s="18"/>
      <c r="KI870" s="18"/>
      <c r="KJ870" s="18"/>
      <c r="KK870" s="18"/>
      <c r="KL870" s="18"/>
      <c r="KM870" s="18"/>
      <c r="KN870" s="18"/>
      <c r="KO870" s="18"/>
      <c r="KP870" s="18"/>
    </row>
    <row r="871" spans="1:302">
      <c r="A871" s="14"/>
      <c r="B871" s="14"/>
      <c r="F871" s="14"/>
      <c r="G871" s="23"/>
      <c r="H871" s="23"/>
      <c r="I871" s="23"/>
      <c r="J871" s="23"/>
      <c r="K871" s="14"/>
      <c r="L871" s="14"/>
      <c r="P871" s="14"/>
      <c r="AG871" s="44"/>
      <c r="AH871" s="44"/>
      <c r="AI871" s="45"/>
      <c r="AJ871" s="44"/>
      <c r="AK871" s="43"/>
      <c r="AS871" s="14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  <c r="EW871" s="18"/>
      <c r="EX871" s="18"/>
      <c r="EY871" s="18"/>
      <c r="EZ871" s="18"/>
      <c r="FA871" s="18"/>
      <c r="FB871" s="18"/>
      <c r="FC871" s="18"/>
      <c r="FD871" s="18"/>
      <c r="FE871" s="18"/>
      <c r="FF871" s="18"/>
      <c r="FG871" s="18"/>
      <c r="FH871" s="18"/>
      <c r="FI871" s="18"/>
      <c r="FJ871" s="18"/>
      <c r="FK871" s="18"/>
      <c r="FL871" s="18"/>
      <c r="FM871" s="18"/>
      <c r="FN871" s="18"/>
      <c r="FO871" s="18"/>
      <c r="FP871" s="18"/>
      <c r="FQ871" s="18"/>
      <c r="FR871" s="18"/>
      <c r="FS871" s="18"/>
      <c r="FT871" s="18"/>
      <c r="FU871" s="18"/>
      <c r="FV871" s="18"/>
      <c r="FW871" s="18"/>
      <c r="FX871" s="18"/>
      <c r="FY871" s="18"/>
      <c r="FZ871" s="18"/>
      <c r="GA871" s="18"/>
      <c r="GB871" s="18"/>
      <c r="GC871" s="18"/>
      <c r="GD871" s="18"/>
      <c r="GE871" s="18"/>
      <c r="GF871" s="18"/>
      <c r="GG871" s="18"/>
      <c r="GH871" s="18"/>
      <c r="GI871" s="18"/>
      <c r="GJ871" s="18"/>
      <c r="GK871" s="18"/>
      <c r="GL871" s="18"/>
      <c r="GM871" s="18"/>
      <c r="GN871" s="18"/>
      <c r="GO871" s="18"/>
      <c r="GP871" s="18"/>
      <c r="GQ871" s="18"/>
      <c r="GR871" s="18"/>
      <c r="GS871" s="18"/>
      <c r="GT871" s="18"/>
      <c r="GU871" s="18"/>
      <c r="GV871" s="18"/>
      <c r="GW871" s="18"/>
      <c r="GX871" s="18"/>
      <c r="GY871" s="18"/>
      <c r="GZ871" s="18"/>
      <c r="HA871" s="18"/>
      <c r="HB871" s="18"/>
      <c r="HC871" s="18"/>
      <c r="HD871" s="18"/>
      <c r="HE871" s="18"/>
      <c r="HF871" s="18"/>
      <c r="HG871" s="13"/>
      <c r="HH871" s="13"/>
      <c r="HI871" s="13"/>
      <c r="HJ871" s="13"/>
      <c r="HK871" s="13"/>
      <c r="HL871" s="13"/>
      <c r="HM871" s="13"/>
      <c r="HN871" s="13"/>
      <c r="HO871" s="13"/>
      <c r="HP871" s="13"/>
      <c r="HQ871" s="13"/>
      <c r="HR871" s="13"/>
      <c r="HS871" s="13"/>
      <c r="HT871" s="13"/>
      <c r="HU871" s="18"/>
      <c r="HV871" s="18"/>
      <c r="HW871" s="18"/>
      <c r="HX871" s="18"/>
      <c r="HY871" s="18"/>
      <c r="HZ871" s="18"/>
      <c r="IA871" s="18"/>
      <c r="IB871" s="18"/>
      <c r="IC871" s="18"/>
      <c r="ID871" s="18"/>
      <c r="IE871" s="18"/>
      <c r="IF871" s="18"/>
      <c r="IG871" s="18"/>
      <c r="IH871" s="18"/>
      <c r="II871" s="18"/>
      <c r="IJ871" s="18"/>
      <c r="IK871" s="18"/>
      <c r="IL871" s="18"/>
      <c r="IM871" s="18"/>
      <c r="IN871" s="18"/>
      <c r="IO871" s="18"/>
      <c r="IP871" s="18"/>
      <c r="IQ871" s="18"/>
      <c r="IR871" s="18"/>
      <c r="IS871" s="18"/>
      <c r="IT871" s="18"/>
      <c r="IU871" s="18"/>
      <c r="IV871" s="18"/>
      <c r="IW871" s="18"/>
      <c r="IX871" s="18"/>
      <c r="IY871" s="18"/>
      <c r="IZ871" s="18"/>
      <c r="JA871" s="18"/>
      <c r="JB871" s="18"/>
      <c r="JC871" s="18"/>
      <c r="JD871" s="18"/>
      <c r="JE871" s="18"/>
      <c r="JF871" s="18"/>
      <c r="JG871" s="18"/>
      <c r="JH871" s="18"/>
      <c r="JI871" s="18"/>
      <c r="JJ871" s="18"/>
      <c r="JK871" s="18"/>
      <c r="JL871" s="18"/>
      <c r="JM871" s="18"/>
      <c r="JN871" s="18"/>
      <c r="JO871" s="18"/>
      <c r="JP871" s="18"/>
      <c r="JQ871" s="18"/>
      <c r="JR871" s="18"/>
      <c r="JS871" s="18"/>
      <c r="JT871" s="18"/>
      <c r="JU871" s="18"/>
      <c r="JV871" s="18"/>
      <c r="JW871" s="18"/>
      <c r="JX871" s="18"/>
      <c r="JY871" s="18"/>
      <c r="JZ871" s="18"/>
      <c r="KA871" s="18"/>
      <c r="KB871" s="18"/>
      <c r="KC871" s="18"/>
      <c r="KD871" s="18"/>
      <c r="KE871" s="18"/>
      <c r="KF871" s="18"/>
      <c r="KG871" s="18"/>
      <c r="KH871" s="18"/>
      <c r="KI871" s="18"/>
      <c r="KJ871" s="18"/>
      <c r="KK871" s="18"/>
      <c r="KL871" s="18"/>
      <c r="KM871" s="18"/>
      <c r="KN871" s="18"/>
      <c r="KO871" s="18"/>
      <c r="KP871" s="18"/>
    </row>
    <row r="872" spans="1:302">
      <c r="A872" s="14"/>
      <c r="B872" s="14"/>
      <c r="F872" s="14"/>
      <c r="G872" s="23"/>
      <c r="H872" s="23"/>
      <c r="I872" s="23"/>
      <c r="J872" s="23"/>
      <c r="K872" s="14"/>
      <c r="L872" s="14"/>
      <c r="P872" s="14"/>
      <c r="AG872" s="44"/>
      <c r="AH872" s="44"/>
      <c r="AI872" s="45"/>
      <c r="AJ872" s="44"/>
      <c r="AK872" s="43"/>
      <c r="AS872" s="14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  <c r="EW872" s="18"/>
      <c r="EX872" s="18"/>
      <c r="EY872" s="18"/>
      <c r="EZ872" s="18"/>
      <c r="FA872" s="18"/>
      <c r="FB872" s="18"/>
      <c r="FC872" s="18"/>
      <c r="FD872" s="18"/>
      <c r="FE872" s="18"/>
      <c r="FF872" s="18"/>
      <c r="FG872" s="18"/>
      <c r="FH872" s="18"/>
      <c r="FI872" s="18"/>
      <c r="FJ872" s="18"/>
      <c r="FK872" s="18"/>
      <c r="FL872" s="18"/>
      <c r="FM872" s="18"/>
      <c r="FN872" s="18"/>
      <c r="FO872" s="18"/>
      <c r="FP872" s="18"/>
      <c r="FQ872" s="18"/>
      <c r="FR872" s="18"/>
      <c r="FS872" s="18"/>
      <c r="FT872" s="18"/>
      <c r="FU872" s="18"/>
      <c r="FV872" s="18"/>
      <c r="FW872" s="18"/>
      <c r="FX872" s="18"/>
      <c r="FY872" s="18"/>
      <c r="FZ872" s="18"/>
      <c r="GA872" s="18"/>
      <c r="GB872" s="18"/>
      <c r="GC872" s="18"/>
      <c r="GD872" s="18"/>
      <c r="GE872" s="18"/>
      <c r="GF872" s="18"/>
      <c r="GG872" s="18"/>
      <c r="GH872" s="18"/>
      <c r="GI872" s="18"/>
      <c r="GJ872" s="18"/>
      <c r="GK872" s="18"/>
      <c r="GL872" s="18"/>
      <c r="GM872" s="18"/>
      <c r="GN872" s="18"/>
      <c r="GO872" s="18"/>
      <c r="GP872" s="18"/>
      <c r="GQ872" s="18"/>
      <c r="GR872" s="18"/>
      <c r="GS872" s="18"/>
      <c r="GT872" s="18"/>
      <c r="GU872" s="18"/>
      <c r="GV872" s="18"/>
      <c r="GW872" s="18"/>
      <c r="GX872" s="18"/>
      <c r="GY872" s="18"/>
      <c r="GZ872" s="18"/>
      <c r="HA872" s="18"/>
      <c r="HB872" s="18"/>
      <c r="HC872" s="18"/>
      <c r="HD872" s="18"/>
      <c r="HE872" s="18"/>
      <c r="HF872" s="18"/>
      <c r="HG872" s="13"/>
      <c r="HH872" s="13"/>
      <c r="HI872" s="13"/>
      <c r="HJ872" s="13"/>
      <c r="HK872" s="13"/>
      <c r="HL872" s="13"/>
      <c r="HM872" s="13"/>
      <c r="HN872" s="13"/>
      <c r="HO872" s="13"/>
      <c r="HP872" s="13"/>
      <c r="HQ872" s="13"/>
      <c r="HR872" s="13"/>
      <c r="HS872" s="13"/>
      <c r="HT872" s="13"/>
      <c r="HU872" s="18"/>
      <c r="HV872" s="18"/>
      <c r="HW872" s="18"/>
      <c r="HX872" s="18"/>
      <c r="HY872" s="18"/>
      <c r="HZ872" s="18"/>
      <c r="IA872" s="18"/>
      <c r="IB872" s="18"/>
      <c r="IC872" s="18"/>
      <c r="ID872" s="18"/>
      <c r="IE872" s="18"/>
      <c r="IF872" s="18"/>
      <c r="IG872" s="18"/>
      <c r="IH872" s="18"/>
      <c r="II872" s="18"/>
      <c r="IJ872" s="18"/>
      <c r="IK872" s="18"/>
      <c r="IL872" s="18"/>
      <c r="IM872" s="18"/>
      <c r="IN872" s="18"/>
      <c r="IO872" s="18"/>
      <c r="IP872" s="18"/>
      <c r="IQ872" s="18"/>
      <c r="IR872" s="18"/>
      <c r="IS872" s="18"/>
      <c r="IT872" s="18"/>
      <c r="IU872" s="18"/>
      <c r="IV872" s="18"/>
      <c r="IW872" s="18"/>
      <c r="IX872" s="18"/>
      <c r="IY872" s="18"/>
      <c r="IZ872" s="18"/>
      <c r="JA872" s="18"/>
      <c r="JB872" s="18"/>
      <c r="JC872" s="18"/>
      <c r="JD872" s="18"/>
      <c r="JE872" s="18"/>
      <c r="JF872" s="18"/>
      <c r="JG872" s="18"/>
      <c r="JH872" s="18"/>
      <c r="JI872" s="18"/>
      <c r="JJ872" s="18"/>
      <c r="JK872" s="18"/>
      <c r="JL872" s="18"/>
      <c r="JM872" s="18"/>
      <c r="JN872" s="18"/>
      <c r="JO872" s="18"/>
      <c r="JP872" s="18"/>
      <c r="JQ872" s="18"/>
      <c r="JR872" s="18"/>
      <c r="JS872" s="18"/>
      <c r="JT872" s="18"/>
      <c r="JU872" s="18"/>
      <c r="JV872" s="18"/>
      <c r="JW872" s="18"/>
      <c r="JX872" s="18"/>
      <c r="JY872" s="18"/>
      <c r="JZ872" s="18"/>
      <c r="KA872" s="18"/>
      <c r="KB872" s="18"/>
      <c r="KC872" s="18"/>
      <c r="KD872" s="18"/>
      <c r="KE872" s="18"/>
      <c r="KF872" s="18"/>
      <c r="KG872" s="18"/>
      <c r="KH872" s="18"/>
      <c r="KI872" s="18"/>
      <c r="KJ872" s="18"/>
      <c r="KK872" s="18"/>
      <c r="KL872" s="18"/>
      <c r="KM872" s="18"/>
      <c r="KN872" s="18"/>
      <c r="KO872" s="18"/>
      <c r="KP872" s="18"/>
    </row>
    <row r="873" spans="1:302">
      <c r="A873" s="14"/>
      <c r="B873" s="14"/>
      <c r="F873" s="14"/>
      <c r="G873" s="23"/>
      <c r="H873" s="23"/>
      <c r="I873" s="23"/>
      <c r="J873" s="23"/>
      <c r="K873" s="14"/>
      <c r="L873" s="14"/>
      <c r="P873" s="14"/>
      <c r="AG873" s="44"/>
      <c r="AH873" s="44"/>
      <c r="AI873" s="45"/>
      <c r="AJ873" s="44"/>
      <c r="AK873" s="43"/>
      <c r="AS873" s="14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  <c r="EW873" s="18"/>
      <c r="EX873" s="18"/>
      <c r="EY873" s="18"/>
      <c r="EZ873" s="18"/>
      <c r="FA873" s="18"/>
      <c r="FB873" s="18"/>
      <c r="FC873" s="18"/>
      <c r="FD873" s="18"/>
      <c r="FE873" s="18"/>
      <c r="FF873" s="18"/>
      <c r="FG873" s="18"/>
      <c r="FH873" s="18"/>
      <c r="FI873" s="18"/>
      <c r="FJ873" s="18"/>
      <c r="FK873" s="18"/>
      <c r="FL873" s="18"/>
      <c r="FM873" s="18"/>
      <c r="FN873" s="18"/>
      <c r="FO873" s="18"/>
      <c r="FP873" s="18"/>
      <c r="FQ873" s="18"/>
      <c r="FR873" s="18"/>
      <c r="FS873" s="18"/>
      <c r="FT873" s="18"/>
      <c r="FU873" s="18"/>
      <c r="FV873" s="18"/>
      <c r="FW873" s="18"/>
      <c r="FX873" s="18"/>
      <c r="FY873" s="18"/>
      <c r="FZ873" s="18"/>
      <c r="GA873" s="18"/>
      <c r="GB873" s="18"/>
      <c r="GC873" s="18"/>
      <c r="GD873" s="18"/>
      <c r="GE873" s="18"/>
      <c r="GF873" s="18"/>
      <c r="GG873" s="18"/>
      <c r="GH873" s="18"/>
      <c r="GI873" s="18"/>
      <c r="GJ873" s="18"/>
      <c r="GK873" s="18"/>
      <c r="GL873" s="18"/>
      <c r="GM873" s="18"/>
      <c r="GN873" s="18"/>
      <c r="GO873" s="18"/>
      <c r="GP873" s="18"/>
      <c r="GQ873" s="18"/>
      <c r="GR873" s="18"/>
      <c r="GS873" s="18"/>
      <c r="GT873" s="18"/>
      <c r="GU873" s="18"/>
      <c r="GV873" s="18"/>
      <c r="GW873" s="18"/>
      <c r="GX873" s="18"/>
      <c r="GY873" s="18"/>
      <c r="GZ873" s="18"/>
      <c r="HA873" s="18"/>
      <c r="HB873" s="18"/>
      <c r="HC873" s="18"/>
      <c r="HD873" s="18"/>
      <c r="HE873" s="18"/>
      <c r="HF873" s="18"/>
      <c r="HG873" s="13"/>
      <c r="HH873" s="13"/>
      <c r="HI873" s="13"/>
      <c r="HJ873" s="13"/>
      <c r="HK873" s="13"/>
      <c r="HL873" s="13"/>
      <c r="HM873" s="13"/>
      <c r="HN873" s="13"/>
      <c r="HO873" s="13"/>
      <c r="HP873" s="13"/>
      <c r="HQ873" s="13"/>
      <c r="HR873" s="13"/>
      <c r="HS873" s="13"/>
      <c r="HT873" s="13"/>
      <c r="HU873" s="18"/>
      <c r="HV873" s="18"/>
      <c r="HW873" s="18"/>
      <c r="HX873" s="18"/>
      <c r="HY873" s="18"/>
      <c r="HZ873" s="18"/>
      <c r="IA873" s="18"/>
      <c r="IB873" s="18"/>
      <c r="IC873" s="18"/>
      <c r="ID873" s="18"/>
      <c r="IE873" s="18"/>
      <c r="IF873" s="18"/>
      <c r="IG873" s="18"/>
      <c r="IH873" s="18"/>
      <c r="II873" s="18"/>
      <c r="IJ873" s="18"/>
      <c r="IK873" s="18"/>
      <c r="IL873" s="18"/>
      <c r="IM873" s="18"/>
      <c r="IN873" s="18"/>
      <c r="IO873" s="18"/>
      <c r="IP873" s="18"/>
      <c r="IQ873" s="18"/>
      <c r="IR873" s="18"/>
      <c r="IS873" s="18"/>
      <c r="IT873" s="18"/>
      <c r="IU873" s="18"/>
      <c r="IV873" s="18"/>
      <c r="IW873" s="18"/>
      <c r="IX873" s="18"/>
      <c r="IY873" s="18"/>
      <c r="IZ873" s="18"/>
      <c r="JA873" s="18"/>
      <c r="JB873" s="18"/>
      <c r="JC873" s="18"/>
      <c r="JD873" s="18"/>
      <c r="JE873" s="18"/>
      <c r="JF873" s="18"/>
      <c r="JG873" s="18"/>
      <c r="JH873" s="18"/>
      <c r="JI873" s="18"/>
      <c r="JJ873" s="18"/>
      <c r="JK873" s="18"/>
      <c r="JL873" s="18"/>
      <c r="JM873" s="18"/>
      <c r="JN873" s="18"/>
      <c r="JO873" s="18"/>
      <c r="JP873" s="18"/>
      <c r="JQ873" s="18"/>
      <c r="JR873" s="18"/>
      <c r="JS873" s="18"/>
      <c r="JT873" s="18"/>
      <c r="JU873" s="18"/>
      <c r="JV873" s="18"/>
      <c r="JW873" s="18"/>
      <c r="JX873" s="18"/>
      <c r="JY873" s="18"/>
      <c r="JZ873" s="18"/>
      <c r="KA873" s="18"/>
      <c r="KB873" s="18"/>
      <c r="KC873" s="18"/>
      <c r="KD873" s="18"/>
      <c r="KE873" s="18"/>
      <c r="KF873" s="18"/>
      <c r="KG873" s="18"/>
      <c r="KH873" s="18"/>
      <c r="KI873" s="18"/>
      <c r="KJ873" s="18"/>
      <c r="KK873" s="18"/>
      <c r="KL873" s="18"/>
      <c r="KM873" s="18"/>
      <c r="KN873" s="18"/>
      <c r="KO873" s="18"/>
      <c r="KP873" s="18"/>
    </row>
    <row r="874" spans="1:302">
      <c r="A874" s="14"/>
      <c r="B874" s="14"/>
      <c r="F874" s="14"/>
      <c r="G874" s="23"/>
      <c r="H874" s="23"/>
      <c r="I874" s="23"/>
      <c r="J874" s="23"/>
      <c r="K874" s="14"/>
      <c r="L874" s="14"/>
      <c r="P874" s="14"/>
      <c r="AG874" s="44"/>
      <c r="AH874" s="44"/>
      <c r="AI874" s="45"/>
      <c r="AJ874" s="44"/>
      <c r="AK874" s="43"/>
      <c r="AS874" s="14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  <c r="EW874" s="18"/>
      <c r="EX874" s="18"/>
      <c r="EY874" s="18"/>
      <c r="EZ874" s="18"/>
      <c r="FA874" s="18"/>
      <c r="FB874" s="18"/>
      <c r="FC874" s="18"/>
      <c r="FD874" s="18"/>
      <c r="FE874" s="18"/>
      <c r="FF874" s="18"/>
      <c r="FG874" s="18"/>
      <c r="FH874" s="18"/>
      <c r="FI874" s="18"/>
      <c r="FJ874" s="18"/>
      <c r="FK874" s="18"/>
      <c r="FL874" s="18"/>
      <c r="FM874" s="18"/>
      <c r="FN874" s="18"/>
      <c r="FO874" s="18"/>
      <c r="FP874" s="18"/>
      <c r="FQ874" s="18"/>
      <c r="FR874" s="18"/>
      <c r="FS874" s="18"/>
      <c r="FT874" s="18"/>
      <c r="FU874" s="18"/>
      <c r="FV874" s="18"/>
      <c r="FW874" s="18"/>
      <c r="FX874" s="18"/>
      <c r="FY874" s="18"/>
      <c r="FZ874" s="18"/>
      <c r="GA874" s="18"/>
      <c r="GB874" s="18"/>
      <c r="GC874" s="18"/>
      <c r="GD874" s="18"/>
      <c r="GE874" s="18"/>
      <c r="GF874" s="18"/>
      <c r="GG874" s="18"/>
      <c r="GH874" s="18"/>
      <c r="GI874" s="18"/>
      <c r="GJ874" s="18"/>
      <c r="GK874" s="18"/>
      <c r="GL874" s="18"/>
      <c r="GM874" s="18"/>
      <c r="GN874" s="18"/>
      <c r="GO874" s="18"/>
      <c r="GP874" s="18"/>
      <c r="GQ874" s="18"/>
      <c r="GR874" s="18"/>
      <c r="GS874" s="18"/>
      <c r="GT874" s="18"/>
      <c r="GU874" s="18"/>
      <c r="GV874" s="18"/>
      <c r="GW874" s="18"/>
      <c r="GX874" s="18"/>
      <c r="GY874" s="18"/>
      <c r="GZ874" s="18"/>
      <c r="HA874" s="18"/>
      <c r="HB874" s="18"/>
      <c r="HC874" s="18"/>
      <c r="HD874" s="18"/>
      <c r="HE874" s="18"/>
      <c r="HF874" s="18"/>
      <c r="HG874" s="13"/>
      <c r="HH874" s="13"/>
      <c r="HI874" s="13"/>
      <c r="HJ874" s="13"/>
      <c r="HK874" s="13"/>
      <c r="HL874" s="13"/>
      <c r="HM874" s="13"/>
      <c r="HN874" s="13"/>
      <c r="HO874" s="13"/>
      <c r="HP874" s="13"/>
      <c r="HQ874" s="13"/>
      <c r="HR874" s="13"/>
      <c r="HS874" s="13"/>
      <c r="HT874" s="13"/>
      <c r="HU874" s="18"/>
      <c r="HV874" s="18"/>
      <c r="HW874" s="18"/>
      <c r="HX874" s="18"/>
      <c r="HY874" s="18"/>
      <c r="HZ874" s="18"/>
      <c r="IA874" s="18"/>
      <c r="IB874" s="18"/>
      <c r="IC874" s="18"/>
      <c r="ID874" s="18"/>
      <c r="IE874" s="18"/>
      <c r="IF874" s="18"/>
      <c r="IG874" s="18"/>
      <c r="IH874" s="18"/>
      <c r="II874" s="18"/>
      <c r="IJ874" s="18"/>
      <c r="IK874" s="18"/>
      <c r="IL874" s="18"/>
      <c r="IM874" s="18"/>
      <c r="IN874" s="18"/>
      <c r="IO874" s="18"/>
      <c r="IP874" s="18"/>
      <c r="IQ874" s="18"/>
      <c r="IR874" s="18"/>
      <c r="IS874" s="18"/>
      <c r="IT874" s="18"/>
      <c r="IU874" s="18"/>
      <c r="IV874" s="18"/>
      <c r="IW874" s="18"/>
      <c r="IX874" s="18"/>
      <c r="IY874" s="18"/>
      <c r="IZ874" s="18"/>
      <c r="JA874" s="18"/>
      <c r="JB874" s="18"/>
      <c r="JC874" s="18"/>
      <c r="JD874" s="18"/>
      <c r="JE874" s="18"/>
      <c r="JF874" s="18"/>
      <c r="JG874" s="18"/>
      <c r="JH874" s="18"/>
      <c r="JI874" s="18"/>
      <c r="JJ874" s="18"/>
      <c r="JK874" s="18"/>
      <c r="JL874" s="18"/>
      <c r="JM874" s="18"/>
      <c r="JN874" s="18"/>
      <c r="JO874" s="18"/>
      <c r="JP874" s="18"/>
      <c r="JQ874" s="18"/>
      <c r="JR874" s="18"/>
      <c r="JS874" s="18"/>
      <c r="JT874" s="18"/>
      <c r="JU874" s="18"/>
      <c r="JV874" s="18"/>
      <c r="JW874" s="18"/>
      <c r="JX874" s="18"/>
      <c r="JY874" s="18"/>
      <c r="JZ874" s="18"/>
      <c r="KA874" s="18"/>
      <c r="KB874" s="18"/>
      <c r="KC874" s="18"/>
      <c r="KD874" s="18"/>
      <c r="KE874" s="18"/>
      <c r="KF874" s="18"/>
      <c r="KG874" s="18"/>
      <c r="KH874" s="18"/>
      <c r="KI874" s="18"/>
      <c r="KJ874" s="18"/>
      <c r="KK874" s="18"/>
      <c r="KL874" s="18"/>
      <c r="KM874" s="18"/>
      <c r="KN874" s="18"/>
      <c r="KO874" s="18"/>
      <c r="KP874" s="18"/>
    </row>
    <row r="875" spans="1:302">
      <c r="A875" s="14"/>
      <c r="B875" s="14"/>
      <c r="F875" s="14"/>
      <c r="G875" s="23"/>
      <c r="H875" s="23"/>
      <c r="I875" s="23"/>
      <c r="J875" s="23"/>
      <c r="K875" s="14"/>
      <c r="L875" s="14"/>
      <c r="P875" s="14"/>
      <c r="AG875" s="44"/>
      <c r="AH875" s="44"/>
      <c r="AI875" s="45"/>
      <c r="AJ875" s="44"/>
      <c r="AK875" s="43"/>
      <c r="AS875" s="14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  <c r="EW875" s="18"/>
      <c r="EX875" s="18"/>
      <c r="EY875" s="18"/>
      <c r="EZ875" s="18"/>
      <c r="FA875" s="18"/>
      <c r="FB875" s="18"/>
      <c r="FC875" s="18"/>
      <c r="FD875" s="18"/>
      <c r="FE875" s="18"/>
      <c r="FF875" s="18"/>
      <c r="FG875" s="18"/>
      <c r="FH875" s="18"/>
      <c r="FI875" s="18"/>
      <c r="FJ875" s="18"/>
      <c r="FK875" s="18"/>
      <c r="FL875" s="18"/>
      <c r="FM875" s="18"/>
      <c r="FN875" s="18"/>
      <c r="FO875" s="18"/>
      <c r="FP875" s="18"/>
      <c r="FQ875" s="18"/>
      <c r="FR875" s="18"/>
      <c r="FS875" s="18"/>
      <c r="FT875" s="18"/>
      <c r="FU875" s="18"/>
      <c r="FV875" s="18"/>
      <c r="FW875" s="18"/>
      <c r="FX875" s="18"/>
      <c r="FY875" s="18"/>
      <c r="FZ875" s="18"/>
      <c r="GA875" s="18"/>
      <c r="GB875" s="18"/>
      <c r="GC875" s="18"/>
      <c r="GD875" s="18"/>
      <c r="GE875" s="18"/>
      <c r="GF875" s="18"/>
      <c r="GG875" s="18"/>
      <c r="GH875" s="18"/>
      <c r="GI875" s="18"/>
      <c r="GJ875" s="18"/>
      <c r="GK875" s="18"/>
      <c r="GL875" s="18"/>
      <c r="GM875" s="18"/>
      <c r="GN875" s="18"/>
      <c r="GO875" s="18"/>
      <c r="GP875" s="18"/>
      <c r="GQ875" s="18"/>
      <c r="GR875" s="18"/>
      <c r="GS875" s="18"/>
      <c r="GT875" s="18"/>
      <c r="GU875" s="18"/>
      <c r="GV875" s="18"/>
      <c r="GW875" s="18"/>
      <c r="GX875" s="18"/>
      <c r="GY875" s="18"/>
      <c r="GZ875" s="18"/>
      <c r="HA875" s="18"/>
      <c r="HB875" s="18"/>
      <c r="HC875" s="18"/>
      <c r="HD875" s="18"/>
      <c r="HE875" s="18"/>
      <c r="HF875" s="18"/>
      <c r="HG875" s="13"/>
      <c r="HH875" s="13"/>
      <c r="HI875" s="13"/>
      <c r="HJ875" s="13"/>
      <c r="HK875" s="13"/>
      <c r="HL875" s="13"/>
      <c r="HM875" s="13"/>
      <c r="HN875" s="13"/>
      <c r="HO875" s="13"/>
      <c r="HP875" s="13"/>
      <c r="HQ875" s="13"/>
      <c r="HR875" s="13"/>
      <c r="HS875" s="13"/>
      <c r="HT875" s="13"/>
      <c r="HU875" s="18"/>
      <c r="HV875" s="18"/>
      <c r="HW875" s="18"/>
      <c r="HX875" s="18"/>
      <c r="HY875" s="18"/>
      <c r="HZ875" s="18"/>
      <c r="IA875" s="18"/>
      <c r="IB875" s="18"/>
      <c r="IC875" s="18"/>
      <c r="ID875" s="18"/>
      <c r="IE875" s="18"/>
      <c r="IF875" s="18"/>
      <c r="IG875" s="18"/>
      <c r="IH875" s="18"/>
      <c r="II875" s="18"/>
      <c r="IJ875" s="18"/>
      <c r="IK875" s="18"/>
      <c r="IL875" s="18"/>
      <c r="IM875" s="18"/>
      <c r="IN875" s="18"/>
      <c r="IO875" s="18"/>
      <c r="IP875" s="18"/>
      <c r="IQ875" s="18"/>
      <c r="IR875" s="18"/>
      <c r="IS875" s="18"/>
      <c r="IT875" s="18"/>
      <c r="IU875" s="18"/>
      <c r="IV875" s="18"/>
      <c r="IW875" s="18"/>
      <c r="IX875" s="18"/>
      <c r="IY875" s="18"/>
      <c r="IZ875" s="18"/>
      <c r="JA875" s="18"/>
      <c r="JB875" s="18"/>
      <c r="JC875" s="18"/>
      <c r="JD875" s="18"/>
      <c r="JE875" s="18"/>
      <c r="JF875" s="18"/>
      <c r="JG875" s="18"/>
      <c r="JH875" s="18"/>
      <c r="JI875" s="18"/>
      <c r="JJ875" s="18"/>
      <c r="JK875" s="18"/>
      <c r="JL875" s="18"/>
      <c r="JM875" s="18"/>
      <c r="JN875" s="18"/>
      <c r="JO875" s="18"/>
      <c r="JP875" s="18"/>
      <c r="JQ875" s="18"/>
      <c r="JR875" s="18"/>
      <c r="JS875" s="18"/>
      <c r="JT875" s="18"/>
      <c r="JU875" s="18"/>
      <c r="JV875" s="18"/>
      <c r="JW875" s="18"/>
      <c r="JX875" s="18"/>
      <c r="JY875" s="18"/>
      <c r="JZ875" s="18"/>
      <c r="KA875" s="18"/>
      <c r="KB875" s="18"/>
      <c r="KC875" s="18"/>
      <c r="KD875" s="18"/>
      <c r="KE875" s="18"/>
      <c r="KF875" s="18"/>
      <c r="KG875" s="18"/>
      <c r="KH875" s="18"/>
      <c r="KI875" s="18"/>
      <c r="KJ875" s="18"/>
      <c r="KK875" s="18"/>
      <c r="KL875" s="18"/>
      <c r="KM875" s="18"/>
      <c r="KN875" s="18"/>
      <c r="KO875" s="18"/>
      <c r="KP875" s="18"/>
    </row>
    <row r="876" spans="1:302">
      <c r="A876" s="14"/>
      <c r="B876" s="14"/>
      <c r="F876" s="14"/>
      <c r="G876" s="23"/>
      <c r="H876" s="23"/>
      <c r="I876" s="23"/>
      <c r="J876" s="23"/>
      <c r="K876" s="14"/>
      <c r="L876" s="14"/>
      <c r="P876" s="14"/>
      <c r="AG876" s="44"/>
      <c r="AH876" s="44"/>
      <c r="AI876" s="45"/>
      <c r="AJ876" s="44"/>
      <c r="AK876" s="43"/>
      <c r="AS876" s="14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  <c r="EW876" s="18"/>
      <c r="EX876" s="18"/>
      <c r="EY876" s="18"/>
      <c r="EZ876" s="18"/>
      <c r="FA876" s="18"/>
      <c r="FB876" s="18"/>
      <c r="FC876" s="18"/>
      <c r="FD876" s="18"/>
      <c r="FE876" s="18"/>
      <c r="FF876" s="18"/>
      <c r="FG876" s="18"/>
      <c r="FH876" s="18"/>
      <c r="FI876" s="18"/>
      <c r="FJ876" s="18"/>
      <c r="FK876" s="18"/>
      <c r="FL876" s="18"/>
      <c r="FM876" s="18"/>
      <c r="FN876" s="18"/>
      <c r="FO876" s="18"/>
      <c r="FP876" s="18"/>
      <c r="FQ876" s="18"/>
      <c r="FR876" s="18"/>
      <c r="FS876" s="18"/>
      <c r="FT876" s="18"/>
      <c r="FU876" s="18"/>
      <c r="FV876" s="18"/>
      <c r="FW876" s="18"/>
      <c r="FX876" s="18"/>
      <c r="FY876" s="18"/>
      <c r="FZ876" s="18"/>
      <c r="GA876" s="18"/>
      <c r="GB876" s="18"/>
      <c r="GC876" s="18"/>
      <c r="GD876" s="18"/>
      <c r="GE876" s="18"/>
      <c r="GF876" s="18"/>
      <c r="GG876" s="18"/>
      <c r="GH876" s="18"/>
      <c r="GI876" s="18"/>
      <c r="GJ876" s="18"/>
      <c r="GK876" s="18"/>
      <c r="GL876" s="18"/>
      <c r="GM876" s="18"/>
      <c r="GN876" s="18"/>
      <c r="GO876" s="18"/>
      <c r="GP876" s="18"/>
      <c r="GQ876" s="18"/>
      <c r="GR876" s="18"/>
      <c r="GS876" s="18"/>
      <c r="GT876" s="18"/>
      <c r="GU876" s="18"/>
      <c r="GV876" s="18"/>
      <c r="GW876" s="18"/>
      <c r="GX876" s="18"/>
      <c r="GY876" s="18"/>
      <c r="GZ876" s="18"/>
      <c r="HA876" s="18"/>
      <c r="HB876" s="18"/>
      <c r="HC876" s="18"/>
      <c r="HD876" s="18"/>
      <c r="HE876" s="18"/>
      <c r="HF876" s="18"/>
      <c r="HG876" s="13"/>
      <c r="HH876" s="13"/>
      <c r="HI876" s="13"/>
      <c r="HJ876" s="13"/>
      <c r="HK876" s="13"/>
      <c r="HL876" s="13"/>
      <c r="HM876" s="13"/>
      <c r="HN876" s="13"/>
      <c r="HO876" s="13"/>
      <c r="HP876" s="13"/>
      <c r="HQ876" s="13"/>
      <c r="HR876" s="13"/>
      <c r="HS876" s="13"/>
      <c r="HT876" s="13"/>
      <c r="HU876" s="18"/>
      <c r="HV876" s="18"/>
      <c r="HW876" s="18"/>
      <c r="HX876" s="18"/>
      <c r="HY876" s="18"/>
      <c r="HZ876" s="18"/>
      <c r="IA876" s="18"/>
      <c r="IB876" s="18"/>
      <c r="IC876" s="18"/>
      <c r="ID876" s="18"/>
      <c r="IE876" s="18"/>
      <c r="IF876" s="18"/>
      <c r="IG876" s="18"/>
      <c r="IH876" s="18"/>
      <c r="II876" s="18"/>
      <c r="IJ876" s="18"/>
      <c r="IK876" s="18"/>
      <c r="IL876" s="18"/>
      <c r="IM876" s="18"/>
      <c r="IN876" s="18"/>
      <c r="IO876" s="18"/>
      <c r="IP876" s="18"/>
      <c r="IQ876" s="18"/>
      <c r="IR876" s="18"/>
      <c r="IS876" s="18"/>
      <c r="IT876" s="18"/>
      <c r="IU876" s="18"/>
      <c r="IV876" s="18"/>
      <c r="IW876" s="18"/>
      <c r="IX876" s="18"/>
      <c r="IY876" s="18"/>
      <c r="IZ876" s="18"/>
      <c r="JA876" s="18"/>
      <c r="JB876" s="18"/>
      <c r="JC876" s="18"/>
      <c r="JD876" s="18"/>
      <c r="JE876" s="18"/>
      <c r="JF876" s="18"/>
      <c r="JG876" s="18"/>
      <c r="JH876" s="18"/>
      <c r="JI876" s="18"/>
      <c r="JJ876" s="18"/>
      <c r="JK876" s="18"/>
      <c r="JL876" s="18"/>
      <c r="JM876" s="18"/>
      <c r="JN876" s="18"/>
      <c r="JO876" s="18"/>
      <c r="JP876" s="18"/>
      <c r="JQ876" s="18"/>
      <c r="JR876" s="18"/>
      <c r="JS876" s="18"/>
      <c r="JT876" s="18"/>
      <c r="JU876" s="18"/>
      <c r="JV876" s="18"/>
      <c r="JW876" s="18"/>
      <c r="JX876" s="18"/>
      <c r="JY876" s="18"/>
      <c r="JZ876" s="18"/>
      <c r="KA876" s="18"/>
      <c r="KB876" s="18"/>
      <c r="KC876" s="18"/>
      <c r="KD876" s="18"/>
      <c r="KE876" s="18"/>
      <c r="KF876" s="18"/>
      <c r="KG876" s="18"/>
      <c r="KH876" s="18"/>
      <c r="KI876" s="18"/>
      <c r="KJ876" s="18"/>
      <c r="KK876" s="18"/>
      <c r="KL876" s="18"/>
      <c r="KM876" s="18"/>
      <c r="KN876" s="18"/>
      <c r="KO876" s="18"/>
      <c r="KP876" s="18"/>
    </row>
    <row r="877" spans="1:302">
      <c r="A877" s="14"/>
      <c r="B877" s="14"/>
      <c r="F877" s="14"/>
      <c r="G877" s="23"/>
      <c r="H877" s="23"/>
      <c r="I877" s="23"/>
      <c r="J877" s="23"/>
      <c r="K877" s="14"/>
      <c r="L877" s="14"/>
      <c r="P877" s="14"/>
      <c r="AG877" s="44"/>
      <c r="AH877" s="44"/>
      <c r="AI877" s="45"/>
      <c r="AJ877" s="44"/>
      <c r="AK877" s="43"/>
      <c r="AS877" s="14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  <c r="EW877" s="18"/>
      <c r="EX877" s="18"/>
      <c r="EY877" s="18"/>
      <c r="EZ877" s="18"/>
      <c r="FA877" s="18"/>
      <c r="FB877" s="18"/>
      <c r="FC877" s="18"/>
      <c r="FD877" s="18"/>
      <c r="FE877" s="18"/>
      <c r="FF877" s="18"/>
      <c r="FG877" s="18"/>
      <c r="FH877" s="18"/>
      <c r="FI877" s="18"/>
      <c r="FJ877" s="18"/>
      <c r="FK877" s="18"/>
      <c r="FL877" s="18"/>
      <c r="FM877" s="18"/>
      <c r="FN877" s="18"/>
      <c r="FO877" s="18"/>
      <c r="FP877" s="18"/>
      <c r="FQ877" s="18"/>
      <c r="FR877" s="18"/>
      <c r="FS877" s="18"/>
      <c r="FT877" s="18"/>
      <c r="FU877" s="18"/>
      <c r="FV877" s="18"/>
      <c r="FW877" s="18"/>
      <c r="FX877" s="18"/>
      <c r="FY877" s="18"/>
      <c r="FZ877" s="18"/>
      <c r="GA877" s="18"/>
      <c r="GB877" s="18"/>
      <c r="GC877" s="18"/>
      <c r="GD877" s="18"/>
      <c r="GE877" s="18"/>
      <c r="GF877" s="18"/>
      <c r="GG877" s="18"/>
      <c r="GH877" s="18"/>
      <c r="GI877" s="18"/>
      <c r="GJ877" s="18"/>
      <c r="GK877" s="18"/>
      <c r="GL877" s="18"/>
      <c r="GM877" s="18"/>
      <c r="GN877" s="18"/>
      <c r="GO877" s="18"/>
      <c r="GP877" s="18"/>
      <c r="GQ877" s="18"/>
      <c r="GR877" s="18"/>
      <c r="GS877" s="18"/>
      <c r="GT877" s="18"/>
      <c r="GU877" s="18"/>
      <c r="GV877" s="18"/>
      <c r="GW877" s="18"/>
      <c r="GX877" s="18"/>
      <c r="GY877" s="18"/>
      <c r="GZ877" s="18"/>
      <c r="HA877" s="18"/>
      <c r="HB877" s="18"/>
      <c r="HC877" s="18"/>
      <c r="HD877" s="18"/>
      <c r="HE877" s="18"/>
      <c r="HF877" s="18"/>
      <c r="HG877" s="13"/>
      <c r="HH877" s="13"/>
      <c r="HI877" s="13"/>
      <c r="HJ877" s="13"/>
      <c r="HK877" s="13"/>
      <c r="HL877" s="13"/>
      <c r="HM877" s="13"/>
      <c r="HN877" s="13"/>
      <c r="HO877" s="13"/>
      <c r="HP877" s="13"/>
      <c r="HQ877" s="13"/>
      <c r="HR877" s="13"/>
      <c r="HS877" s="13"/>
      <c r="HT877" s="13"/>
      <c r="HU877" s="18"/>
      <c r="HV877" s="18"/>
      <c r="HW877" s="18"/>
      <c r="HX877" s="18"/>
      <c r="HY877" s="18"/>
      <c r="HZ877" s="18"/>
      <c r="IA877" s="18"/>
      <c r="IB877" s="18"/>
      <c r="IC877" s="18"/>
      <c r="ID877" s="18"/>
      <c r="IE877" s="18"/>
      <c r="IF877" s="18"/>
      <c r="IG877" s="18"/>
      <c r="IH877" s="18"/>
      <c r="II877" s="18"/>
      <c r="IJ877" s="18"/>
      <c r="IK877" s="18"/>
      <c r="IL877" s="18"/>
      <c r="IM877" s="18"/>
      <c r="IN877" s="18"/>
      <c r="IO877" s="18"/>
      <c r="IP877" s="18"/>
      <c r="IQ877" s="18"/>
      <c r="IR877" s="18"/>
      <c r="IS877" s="18"/>
      <c r="IT877" s="18"/>
      <c r="IU877" s="18"/>
      <c r="IV877" s="18"/>
      <c r="IW877" s="18"/>
      <c r="IX877" s="18"/>
      <c r="IY877" s="18"/>
      <c r="IZ877" s="18"/>
      <c r="JA877" s="18"/>
      <c r="JB877" s="18"/>
      <c r="JC877" s="18"/>
      <c r="JD877" s="18"/>
      <c r="JE877" s="18"/>
      <c r="JF877" s="18"/>
      <c r="JG877" s="18"/>
      <c r="JH877" s="18"/>
      <c r="JI877" s="18"/>
      <c r="JJ877" s="18"/>
      <c r="JK877" s="18"/>
      <c r="JL877" s="18"/>
      <c r="JM877" s="18"/>
      <c r="JN877" s="18"/>
      <c r="JO877" s="18"/>
      <c r="JP877" s="18"/>
      <c r="JQ877" s="18"/>
      <c r="JR877" s="18"/>
      <c r="JS877" s="18"/>
      <c r="JT877" s="18"/>
      <c r="JU877" s="18"/>
      <c r="JV877" s="18"/>
      <c r="JW877" s="18"/>
      <c r="JX877" s="18"/>
      <c r="JY877" s="18"/>
      <c r="JZ877" s="18"/>
      <c r="KA877" s="18"/>
      <c r="KB877" s="18"/>
      <c r="KC877" s="18"/>
      <c r="KD877" s="18"/>
      <c r="KE877" s="18"/>
      <c r="KF877" s="18"/>
      <c r="KG877" s="18"/>
      <c r="KH877" s="18"/>
      <c r="KI877" s="18"/>
      <c r="KJ877" s="18"/>
      <c r="KK877" s="18"/>
      <c r="KL877" s="18"/>
      <c r="KM877" s="18"/>
      <c r="KN877" s="18"/>
      <c r="KO877" s="18"/>
      <c r="KP877" s="18"/>
    </row>
    <row r="878" spans="1:302">
      <c r="A878" s="14"/>
      <c r="B878" s="14"/>
      <c r="F878" s="14"/>
      <c r="G878" s="23"/>
      <c r="H878" s="23"/>
      <c r="I878" s="23"/>
      <c r="J878" s="23"/>
      <c r="K878" s="14"/>
      <c r="L878" s="14"/>
      <c r="P878" s="14"/>
      <c r="AG878" s="44"/>
      <c r="AH878" s="44"/>
      <c r="AI878" s="45"/>
      <c r="AJ878" s="44"/>
      <c r="AK878" s="43"/>
      <c r="AS878" s="14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  <c r="EW878" s="18"/>
      <c r="EX878" s="18"/>
      <c r="EY878" s="18"/>
      <c r="EZ878" s="18"/>
      <c r="FA878" s="18"/>
      <c r="FB878" s="18"/>
      <c r="FC878" s="18"/>
      <c r="FD878" s="18"/>
      <c r="FE878" s="18"/>
      <c r="FF878" s="18"/>
      <c r="FG878" s="18"/>
      <c r="FH878" s="18"/>
      <c r="FI878" s="18"/>
      <c r="FJ878" s="18"/>
      <c r="FK878" s="18"/>
      <c r="FL878" s="18"/>
      <c r="FM878" s="18"/>
      <c r="FN878" s="18"/>
      <c r="FO878" s="18"/>
      <c r="FP878" s="18"/>
      <c r="FQ878" s="18"/>
      <c r="FR878" s="18"/>
      <c r="FS878" s="18"/>
      <c r="FT878" s="18"/>
      <c r="FU878" s="18"/>
      <c r="FV878" s="18"/>
      <c r="FW878" s="18"/>
      <c r="FX878" s="18"/>
      <c r="FY878" s="18"/>
      <c r="FZ878" s="18"/>
      <c r="GA878" s="18"/>
      <c r="GB878" s="18"/>
      <c r="GC878" s="18"/>
      <c r="GD878" s="18"/>
      <c r="GE878" s="18"/>
      <c r="GF878" s="18"/>
      <c r="GG878" s="18"/>
      <c r="GH878" s="18"/>
      <c r="GI878" s="18"/>
      <c r="GJ878" s="18"/>
      <c r="GK878" s="18"/>
      <c r="GL878" s="18"/>
      <c r="GM878" s="18"/>
      <c r="GN878" s="18"/>
      <c r="GO878" s="18"/>
      <c r="GP878" s="18"/>
      <c r="GQ878" s="18"/>
      <c r="GR878" s="18"/>
      <c r="GS878" s="18"/>
      <c r="GT878" s="18"/>
      <c r="GU878" s="18"/>
      <c r="GV878" s="18"/>
      <c r="GW878" s="18"/>
      <c r="GX878" s="18"/>
      <c r="GY878" s="18"/>
      <c r="GZ878" s="18"/>
      <c r="HA878" s="18"/>
      <c r="HB878" s="18"/>
      <c r="HC878" s="18"/>
      <c r="HD878" s="18"/>
      <c r="HE878" s="18"/>
      <c r="HF878" s="18"/>
      <c r="HG878" s="13"/>
      <c r="HH878" s="13"/>
      <c r="HI878" s="13"/>
      <c r="HJ878" s="13"/>
      <c r="HK878" s="13"/>
      <c r="HL878" s="13"/>
      <c r="HM878" s="13"/>
      <c r="HN878" s="13"/>
      <c r="HO878" s="13"/>
      <c r="HP878" s="13"/>
      <c r="HQ878" s="13"/>
      <c r="HR878" s="13"/>
      <c r="HS878" s="13"/>
      <c r="HT878" s="13"/>
      <c r="HU878" s="18"/>
      <c r="HV878" s="18"/>
      <c r="HW878" s="18"/>
      <c r="HX878" s="18"/>
      <c r="HY878" s="18"/>
      <c r="HZ878" s="18"/>
      <c r="IA878" s="18"/>
      <c r="IB878" s="18"/>
      <c r="IC878" s="18"/>
      <c r="ID878" s="18"/>
      <c r="IE878" s="18"/>
      <c r="IF878" s="18"/>
      <c r="IG878" s="18"/>
      <c r="IH878" s="18"/>
      <c r="II878" s="18"/>
      <c r="IJ878" s="18"/>
      <c r="IK878" s="18"/>
      <c r="IL878" s="18"/>
      <c r="IM878" s="18"/>
      <c r="IN878" s="18"/>
      <c r="IO878" s="18"/>
      <c r="IP878" s="18"/>
      <c r="IQ878" s="18"/>
      <c r="IR878" s="18"/>
      <c r="IS878" s="18"/>
      <c r="IT878" s="18"/>
      <c r="IU878" s="18"/>
      <c r="IV878" s="18"/>
      <c r="IW878" s="18"/>
      <c r="IX878" s="18"/>
      <c r="IY878" s="18"/>
      <c r="IZ878" s="18"/>
      <c r="JA878" s="18"/>
      <c r="JB878" s="18"/>
      <c r="JC878" s="18"/>
      <c r="JD878" s="18"/>
      <c r="JE878" s="18"/>
      <c r="JF878" s="18"/>
      <c r="JG878" s="18"/>
      <c r="JH878" s="18"/>
      <c r="JI878" s="18"/>
      <c r="JJ878" s="18"/>
      <c r="JK878" s="18"/>
      <c r="JL878" s="18"/>
      <c r="JM878" s="18"/>
      <c r="JN878" s="18"/>
      <c r="JO878" s="18"/>
      <c r="JP878" s="18"/>
      <c r="JQ878" s="18"/>
      <c r="JR878" s="18"/>
      <c r="JS878" s="18"/>
      <c r="JT878" s="18"/>
      <c r="JU878" s="18"/>
      <c r="JV878" s="18"/>
      <c r="JW878" s="18"/>
      <c r="JX878" s="18"/>
      <c r="JY878" s="18"/>
      <c r="JZ878" s="18"/>
      <c r="KA878" s="18"/>
      <c r="KB878" s="18"/>
      <c r="KC878" s="18"/>
      <c r="KD878" s="18"/>
      <c r="KE878" s="18"/>
      <c r="KF878" s="18"/>
      <c r="KG878" s="18"/>
      <c r="KH878" s="18"/>
      <c r="KI878" s="18"/>
      <c r="KJ878" s="18"/>
      <c r="KK878" s="18"/>
      <c r="KL878" s="18"/>
      <c r="KM878" s="18"/>
      <c r="KN878" s="18"/>
      <c r="KO878" s="18"/>
      <c r="KP878" s="18"/>
    </row>
    <row r="879" spans="1:302">
      <c r="A879" s="14"/>
      <c r="B879" s="14"/>
      <c r="F879" s="14"/>
      <c r="G879" s="23"/>
      <c r="H879" s="23"/>
      <c r="I879" s="23"/>
      <c r="J879" s="23"/>
      <c r="K879" s="14"/>
      <c r="L879" s="14"/>
      <c r="P879" s="14"/>
      <c r="AG879" s="44"/>
      <c r="AH879" s="44"/>
      <c r="AI879" s="45"/>
      <c r="AJ879" s="44"/>
      <c r="AK879" s="43"/>
      <c r="AS879" s="14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  <c r="EW879" s="18"/>
      <c r="EX879" s="18"/>
      <c r="EY879" s="18"/>
      <c r="EZ879" s="18"/>
      <c r="FA879" s="18"/>
      <c r="FB879" s="18"/>
      <c r="FC879" s="18"/>
      <c r="FD879" s="18"/>
      <c r="FE879" s="18"/>
      <c r="FF879" s="18"/>
      <c r="FG879" s="18"/>
      <c r="FH879" s="18"/>
      <c r="FI879" s="18"/>
      <c r="FJ879" s="18"/>
      <c r="FK879" s="18"/>
      <c r="FL879" s="18"/>
      <c r="FM879" s="18"/>
      <c r="FN879" s="18"/>
      <c r="FO879" s="18"/>
      <c r="FP879" s="18"/>
      <c r="FQ879" s="18"/>
      <c r="FR879" s="18"/>
      <c r="FS879" s="18"/>
      <c r="FT879" s="18"/>
      <c r="FU879" s="18"/>
      <c r="FV879" s="18"/>
      <c r="FW879" s="18"/>
      <c r="FX879" s="18"/>
      <c r="FY879" s="18"/>
      <c r="FZ879" s="18"/>
      <c r="GA879" s="18"/>
      <c r="GB879" s="18"/>
      <c r="GC879" s="18"/>
      <c r="GD879" s="18"/>
      <c r="GE879" s="18"/>
      <c r="GF879" s="18"/>
      <c r="GG879" s="18"/>
      <c r="GH879" s="18"/>
      <c r="GI879" s="18"/>
      <c r="GJ879" s="18"/>
      <c r="GK879" s="18"/>
      <c r="GL879" s="18"/>
      <c r="GM879" s="18"/>
      <c r="GN879" s="18"/>
      <c r="GO879" s="18"/>
      <c r="GP879" s="18"/>
      <c r="GQ879" s="18"/>
      <c r="GR879" s="18"/>
      <c r="GS879" s="18"/>
      <c r="GT879" s="18"/>
      <c r="GU879" s="18"/>
      <c r="GV879" s="18"/>
      <c r="GW879" s="18"/>
      <c r="GX879" s="18"/>
      <c r="GY879" s="18"/>
      <c r="GZ879" s="18"/>
      <c r="HA879" s="18"/>
      <c r="HB879" s="18"/>
      <c r="HC879" s="18"/>
      <c r="HD879" s="18"/>
      <c r="HE879" s="18"/>
      <c r="HF879" s="18"/>
      <c r="HG879" s="13"/>
      <c r="HH879" s="13"/>
      <c r="HI879" s="13"/>
      <c r="HJ879" s="13"/>
      <c r="HK879" s="13"/>
      <c r="HL879" s="13"/>
      <c r="HM879" s="13"/>
      <c r="HN879" s="13"/>
      <c r="HO879" s="13"/>
      <c r="HP879" s="13"/>
      <c r="HQ879" s="13"/>
      <c r="HR879" s="13"/>
      <c r="HS879" s="13"/>
      <c r="HT879" s="13"/>
      <c r="HU879" s="18"/>
      <c r="HV879" s="18"/>
      <c r="HW879" s="18"/>
      <c r="HX879" s="18"/>
      <c r="HY879" s="18"/>
      <c r="HZ879" s="18"/>
      <c r="IA879" s="18"/>
      <c r="IB879" s="18"/>
      <c r="IC879" s="18"/>
      <c r="ID879" s="18"/>
      <c r="IE879" s="18"/>
      <c r="IF879" s="18"/>
      <c r="IG879" s="18"/>
      <c r="IH879" s="18"/>
      <c r="II879" s="18"/>
      <c r="IJ879" s="18"/>
      <c r="IK879" s="18"/>
      <c r="IL879" s="18"/>
      <c r="IM879" s="18"/>
      <c r="IN879" s="18"/>
      <c r="IO879" s="18"/>
      <c r="IP879" s="18"/>
      <c r="IQ879" s="18"/>
      <c r="IR879" s="18"/>
      <c r="IS879" s="18"/>
      <c r="IT879" s="18"/>
      <c r="IU879" s="18"/>
      <c r="IV879" s="18"/>
      <c r="IW879" s="18"/>
      <c r="IX879" s="18"/>
      <c r="IY879" s="18"/>
      <c r="IZ879" s="18"/>
      <c r="JA879" s="18"/>
      <c r="JB879" s="18"/>
      <c r="JC879" s="18"/>
      <c r="JD879" s="18"/>
      <c r="JE879" s="18"/>
      <c r="JF879" s="18"/>
      <c r="JG879" s="18"/>
      <c r="JH879" s="18"/>
      <c r="JI879" s="18"/>
      <c r="JJ879" s="18"/>
      <c r="JK879" s="18"/>
      <c r="JL879" s="18"/>
      <c r="JM879" s="18"/>
      <c r="JN879" s="18"/>
      <c r="JO879" s="18"/>
      <c r="JP879" s="18"/>
      <c r="JQ879" s="18"/>
      <c r="JR879" s="18"/>
      <c r="JS879" s="18"/>
      <c r="JT879" s="18"/>
      <c r="JU879" s="18"/>
      <c r="JV879" s="18"/>
      <c r="JW879" s="18"/>
      <c r="JX879" s="18"/>
      <c r="JY879" s="18"/>
      <c r="JZ879" s="18"/>
      <c r="KA879" s="18"/>
      <c r="KB879" s="18"/>
      <c r="KC879" s="18"/>
      <c r="KD879" s="18"/>
      <c r="KE879" s="18"/>
      <c r="KF879" s="18"/>
      <c r="KG879" s="18"/>
      <c r="KH879" s="18"/>
      <c r="KI879" s="18"/>
      <c r="KJ879" s="18"/>
      <c r="KK879" s="18"/>
      <c r="KL879" s="18"/>
      <c r="KM879" s="18"/>
      <c r="KN879" s="18"/>
      <c r="KO879" s="18"/>
      <c r="KP879" s="18"/>
    </row>
    <row r="880" spans="1:302">
      <c r="A880" s="14"/>
      <c r="B880" s="14"/>
      <c r="F880" s="14"/>
      <c r="G880" s="23"/>
      <c r="H880" s="23"/>
      <c r="I880" s="23"/>
      <c r="J880" s="23"/>
      <c r="K880" s="14"/>
      <c r="L880" s="14"/>
      <c r="P880" s="14"/>
      <c r="AG880" s="44"/>
      <c r="AH880" s="44"/>
      <c r="AI880" s="45"/>
      <c r="AJ880" s="44"/>
      <c r="AK880" s="43"/>
      <c r="AS880" s="14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  <c r="EW880" s="18"/>
      <c r="EX880" s="18"/>
      <c r="EY880" s="18"/>
      <c r="EZ880" s="18"/>
      <c r="FA880" s="18"/>
      <c r="FB880" s="18"/>
      <c r="FC880" s="18"/>
      <c r="FD880" s="18"/>
      <c r="FE880" s="18"/>
      <c r="FF880" s="18"/>
      <c r="FG880" s="18"/>
      <c r="FH880" s="18"/>
      <c r="FI880" s="18"/>
      <c r="FJ880" s="18"/>
      <c r="FK880" s="18"/>
      <c r="FL880" s="18"/>
      <c r="FM880" s="18"/>
      <c r="FN880" s="18"/>
      <c r="FO880" s="18"/>
      <c r="FP880" s="18"/>
      <c r="FQ880" s="18"/>
      <c r="FR880" s="18"/>
      <c r="FS880" s="18"/>
      <c r="FT880" s="18"/>
      <c r="FU880" s="18"/>
      <c r="FV880" s="18"/>
      <c r="FW880" s="18"/>
      <c r="FX880" s="18"/>
      <c r="FY880" s="18"/>
      <c r="FZ880" s="18"/>
      <c r="GA880" s="18"/>
      <c r="GB880" s="18"/>
      <c r="GC880" s="18"/>
      <c r="GD880" s="18"/>
      <c r="GE880" s="18"/>
      <c r="GF880" s="18"/>
      <c r="GG880" s="18"/>
      <c r="GH880" s="18"/>
      <c r="GI880" s="18"/>
      <c r="GJ880" s="18"/>
      <c r="GK880" s="18"/>
      <c r="GL880" s="18"/>
      <c r="GM880" s="18"/>
      <c r="GN880" s="18"/>
      <c r="GO880" s="18"/>
      <c r="GP880" s="18"/>
      <c r="GQ880" s="18"/>
      <c r="GR880" s="18"/>
      <c r="GS880" s="18"/>
      <c r="GT880" s="18"/>
      <c r="GU880" s="18"/>
      <c r="GV880" s="18"/>
      <c r="GW880" s="18"/>
      <c r="GX880" s="18"/>
      <c r="GY880" s="18"/>
      <c r="GZ880" s="18"/>
      <c r="HA880" s="18"/>
      <c r="HB880" s="18"/>
      <c r="HC880" s="18"/>
      <c r="HD880" s="18"/>
      <c r="HE880" s="18"/>
      <c r="HF880" s="18"/>
      <c r="HG880" s="13"/>
      <c r="HH880" s="13"/>
      <c r="HI880" s="13"/>
      <c r="HJ880" s="13"/>
      <c r="HK880" s="13"/>
      <c r="HL880" s="13"/>
      <c r="HM880" s="13"/>
      <c r="HN880" s="13"/>
      <c r="HO880" s="13"/>
      <c r="HP880" s="13"/>
      <c r="HQ880" s="13"/>
      <c r="HR880" s="13"/>
      <c r="HS880" s="13"/>
      <c r="HT880" s="13"/>
      <c r="HU880" s="18"/>
      <c r="HV880" s="18"/>
      <c r="HW880" s="18"/>
      <c r="HX880" s="18"/>
      <c r="HY880" s="18"/>
      <c r="HZ880" s="18"/>
      <c r="IA880" s="18"/>
      <c r="IB880" s="18"/>
      <c r="IC880" s="18"/>
      <c r="ID880" s="18"/>
      <c r="IE880" s="18"/>
      <c r="IF880" s="18"/>
      <c r="IG880" s="18"/>
      <c r="IH880" s="18"/>
      <c r="II880" s="18"/>
      <c r="IJ880" s="18"/>
      <c r="IK880" s="18"/>
      <c r="IL880" s="18"/>
      <c r="IM880" s="18"/>
      <c r="IN880" s="18"/>
      <c r="IO880" s="18"/>
      <c r="IP880" s="18"/>
      <c r="IQ880" s="18"/>
      <c r="IR880" s="18"/>
      <c r="IS880" s="18"/>
      <c r="IT880" s="18"/>
      <c r="IU880" s="18"/>
      <c r="IV880" s="18"/>
      <c r="IW880" s="18"/>
      <c r="IX880" s="18"/>
      <c r="IY880" s="18"/>
      <c r="IZ880" s="18"/>
      <c r="JA880" s="18"/>
      <c r="JB880" s="18"/>
      <c r="JC880" s="18"/>
      <c r="JD880" s="18"/>
      <c r="JE880" s="18"/>
      <c r="JF880" s="18"/>
      <c r="JG880" s="18"/>
      <c r="JH880" s="18"/>
      <c r="JI880" s="18"/>
      <c r="JJ880" s="18"/>
      <c r="JK880" s="18"/>
      <c r="JL880" s="18"/>
      <c r="JM880" s="18"/>
      <c r="JN880" s="18"/>
      <c r="JO880" s="18"/>
      <c r="JP880" s="18"/>
      <c r="JQ880" s="18"/>
      <c r="JR880" s="18"/>
      <c r="JS880" s="18"/>
      <c r="JT880" s="18"/>
      <c r="JU880" s="18"/>
      <c r="JV880" s="18"/>
      <c r="JW880" s="18"/>
      <c r="JX880" s="18"/>
      <c r="JY880" s="18"/>
      <c r="JZ880" s="18"/>
      <c r="KA880" s="18"/>
      <c r="KB880" s="18"/>
      <c r="KC880" s="18"/>
      <c r="KD880" s="18"/>
      <c r="KE880" s="18"/>
      <c r="KF880" s="18"/>
      <c r="KG880" s="18"/>
      <c r="KH880" s="18"/>
      <c r="KI880" s="18"/>
      <c r="KJ880" s="18"/>
      <c r="KK880" s="18"/>
      <c r="KL880" s="18"/>
      <c r="KM880" s="18"/>
      <c r="KN880" s="18"/>
      <c r="KO880" s="18"/>
      <c r="KP880" s="18"/>
    </row>
    <row r="881" spans="1:302">
      <c r="A881" s="14"/>
      <c r="B881" s="14"/>
      <c r="F881" s="14"/>
      <c r="G881" s="23"/>
      <c r="H881" s="23"/>
      <c r="I881" s="23"/>
      <c r="J881" s="23"/>
      <c r="K881" s="14"/>
      <c r="L881" s="14"/>
      <c r="P881" s="14"/>
      <c r="AG881" s="44"/>
      <c r="AH881" s="44"/>
      <c r="AI881" s="45"/>
      <c r="AJ881" s="44"/>
      <c r="AK881" s="43"/>
      <c r="AS881" s="14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  <c r="EW881" s="18"/>
      <c r="EX881" s="18"/>
      <c r="EY881" s="18"/>
      <c r="EZ881" s="18"/>
      <c r="FA881" s="18"/>
      <c r="FB881" s="18"/>
      <c r="FC881" s="18"/>
      <c r="FD881" s="18"/>
      <c r="FE881" s="18"/>
      <c r="FF881" s="18"/>
      <c r="FG881" s="18"/>
      <c r="FH881" s="18"/>
      <c r="FI881" s="18"/>
      <c r="FJ881" s="18"/>
      <c r="FK881" s="18"/>
      <c r="FL881" s="18"/>
      <c r="FM881" s="18"/>
      <c r="FN881" s="18"/>
      <c r="FO881" s="18"/>
      <c r="FP881" s="18"/>
      <c r="FQ881" s="18"/>
      <c r="FR881" s="18"/>
      <c r="FS881" s="18"/>
      <c r="FT881" s="18"/>
      <c r="FU881" s="18"/>
      <c r="FV881" s="18"/>
      <c r="FW881" s="18"/>
      <c r="FX881" s="18"/>
      <c r="FY881" s="18"/>
      <c r="FZ881" s="18"/>
      <c r="GA881" s="18"/>
      <c r="GB881" s="18"/>
      <c r="GC881" s="18"/>
      <c r="GD881" s="18"/>
      <c r="GE881" s="18"/>
      <c r="GF881" s="18"/>
      <c r="GG881" s="18"/>
      <c r="GH881" s="18"/>
      <c r="GI881" s="18"/>
      <c r="GJ881" s="18"/>
      <c r="GK881" s="18"/>
      <c r="GL881" s="18"/>
      <c r="GM881" s="18"/>
      <c r="GN881" s="18"/>
      <c r="GO881" s="18"/>
      <c r="GP881" s="18"/>
      <c r="GQ881" s="18"/>
      <c r="GR881" s="18"/>
      <c r="GS881" s="18"/>
      <c r="GT881" s="18"/>
      <c r="GU881" s="18"/>
      <c r="GV881" s="18"/>
      <c r="GW881" s="18"/>
      <c r="GX881" s="18"/>
      <c r="GY881" s="18"/>
      <c r="GZ881" s="18"/>
      <c r="HA881" s="18"/>
      <c r="HB881" s="18"/>
      <c r="HC881" s="18"/>
      <c r="HD881" s="18"/>
      <c r="HE881" s="18"/>
      <c r="HF881" s="18"/>
      <c r="HG881" s="13"/>
      <c r="HH881" s="13"/>
      <c r="HI881" s="13"/>
      <c r="HJ881" s="13"/>
      <c r="HK881" s="13"/>
      <c r="HL881" s="13"/>
      <c r="HM881" s="13"/>
      <c r="HN881" s="13"/>
      <c r="HO881" s="13"/>
      <c r="HP881" s="13"/>
      <c r="HQ881" s="13"/>
      <c r="HR881" s="13"/>
      <c r="HS881" s="13"/>
      <c r="HT881" s="13"/>
      <c r="HU881" s="18"/>
      <c r="HV881" s="18"/>
      <c r="HW881" s="18"/>
      <c r="HX881" s="18"/>
      <c r="HY881" s="18"/>
      <c r="HZ881" s="18"/>
      <c r="IA881" s="18"/>
      <c r="IB881" s="18"/>
      <c r="IC881" s="18"/>
      <c r="ID881" s="18"/>
      <c r="IE881" s="18"/>
      <c r="IF881" s="18"/>
      <c r="IG881" s="18"/>
      <c r="IH881" s="18"/>
      <c r="II881" s="18"/>
      <c r="IJ881" s="18"/>
      <c r="IK881" s="18"/>
      <c r="IL881" s="18"/>
      <c r="IM881" s="18"/>
      <c r="IN881" s="18"/>
      <c r="IO881" s="18"/>
      <c r="IP881" s="18"/>
      <c r="IQ881" s="18"/>
      <c r="IR881" s="18"/>
      <c r="IS881" s="18"/>
      <c r="IT881" s="18"/>
      <c r="IU881" s="18"/>
      <c r="IV881" s="18"/>
      <c r="IW881" s="18"/>
      <c r="IX881" s="18"/>
      <c r="IY881" s="18"/>
      <c r="IZ881" s="18"/>
      <c r="JA881" s="18"/>
      <c r="JB881" s="18"/>
      <c r="JC881" s="18"/>
      <c r="JD881" s="18"/>
      <c r="JE881" s="18"/>
      <c r="JF881" s="18"/>
      <c r="JG881" s="18"/>
      <c r="JH881" s="18"/>
      <c r="JI881" s="18"/>
      <c r="JJ881" s="18"/>
      <c r="JK881" s="18"/>
      <c r="JL881" s="18"/>
      <c r="JM881" s="18"/>
      <c r="JN881" s="18"/>
      <c r="JO881" s="18"/>
      <c r="JP881" s="18"/>
      <c r="JQ881" s="18"/>
      <c r="JR881" s="18"/>
      <c r="JS881" s="18"/>
      <c r="JT881" s="18"/>
      <c r="JU881" s="18"/>
      <c r="JV881" s="18"/>
      <c r="JW881" s="18"/>
      <c r="JX881" s="18"/>
      <c r="JY881" s="18"/>
      <c r="JZ881" s="18"/>
      <c r="KA881" s="18"/>
      <c r="KB881" s="18"/>
      <c r="KC881" s="18"/>
      <c r="KD881" s="18"/>
      <c r="KE881" s="18"/>
      <c r="KF881" s="18"/>
      <c r="KG881" s="18"/>
      <c r="KH881" s="18"/>
      <c r="KI881" s="18"/>
      <c r="KJ881" s="18"/>
      <c r="KK881" s="18"/>
      <c r="KL881" s="18"/>
      <c r="KM881" s="18"/>
      <c r="KN881" s="18"/>
      <c r="KO881" s="18"/>
      <c r="KP881" s="18"/>
    </row>
    <row r="882" spans="1:302">
      <c r="A882" s="14"/>
      <c r="B882" s="14"/>
      <c r="F882" s="14"/>
      <c r="G882" s="23"/>
      <c r="H882" s="23"/>
      <c r="I882" s="23"/>
      <c r="J882" s="23"/>
      <c r="K882" s="14"/>
      <c r="L882" s="14"/>
      <c r="P882" s="14"/>
      <c r="AG882" s="44"/>
      <c r="AH882" s="44"/>
      <c r="AI882" s="45"/>
      <c r="AJ882" s="44"/>
      <c r="AK882" s="43"/>
      <c r="AS882" s="14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  <c r="FC882" s="18"/>
      <c r="FD882" s="18"/>
      <c r="FE882" s="18"/>
      <c r="FF882" s="18"/>
      <c r="FG882" s="18"/>
      <c r="FH882" s="18"/>
      <c r="FI882" s="18"/>
      <c r="FJ882" s="18"/>
      <c r="FK882" s="18"/>
      <c r="FL882" s="18"/>
      <c r="FM882" s="18"/>
      <c r="FN882" s="18"/>
      <c r="FO882" s="18"/>
      <c r="FP882" s="18"/>
      <c r="FQ882" s="18"/>
      <c r="FR882" s="18"/>
      <c r="FS882" s="18"/>
      <c r="FT882" s="18"/>
      <c r="FU882" s="18"/>
      <c r="FV882" s="18"/>
      <c r="FW882" s="18"/>
      <c r="FX882" s="18"/>
      <c r="FY882" s="18"/>
      <c r="FZ882" s="18"/>
      <c r="GA882" s="18"/>
      <c r="GB882" s="18"/>
      <c r="GC882" s="18"/>
      <c r="GD882" s="18"/>
      <c r="GE882" s="18"/>
      <c r="GF882" s="18"/>
      <c r="GG882" s="18"/>
      <c r="GH882" s="18"/>
      <c r="GI882" s="18"/>
      <c r="GJ882" s="18"/>
      <c r="GK882" s="18"/>
      <c r="GL882" s="18"/>
      <c r="GM882" s="18"/>
      <c r="GN882" s="18"/>
      <c r="GO882" s="18"/>
      <c r="GP882" s="18"/>
      <c r="GQ882" s="18"/>
      <c r="GR882" s="18"/>
      <c r="GS882" s="18"/>
      <c r="GT882" s="18"/>
      <c r="GU882" s="18"/>
      <c r="GV882" s="18"/>
      <c r="GW882" s="18"/>
      <c r="GX882" s="18"/>
      <c r="GY882" s="18"/>
      <c r="GZ882" s="18"/>
      <c r="HA882" s="18"/>
      <c r="HB882" s="18"/>
      <c r="HC882" s="18"/>
      <c r="HD882" s="18"/>
      <c r="HE882" s="18"/>
      <c r="HF882" s="18"/>
      <c r="HG882" s="13"/>
      <c r="HH882" s="13"/>
      <c r="HI882" s="13"/>
      <c r="HJ882" s="13"/>
      <c r="HK882" s="13"/>
      <c r="HL882" s="13"/>
      <c r="HM882" s="13"/>
      <c r="HN882" s="13"/>
      <c r="HO882" s="13"/>
      <c r="HP882" s="13"/>
      <c r="HQ882" s="13"/>
      <c r="HR882" s="13"/>
      <c r="HS882" s="13"/>
      <c r="HT882" s="13"/>
      <c r="HU882" s="18"/>
      <c r="HV882" s="18"/>
      <c r="HW882" s="18"/>
      <c r="HX882" s="18"/>
      <c r="HY882" s="18"/>
      <c r="HZ882" s="18"/>
      <c r="IA882" s="18"/>
      <c r="IB882" s="18"/>
      <c r="IC882" s="18"/>
      <c r="ID882" s="18"/>
      <c r="IE882" s="18"/>
      <c r="IF882" s="18"/>
      <c r="IG882" s="18"/>
      <c r="IH882" s="18"/>
      <c r="II882" s="18"/>
      <c r="IJ882" s="18"/>
      <c r="IK882" s="18"/>
      <c r="IL882" s="18"/>
      <c r="IM882" s="18"/>
      <c r="IN882" s="18"/>
      <c r="IO882" s="18"/>
      <c r="IP882" s="18"/>
      <c r="IQ882" s="18"/>
      <c r="IR882" s="18"/>
      <c r="IS882" s="18"/>
      <c r="IT882" s="18"/>
      <c r="IU882" s="18"/>
      <c r="IV882" s="18"/>
      <c r="IW882" s="18"/>
      <c r="IX882" s="18"/>
      <c r="IY882" s="18"/>
      <c r="IZ882" s="18"/>
      <c r="JA882" s="18"/>
      <c r="JB882" s="18"/>
      <c r="JC882" s="18"/>
      <c r="JD882" s="18"/>
      <c r="JE882" s="18"/>
      <c r="JF882" s="18"/>
      <c r="JG882" s="18"/>
      <c r="JH882" s="18"/>
      <c r="JI882" s="18"/>
      <c r="JJ882" s="18"/>
      <c r="JK882" s="18"/>
      <c r="JL882" s="18"/>
      <c r="JM882" s="18"/>
      <c r="JN882" s="18"/>
      <c r="JO882" s="18"/>
      <c r="JP882" s="18"/>
      <c r="JQ882" s="18"/>
      <c r="JR882" s="18"/>
      <c r="JS882" s="18"/>
      <c r="JT882" s="18"/>
      <c r="JU882" s="18"/>
      <c r="JV882" s="18"/>
      <c r="JW882" s="18"/>
      <c r="JX882" s="18"/>
      <c r="JY882" s="18"/>
      <c r="JZ882" s="18"/>
      <c r="KA882" s="18"/>
      <c r="KB882" s="18"/>
      <c r="KC882" s="18"/>
      <c r="KD882" s="18"/>
      <c r="KE882" s="18"/>
      <c r="KF882" s="18"/>
      <c r="KG882" s="18"/>
      <c r="KH882" s="18"/>
      <c r="KI882" s="18"/>
      <c r="KJ882" s="18"/>
      <c r="KK882" s="18"/>
      <c r="KL882" s="18"/>
      <c r="KM882" s="18"/>
      <c r="KN882" s="18"/>
      <c r="KO882" s="18"/>
      <c r="KP882" s="18"/>
    </row>
    <row r="883" spans="1:302">
      <c r="A883" s="14"/>
      <c r="B883" s="14"/>
      <c r="F883" s="14"/>
      <c r="G883" s="23"/>
      <c r="H883" s="23"/>
      <c r="I883" s="23"/>
      <c r="J883" s="23"/>
      <c r="K883" s="14"/>
      <c r="L883" s="14"/>
      <c r="P883" s="14"/>
      <c r="AG883" s="44"/>
      <c r="AH883" s="44"/>
      <c r="AI883" s="45"/>
      <c r="AJ883" s="44"/>
      <c r="AK883" s="43"/>
      <c r="AS883" s="14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  <c r="EW883" s="18"/>
      <c r="EX883" s="18"/>
      <c r="EY883" s="18"/>
      <c r="EZ883" s="18"/>
      <c r="FA883" s="18"/>
      <c r="FB883" s="18"/>
      <c r="FC883" s="18"/>
      <c r="FD883" s="18"/>
      <c r="FE883" s="18"/>
      <c r="FF883" s="18"/>
      <c r="FG883" s="18"/>
      <c r="FH883" s="18"/>
      <c r="FI883" s="18"/>
      <c r="FJ883" s="18"/>
      <c r="FK883" s="18"/>
      <c r="FL883" s="18"/>
      <c r="FM883" s="18"/>
      <c r="FN883" s="18"/>
      <c r="FO883" s="18"/>
      <c r="FP883" s="18"/>
      <c r="FQ883" s="18"/>
      <c r="FR883" s="18"/>
      <c r="FS883" s="18"/>
      <c r="FT883" s="18"/>
      <c r="FU883" s="18"/>
      <c r="FV883" s="18"/>
      <c r="FW883" s="18"/>
      <c r="FX883" s="18"/>
      <c r="FY883" s="18"/>
      <c r="FZ883" s="18"/>
      <c r="GA883" s="18"/>
      <c r="GB883" s="18"/>
      <c r="GC883" s="18"/>
      <c r="GD883" s="18"/>
      <c r="GE883" s="18"/>
      <c r="GF883" s="18"/>
      <c r="GG883" s="18"/>
      <c r="GH883" s="18"/>
      <c r="GI883" s="18"/>
      <c r="GJ883" s="18"/>
      <c r="GK883" s="18"/>
      <c r="GL883" s="18"/>
      <c r="GM883" s="18"/>
      <c r="GN883" s="18"/>
      <c r="GO883" s="18"/>
      <c r="GP883" s="18"/>
      <c r="GQ883" s="18"/>
      <c r="GR883" s="18"/>
      <c r="GS883" s="18"/>
      <c r="GT883" s="18"/>
      <c r="GU883" s="18"/>
      <c r="GV883" s="18"/>
      <c r="GW883" s="18"/>
      <c r="GX883" s="18"/>
      <c r="GY883" s="18"/>
      <c r="GZ883" s="18"/>
      <c r="HA883" s="18"/>
      <c r="HB883" s="18"/>
      <c r="HC883" s="18"/>
      <c r="HD883" s="18"/>
      <c r="HE883" s="18"/>
      <c r="HF883" s="18"/>
      <c r="HG883" s="13"/>
      <c r="HH883" s="13"/>
      <c r="HI883" s="13"/>
      <c r="HJ883" s="13"/>
      <c r="HK883" s="13"/>
      <c r="HL883" s="13"/>
      <c r="HM883" s="13"/>
      <c r="HN883" s="13"/>
      <c r="HO883" s="13"/>
      <c r="HP883" s="13"/>
      <c r="HQ883" s="13"/>
      <c r="HR883" s="13"/>
      <c r="HS883" s="13"/>
      <c r="HT883" s="13"/>
      <c r="HU883" s="18"/>
      <c r="HV883" s="18"/>
      <c r="HW883" s="18"/>
      <c r="HX883" s="18"/>
      <c r="HY883" s="18"/>
      <c r="HZ883" s="18"/>
      <c r="IA883" s="18"/>
      <c r="IB883" s="18"/>
      <c r="IC883" s="18"/>
      <c r="ID883" s="18"/>
      <c r="IE883" s="18"/>
      <c r="IF883" s="18"/>
      <c r="IG883" s="18"/>
      <c r="IH883" s="18"/>
      <c r="II883" s="18"/>
      <c r="IJ883" s="18"/>
      <c r="IK883" s="18"/>
      <c r="IL883" s="18"/>
      <c r="IM883" s="18"/>
      <c r="IN883" s="18"/>
      <c r="IO883" s="18"/>
      <c r="IP883" s="18"/>
      <c r="IQ883" s="18"/>
      <c r="IR883" s="18"/>
      <c r="IS883" s="18"/>
      <c r="IT883" s="18"/>
      <c r="IU883" s="18"/>
      <c r="IV883" s="18"/>
      <c r="IW883" s="18"/>
      <c r="IX883" s="18"/>
      <c r="IY883" s="18"/>
      <c r="IZ883" s="18"/>
      <c r="JA883" s="18"/>
      <c r="JB883" s="18"/>
      <c r="JC883" s="18"/>
      <c r="JD883" s="18"/>
      <c r="JE883" s="18"/>
      <c r="JF883" s="18"/>
      <c r="JG883" s="18"/>
      <c r="JH883" s="18"/>
      <c r="JI883" s="18"/>
      <c r="JJ883" s="18"/>
      <c r="JK883" s="18"/>
      <c r="JL883" s="18"/>
      <c r="JM883" s="18"/>
      <c r="JN883" s="18"/>
      <c r="JO883" s="18"/>
      <c r="JP883" s="18"/>
      <c r="JQ883" s="18"/>
      <c r="JR883" s="18"/>
      <c r="JS883" s="18"/>
      <c r="JT883" s="18"/>
      <c r="JU883" s="18"/>
      <c r="JV883" s="18"/>
      <c r="JW883" s="18"/>
      <c r="JX883" s="18"/>
      <c r="JY883" s="18"/>
      <c r="JZ883" s="18"/>
      <c r="KA883" s="18"/>
      <c r="KB883" s="18"/>
      <c r="KC883" s="18"/>
      <c r="KD883" s="18"/>
      <c r="KE883" s="18"/>
      <c r="KF883" s="18"/>
      <c r="KG883" s="18"/>
      <c r="KH883" s="18"/>
      <c r="KI883" s="18"/>
      <c r="KJ883" s="18"/>
      <c r="KK883" s="18"/>
      <c r="KL883" s="18"/>
      <c r="KM883" s="18"/>
      <c r="KN883" s="18"/>
      <c r="KO883" s="18"/>
      <c r="KP883" s="18"/>
    </row>
    <row r="884" spans="1:302">
      <c r="A884" s="14"/>
      <c r="B884" s="14"/>
      <c r="F884" s="14"/>
      <c r="G884" s="23"/>
      <c r="H884" s="23"/>
      <c r="I884" s="23"/>
      <c r="J884" s="23"/>
      <c r="K884" s="14"/>
      <c r="L884" s="14"/>
      <c r="P884" s="14"/>
      <c r="AG884" s="44"/>
      <c r="AH884" s="44"/>
      <c r="AI884" s="45"/>
      <c r="AJ884" s="44"/>
      <c r="AK884" s="43"/>
      <c r="AS884" s="14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  <c r="EW884" s="18"/>
      <c r="EX884" s="18"/>
      <c r="EY884" s="18"/>
      <c r="EZ884" s="18"/>
      <c r="FA884" s="18"/>
      <c r="FB884" s="18"/>
      <c r="FC884" s="18"/>
      <c r="FD884" s="18"/>
      <c r="FE884" s="18"/>
      <c r="FF884" s="18"/>
      <c r="FG884" s="18"/>
      <c r="FH884" s="18"/>
      <c r="FI884" s="18"/>
      <c r="FJ884" s="18"/>
      <c r="FK884" s="18"/>
      <c r="FL884" s="18"/>
      <c r="FM884" s="18"/>
      <c r="FN884" s="18"/>
      <c r="FO884" s="18"/>
      <c r="FP884" s="18"/>
      <c r="FQ884" s="18"/>
      <c r="FR884" s="18"/>
      <c r="FS884" s="18"/>
      <c r="FT884" s="18"/>
      <c r="FU884" s="18"/>
      <c r="FV884" s="18"/>
      <c r="FW884" s="18"/>
      <c r="FX884" s="18"/>
      <c r="FY884" s="18"/>
      <c r="FZ884" s="18"/>
      <c r="GA884" s="18"/>
      <c r="GB884" s="18"/>
      <c r="GC884" s="18"/>
      <c r="GD884" s="18"/>
      <c r="GE884" s="18"/>
      <c r="GF884" s="18"/>
      <c r="GG884" s="18"/>
      <c r="GH884" s="18"/>
      <c r="GI884" s="18"/>
      <c r="GJ884" s="18"/>
      <c r="GK884" s="18"/>
      <c r="GL884" s="18"/>
      <c r="GM884" s="18"/>
      <c r="GN884" s="18"/>
      <c r="GO884" s="18"/>
      <c r="GP884" s="18"/>
      <c r="GQ884" s="18"/>
      <c r="GR884" s="18"/>
      <c r="GS884" s="18"/>
      <c r="GT884" s="18"/>
      <c r="GU884" s="18"/>
      <c r="GV884" s="18"/>
      <c r="GW884" s="18"/>
      <c r="GX884" s="18"/>
      <c r="GY884" s="18"/>
      <c r="GZ884" s="18"/>
      <c r="HA884" s="18"/>
      <c r="HB884" s="18"/>
      <c r="HC884" s="18"/>
      <c r="HD884" s="18"/>
      <c r="HE884" s="18"/>
      <c r="HF884" s="18"/>
      <c r="HG884" s="13"/>
      <c r="HH884" s="13"/>
      <c r="HI884" s="13"/>
      <c r="HJ884" s="13"/>
      <c r="HK884" s="13"/>
      <c r="HL884" s="13"/>
      <c r="HM884" s="13"/>
      <c r="HN884" s="13"/>
      <c r="HO884" s="13"/>
      <c r="HP884" s="13"/>
      <c r="HQ884" s="13"/>
      <c r="HR884" s="13"/>
      <c r="HS884" s="13"/>
      <c r="HT884" s="13"/>
      <c r="HU884" s="18"/>
      <c r="HV884" s="18"/>
      <c r="HW884" s="18"/>
      <c r="HX884" s="18"/>
      <c r="HY884" s="18"/>
      <c r="HZ884" s="18"/>
      <c r="IA884" s="18"/>
      <c r="IB884" s="18"/>
      <c r="IC884" s="18"/>
      <c r="ID884" s="18"/>
      <c r="IE884" s="18"/>
      <c r="IF884" s="18"/>
      <c r="IG884" s="18"/>
      <c r="IH884" s="18"/>
      <c r="II884" s="18"/>
      <c r="IJ884" s="18"/>
      <c r="IK884" s="18"/>
      <c r="IL884" s="18"/>
      <c r="IM884" s="18"/>
      <c r="IN884" s="18"/>
      <c r="IO884" s="18"/>
      <c r="IP884" s="18"/>
      <c r="IQ884" s="18"/>
      <c r="IR884" s="18"/>
      <c r="IS884" s="18"/>
      <c r="IT884" s="18"/>
      <c r="IU884" s="18"/>
      <c r="IV884" s="18"/>
      <c r="IW884" s="18"/>
      <c r="IX884" s="18"/>
      <c r="IY884" s="18"/>
      <c r="IZ884" s="18"/>
      <c r="JA884" s="18"/>
      <c r="JB884" s="18"/>
      <c r="JC884" s="18"/>
      <c r="JD884" s="18"/>
      <c r="JE884" s="18"/>
      <c r="JF884" s="18"/>
      <c r="JG884" s="18"/>
      <c r="JH884" s="18"/>
      <c r="JI884" s="18"/>
      <c r="JJ884" s="18"/>
      <c r="JK884" s="18"/>
      <c r="JL884" s="18"/>
      <c r="JM884" s="18"/>
      <c r="JN884" s="18"/>
      <c r="JO884" s="18"/>
      <c r="JP884" s="18"/>
      <c r="JQ884" s="18"/>
      <c r="JR884" s="18"/>
      <c r="JS884" s="18"/>
      <c r="JT884" s="18"/>
      <c r="JU884" s="18"/>
      <c r="JV884" s="18"/>
      <c r="JW884" s="18"/>
      <c r="JX884" s="18"/>
      <c r="JY884" s="18"/>
      <c r="JZ884" s="18"/>
      <c r="KA884" s="18"/>
      <c r="KB884" s="18"/>
      <c r="KC884" s="18"/>
      <c r="KD884" s="18"/>
      <c r="KE884" s="18"/>
      <c r="KF884" s="18"/>
      <c r="KG884" s="18"/>
      <c r="KH884" s="18"/>
      <c r="KI884" s="18"/>
      <c r="KJ884" s="18"/>
      <c r="KK884" s="18"/>
      <c r="KL884" s="18"/>
      <c r="KM884" s="18"/>
      <c r="KN884" s="18"/>
      <c r="KO884" s="18"/>
      <c r="KP884" s="18"/>
    </row>
    <row r="885" spans="1:302">
      <c r="A885" s="14"/>
      <c r="B885" s="14"/>
      <c r="F885" s="14"/>
      <c r="G885" s="23"/>
      <c r="H885" s="23"/>
      <c r="I885" s="23"/>
      <c r="J885" s="23"/>
      <c r="K885" s="14"/>
      <c r="L885" s="14"/>
      <c r="P885" s="14"/>
      <c r="AG885" s="44"/>
      <c r="AH885" s="44"/>
      <c r="AI885" s="45"/>
      <c r="AJ885" s="44"/>
      <c r="AK885" s="43"/>
      <c r="AS885" s="14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  <c r="EW885" s="18"/>
      <c r="EX885" s="18"/>
      <c r="EY885" s="18"/>
      <c r="EZ885" s="18"/>
      <c r="FA885" s="18"/>
      <c r="FB885" s="18"/>
      <c r="FC885" s="18"/>
      <c r="FD885" s="18"/>
      <c r="FE885" s="18"/>
      <c r="FF885" s="18"/>
      <c r="FG885" s="18"/>
      <c r="FH885" s="18"/>
      <c r="FI885" s="18"/>
      <c r="FJ885" s="18"/>
      <c r="FK885" s="18"/>
      <c r="FL885" s="18"/>
      <c r="FM885" s="18"/>
      <c r="FN885" s="18"/>
      <c r="FO885" s="18"/>
      <c r="FP885" s="18"/>
      <c r="FQ885" s="18"/>
      <c r="FR885" s="18"/>
      <c r="FS885" s="18"/>
      <c r="FT885" s="18"/>
      <c r="FU885" s="18"/>
      <c r="FV885" s="18"/>
      <c r="FW885" s="18"/>
      <c r="FX885" s="18"/>
      <c r="FY885" s="18"/>
      <c r="FZ885" s="18"/>
      <c r="GA885" s="18"/>
      <c r="GB885" s="18"/>
      <c r="GC885" s="18"/>
      <c r="GD885" s="18"/>
      <c r="GE885" s="18"/>
      <c r="GF885" s="18"/>
      <c r="GG885" s="18"/>
      <c r="GH885" s="18"/>
      <c r="GI885" s="18"/>
      <c r="GJ885" s="18"/>
      <c r="GK885" s="18"/>
      <c r="GL885" s="18"/>
      <c r="GM885" s="18"/>
      <c r="GN885" s="18"/>
      <c r="GO885" s="18"/>
      <c r="GP885" s="18"/>
      <c r="GQ885" s="18"/>
      <c r="GR885" s="18"/>
      <c r="GS885" s="18"/>
      <c r="GT885" s="18"/>
      <c r="GU885" s="18"/>
      <c r="GV885" s="18"/>
      <c r="GW885" s="18"/>
      <c r="GX885" s="18"/>
      <c r="GY885" s="18"/>
      <c r="GZ885" s="18"/>
      <c r="HA885" s="18"/>
      <c r="HB885" s="18"/>
      <c r="HC885" s="18"/>
      <c r="HD885" s="18"/>
      <c r="HE885" s="18"/>
      <c r="HF885" s="18"/>
      <c r="HG885" s="13"/>
      <c r="HH885" s="13"/>
      <c r="HI885" s="13"/>
      <c r="HJ885" s="13"/>
      <c r="HK885" s="13"/>
      <c r="HL885" s="13"/>
      <c r="HM885" s="13"/>
      <c r="HN885" s="13"/>
      <c r="HO885" s="13"/>
      <c r="HP885" s="13"/>
      <c r="HQ885" s="13"/>
      <c r="HR885" s="13"/>
      <c r="HS885" s="13"/>
      <c r="HT885" s="13"/>
      <c r="HU885" s="18"/>
      <c r="HV885" s="18"/>
      <c r="HW885" s="18"/>
      <c r="HX885" s="18"/>
      <c r="HY885" s="18"/>
      <c r="HZ885" s="18"/>
      <c r="IA885" s="18"/>
      <c r="IB885" s="18"/>
      <c r="IC885" s="18"/>
      <c r="ID885" s="18"/>
      <c r="IE885" s="18"/>
      <c r="IF885" s="18"/>
      <c r="IG885" s="18"/>
      <c r="IH885" s="18"/>
      <c r="II885" s="18"/>
      <c r="IJ885" s="18"/>
      <c r="IK885" s="18"/>
      <c r="IL885" s="18"/>
      <c r="IM885" s="18"/>
      <c r="IN885" s="18"/>
      <c r="IO885" s="18"/>
      <c r="IP885" s="18"/>
      <c r="IQ885" s="18"/>
      <c r="IR885" s="18"/>
      <c r="IS885" s="18"/>
      <c r="IT885" s="18"/>
      <c r="IU885" s="18"/>
      <c r="IV885" s="18"/>
      <c r="IW885" s="18"/>
      <c r="IX885" s="18"/>
      <c r="IY885" s="18"/>
      <c r="IZ885" s="18"/>
      <c r="JA885" s="18"/>
      <c r="JB885" s="18"/>
      <c r="JC885" s="18"/>
      <c r="JD885" s="18"/>
      <c r="JE885" s="18"/>
      <c r="JF885" s="18"/>
      <c r="JG885" s="18"/>
      <c r="JH885" s="18"/>
      <c r="JI885" s="18"/>
      <c r="JJ885" s="18"/>
      <c r="JK885" s="18"/>
      <c r="JL885" s="18"/>
      <c r="JM885" s="18"/>
      <c r="JN885" s="18"/>
      <c r="JO885" s="18"/>
      <c r="JP885" s="18"/>
      <c r="JQ885" s="18"/>
      <c r="JR885" s="18"/>
      <c r="JS885" s="18"/>
      <c r="JT885" s="18"/>
      <c r="JU885" s="18"/>
      <c r="JV885" s="18"/>
      <c r="JW885" s="18"/>
      <c r="JX885" s="18"/>
      <c r="JY885" s="18"/>
      <c r="JZ885" s="18"/>
      <c r="KA885" s="18"/>
      <c r="KB885" s="18"/>
      <c r="KC885" s="18"/>
      <c r="KD885" s="18"/>
      <c r="KE885" s="18"/>
      <c r="KF885" s="18"/>
      <c r="KG885" s="18"/>
      <c r="KH885" s="18"/>
      <c r="KI885" s="18"/>
      <c r="KJ885" s="18"/>
      <c r="KK885" s="18"/>
      <c r="KL885" s="18"/>
      <c r="KM885" s="18"/>
      <c r="KN885" s="18"/>
      <c r="KO885" s="18"/>
      <c r="KP885" s="18"/>
    </row>
    <row r="886" spans="1:302">
      <c r="A886" s="14"/>
      <c r="B886" s="14"/>
      <c r="F886" s="14"/>
      <c r="G886" s="23"/>
      <c r="H886" s="23"/>
      <c r="I886" s="23"/>
      <c r="J886" s="23"/>
      <c r="K886" s="14"/>
      <c r="L886" s="14"/>
      <c r="P886" s="14"/>
      <c r="AG886" s="44"/>
      <c r="AH886" s="44"/>
      <c r="AI886" s="45"/>
      <c r="AJ886" s="44"/>
      <c r="AK886" s="43"/>
      <c r="AS886" s="14"/>
      <c r="AT886" s="18"/>
      <c r="AU886" s="18"/>
      <c r="AV886" s="18"/>
      <c r="AW886" s="18"/>
      <c r="AX886" s="18"/>
      <c r="AY886" s="18"/>
      <c r="AZ886" s="18"/>
      <c r="BA886" s="18"/>
      <c r="BB886" s="18"/>
      <c r="BC886" s="18"/>
      <c r="BD886" s="18"/>
      <c r="BE886" s="18"/>
      <c r="BF886" s="18"/>
      <c r="BG886" s="18"/>
      <c r="BH886" s="18"/>
      <c r="BI886" s="18"/>
      <c r="BJ886" s="18"/>
      <c r="BK886" s="18"/>
      <c r="BL886" s="18"/>
      <c r="BM886" s="18"/>
      <c r="BN886" s="18"/>
      <c r="BO886" s="18"/>
      <c r="BP886" s="18"/>
      <c r="BQ886" s="18"/>
      <c r="BR886" s="18"/>
      <c r="BS886" s="18"/>
      <c r="BT886" s="18"/>
      <c r="BU886" s="18"/>
      <c r="BV886" s="18"/>
      <c r="BW886" s="18"/>
      <c r="BX886" s="18"/>
      <c r="BY886" s="18"/>
      <c r="BZ886" s="18"/>
      <c r="CA886" s="18"/>
      <c r="CB886" s="18"/>
      <c r="CC886" s="18"/>
      <c r="CD886" s="18"/>
      <c r="CE886" s="18"/>
      <c r="CF886" s="18"/>
      <c r="CG886" s="18"/>
      <c r="CH886" s="18"/>
      <c r="CI886" s="18"/>
      <c r="CJ886" s="18"/>
      <c r="CK886" s="18"/>
      <c r="CL886" s="18"/>
      <c r="CM886" s="18"/>
      <c r="CN886" s="18"/>
      <c r="CO886" s="18"/>
      <c r="CP886" s="18"/>
      <c r="CQ886" s="18"/>
      <c r="CR886" s="18"/>
      <c r="CS886" s="18"/>
      <c r="CT886" s="18"/>
      <c r="CU886" s="18"/>
      <c r="CV886" s="18"/>
      <c r="CW886" s="18"/>
      <c r="CX886" s="18"/>
      <c r="CY886" s="18"/>
      <c r="CZ886" s="18"/>
      <c r="DA886" s="18"/>
      <c r="DB886" s="18"/>
      <c r="DC886" s="18"/>
      <c r="DD886" s="18"/>
      <c r="DE886" s="18"/>
      <c r="DF886" s="18"/>
      <c r="DG886" s="18"/>
      <c r="DH886" s="18"/>
      <c r="DI886" s="18"/>
      <c r="DJ886" s="18"/>
      <c r="DK886" s="18"/>
      <c r="DL886" s="18"/>
      <c r="DM886" s="18"/>
      <c r="DN886" s="18"/>
      <c r="DO886" s="18"/>
      <c r="DP886" s="18"/>
      <c r="DQ886" s="18"/>
      <c r="DR886" s="18"/>
      <c r="DS886" s="18"/>
      <c r="DT886" s="18"/>
      <c r="DU886" s="18"/>
      <c r="DV886" s="18"/>
      <c r="DW886" s="18"/>
      <c r="DX886" s="18"/>
      <c r="DY886" s="18"/>
      <c r="DZ886" s="18"/>
      <c r="EA886" s="18"/>
      <c r="EB886" s="18"/>
      <c r="EC886" s="18"/>
      <c r="ED886" s="18"/>
      <c r="EE886" s="18"/>
      <c r="EF886" s="18"/>
      <c r="EG886" s="18"/>
      <c r="EH886" s="18"/>
      <c r="EI886" s="18"/>
      <c r="EJ886" s="18"/>
      <c r="EK886" s="18"/>
      <c r="EL886" s="18"/>
      <c r="EM886" s="18"/>
      <c r="EN886" s="18"/>
      <c r="EO886" s="18"/>
      <c r="EP886" s="18"/>
      <c r="EQ886" s="18"/>
      <c r="ER886" s="18"/>
      <c r="ES886" s="18"/>
      <c r="ET886" s="18"/>
      <c r="EU886" s="18"/>
      <c r="EV886" s="18"/>
      <c r="EW886" s="18"/>
      <c r="EX886" s="18"/>
      <c r="EY886" s="18"/>
      <c r="EZ886" s="18"/>
      <c r="FA886" s="18"/>
      <c r="FB886" s="18"/>
      <c r="FC886" s="18"/>
      <c r="FD886" s="18"/>
      <c r="FE886" s="18"/>
      <c r="FF886" s="18"/>
      <c r="FG886" s="18"/>
      <c r="FH886" s="18"/>
      <c r="FI886" s="18"/>
      <c r="FJ886" s="18"/>
      <c r="FK886" s="18"/>
      <c r="FL886" s="18"/>
      <c r="FM886" s="18"/>
      <c r="FN886" s="18"/>
      <c r="FO886" s="18"/>
      <c r="FP886" s="18"/>
      <c r="FQ886" s="18"/>
      <c r="FR886" s="18"/>
      <c r="FS886" s="18"/>
      <c r="FT886" s="18"/>
      <c r="FU886" s="18"/>
      <c r="FV886" s="18"/>
      <c r="FW886" s="18"/>
      <c r="FX886" s="18"/>
      <c r="FY886" s="18"/>
      <c r="FZ886" s="18"/>
      <c r="GA886" s="18"/>
      <c r="GB886" s="18"/>
      <c r="GC886" s="18"/>
      <c r="GD886" s="18"/>
      <c r="GE886" s="18"/>
      <c r="GF886" s="18"/>
      <c r="GG886" s="18"/>
      <c r="GH886" s="18"/>
      <c r="GI886" s="18"/>
      <c r="GJ886" s="18"/>
      <c r="GK886" s="18"/>
      <c r="GL886" s="18"/>
      <c r="GM886" s="18"/>
      <c r="GN886" s="18"/>
      <c r="GO886" s="18"/>
      <c r="GP886" s="18"/>
      <c r="GQ886" s="18"/>
      <c r="GR886" s="18"/>
      <c r="GS886" s="18"/>
      <c r="GT886" s="18"/>
      <c r="GU886" s="18"/>
      <c r="GV886" s="18"/>
      <c r="GW886" s="18"/>
      <c r="GX886" s="18"/>
      <c r="GY886" s="18"/>
      <c r="GZ886" s="18"/>
      <c r="HA886" s="18"/>
      <c r="HB886" s="18"/>
      <c r="HC886" s="18"/>
      <c r="HD886" s="18"/>
      <c r="HE886" s="18"/>
      <c r="HF886" s="18"/>
      <c r="HG886" s="13"/>
      <c r="HH886" s="13"/>
      <c r="HI886" s="13"/>
      <c r="HJ886" s="13"/>
      <c r="HK886" s="13"/>
      <c r="HL886" s="13"/>
      <c r="HM886" s="13"/>
      <c r="HN886" s="13"/>
      <c r="HO886" s="13"/>
      <c r="HP886" s="13"/>
      <c r="HQ886" s="13"/>
      <c r="HR886" s="13"/>
      <c r="HS886" s="13"/>
      <c r="HT886" s="13"/>
      <c r="HU886" s="18"/>
      <c r="HV886" s="18"/>
      <c r="HW886" s="18"/>
      <c r="HX886" s="18"/>
      <c r="HY886" s="18"/>
      <c r="HZ886" s="18"/>
      <c r="IA886" s="18"/>
      <c r="IB886" s="18"/>
      <c r="IC886" s="18"/>
      <c r="ID886" s="18"/>
      <c r="IE886" s="18"/>
      <c r="IF886" s="18"/>
      <c r="IG886" s="18"/>
      <c r="IH886" s="18"/>
      <c r="II886" s="18"/>
      <c r="IJ886" s="18"/>
      <c r="IK886" s="18"/>
      <c r="IL886" s="18"/>
      <c r="IM886" s="18"/>
      <c r="IN886" s="18"/>
      <c r="IO886" s="18"/>
      <c r="IP886" s="18"/>
      <c r="IQ886" s="18"/>
      <c r="IR886" s="18"/>
      <c r="IS886" s="18"/>
      <c r="IT886" s="18"/>
      <c r="IU886" s="18"/>
      <c r="IV886" s="18"/>
      <c r="IW886" s="18"/>
      <c r="IX886" s="18"/>
      <c r="IY886" s="18"/>
      <c r="IZ886" s="18"/>
      <c r="JA886" s="18"/>
      <c r="JB886" s="18"/>
      <c r="JC886" s="18"/>
      <c r="JD886" s="18"/>
      <c r="JE886" s="18"/>
      <c r="JF886" s="18"/>
      <c r="JG886" s="18"/>
      <c r="JH886" s="18"/>
      <c r="JI886" s="18"/>
      <c r="JJ886" s="18"/>
      <c r="JK886" s="18"/>
      <c r="JL886" s="18"/>
      <c r="JM886" s="18"/>
      <c r="JN886" s="18"/>
      <c r="JO886" s="18"/>
      <c r="JP886" s="18"/>
      <c r="JQ886" s="18"/>
      <c r="JR886" s="18"/>
      <c r="JS886" s="18"/>
      <c r="JT886" s="18"/>
      <c r="JU886" s="18"/>
      <c r="JV886" s="18"/>
      <c r="JW886" s="18"/>
      <c r="JX886" s="18"/>
      <c r="JY886" s="18"/>
      <c r="JZ886" s="18"/>
      <c r="KA886" s="18"/>
      <c r="KB886" s="18"/>
      <c r="KC886" s="18"/>
      <c r="KD886" s="18"/>
      <c r="KE886" s="18"/>
      <c r="KF886" s="18"/>
      <c r="KG886" s="18"/>
      <c r="KH886" s="18"/>
      <c r="KI886" s="18"/>
      <c r="KJ886" s="18"/>
      <c r="KK886" s="18"/>
      <c r="KL886" s="18"/>
      <c r="KM886" s="18"/>
      <c r="KN886" s="18"/>
      <c r="KO886" s="18"/>
      <c r="KP886" s="18"/>
    </row>
    <row r="887" spans="1:302">
      <c r="A887" s="14"/>
      <c r="B887" s="14"/>
      <c r="F887" s="14"/>
      <c r="G887" s="23"/>
      <c r="H887" s="23"/>
      <c r="I887" s="23"/>
      <c r="J887" s="23"/>
      <c r="K887" s="14"/>
      <c r="L887" s="14"/>
      <c r="P887" s="14"/>
      <c r="AG887" s="44"/>
      <c r="AH887" s="44"/>
      <c r="AI887" s="45"/>
      <c r="AJ887" s="44"/>
      <c r="AK887" s="43"/>
      <c r="AS887" s="14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  <c r="EW887" s="18"/>
      <c r="EX887" s="18"/>
      <c r="EY887" s="18"/>
      <c r="EZ887" s="18"/>
      <c r="FA887" s="18"/>
      <c r="FB887" s="18"/>
      <c r="FC887" s="18"/>
      <c r="FD887" s="18"/>
      <c r="FE887" s="18"/>
      <c r="FF887" s="18"/>
      <c r="FG887" s="18"/>
      <c r="FH887" s="18"/>
      <c r="FI887" s="18"/>
      <c r="FJ887" s="18"/>
      <c r="FK887" s="18"/>
      <c r="FL887" s="18"/>
      <c r="FM887" s="18"/>
      <c r="FN887" s="18"/>
      <c r="FO887" s="18"/>
      <c r="FP887" s="18"/>
      <c r="FQ887" s="18"/>
      <c r="FR887" s="18"/>
      <c r="FS887" s="18"/>
      <c r="FT887" s="18"/>
      <c r="FU887" s="18"/>
      <c r="FV887" s="18"/>
      <c r="FW887" s="18"/>
      <c r="FX887" s="18"/>
      <c r="FY887" s="18"/>
      <c r="FZ887" s="18"/>
      <c r="GA887" s="18"/>
      <c r="GB887" s="18"/>
      <c r="GC887" s="18"/>
      <c r="GD887" s="18"/>
      <c r="GE887" s="18"/>
      <c r="GF887" s="18"/>
      <c r="GG887" s="18"/>
      <c r="GH887" s="18"/>
      <c r="GI887" s="18"/>
      <c r="GJ887" s="18"/>
      <c r="GK887" s="18"/>
      <c r="GL887" s="18"/>
      <c r="GM887" s="18"/>
      <c r="GN887" s="18"/>
      <c r="GO887" s="18"/>
      <c r="GP887" s="18"/>
      <c r="GQ887" s="18"/>
      <c r="GR887" s="18"/>
      <c r="GS887" s="18"/>
      <c r="GT887" s="18"/>
      <c r="GU887" s="18"/>
      <c r="GV887" s="18"/>
      <c r="GW887" s="18"/>
      <c r="GX887" s="18"/>
      <c r="GY887" s="18"/>
      <c r="GZ887" s="18"/>
      <c r="HA887" s="18"/>
      <c r="HB887" s="18"/>
      <c r="HC887" s="18"/>
      <c r="HD887" s="18"/>
      <c r="HE887" s="18"/>
      <c r="HF887" s="18"/>
      <c r="HG887" s="13"/>
      <c r="HH887" s="13"/>
      <c r="HI887" s="13"/>
      <c r="HJ887" s="13"/>
      <c r="HK887" s="13"/>
      <c r="HL887" s="13"/>
      <c r="HM887" s="13"/>
      <c r="HN887" s="13"/>
      <c r="HO887" s="13"/>
      <c r="HP887" s="13"/>
      <c r="HQ887" s="13"/>
      <c r="HR887" s="13"/>
      <c r="HS887" s="13"/>
      <c r="HT887" s="13"/>
      <c r="HU887" s="18"/>
      <c r="HV887" s="18"/>
      <c r="HW887" s="18"/>
      <c r="HX887" s="18"/>
      <c r="HY887" s="18"/>
      <c r="HZ887" s="18"/>
      <c r="IA887" s="18"/>
      <c r="IB887" s="18"/>
      <c r="IC887" s="18"/>
      <c r="ID887" s="18"/>
      <c r="IE887" s="18"/>
      <c r="IF887" s="18"/>
      <c r="IG887" s="18"/>
      <c r="IH887" s="18"/>
      <c r="II887" s="18"/>
      <c r="IJ887" s="18"/>
      <c r="IK887" s="18"/>
      <c r="IL887" s="18"/>
      <c r="IM887" s="18"/>
      <c r="IN887" s="18"/>
      <c r="IO887" s="18"/>
      <c r="IP887" s="18"/>
      <c r="IQ887" s="18"/>
      <c r="IR887" s="18"/>
      <c r="IS887" s="18"/>
      <c r="IT887" s="18"/>
      <c r="IU887" s="18"/>
      <c r="IV887" s="18"/>
      <c r="IW887" s="18"/>
      <c r="IX887" s="18"/>
      <c r="IY887" s="18"/>
      <c r="IZ887" s="18"/>
      <c r="JA887" s="18"/>
      <c r="JB887" s="18"/>
      <c r="JC887" s="18"/>
      <c r="JD887" s="18"/>
      <c r="JE887" s="18"/>
      <c r="JF887" s="18"/>
      <c r="JG887" s="18"/>
      <c r="JH887" s="18"/>
      <c r="JI887" s="18"/>
      <c r="JJ887" s="18"/>
      <c r="JK887" s="18"/>
      <c r="JL887" s="18"/>
      <c r="JM887" s="18"/>
      <c r="JN887" s="18"/>
      <c r="JO887" s="18"/>
      <c r="JP887" s="18"/>
      <c r="JQ887" s="18"/>
      <c r="JR887" s="18"/>
      <c r="JS887" s="18"/>
      <c r="JT887" s="18"/>
      <c r="JU887" s="18"/>
      <c r="JV887" s="18"/>
      <c r="JW887" s="18"/>
      <c r="JX887" s="18"/>
      <c r="JY887" s="18"/>
      <c r="JZ887" s="18"/>
      <c r="KA887" s="18"/>
      <c r="KB887" s="18"/>
      <c r="KC887" s="18"/>
      <c r="KD887" s="18"/>
      <c r="KE887" s="18"/>
      <c r="KF887" s="18"/>
      <c r="KG887" s="18"/>
      <c r="KH887" s="18"/>
      <c r="KI887" s="18"/>
      <c r="KJ887" s="18"/>
      <c r="KK887" s="18"/>
      <c r="KL887" s="18"/>
      <c r="KM887" s="18"/>
      <c r="KN887" s="18"/>
      <c r="KO887" s="18"/>
      <c r="KP887" s="18"/>
    </row>
    <row r="888" spans="1:302">
      <c r="A888" s="14"/>
      <c r="B888" s="14"/>
      <c r="F888" s="14"/>
      <c r="G888" s="23"/>
      <c r="H888" s="23"/>
      <c r="I888" s="23"/>
      <c r="J888" s="23"/>
      <c r="K888" s="14"/>
      <c r="L888" s="14"/>
      <c r="P888" s="14"/>
      <c r="AG888" s="44"/>
      <c r="AH888" s="44"/>
      <c r="AI888" s="45"/>
      <c r="AJ888" s="44"/>
      <c r="AK888" s="43"/>
      <c r="AS888" s="14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  <c r="EW888" s="18"/>
      <c r="EX888" s="18"/>
      <c r="EY888" s="18"/>
      <c r="EZ888" s="18"/>
      <c r="FA888" s="18"/>
      <c r="FB888" s="18"/>
      <c r="FC888" s="18"/>
      <c r="FD888" s="18"/>
      <c r="FE888" s="18"/>
      <c r="FF888" s="18"/>
      <c r="FG888" s="18"/>
      <c r="FH888" s="18"/>
      <c r="FI888" s="18"/>
      <c r="FJ888" s="18"/>
      <c r="FK888" s="18"/>
      <c r="FL888" s="18"/>
      <c r="FM888" s="18"/>
      <c r="FN888" s="18"/>
      <c r="FO888" s="18"/>
      <c r="FP888" s="18"/>
      <c r="FQ888" s="18"/>
      <c r="FR888" s="18"/>
      <c r="FS888" s="18"/>
      <c r="FT888" s="18"/>
      <c r="FU888" s="18"/>
      <c r="FV888" s="18"/>
      <c r="FW888" s="18"/>
      <c r="FX888" s="18"/>
      <c r="FY888" s="18"/>
      <c r="FZ888" s="18"/>
      <c r="GA888" s="18"/>
      <c r="GB888" s="18"/>
      <c r="GC888" s="18"/>
      <c r="GD888" s="18"/>
      <c r="GE888" s="18"/>
      <c r="GF888" s="18"/>
      <c r="GG888" s="18"/>
      <c r="GH888" s="18"/>
      <c r="GI888" s="18"/>
      <c r="GJ888" s="18"/>
      <c r="GK888" s="18"/>
      <c r="GL888" s="18"/>
      <c r="GM888" s="18"/>
      <c r="GN888" s="18"/>
      <c r="GO888" s="18"/>
      <c r="GP888" s="18"/>
      <c r="GQ888" s="18"/>
      <c r="GR888" s="18"/>
      <c r="GS888" s="18"/>
      <c r="GT888" s="18"/>
      <c r="GU888" s="18"/>
      <c r="GV888" s="18"/>
      <c r="GW888" s="18"/>
      <c r="GX888" s="18"/>
      <c r="GY888" s="18"/>
      <c r="GZ888" s="18"/>
      <c r="HA888" s="18"/>
      <c r="HB888" s="18"/>
      <c r="HC888" s="18"/>
      <c r="HD888" s="18"/>
      <c r="HE888" s="18"/>
      <c r="HF888" s="18"/>
      <c r="HG888" s="13"/>
      <c r="HH888" s="13"/>
      <c r="HI888" s="13"/>
      <c r="HJ888" s="13"/>
      <c r="HK888" s="13"/>
      <c r="HL888" s="13"/>
      <c r="HM888" s="13"/>
      <c r="HN888" s="13"/>
      <c r="HO888" s="13"/>
      <c r="HP888" s="13"/>
      <c r="HQ888" s="13"/>
      <c r="HR888" s="13"/>
      <c r="HS888" s="13"/>
      <c r="HT888" s="13"/>
      <c r="HU888" s="18"/>
      <c r="HV888" s="18"/>
      <c r="HW888" s="18"/>
      <c r="HX888" s="18"/>
      <c r="HY888" s="18"/>
      <c r="HZ888" s="18"/>
      <c r="IA888" s="18"/>
      <c r="IB888" s="18"/>
      <c r="IC888" s="18"/>
      <c r="ID888" s="18"/>
      <c r="IE888" s="18"/>
      <c r="IF888" s="18"/>
      <c r="IG888" s="18"/>
      <c r="IH888" s="18"/>
      <c r="II888" s="18"/>
      <c r="IJ888" s="18"/>
      <c r="IK888" s="18"/>
      <c r="IL888" s="18"/>
      <c r="IM888" s="18"/>
      <c r="IN888" s="18"/>
      <c r="IO888" s="18"/>
      <c r="IP888" s="18"/>
      <c r="IQ888" s="18"/>
      <c r="IR888" s="18"/>
      <c r="IS888" s="18"/>
      <c r="IT888" s="18"/>
      <c r="IU888" s="18"/>
      <c r="IV888" s="18"/>
      <c r="IW888" s="18"/>
      <c r="IX888" s="18"/>
      <c r="IY888" s="18"/>
      <c r="IZ888" s="18"/>
      <c r="JA888" s="18"/>
      <c r="JB888" s="18"/>
      <c r="JC888" s="18"/>
      <c r="JD888" s="18"/>
      <c r="JE888" s="18"/>
      <c r="JF888" s="18"/>
      <c r="JG888" s="18"/>
      <c r="JH888" s="18"/>
      <c r="JI888" s="18"/>
      <c r="JJ888" s="18"/>
      <c r="JK888" s="18"/>
      <c r="JL888" s="18"/>
      <c r="JM888" s="18"/>
      <c r="JN888" s="18"/>
      <c r="JO888" s="18"/>
      <c r="JP888" s="18"/>
      <c r="JQ888" s="18"/>
      <c r="JR888" s="18"/>
      <c r="JS888" s="18"/>
      <c r="JT888" s="18"/>
      <c r="JU888" s="18"/>
      <c r="JV888" s="18"/>
      <c r="JW888" s="18"/>
      <c r="JX888" s="18"/>
      <c r="JY888" s="18"/>
      <c r="JZ888" s="18"/>
      <c r="KA888" s="18"/>
      <c r="KB888" s="18"/>
      <c r="KC888" s="18"/>
      <c r="KD888" s="18"/>
      <c r="KE888" s="18"/>
      <c r="KF888" s="18"/>
      <c r="KG888" s="18"/>
      <c r="KH888" s="18"/>
      <c r="KI888" s="18"/>
      <c r="KJ888" s="18"/>
      <c r="KK888" s="18"/>
      <c r="KL888" s="18"/>
      <c r="KM888" s="18"/>
      <c r="KN888" s="18"/>
      <c r="KO888" s="18"/>
      <c r="KP888" s="18"/>
    </row>
    <row r="889" spans="1:302">
      <c r="A889" s="14"/>
      <c r="B889" s="14"/>
      <c r="F889" s="14"/>
      <c r="G889" s="23"/>
      <c r="H889" s="23"/>
      <c r="I889" s="23"/>
      <c r="J889" s="23"/>
      <c r="K889" s="14"/>
      <c r="L889" s="14"/>
      <c r="P889" s="14"/>
      <c r="AG889" s="44"/>
      <c r="AH889" s="44"/>
      <c r="AI889" s="45"/>
      <c r="AJ889" s="44"/>
      <c r="AK889" s="43"/>
      <c r="AS889" s="14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  <c r="EW889" s="18"/>
      <c r="EX889" s="18"/>
      <c r="EY889" s="18"/>
      <c r="EZ889" s="18"/>
      <c r="FA889" s="18"/>
      <c r="FB889" s="18"/>
      <c r="FC889" s="18"/>
      <c r="FD889" s="18"/>
      <c r="FE889" s="18"/>
      <c r="FF889" s="18"/>
      <c r="FG889" s="18"/>
      <c r="FH889" s="18"/>
      <c r="FI889" s="18"/>
      <c r="FJ889" s="18"/>
      <c r="FK889" s="18"/>
      <c r="FL889" s="18"/>
      <c r="FM889" s="18"/>
      <c r="FN889" s="18"/>
      <c r="FO889" s="18"/>
      <c r="FP889" s="18"/>
      <c r="FQ889" s="18"/>
      <c r="FR889" s="18"/>
      <c r="FS889" s="18"/>
      <c r="FT889" s="18"/>
      <c r="FU889" s="18"/>
      <c r="FV889" s="18"/>
      <c r="FW889" s="18"/>
      <c r="FX889" s="18"/>
      <c r="FY889" s="18"/>
      <c r="FZ889" s="18"/>
      <c r="GA889" s="18"/>
      <c r="GB889" s="18"/>
      <c r="GC889" s="18"/>
      <c r="GD889" s="18"/>
      <c r="GE889" s="18"/>
      <c r="GF889" s="18"/>
      <c r="GG889" s="18"/>
      <c r="GH889" s="18"/>
      <c r="GI889" s="18"/>
      <c r="GJ889" s="18"/>
      <c r="GK889" s="18"/>
      <c r="GL889" s="18"/>
      <c r="GM889" s="18"/>
      <c r="GN889" s="18"/>
      <c r="GO889" s="18"/>
      <c r="GP889" s="18"/>
      <c r="GQ889" s="18"/>
      <c r="GR889" s="18"/>
      <c r="GS889" s="18"/>
      <c r="GT889" s="18"/>
      <c r="GU889" s="18"/>
      <c r="GV889" s="18"/>
      <c r="GW889" s="18"/>
      <c r="GX889" s="18"/>
      <c r="GY889" s="18"/>
      <c r="GZ889" s="18"/>
      <c r="HA889" s="18"/>
      <c r="HB889" s="18"/>
      <c r="HC889" s="18"/>
      <c r="HD889" s="18"/>
      <c r="HE889" s="18"/>
      <c r="HF889" s="18"/>
      <c r="HG889" s="13"/>
      <c r="HH889" s="13"/>
      <c r="HI889" s="13"/>
      <c r="HJ889" s="13"/>
      <c r="HK889" s="13"/>
      <c r="HL889" s="13"/>
      <c r="HM889" s="13"/>
      <c r="HN889" s="13"/>
      <c r="HO889" s="13"/>
      <c r="HP889" s="13"/>
      <c r="HQ889" s="13"/>
      <c r="HR889" s="13"/>
      <c r="HS889" s="13"/>
      <c r="HT889" s="13"/>
      <c r="HU889" s="18"/>
      <c r="HV889" s="18"/>
      <c r="HW889" s="18"/>
      <c r="HX889" s="18"/>
      <c r="HY889" s="18"/>
      <c r="HZ889" s="18"/>
      <c r="IA889" s="18"/>
      <c r="IB889" s="18"/>
      <c r="IC889" s="18"/>
      <c r="ID889" s="18"/>
      <c r="IE889" s="18"/>
      <c r="IF889" s="18"/>
      <c r="IG889" s="18"/>
      <c r="IH889" s="18"/>
      <c r="II889" s="18"/>
      <c r="IJ889" s="18"/>
      <c r="IK889" s="18"/>
      <c r="IL889" s="18"/>
      <c r="IM889" s="18"/>
      <c r="IN889" s="18"/>
      <c r="IO889" s="18"/>
      <c r="IP889" s="18"/>
      <c r="IQ889" s="18"/>
      <c r="IR889" s="18"/>
      <c r="IS889" s="18"/>
      <c r="IT889" s="18"/>
      <c r="IU889" s="18"/>
      <c r="IV889" s="18"/>
      <c r="IW889" s="18"/>
      <c r="IX889" s="18"/>
      <c r="IY889" s="18"/>
      <c r="IZ889" s="18"/>
      <c r="JA889" s="18"/>
      <c r="JB889" s="18"/>
      <c r="JC889" s="18"/>
      <c r="JD889" s="18"/>
      <c r="JE889" s="18"/>
      <c r="JF889" s="18"/>
      <c r="JG889" s="18"/>
      <c r="JH889" s="18"/>
      <c r="JI889" s="18"/>
      <c r="JJ889" s="18"/>
      <c r="JK889" s="18"/>
      <c r="JL889" s="18"/>
      <c r="JM889" s="18"/>
      <c r="JN889" s="18"/>
      <c r="JO889" s="18"/>
      <c r="JP889" s="18"/>
      <c r="JQ889" s="18"/>
      <c r="JR889" s="18"/>
      <c r="JS889" s="18"/>
      <c r="JT889" s="18"/>
      <c r="JU889" s="18"/>
      <c r="JV889" s="18"/>
      <c r="JW889" s="18"/>
      <c r="JX889" s="18"/>
      <c r="JY889" s="18"/>
      <c r="JZ889" s="18"/>
      <c r="KA889" s="18"/>
      <c r="KB889" s="18"/>
      <c r="KC889" s="18"/>
      <c r="KD889" s="18"/>
      <c r="KE889" s="18"/>
      <c r="KF889" s="18"/>
      <c r="KG889" s="18"/>
      <c r="KH889" s="18"/>
      <c r="KI889" s="18"/>
      <c r="KJ889" s="18"/>
      <c r="KK889" s="18"/>
      <c r="KL889" s="18"/>
      <c r="KM889" s="18"/>
      <c r="KN889" s="18"/>
      <c r="KO889" s="18"/>
      <c r="KP889" s="18"/>
    </row>
    <row r="890" spans="1:302">
      <c r="A890" s="14"/>
      <c r="B890" s="14"/>
      <c r="F890" s="14"/>
      <c r="G890" s="23"/>
      <c r="H890" s="23"/>
      <c r="I890" s="23"/>
      <c r="J890" s="23"/>
      <c r="K890" s="14"/>
      <c r="L890" s="14"/>
      <c r="P890" s="14"/>
      <c r="AG890" s="44"/>
      <c r="AH890" s="44"/>
      <c r="AI890" s="45"/>
      <c r="AJ890" s="44"/>
      <c r="AK890" s="43"/>
      <c r="AS890" s="14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  <c r="EW890" s="18"/>
      <c r="EX890" s="18"/>
      <c r="EY890" s="18"/>
      <c r="EZ890" s="18"/>
      <c r="FA890" s="18"/>
      <c r="FB890" s="18"/>
      <c r="FC890" s="18"/>
      <c r="FD890" s="18"/>
      <c r="FE890" s="18"/>
      <c r="FF890" s="18"/>
      <c r="FG890" s="18"/>
      <c r="FH890" s="18"/>
      <c r="FI890" s="18"/>
      <c r="FJ890" s="18"/>
      <c r="FK890" s="18"/>
      <c r="FL890" s="18"/>
      <c r="FM890" s="18"/>
      <c r="FN890" s="18"/>
      <c r="FO890" s="18"/>
      <c r="FP890" s="18"/>
      <c r="FQ890" s="18"/>
      <c r="FR890" s="18"/>
      <c r="FS890" s="18"/>
      <c r="FT890" s="18"/>
      <c r="FU890" s="18"/>
      <c r="FV890" s="18"/>
      <c r="FW890" s="18"/>
      <c r="FX890" s="18"/>
      <c r="FY890" s="18"/>
      <c r="FZ890" s="18"/>
      <c r="GA890" s="18"/>
      <c r="GB890" s="18"/>
      <c r="GC890" s="18"/>
      <c r="GD890" s="18"/>
      <c r="GE890" s="18"/>
      <c r="GF890" s="18"/>
      <c r="GG890" s="18"/>
      <c r="GH890" s="18"/>
      <c r="GI890" s="18"/>
      <c r="GJ890" s="18"/>
      <c r="GK890" s="18"/>
      <c r="GL890" s="18"/>
      <c r="GM890" s="18"/>
      <c r="GN890" s="18"/>
      <c r="GO890" s="18"/>
      <c r="GP890" s="18"/>
      <c r="GQ890" s="18"/>
      <c r="GR890" s="18"/>
      <c r="GS890" s="18"/>
      <c r="GT890" s="18"/>
      <c r="GU890" s="18"/>
      <c r="GV890" s="18"/>
      <c r="GW890" s="18"/>
      <c r="GX890" s="18"/>
      <c r="GY890" s="18"/>
      <c r="GZ890" s="18"/>
      <c r="HA890" s="18"/>
      <c r="HB890" s="18"/>
      <c r="HC890" s="18"/>
      <c r="HD890" s="18"/>
      <c r="HE890" s="18"/>
      <c r="HF890" s="18"/>
      <c r="HG890" s="13"/>
      <c r="HH890" s="13"/>
      <c r="HI890" s="13"/>
      <c r="HJ890" s="13"/>
      <c r="HK890" s="13"/>
      <c r="HL890" s="13"/>
      <c r="HM890" s="13"/>
      <c r="HN890" s="13"/>
      <c r="HO890" s="13"/>
      <c r="HP890" s="13"/>
      <c r="HQ890" s="13"/>
      <c r="HR890" s="13"/>
      <c r="HS890" s="13"/>
      <c r="HT890" s="13"/>
      <c r="HU890" s="18"/>
      <c r="HV890" s="18"/>
      <c r="HW890" s="18"/>
      <c r="HX890" s="18"/>
      <c r="HY890" s="18"/>
      <c r="HZ890" s="18"/>
      <c r="IA890" s="18"/>
      <c r="IB890" s="18"/>
      <c r="IC890" s="18"/>
      <c r="ID890" s="18"/>
      <c r="IE890" s="18"/>
      <c r="IF890" s="18"/>
      <c r="IG890" s="18"/>
      <c r="IH890" s="18"/>
      <c r="II890" s="18"/>
      <c r="IJ890" s="18"/>
      <c r="IK890" s="18"/>
      <c r="IL890" s="18"/>
      <c r="IM890" s="18"/>
      <c r="IN890" s="18"/>
      <c r="IO890" s="18"/>
      <c r="IP890" s="18"/>
      <c r="IQ890" s="18"/>
      <c r="IR890" s="18"/>
      <c r="IS890" s="18"/>
      <c r="IT890" s="18"/>
      <c r="IU890" s="18"/>
      <c r="IV890" s="18"/>
      <c r="IW890" s="18"/>
      <c r="IX890" s="18"/>
      <c r="IY890" s="18"/>
      <c r="IZ890" s="18"/>
      <c r="JA890" s="18"/>
      <c r="JB890" s="18"/>
      <c r="JC890" s="18"/>
      <c r="JD890" s="18"/>
      <c r="JE890" s="18"/>
      <c r="JF890" s="18"/>
      <c r="JG890" s="18"/>
      <c r="JH890" s="18"/>
      <c r="JI890" s="18"/>
      <c r="JJ890" s="18"/>
      <c r="JK890" s="18"/>
      <c r="JL890" s="18"/>
      <c r="JM890" s="18"/>
      <c r="JN890" s="18"/>
      <c r="JO890" s="18"/>
      <c r="JP890" s="18"/>
      <c r="JQ890" s="18"/>
      <c r="JR890" s="18"/>
      <c r="JS890" s="18"/>
      <c r="JT890" s="18"/>
      <c r="JU890" s="18"/>
      <c r="JV890" s="18"/>
      <c r="JW890" s="18"/>
      <c r="JX890" s="18"/>
      <c r="JY890" s="18"/>
      <c r="JZ890" s="18"/>
      <c r="KA890" s="18"/>
      <c r="KB890" s="18"/>
      <c r="KC890" s="18"/>
      <c r="KD890" s="18"/>
      <c r="KE890" s="18"/>
      <c r="KF890" s="18"/>
      <c r="KG890" s="18"/>
      <c r="KH890" s="18"/>
      <c r="KI890" s="18"/>
      <c r="KJ890" s="18"/>
      <c r="KK890" s="18"/>
      <c r="KL890" s="18"/>
      <c r="KM890" s="18"/>
      <c r="KN890" s="18"/>
      <c r="KO890" s="18"/>
      <c r="KP890" s="18"/>
    </row>
    <row r="891" spans="1:302">
      <c r="A891" s="14"/>
      <c r="B891" s="14"/>
      <c r="F891" s="14"/>
      <c r="G891" s="23"/>
      <c r="H891" s="23"/>
      <c r="I891" s="23"/>
      <c r="J891" s="23"/>
      <c r="K891" s="14"/>
      <c r="L891" s="14"/>
      <c r="P891" s="14"/>
      <c r="AG891" s="44"/>
      <c r="AH891" s="44"/>
      <c r="AI891" s="45"/>
      <c r="AJ891" s="44"/>
      <c r="AK891" s="43"/>
      <c r="AS891" s="14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  <c r="EW891" s="18"/>
      <c r="EX891" s="18"/>
      <c r="EY891" s="18"/>
      <c r="EZ891" s="18"/>
      <c r="FA891" s="18"/>
      <c r="FB891" s="18"/>
      <c r="FC891" s="18"/>
      <c r="FD891" s="18"/>
      <c r="FE891" s="18"/>
      <c r="FF891" s="18"/>
      <c r="FG891" s="18"/>
      <c r="FH891" s="18"/>
      <c r="FI891" s="18"/>
      <c r="FJ891" s="18"/>
      <c r="FK891" s="18"/>
      <c r="FL891" s="18"/>
      <c r="FM891" s="18"/>
      <c r="FN891" s="18"/>
      <c r="FO891" s="18"/>
      <c r="FP891" s="18"/>
      <c r="FQ891" s="18"/>
      <c r="FR891" s="18"/>
      <c r="FS891" s="18"/>
      <c r="FT891" s="18"/>
      <c r="FU891" s="18"/>
      <c r="FV891" s="18"/>
      <c r="FW891" s="18"/>
      <c r="FX891" s="18"/>
      <c r="FY891" s="18"/>
      <c r="FZ891" s="18"/>
      <c r="GA891" s="18"/>
      <c r="GB891" s="18"/>
      <c r="GC891" s="18"/>
      <c r="GD891" s="18"/>
      <c r="GE891" s="18"/>
      <c r="GF891" s="18"/>
      <c r="GG891" s="18"/>
      <c r="GH891" s="18"/>
      <c r="GI891" s="18"/>
      <c r="GJ891" s="18"/>
      <c r="GK891" s="18"/>
      <c r="GL891" s="18"/>
      <c r="GM891" s="18"/>
      <c r="GN891" s="18"/>
      <c r="GO891" s="18"/>
      <c r="GP891" s="18"/>
      <c r="GQ891" s="18"/>
      <c r="GR891" s="18"/>
      <c r="GS891" s="18"/>
      <c r="GT891" s="18"/>
      <c r="GU891" s="18"/>
      <c r="GV891" s="18"/>
      <c r="GW891" s="18"/>
      <c r="GX891" s="18"/>
      <c r="GY891" s="18"/>
      <c r="GZ891" s="18"/>
      <c r="HA891" s="18"/>
      <c r="HB891" s="18"/>
      <c r="HC891" s="18"/>
      <c r="HD891" s="18"/>
      <c r="HE891" s="18"/>
      <c r="HF891" s="18"/>
      <c r="HG891" s="13"/>
      <c r="HH891" s="13"/>
      <c r="HI891" s="13"/>
      <c r="HJ891" s="13"/>
      <c r="HK891" s="13"/>
      <c r="HL891" s="13"/>
      <c r="HM891" s="13"/>
      <c r="HN891" s="13"/>
      <c r="HO891" s="13"/>
      <c r="HP891" s="13"/>
      <c r="HQ891" s="13"/>
      <c r="HR891" s="13"/>
      <c r="HS891" s="13"/>
      <c r="HT891" s="13"/>
      <c r="HU891" s="18"/>
      <c r="HV891" s="18"/>
      <c r="HW891" s="18"/>
      <c r="HX891" s="18"/>
      <c r="HY891" s="18"/>
      <c r="HZ891" s="18"/>
      <c r="IA891" s="18"/>
      <c r="IB891" s="18"/>
      <c r="IC891" s="18"/>
      <c r="ID891" s="18"/>
      <c r="IE891" s="18"/>
      <c r="IF891" s="18"/>
      <c r="IG891" s="18"/>
      <c r="IH891" s="18"/>
      <c r="II891" s="18"/>
      <c r="IJ891" s="18"/>
      <c r="IK891" s="18"/>
      <c r="IL891" s="18"/>
      <c r="IM891" s="18"/>
      <c r="IN891" s="18"/>
      <c r="IO891" s="18"/>
      <c r="IP891" s="18"/>
      <c r="IQ891" s="18"/>
      <c r="IR891" s="18"/>
      <c r="IS891" s="18"/>
      <c r="IT891" s="18"/>
      <c r="IU891" s="18"/>
      <c r="IV891" s="18"/>
      <c r="IW891" s="18"/>
      <c r="IX891" s="18"/>
      <c r="IY891" s="18"/>
      <c r="IZ891" s="18"/>
      <c r="JA891" s="18"/>
      <c r="JB891" s="18"/>
      <c r="JC891" s="18"/>
      <c r="JD891" s="18"/>
      <c r="JE891" s="18"/>
      <c r="JF891" s="18"/>
      <c r="JG891" s="18"/>
      <c r="JH891" s="18"/>
      <c r="JI891" s="18"/>
      <c r="JJ891" s="18"/>
      <c r="JK891" s="18"/>
      <c r="JL891" s="18"/>
      <c r="JM891" s="18"/>
      <c r="JN891" s="18"/>
      <c r="JO891" s="18"/>
      <c r="JP891" s="18"/>
      <c r="JQ891" s="18"/>
      <c r="JR891" s="18"/>
      <c r="JS891" s="18"/>
      <c r="JT891" s="18"/>
      <c r="JU891" s="18"/>
      <c r="JV891" s="18"/>
      <c r="JW891" s="18"/>
      <c r="JX891" s="18"/>
      <c r="JY891" s="18"/>
      <c r="JZ891" s="18"/>
      <c r="KA891" s="18"/>
      <c r="KB891" s="18"/>
      <c r="KC891" s="18"/>
      <c r="KD891" s="18"/>
      <c r="KE891" s="18"/>
      <c r="KF891" s="18"/>
      <c r="KG891" s="18"/>
      <c r="KH891" s="18"/>
      <c r="KI891" s="18"/>
      <c r="KJ891" s="18"/>
      <c r="KK891" s="18"/>
      <c r="KL891" s="18"/>
      <c r="KM891" s="18"/>
      <c r="KN891" s="18"/>
      <c r="KO891" s="18"/>
      <c r="KP891" s="18"/>
    </row>
    <row r="892" spans="1:302">
      <c r="A892" s="14"/>
      <c r="B892" s="14"/>
      <c r="F892" s="14"/>
      <c r="G892" s="23"/>
      <c r="H892" s="23"/>
      <c r="I892" s="23"/>
      <c r="J892" s="23"/>
      <c r="K892" s="14"/>
      <c r="L892" s="14"/>
      <c r="P892" s="14"/>
      <c r="AG892" s="44"/>
      <c r="AH892" s="44"/>
      <c r="AI892" s="45"/>
      <c r="AJ892" s="44"/>
      <c r="AK892" s="43"/>
      <c r="AS892" s="14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  <c r="EW892" s="18"/>
      <c r="EX892" s="18"/>
      <c r="EY892" s="18"/>
      <c r="EZ892" s="18"/>
      <c r="FA892" s="18"/>
      <c r="FB892" s="18"/>
      <c r="FC892" s="18"/>
      <c r="FD892" s="18"/>
      <c r="FE892" s="18"/>
      <c r="FF892" s="18"/>
      <c r="FG892" s="18"/>
      <c r="FH892" s="18"/>
      <c r="FI892" s="18"/>
      <c r="FJ892" s="18"/>
      <c r="FK892" s="18"/>
      <c r="FL892" s="18"/>
      <c r="FM892" s="18"/>
      <c r="FN892" s="18"/>
      <c r="FO892" s="18"/>
      <c r="FP892" s="18"/>
      <c r="FQ892" s="18"/>
      <c r="FR892" s="18"/>
      <c r="FS892" s="18"/>
      <c r="FT892" s="18"/>
      <c r="FU892" s="18"/>
      <c r="FV892" s="18"/>
      <c r="FW892" s="18"/>
      <c r="FX892" s="18"/>
      <c r="FY892" s="18"/>
      <c r="FZ892" s="18"/>
      <c r="GA892" s="18"/>
      <c r="GB892" s="18"/>
      <c r="GC892" s="18"/>
      <c r="GD892" s="18"/>
      <c r="GE892" s="18"/>
      <c r="GF892" s="18"/>
      <c r="GG892" s="18"/>
      <c r="GH892" s="18"/>
      <c r="GI892" s="18"/>
      <c r="GJ892" s="18"/>
      <c r="GK892" s="18"/>
      <c r="GL892" s="18"/>
      <c r="GM892" s="18"/>
      <c r="GN892" s="18"/>
      <c r="GO892" s="18"/>
      <c r="GP892" s="18"/>
      <c r="GQ892" s="18"/>
      <c r="GR892" s="18"/>
      <c r="GS892" s="18"/>
      <c r="GT892" s="18"/>
      <c r="GU892" s="18"/>
      <c r="GV892" s="18"/>
      <c r="GW892" s="18"/>
      <c r="GX892" s="18"/>
      <c r="GY892" s="18"/>
      <c r="GZ892" s="18"/>
      <c r="HA892" s="18"/>
      <c r="HB892" s="18"/>
      <c r="HC892" s="18"/>
      <c r="HD892" s="18"/>
      <c r="HE892" s="18"/>
      <c r="HF892" s="18"/>
      <c r="HG892" s="13"/>
      <c r="HH892" s="13"/>
      <c r="HI892" s="13"/>
      <c r="HJ892" s="13"/>
      <c r="HK892" s="13"/>
      <c r="HL892" s="13"/>
      <c r="HM892" s="13"/>
      <c r="HN892" s="13"/>
      <c r="HO892" s="13"/>
      <c r="HP892" s="13"/>
      <c r="HQ892" s="13"/>
      <c r="HR892" s="13"/>
      <c r="HS892" s="13"/>
      <c r="HT892" s="13"/>
      <c r="HU892" s="18"/>
      <c r="HV892" s="18"/>
      <c r="HW892" s="18"/>
      <c r="HX892" s="18"/>
      <c r="HY892" s="18"/>
      <c r="HZ892" s="18"/>
      <c r="IA892" s="18"/>
      <c r="IB892" s="18"/>
      <c r="IC892" s="18"/>
      <c r="ID892" s="18"/>
      <c r="IE892" s="18"/>
      <c r="IF892" s="18"/>
      <c r="IG892" s="18"/>
      <c r="IH892" s="18"/>
      <c r="II892" s="18"/>
      <c r="IJ892" s="18"/>
      <c r="IK892" s="18"/>
      <c r="IL892" s="18"/>
      <c r="IM892" s="18"/>
      <c r="IN892" s="18"/>
      <c r="IO892" s="18"/>
      <c r="IP892" s="18"/>
      <c r="IQ892" s="18"/>
      <c r="IR892" s="18"/>
      <c r="IS892" s="18"/>
      <c r="IT892" s="18"/>
      <c r="IU892" s="18"/>
      <c r="IV892" s="18"/>
      <c r="IW892" s="18"/>
      <c r="IX892" s="18"/>
      <c r="IY892" s="18"/>
      <c r="IZ892" s="18"/>
      <c r="JA892" s="18"/>
      <c r="JB892" s="18"/>
      <c r="JC892" s="18"/>
      <c r="JD892" s="18"/>
      <c r="JE892" s="18"/>
      <c r="JF892" s="18"/>
      <c r="JG892" s="18"/>
      <c r="JH892" s="18"/>
      <c r="JI892" s="18"/>
      <c r="JJ892" s="18"/>
      <c r="JK892" s="18"/>
      <c r="JL892" s="18"/>
      <c r="JM892" s="18"/>
      <c r="JN892" s="18"/>
      <c r="JO892" s="18"/>
      <c r="JP892" s="18"/>
      <c r="JQ892" s="18"/>
      <c r="JR892" s="18"/>
      <c r="JS892" s="18"/>
      <c r="JT892" s="18"/>
      <c r="JU892" s="18"/>
      <c r="JV892" s="18"/>
      <c r="JW892" s="18"/>
      <c r="JX892" s="18"/>
      <c r="JY892" s="18"/>
      <c r="JZ892" s="18"/>
      <c r="KA892" s="18"/>
      <c r="KB892" s="18"/>
      <c r="KC892" s="18"/>
      <c r="KD892" s="18"/>
      <c r="KE892" s="18"/>
      <c r="KF892" s="18"/>
      <c r="KG892" s="18"/>
      <c r="KH892" s="18"/>
      <c r="KI892" s="18"/>
      <c r="KJ892" s="18"/>
      <c r="KK892" s="18"/>
      <c r="KL892" s="18"/>
      <c r="KM892" s="18"/>
      <c r="KN892" s="18"/>
      <c r="KO892" s="18"/>
      <c r="KP892" s="18"/>
    </row>
    <row r="893" spans="1:302">
      <c r="A893" s="14"/>
      <c r="B893" s="14"/>
      <c r="F893" s="14"/>
      <c r="G893" s="23"/>
      <c r="H893" s="23"/>
      <c r="I893" s="23"/>
      <c r="J893" s="23"/>
      <c r="K893" s="14"/>
      <c r="L893" s="14"/>
      <c r="P893" s="14"/>
      <c r="AG893" s="44"/>
      <c r="AH893" s="44"/>
      <c r="AI893" s="45"/>
      <c r="AJ893" s="44"/>
      <c r="AK893" s="43"/>
      <c r="AS893" s="14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  <c r="EW893" s="18"/>
      <c r="EX893" s="18"/>
      <c r="EY893" s="18"/>
      <c r="EZ893" s="18"/>
      <c r="FA893" s="18"/>
      <c r="FB893" s="18"/>
      <c r="FC893" s="18"/>
      <c r="FD893" s="18"/>
      <c r="FE893" s="18"/>
      <c r="FF893" s="18"/>
      <c r="FG893" s="18"/>
      <c r="FH893" s="18"/>
      <c r="FI893" s="18"/>
      <c r="FJ893" s="18"/>
      <c r="FK893" s="18"/>
      <c r="FL893" s="18"/>
      <c r="FM893" s="18"/>
      <c r="FN893" s="18"/>
      <c r="FO893" s="18"/>
      <c r="FP893" s="18"/>
      <c r="FQ893" s="18"/>
      <c r="FR893" s="18"/>
      <c r="FS893" s="18"/>
      <c r="FT893" s="18"/>
      <c r="FU893" s="18"/>
      <c r="FV893" s="18"/>
      <c r="FW893" s="18"/>
      <c r="FX893" s="18"/>
      <c r="FY893" s="18"/>
      <c r="FZ893" s="18"/>
      <c r="GA893" s="18"/>
      <c r="GB893" s="18"/>
      <c r="GC893" s="18"/>
      <c r="GD893" s="18"/>
      <c r="GE893" s="18"/>
      <c r="GF893" s="18"/>
      <c r="GG893" s="18"/>
      <c r="GH893" s="18"/>
      <c r="GI893" s="18"/>
      <c r="GJ893" s="18"/>
      <c r="GK893" s="18"/>
      <c r="GL893" s="18"/>
      <c r="GM893" s="18"/>
      <c r="GN893" s="18"/>
      <c r="GO893" s="18"/>
      <c r="GP893" s="18"/>
      <c r="GQ893" s="18"/>
      <c r="GR893" s="18"/>
      <c r="GS893" s="18"/>
      <c r="GT893" s="18"/>
      <c r="GU893" s="18"/>
      <c r="GV893" s="18"/>
      <c r="GW893" s="18"/>
      <c r="GX893" s="18"/>
      <c r="GY893" s="18"/>
      <c r="GZ893" s="18"/>
      <c r="HA893" s="18"/>
      <c r="HB893" s="18"/>
      <c r="HC893" s="18"/>
      <c r="HD893" s="18"/>
      <c r="HE893" s="18"/>
      <c r="HF893" s="18"/>
      <c r="HG893" s="13"/>
      <c r="HH893" s="13"/>
      <c r="HI893" s="13"/>
      <c r="HJ893" s="13"/>
      <c r="HK893" s="13"/>
      <c r="HL893" s="13"/>
      <c r="HM893" s="13"/>
      <c r="HN893" s="13"/>
      <c r="HO893" s="13"/>
      <c r="HP893" s="13"/>
      <c r="HQ893" s="13"/>
      <c r="HR893" s="13"/>
      <c r="HS893" s="13"/>
      <c r="HT893" s="13"/>
      <c r="HU893" s="18"/>
      <c r="HV893" s="18"/>
      <c r="HW893" s="18"/>
      <c r="HX893" s="18"/>
      <c r="HY893" s="18"/>
      <c r="HZ893" s="18"/>
      <c r="IA893" s="18"/>
      <c r="IB893" s="18"/>
      <c r="IC893" s="18"/>
      <c r="ID893" s="18"/>
      <c r="IE893" s="18"/>
      <c r="IF893" s="18"/>
      <c r="IG893" s="18"/>
      <c r="IH893" s="18"/>
      <c r="II893" s="18"/>
      <c r="IJ893" s="18"/>
      <c r="IK893" s="18"/>
      <c r="IL893" s="18"/>
      <c r="IM893" s="18"/>
      <c r="IN893" s="18"/>
      <c r="IO893" s="18"/>
      <c r="IP893" s="18"/>
      <c r="IQ893" s="18"/>
      <c r="IR893" s="18"/>
      <c r="IS893" s="18"/>
      <c r="IT893" s="18"/>
      <c r="IU893" s="18"/>
      <c r="IV893" s="18"/>
      <c r="IW893" s="18"/>
      <c r="IX893" s="18"/>
      <c r="IY893" s="18"/>
      <c r="IZ893" s="18"/>
      <c r="JA893" s="18"/>
      <c r="JB893" s="18"/>
      <c r="JC893" s="18"/>
      <c r="JD893" s="18"/>
      <c r="JE893" s="18"/>
      <c r="JF893" s="18"/>
      <c r="JG893" s="18"/>
      <c r="JH893" s="18"/>
      <c r="JI893" s="18"/>
      <c r="JJ893" s="18"/>
      <c r="JK893" s="18"/>
      <c r="JL893" s="18"/>
      <c r="JM893" s="18"/>
      <c r="JN893" s="18"/>
      <c r="JO893" s="18"/>
      <c r="JP893" s="18"/>
      <c r="JQ893" s="18"/>
      <c r="JR893" s="18"/>
      <c r="JS893" s="18"/>
      <c r="JT893" s="18"/>
      <c r="JU893" s="18"/>
      <c r="JV893" s="18"/>
      <c r="JW893" s="18"/>
      <c r="JX893" s="18"/>
      <c r="JY893" s="18"/>
      <c r="JZ893" s="18"/>
      <c r="KA893" s="18"/>
      <c r="KB893" s="18"/>
      <c r="KC893" s="18"/>
      <c r="KD893" s="18"/>
      <c r="KE893" s="18"/>
      <c r="KF893" s="18"/>
      <c r="KG893" s="18"/>
      <c r="KH893" s="18"/>
      <c r="KI893" s="18"/>
      <c r="KJ893" s="18"/>
      <c r="KK893" s="18"/>
      <c r="KL893" s="18"/>
      <c r="KM893" s="18"/>
      <c r="KN893" s="18"/>
      <c r="KO893" s="18"/>
      <c r="KP893" s="18"/>
    </row>
    <row r="894" spans="1:302">
      <c r="A894" s="14"/>
      <c r="B894" s="14"/>
      <c r="F894" s="14"/>
      <c r="G894" s="23"/>
      <c r="H894" s="23"/>
      <c r="I894" s="23"/>
      <c r="J894" s="23"/>
      <c r="K894" s="14"/>
      <c r="L894" s="14"/>
      <c r="P894" s="14"/>
      <c r="AG894" s="44"/>
      <c r="AH894" s="44"/>
      <c r="AI894" s="45"/>
      <c r="AJ894" s="44"/>
      <c r="AK894" s="43"/>
      <c r="AS894" s="14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  <c r="EW894" s="18"/>
      <c r="EX894" s="18"/>
      <c r="EY894" s="18"/>
      <c r="EZ894" s="18"/>
      <c r="FA894" s="18"/>
      <c r="FB894" s="18"/>
      <c r="FC894" s="18"/>
      <c r="FD894" s="18"/>
      <c r="FE894" s="18"/>
      <c r="FF894" s="18"/>
      <c r="FG894" s="18"/>
      <c r="FH894" s="18"/>
      <c r="FI894" s="18"/>
      <c r="FJ894" s="18"/>
      <c r="FK894" s="18"/>
      <c r="FL894" s="18"/>
      <c r="FM894" s="18"/>
      <c r="FN894" s="18"/>
      <c r="FO894" s="18"/>
      <c r="FP894" s="18"/>
      <c r="FQ894" s="18"/>
      <c r="FR894" s="18"/>
      <c r="FS894" s="18"/>
      <c r="FT894" s="18"/>
      <c r="FU894" s="18"/>
      <c r="FV894" s="18"/>
      <c r="FW894" s="18"/>
      <c r="FX894" s="18"/>
      <c r="FY894" s="18"/>
      <c r="FZ894" s="18"/>
      <c r="GA894" s="18"/>
      <c r="GB894" s="18"/>
      <c r="GC894" s="18"/>
      <c r="GD894" s="18"/>
      <c r="GE894" s="18"/>
      <c r="GF894" s="18"/>
      <c r="GG894" s="18"/>
      <c r="GH894" s="18"/>
      <c r="GI894" s="18"/>
      <c r="GJ894" s="18"/>
      <c r="GK894" s="18"/>
      <c r="GL894" s="18"/>
      <c r="GM894" s="18"/>
      <c r="GN894" s="18"/>
      <c r="GO894" s="18"/>
      <c r="GP894" s="18"/>
      <c r="GQ894" s="18"/>
      <c r="GR894" s="18"/>
      <c r="GS894" s="18"/>
      <c r="GT894" s="18"/>
      <c r="GU894" s="18"/>
      <c r="GV894" s="18"/>
      <c r="GW894" s="18"/>
      <c r="GX894" s="18"/>
      <c r="GY894" s="18"/>
      <c r="GZ894" s="18"/>
      <c r="HA894" s="18"/>
      <c r="HB894" s="18"/>
      <c r="HC894" s="18"/>
      <c r="HD894" s="18"/>
      <c r="HE894" s="18"/>
      <c r="HF894" s="18"/>
      <c r="HG894" s="13"/>
      <c r="HH894" s="13"/>
      <c r="HI894" s="13"/>
      <c r="HJ894" s="13"/>
      <c r="HK894" s="13"/>
      <c r="HL894" s="13"/>
      <c r="HM894" s="13"/>
      <c r="HN894" s="13"/>
      <c r="HO894" s="13"/>
      <c r="HP894" s="13"/>
      <c r="HQ894" s="13"/>
      <c r="HR894" s="13"/>
      <c r="HS894" s="13"/>
      <c r="HT894" s="13"/>
      <c r="HU894" s="18"/>
      <c r="HV894" s="18"/>
      <c r="HW894" s="18"/>
      <c r="HX894" s="18"/>
      <c r="HY894" s="18"/>
      <c r="HZ894" s="18"/>
      <c r="IA894" s="18"/>
      <c r="IB894" s="18"/>
      <c r="IC894" s="18"/>
      <c r="ID894" s="18"/>
      <c r="IE894" s="18"/>
      <c r="IF894" s="18"/>
      <c r="IG894" s="18"/>
      <c r="IH894" s="18"/>
      <c r="II894" s="18"/>
      <c r="IJ894" s="18"/>
      <c r="IK894" s="18"/>
      <c r="IL894" s="18"/>
      <c r="IM894" s="18"/>
      <c r="IN894" s="18"/>
      <c r="IO894" s="18"/>
      <c r="IP894" s="18"/>
      <c r="IQ894" s="18"/>
      <c r="IR894" s="18"/>
      <c r="IS894" s="18"/>
      <c r="IT894" s="18"/>
      <c r="IU894" s="18"/>
      <c r="IV894" s="18"/>
      <c r="IW894" s="18"/>
      <c r="IX894" s="18"/>
      <c r="IY894" s="18"/>
      <c r="IZ894" s="18"/>
      <c r="JA894" s="18"/>
      <c r="JB894" s="18"/>
      <c r="JC894" s="18"/>
      <c r="JD894" s="18"/>
      <c r="JE894" s="18"/>
      <c r="JF894" s="18"/>
      <c r="JG894" s="18"/>
      <c r="JH894" s="18"/>
      <c r="JI894" s="18"/>
      <c r="JJ894" s="18"/>
      <c r="JK894" s="18"/>
      <c r="JL894" s="18"/>
      <c r="JM894" s="18"/>
      <c r="JN894" s="18"/>
      <c r="JO894" s="18"/>
      <c r="JP894" s="18"/>
      <c r="JQ894" s="18"/>
      <c r="JR894" s="18"/>
      <c r="JS894" s="18"/>
      <c r="JT894" s="18"/>
      <c r="JU894" s="18"/>
      <c r="JV894" s="18"/>
      <c r="JW894" s="18"/>
      <c r="JX894" s="18"/>
      <c r="JY894" s="18"/>
      <c r="JZ894" s="18"/>
      <c r="KA894" s="18"/>
      <c r="KB894" s="18"/>
      <c r="KC894" s="18"/>
      <c r="KD894" s="18"/>
      <c r="KE894" s="18"/>
      <c r="KF894" s="18"/>
      <c r="KG894" s="18"/>
      <c r="KH894" s="18"/>
      <c r="KI894" s="18"/>
      <c r="KJ894" s="18"/>
      <c r="KK894" s="18"/>
      <c r="KL894" s="18"/>
      <c r="KM894" s="18"/>
      <c r="KN894" s="18"/>
      <c r="KO894" s="18"/>
      <c r="KP894" s="18"/>
    </row>
    <row r="895" spans="1:302">
      <c r="A895" s="14"/>
      <c r="B895" s="14"/>
      <c r="F895" s="14"/>
      <c r="G895" s="23"/>
      <c r="H895" s="23"/>
      <c r="I895" s="23"/>
      <c r="J895" s="23"/>
      <c r="K895" s="14"/>
      <c r="L895" s="14"/>
      <c r="P895" s="14"/>
      <c r="AG895" s="44"/>
      <c r="AH895" s="44"/>
      <c r="AI895" s="45"/>
      <c r="AJ895" s="44"/>
      <c r="AK895" s="43"/>
      <c r="AS895" s="14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  <c r="EW895" s="18"/>
      <c r="EX895" s="18"/>
      <c r="EY895" s="18"/>
      <c r="EZ895" s="18"/>
      <c r="FA895" s="18"/>
      <c r="FB895" s="18"/>
      <c r="FC895" s="18"/>
      <c r="FD895" s="18"/>
      <c r="FE895" s="18"/>
      <c r="FF895" s="18"/>
      <c r="FG895" s="18"/>
      <c r="FH895" s="18"/>
      <c r="FI895" s="18"/>
      <c r="FJ895" s="18"/>
      <c r="FK895" s="18"/>
      <c r="FL895" s="18"/>
      <c r="FM895" s="18"/>
      <c r="FN895" s="18"/>
      <c r="FO895" s="18"/>
      <c r="FP895" s="18"/>
      <c r="FQ895" s="18"/>
      <c r="FR895" s="18"/>
      <c r="FS895" s="18"/>
      <c r="FT895" s="18"/>
      <c r="FU895" s="18"/>
      <c r="FV895" s="18"/>
      <c r="FW895" s="18"/>
      <c r="FX895" s="18"/>
      <c r="FY895" s="18"/>
      <c r="FZ895" s="18"/>
      <c r="GA895" s="18"/>
      <c r="GB895" s="18"/>
      <c r="GC895" s="18"/>
      <c r="GD895" s="18"/>
      <c r="GE895" s="18"/>
      <c r="GF895" s="18"/>
      <c r="GG895" s="18"/>
      <c r="GH895" s="18"/>
      <c r="GI895" s="18"/>
      <c r="GJ895" s="18"/>
      <c r="GK895" s="18"/>
      <c r="GL895" s="18"/>
      <c r="GM895" s="18"/>
      <c r="GN895" s="18"/>
      <c r="GO895" s="18"/>
      <c r="GP895" s="18"/>
      <c r="GQ895" s="18"/>
      <c r="GR895" s="18"/>
      <c r="GS895" s="18"/>
      <c r="GT895" s="18"/>
      <c r="GU895" s="18"/>
      <c r="GV895" s="18"/>
      <c r="GW895" s="18"/>
      <c r="GX895" s="18"/>
      <c r="GY895" s="18"/>
      <c r="GZ895" s="18"/>
      <c r="HA895" s="18"/>
      <c r="HB895" s="18"/>
      <c r="HC895" s="18"/>
      <c r="HD895" s="18"/>
      <c r="HE895" s="18"/>
      <c r="HF895" s="18"/>
      <c r="HG895" s="13"/>
      <c r="HH895" s="13"/>
      <c r="HI895" s="13"/>
      <c r="HJ895" s="13"/>
      <c r="HK895" s="13"/>
      <c r="HL895" s="13"/>
      <c r="HM895" s="13"/>
      <c r="HN895" s="13"/>
      <c r="HO895" s="13"/>
      <c r="HP895" s="13"/>
      <c r="HQ895" s="13"/>
      <c r="HR895" s="13"/>
      <c r="HS895" s="13"/>
      <c r="HT895" s="13"/>
      <c r="HU895" s="18"/>
      <c r="HV895" s="18"/>
      <c r="HW895" s="18"/>
      <c r="HX895" s="18"/>
      <c r="HY895" s="18"/>
      <c r="HZ895" s="18"/>
      <c r="IA895" s="18"/>
      <c r="IB895" s="18"/>
      <c r="IC895" s="18"/>
      <c r="ID895" s="18"/>
      <c r="IE895" s="18"/>
      <c r="IF895" s="18"/>
      <c r="IG895" s="18"/>
      <c r="IH895" s="18"/>
      <c r="II895" s="18"/>
      <c r="IJ895" s="18"/>
      <c r="IK895" s="18"/>
      <c r="IL895" s="18"/>
      <c r="IM895" s="18"/>
      <c r="IN895" s="18"/>
      <c r="IO895" s="18"/>
      <c r="IP895" s="18"/>
      <c r="IQ895" s="18"/>
      <c r="IR895" s="18"/>
      <c r="IS895" s="18"/>
      <c r="IT895" s="18"/>
      <c r="IU895" s="18"/>
      <c r="IV895" s="18"/>
      <c r="IW895" s="18"/>
      <c r="IX895" s="18"/>
      <c r="IY895" s="18"/>
      <c r="IZ895" s="18"/>
      <c r="JA895" s="18"/>
      <c r="JB895" s="18"/>
      <c r="JC895" s="18"/>
      <c r="JD895" s="18"/>
      <c r="JE895" s="18"/>
      <c r="JF895" s="18"/>
      <c r="JG895" s="18"/>
      <c r="JH895" s="18"/>
      <c r="JI895" s="18"/>
      <c r="JJ895" s="18"/>
      <c r="JK895" s="18"/>
      <c r="JL895" s="18"/>
      <c r="JM895" s="18"/>
      <c r="JN895" s="18"/>
      <c r="JO895" s="18"/>
      <c r="JP895" s="18"/>
      <c r="JQ895" s="18"/>
      <c r="JR895" s="18"/>
      <c r="JS895" s="18"/>
      <c r="JT895" s="18"/>
      <c r="JU895" s="18"/>
      <c r="JV895" s="18"/>
      <c r="JW895" s="18"/>
      <c r="JX895" s="18"/>
      <c r="JY895" s="18"/>
      <c r="JZ895" s="18"/>
      <c r="KA895" s="18"/>
      <c r="KB895" s="18"/>
      <c r="KC895" s="18"/>
      <c r="KD895" s="18"/>
      <c r="KE895" s="18"/>
      <c r="KF895" s="18"/>
      <c r="KG895" s="18"/>
      <c r="KH895" s="18"/>
      <c r="KI895" s="18"/>
      <c r="KJ895" s="18"/>
      <c r="KK895" s="18"/>
      <c r="KL895" s="18"/>
      <c r="KM895" s="18"/>
      <c r="KN895" s="18"/>
      <c r="KO895" s="18"/>
      <c r="KP895" s="18"/>
    </row>
    <row r="896" spans="1:302">
      <c r="A896" s="14"/>
      <c r="B896" s="14"/>
      <c r="F896" s="14"/>
      <c r="G896" s="23"/>
      <c r="H896" s="23"/>
      <c r="I896" s="23"/>
      <c r="J896" s="23"/>
      <c r="K896" s="14"/>
      <c r="L896" s="14"/>
      <c r="P896" s="14"/>
      <c r="AG896" s="44"/>
      <c r="AH896" s="44"/>
      <c r="AI896" s="45"/>
      <c r="AJ896" s="44"/>
      <c r="AK896" s="43"/>
      <c r="AS896" s="14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  <c r="EW896" s="18"/>
      <c r="EX896" s="18"/>
      <c r="EY896" s="18"/>
      <c r="EZ896" s="18"/>
      <c r="FA896" s="18"/>
      <c r="FB896" s="18"/>
      <c r="FC896" s="18"/>
      <c r="FD896" s="18"/>
      <c r="FE896" s="18"/>
      <c r="FF896" s="18"/>
      <c r="FG896" s="18"/>
      <c r="FH896" s="18"/>
      <c r="FI896" s="18"/>
      <c r="FJ896" s="18"/>
      <c r="FK896" s="18"/>
      <c r="FL896" s="18"/>
      <c r="FM896" s="18"/>
      <c r="FN896" s="18"/>
      <c r="FO896" s="18"/>
      <c r="FP896" s="18"/>
      <c r="FQ896" s="18"/>
      <c r="FR896" s="18"/>
      <c r="FS896" s="18"/>
      <c r="FT896" s="18"/>
      <c r="FU896" s="18"/>
      <c r="FV896" s="18"/>
      <c r="FW896" s="18"/>
      <c r="FX896" s="18"/>
      <c r="FY896" s="18"/>
      <c r="FZ896" s="18"/>
      <c r="GA896" s="18"/>
      <c r="GB896" s="18"/>
      <c r="GC896" s="18"/>
      <c r="GD896" s="18"/>
      <c r="GE896" s="18"/>
      <c r="GF896" s="18"/>
      <c r="GG896" s="18"/>
      <c r="GH896" s="18"/>
      <c r="GI896" s="18"/>
      <c r="GJ896" s="18"/>
      <c r="GK896" s="18"/>
      <c r="GL896" s="18"/>
      <c r="GM896" s="18"/>
      <c r="GN896" s="18"/>
      <c r="GO896" s="18"/>
      <c r="GP896" s="18"/>
      <c r="GQ896" s="18"/>
      <c r="GR896" s="18"/>
      <c r="GS896" s="18"/>
      <c r="GT896" s="18"/>
      <c r="GU896" s="18"/>
      <c r="GV896" s="18"/>
      <c r="GW896" s="18"/>
      <c r="GX896" s="18"/>
      <c r="GY896" s="18"/>
      <c r="GZ896" s="18"/>
      <c r="HA896" s="18"/>
      <c r="HB896" s="18"/>
      <c r="HC896" s="18"/>
      <c r="HD896" s="18"/>
      <c r="HE896" s="18"/>
      <c r="HF896" s="18"/>
      <c r="HG896" s="13"/>
      <c r="HH896" s="13"/>
      <c r="HI896" s="13"/>
      <c r="HJ896" s="13"/>
      <c r="HK896" s="13"/>
      <c r="HL896" s="13"/>
      <c r="HM896" s="13"/>
      <c r="HN896" s="13"/>
      <c r="HO896" s="13"/>
      <c r="HP896" s="13"/>
      <c r="HQ896" s="13"/>
      <c r="HR896" s="13"/>
      <c r="HS896" s="13"/>
      <c r="HT896" s="13"/>
      <c r="HU896" s="18"/>
      <c r="HV896" s="18"/>
      <c r="HW896" s="18"/>
      <c r="HX896" s="18"/>
      <c r="HY896" s="18"/>
      <c r="HZ896" s="18"/>
      <c r="IA896" s="18"/>
      <c r="IB896" s="18"/>
      <c r="IC896" s="18"/>
      <c r="ID896" s="18"/>
      <c r="IE896" s="18"/>
      <c r="IF896" s="18"/>
      <c r="IG896" s="18"/>
      <c r="IH896" s="18"/>
      <c r="II896" s="18"/>
      <c r="IJ896" s="18"/>
      <c r="IK896" s="18"/>
      <c r="IL896" s="18"/>
      <c r="IM896" s="18"/>
      <c r="IN896" s="18"/>
      <c r="IO896" s="18"/>
      <c r="IP896" s="18"/>
      <c r="IQ896" s="18"/>
      <c r="IR896" s="18"/>
      <c r="IS896" s="18"/>
      <c r="IT896" s="18"/>
      <c r="IU896" s="18"/>
      <c r="IV896" s="18"/>
      <c r="IW896" s="18"/>
      <c r="IX896" s="18"/>
      <c r="IY896" s="18"/>
      <c r="IZ896" s="18"/>
      <c r="JA896" s="18"/>
      <c r="JB896" s="18"/>
      <c r="JC896" s="18"/>
      <c r="JD896" s="18"/>
      <c r="JE896" s="18"/>
      <c r="JF896" s="18"/>
      <c r="JG896" s="18"/>
      <c r="JH896" s="18"/>
      <c r="JI896" s="18"/>
      <c r="JJ896" s="18"/>
      <c r="JK896" s="18"/>
      <c r="JL896" s="18"/>
      <c r="JM896" s="18"/>
      <c r="JN896" s="18"/>
      <c r="JO896" s="18"/>
      <c r="JP896" s="18"/>
      <c r="JQ896" s="18"/>
      <c r="JR896" s="18"/>
      <c r="JS896" s="18"/>
      <c r="JT896" s="18"/>
      <c r="JU896" s="18"/>
      <c r="JV896" s="18"/>
      <c r="JW896" s="18"/>
      <c r="JX896" s="18"/>
      <c r="JY896" s="18"/>
      <c r="JZ896" s="18"/>
      <c r="KA896" s="18"/>
      <c r="KB896" s="18"/>
      <c r="KC896" s="18"/>
      <c r="KD896" s="18"/>
      <c r="KE896" s="18"/>
      <c r="KF896" s="18"/>
      <c r="KG896" s="18"/>
      <c r="KH896" s="18"/>
      <c r="KI896" s="18"/>
      <c r="KJ896" s="18"/>
      <c r="KK896" s="18"/>
      <c r="KL896" s="18"/>
      <c r="KM896" s="18"/>
      <c r="KN896" s="18"/>
      <c r="KO896" s="18"/>
      <c r="KP896" s="18"/>
    </row>
    <row r="897" spans="1:302">
      <c r="A897" s="14"/>
      <c r="B897" s="14"/>
      <c r="F897" s="14"/>
      <c r="G897" s="23"/>
      <c r="H897" s="23"/>
      <c r="I897" s="23"/>
      <c r="J897" s="23"/>
      <c r="K897" s="14"/>
      <c r="L897" s="14"/>
      <c r="P897" s="14"/>
      <c r="AG897" s="44"/>
      <c r="AH897" s="44"/>
      <c r="AI897" s="45"/>
      <c r="AJ897" s="44"/>
      <c r="AK897" s="43"/>
      <c r="AS897" s="14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  <c r="EW897" s="18"/>
      <c r="EX897" s="18"/>
      <c r="EY897" s="18"/>
      <c r="EZ897" s="18"/>
      <c r="FA897" s="18"/>
      <c r="FB897" s="18"/>
      <c r="FC897" s="18"/>
      <c r="FD897" s="18"/>
      <c r="FE897" s="18"/>
      <c r="FF897" s="18"/>
      <c r="FG897" s="18"/>
      <c r="FH897" s="18"/>
      <c r="FI897" s="18"/>
      <c r="FJ897" s="18"/>
      <c r="FK897" s="18"/>
      <c r="FL897" s="18"/>
      <c r="FM897" s="18"/>
      <c r="FN897" s="18"/>
      <c r="FO897" s="18"/>
      <c r="FP897" s="18"/>
      <c r="FQ897" s="18"/>
      <c r="FR897" s="18"/>
      <c r="FS897" s="18"/>
      <c r="FT897" s="18"/>
      <c r="FU897" s="18"/>
      <c r="FV897" s="18"/>
      <c r="FW897" s="18"/>
      <c r="FX897" s="18"/>
      <c r="FY897" s="18"/>
      <c r="FZ897" s="18"/>
      <c r="GA897" s="18"/>
      <c r="GB897" s="18"/>
      <c r="GC897" s="18"/>
      <c r="GD897" s="18"/>
      <c r="GE897" s="18"/>
      <c r="GF897" s="18"/>
      <c r="GG897" s="18"/>
      <c r="GH897" s="18"/>
      <c r="GI897" s="18"/>
      <c r="GJ897" s="18"/>
      <c r="GK897" s="18"/>
      <c r="GL897" s="18"/>
      <c r="GM897" s="18"/>
      <c r="GN897" s="18"/>
      <c r="GO897" s="18"/>
      <c r="GP897" s="18"/>
      <c r="GQ897" s="18"/>
      <c r="GR897" s="18"/>
      <c r="GS897" s="18"/>
      <c r="GT897" s="18"/>
      <c r="GU897" s="18"/>
      <c r="GV897" s="18"/>
      <c r="GW897" s="18"/>
      <c r="GX897" s="18"/>
      <c r="GY897" s="18"/>
      <c r="GZ897" s="18"/>
      <c r="HA897" s="18"/>
      <c r="HB897" s="18"/>
      <c r="HC897" s="18"/>
      <c r="HD897" s="18"/>
      <c r="HE897" s="18"/>
      <c r="HF897" s="18"/>
      <c r="HG897" s="13"/>
      <c r="HH897" s="13"/>
      <c r="HI897" s="13"/>
      <c r="HJ897" s="13"/>
      <c r="HK897" s="13"/>
      <c r="HL897" s="13"/>
      <c r="HM897" s="13"/>
      <c r="HN897" s="13"/>
      <c r="HO897" s="13"/>
      <c r="HP897" s="13"/>
      <c r="HQ897" s="13"/>
      <c r="HR897" s="13"/>
      <c r="HS897" s="13"/>
      <c r="HT897" s="13"/>
      <c r="HU897" s="18"/>
      <c r="HV897" s="18"/>
      <c r="HW897" s="18"/>
      <c r="HX897" s="18"/>
      <c r="HY897" s="18"/>
      <c r="HZ897" s="18"/>
      <c r="IA897" s="18"/>
      <c r="IB897" s="18"/>
      <c r="IC897" s="18"/>
      <c r="ID897" s="18"/>
      <c r="IE897" s="18"/>
      <c r="IF897" s="18"/>
      <c r="IG897" s="18"/>
      <c r="IH897" s="18"/>
      <c r="II897" s="18"/>
      <c r="IJ897" s="18"/>
      <c r="IK897" s="18"/>
      <c r="IL897" s="18"/>
      <c r="IM897" s="18"/>
      <c r="IN897" s="18"/>
      <c r="IO897" s="18"/>
      <c r="IP897" s="18"/>
      <c r="IQ897" s="18"/>
      <c r="IR897" s="18"/>
      <c r="IS897" s="18"/>
      <c r="IT897" s="18"/>
      <c r="IU897" s="18"/>
      <c r="IV897" s="18"/>
      <c r="IW897" s="18"/>
      <c r="IX897" s="18"/>
      <c r="IY897" s="18"/>
      <c r="IZ897" s="18"/>
      <c r="JA897" s="18"/>
      <c r="JB897" s="18"/>
      <c r="JC897" s="18"/>
      <c r="JD897" s="18"/>
      <c r="JE897" s="18"/>
      <c r="JF897" s="18"/>
      <c r="JG897" s="18"/>
      <c r="JH897" s="18"/>
      <c r="JI897" s="18"/>
      <c r="JJ897" s="18"/>
      <c r="JK897" s="18"/>
      <c r="JL897" s="18"/>
      <c r="JM897" s="18"/>
      <c r="JN897" s="18"/>
      <c r="JO897" s="18"/>
      <c r="JP897" s="18"/>
      <c r="JQ897" s="18"/>
      <c r="JR897" s="18"/>
      <c r="JS897" s="18"/>
      <c r="JT897" s="18"/>
      <c r="JU897" s="18"/>
      <c r="JV897" s="18"/>
      <c r="JW897" s="18"/>
      <c r="JX897" s="18"/>
      <c r="JY897" s="18"/>
      <c r="JZ897" s="18"/>
      <c r="KA897" s="18"/>
      <c r="KB897" s="18"/>
      <c r="KC897" s="18"/>
      <c r="KD897" s="18"/>
      <c r="KE897" s="18"/>
      <c r="KF897" s="18"/>
      <c r="KG897" s="18"/>
      <c r="KH897" s="18"/>
      <c r="KI897" s="18"/>
      <c r="KJ897" s="18"/>
      <c r="KK897" s="18"/>
      <c r="KL897" s="18"/>
      <c r="KM897" s="18"/>
      <c r="KN897" s="18"/>
      <c r="KO897" s="18"/>
      <c r="KP897" s="18"/>
    </row>
    <row r="898" spans="1:302">
      <c r="A898" s="14"/>
      <c r="B898" s="14"/>
      <c r="F898" s="14"/>
      <c r="G898" s="23"/>
      <c r="H898" s="23"/>
      <c r="I898" s="23"/>
      <c r="J898" s="23"/>
      <c r="K898" s="14"/>
      <c r="L898" s="14"/>
      <c r="P898" s="14"/>
      <c r="AG898" s="44"/>
      <c r="AH898" s="44"/>
      <c r="AI898" s="45"/>
      <c r="AJ898" s="44"/>
      <c r="AK898" s="43"/>
      <c r="AS898" s="14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  <c r="EW898" s="18"/>
      <c r="EX898" s="18"/>
      <c r="EY898" s="18"/>
      <c r="EZ898" s="18"/>
      <c r="FA898" s="18"/>
      <c r="FB898" s="18"/>
      <c r="FC898" s="18"/>
      <c r="FD898" s="18"/>
      <c r="FE898" s="18"/>
      <c r="FF898" s="18"/>
      <c r="FG898" s="18"/>
      <c r="FH898" s="18"/>
      <c r="FI898" s="18"/>
      <c r="FJ898" s="18"/>
      <c r="FK898" s="18"/>
      <c r="FL898" s="18"/>
      <c r="FM898" s="18"/>
      <c r="FN898" s="18"/>
      <c r="FO898" s="18"/>
      <c r="FP898" s="18"/>
      <c r="FQ898" s="18"/>
      <c r="FR898" s="18"/>
      <c r="FS898" s="18"/>
      <c r="FT898" s="18"/>
      <c r="FU898" s="18"/>
      <c r="FV898" s="18"/>
      <c r="FW898" s="18"/>
      <c r="FX898" s="18"/>
      <c r="FY898" s="18"/>
      <c r="FZ898" s="18"/>
      <c r="GA898" s="18"/>
      <c r="GB898" s="18"/>
      <c r="GC898" s="18"/>
      <c r="GD898" s="18"/>
      <c r="GE898" s="18"/>
      <c r="GF898" s="18"/>
      <c r="GG898" s="18"/>
      <c r="GH898" s="18"/>
      <c r="GI898" s="18"/>
      <c r="GJ898" s="18"/>
      <c r="GK898" s="18"/>
      <c r="GL898" s="18"/>
      <c r="GM898" s="18"/>
      <c r="GN898" s="18"/>
      <c r="GO898" s="18"/>
      <c r="GP898" s="18"/>
      <c r="GQ898" s="18"/>
      <c r="GR898" s="18"/>
      <c r="GS898" s="18"/>
      <c r="GT898" s="18"/>
      <c r="GU898" s="18"/>
      <c r="GV898" s="18"/>
      <c r="GW898" s="18"/>
      <c r="GX898" s="18"/>
      <c r="GY898" s="18"/>
      <c r="GZ898" s="18"/>
      <c r="HA898" s="18"/>
      <c r="HB898" s="18"/>
      <c r="HC898" s="18"/>
      <c r="HD898" s="18"/>
      <c r="HE898" s="18"/>
      <c r="HF898" s="18"/>
      <c r="HG898" s="13"/>
      <c r="HH898" s="13"/>
      <c r="HI898" s="13"/>
      <c r="HJ898" s="13"/>
      <c r="HK898" s="13"/>
      <c r="HL898" s="13"/>
      <c r="HM898" s="13"/>
      <c r="HN898" s="13"/>
      <c r="HO898" s="13"/>
      <c r="HP898" s="13"/>
      <c r="HQ898" s="13"/>
      <c r="HR898" s="13"/>
      <c r="HS898" s="13"/>
      <c r="HT898" s="13"/>
      <c r="HU898" s="18"/>
      <c r="HV898" s="18"/>
      <c r="HW898" s="18"/>
      <c r="HX898" s="18"/>
      <c r="HY898" s="18"/>
      <c r="HZ898" s="18"/>
      <c r="IA898" s="18"/>
      <c r="IB898" s="18"/>
      <c r="IC898" s="18"/>
      <c r="ID898" s="18"/>
      <c r="IE898" s="18"/>
      <c r="IF898" s="18"/>
      <c r="IG898" s="18"/>
      <c r="IH898" s="18"/>
      <c r="II898" s="18"/>
      <c r="IJ898" s="18"/>
      <c r="IK898" s="18"/>
      <c r="IL898" s="18"/>
      <c r="IM898" s="18"/>
      <c r="IN898" s="18"/>
      <c r="IO898" s="18"/>
      <c r="IP898" s="18"/>
      <c r="IQ898" s="18"/>
      <c r="IR898" s="18"/>
      <c r="IS898" s="18"/>
      <c r="IT898" s="18"/>
      <c r="IU898" s="18"/>
      <c r="IV898" s="18"/>
      <c r="IW898" s="18"/>
      <c r="IX898" s="18"/>
      <c r="IY898" s="18"/>
      <c r="IZ898" s="18"/>
      <c r="JA898" s="18"/>
      <c r="JB898" s="18"/>
      <c r="JC898" s="18"/>
      <c r="JD898" s="18"/>
      <c r="JE898" s="18"/>
      <c r="JF898" s="18"/>
      <c r="JG898" s="18"/>
      <c r="JH898" s="18"/>
      <c r="JI898" s="18"/>
      <c r="JJ898" s="18"/>
      <c r="JK898" s="18"/>
      <c r="JL898" s="18"/>
      <c r="JM898" s="18"/>
      <c r="JN898" s="18"/>
      <c r="JO898" s="18"/>
      <c r="JP898" s="18"/>
      <c r="JQ898" s="18"/>
      <c r="JR898" s="18"/>
      <c r="JS898" s="18"/>
      <c r="JT898" s="18"/>
      <c r="JU898" s="18"/>
      <c r="JV898" s="18"/>
      <c r="JW898" s="18"/>
      <c r="JX898" s="18"/>
      <c r="JY898" s="18"/>
      <c r="JZ898" s="18"/>
      <c r="KA898" s="18"/>
      <c r="KB898" s="18"/>
      <c r="KC898" s="18"/>
      <c r="KD898" s="18"/>
      <c r="KE898" s="18"/>
      <c r="KF898" s="18"/>
      <c r="KG898" s="18"/>
      <c r="KH898" s="18"/>
      <c r="KI898" s="18"/>
      <c r="KJ898" s="18"/>
      <c r="KK898" s="18"/>
      <c r="KL898" s="18"/>
      <c r="KM898" s="18"/>
      <c r="KN898" s="18"/>
      <c r="KO898" s="18"/>
      <c r="KP898" s="18"/>
    </row>
    <row r="899" spans="1:302">
      <c r="A899" s="14"/>
      <c r="B899" s="14"/>
      <c r="F899" s="14"/>
      <c r="G899" s="23"/>
      <c r="H899" s="23"/>
      <c r="I899" s="23"/>
      <c r="J899" s="23"/>
      <c r="K899" s="14"/>
      <c r="L899" s="14"/>
      <c r="P899" s="14"/>
      <c r="AG899" s="44"/>
      <c r="AH899" s="44"/>
      <c r="AI899" s="45"/>
      <c r="AJ899" s="44"/>
      <c r="AK899" s="43"/>
      <c r="AS899" s="14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  <c r="EW899" s="18"/>
      <c r="EX899" s="18"/>
      <c r="EY899" s="18"/>
      <c r="EZ899" s="18"/>
      <c r="FA899" s="18"/>
      <c r="FB899" s="18"/>
      <c r="FC899" s="18"/>
      <c r="FD899" s="18"/>
      <c r="FE899" s="18"/>
      <c r="FF899" s="18"/>
      <c r="FG899" s="18"/>
      <c r="FH899" s="18"/>
      <c r="FI899" s="18"/>
      <c r="FJ899" s="18"/>
      <c r="FK899" s="18"/>
      <c r="FL899" s="18"/>
      <c r="FM899" s="18"/>
      <c r="FN899" s="18"/>
      <c r="FO899" s="18"/>
      <c r="FP899" s="18"/>
      <c r="FQ899" s="18"/>
      <c r="FR899" s="18"/>
      <c r="FS899" s="18"/>
      <c r="FT899" s="18"/>
      <c r="FU899" s="18"/>
      <c r="FV899" s="18"/>
      <c r="FW899" s="18"/>
      <c r="FX899" s="18"/>
      <c r="FY899" s="18"/>
      <c r="FZ899" s="18"/>
      <c r="GA899" s="18"/>
      <c r="GB899" s="18"/>
      <c r="GC899" s="18"/>
      <c r="GD899" s="18"/>
      <c r="GE899" s="18"/>
      <c r="GF899" s="18"/>
      <c r="GG899" s="18"/>
      <c r="GH899" s="18"/>
      <c r="GI899" s="18"/>
      <c r="GJ899" s="18"/>
      <c r="GK899" s="18"/>
      <c r="GL899" s="18"/>
      <c r="GM899" s="18"/>
      <c r="GN899" s="18"/>
      <c r="GO899" s="18"/>
      <c r="GP899" s="18"/>
      <c r="GQ899" s="18"/>
      <c r="GR899" s="18"/>
      <c r="GS899" s="18"/>
      <c r="GT899" s="18"/>
      <c r="GU899" s="18"/>
      <c r="GV899" s="18"/>
      <c r="GW899" s="18"/>
      <c r="GX899" s="18"/>
      <c r="GY899" s="18"/>
      <c r="GZ899" s="18"/>
      <c r="HA899" s="18"/>
      <c r="HB899" s="18"/>
      <c r="HC899" s="18"/>
      <c r="HD899" s="18"/>
      <c r="HE899" s="18"/>
      <c r="HF899" s="18"/>
      <c r="HG899" s="13"/>
      <c r="HH899" s="13"/>
      <c r="HI899" s="13"/>
      <c r="HJ899" s="13"/>
      <c r="HK899" s="13"/>
      <c r="HL899" s="13"/>
      <c r="HM899" s="13"/>
      <c r="HN899" s="13"/>
      <c r="HO899" s="13"/>
      <c r="HP899" s="13"/>
      <c r="HQ899" s="13"/>
      <c r="HR899" s="13"/>
      <c r="HS899" s="13"/>
      <c r="HT899" s="13"/>
      <c r="HU899" s="18"/>
      <c r="HV899" s="18"/>
      <c r="HW899" s="18"/>
      <c r="HX899" s="18"/>
      <c r="HY899" s="18"/>
      <c r="HZ899" s="18"/>
      <c r="IA899" s="18"/>
      <c r="IB899" s="18"/>
      <c r="IC899" s="18"/>
      <c r="ID899" s="18"/>
      <c r="IE899" s="18"/>
      <c r="IF899" s="18"/>
      <c r="IG899" s="18"/>
      <c r="IH899" s="18"/>
      <c r="II899" s="18"/>
      <c r="IJ899" s="18"/>
      <c r="IK899" s="18"/>
      <c r="IL899" s="18"/>
      <c r="IM899" s="18"/>
      <c r="IN899" s="18"/>
      <c r="IO899" s="18"/>
      <c r="IP899" s="18"/>
      <c r="IQ899" s="18"/>
      <c r="IR899" s="18"/>
      <c r="IS899" s="18"/>
      <c r="IT899" s="18"/>
      <c r="IU899" s="18"/>
      <c r="IV899" s="18"/>
      <c r="IW899" s="18"/>
      <c r="IX899" s="18"/>
      <c r="IY899" s="18"/>
      <c r="IZ899" s="18"/>
      <c r="JA899" s="18"/>
      <c r="JB899" s="18"/>
      <c r="JC899" s="18"/>
      <c r="JD899" s="18"/>
      <c r="JE899" s="18"/>
      <c r="JF899" s="18"/>
      <c r="JG899" s="18"/>
      <c r="JH899" s="18"/>
      <c r="JI899" s="18"/>
      <c r="JJ899" s="18"/>
      <c r="JK899" s="18"/>
      <c r="JL899" s="18"/>
      <c r="JM899" s="18"/>
      <c r="JN899" s="18"/>
      <c r="JO899" s="18"/>
      <c r="JP899" s="18"/>
      <c r="JQ899" s="18"/>
      <c r="JR899" s="18"/>
      <c r="JS899" s="18"/>
      <c r="JT899" s="18"/>
      <c r="JU899" s="18"/>
      <c r="JV899" s="18"/>
      <c r="JW899" s="18"/>
      <c r="JX899" s="18"/>
      <c r="JY899" s="18"/>
      <c r="JZ899" s="18"/>
      <c r="KA899" s="18"/>
      <c r="KB899" s="18"/>
      <c r="KC899" s="18"/>
      <c r="KD899" s="18"/>
      <c r="KE899" s="18"/>
      <c r="KF899" s="18"/>
      <c r="KG899" s="18"/>
      <c r="KH899" s="18"/>
      <c r="KI899" s="18"/>
      <c r="KJ899" s="18"/>
      <c r="KK899" s="18"/>
      <c r="KL899" s="18"/>
      <c r="KM899" s="18"/>
      <c r="KN899" s="18"/>
      <c r="KO899" s="18"/>
      <c r="KP899" s="18"/>
    </row>
    <row r="900" spans="1:302">
      <c r="A900" s="14"/>
      <c r="B900" s="14"/>
      <c r="F900" s="14"/>
      <c r="G900" s="23"/>
      <c r="H900" s="23"/>
      <c r="I900" s="23"/>
      <c r="J900" s="23"/>
      <c r="K900" s="14"/>
      <c r="L900" s="14"/>
      <c r="P900" s="14"/>
      <c r="AG900" s="44"/>
      <c r="AH900" s="44"/>
      <c r="AI900" s="45"/>
      <c r="AJ900" s="44"/>
      <c r="AK900" s="43"/>
      <c r="AS900" s="14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  <c r="EW900" s="18"/>
      <c r="EX900" s="18"/>
      <c r="EY900" s="18"/>
      <c r="EZ900" s="18"/>
      <c r="FA900" s="18"/>
      <c r="FB900" s="18"/>
      <c r="FC900" s="18"/>
      <c r="FD900" s="18"/>
      <c r="FE900" s="18"/>
      <c r="FF900" s="18"/>
      <c r="FG900" s="18"/>
      <c r="FH900" s="18"/>
      <c r="FI900" s="18"/>
      <c r="FJ900" s="18"/>
      <c r="FK900" s="18"/>
      <c r="FL900" s="18"/>
      <c r="FM900" s="18"/>
      <c r="FN900" s="18"/>
      <c r="FO900" s="18"/>
      <c r="FP900" s="18"/>
      <c r="FQ900" s="18"/>
      <c r="FR900" s="18"/>
      <c r="FS900" s="18"/>
      <c r="FT900" s="18"/>
      <c r="FU900" s="18"/>
      <c r="FV900" s="18"/>
      <c r="FW900" s="18"/>
      <c r="FX900" s="18"/>
      <c r="FY900" s="18"/>
      <c r="FZ900" s="18"/>
      <c r="GA900" s="18"/>
      <c r="GB900" s="18"/>
      <c r="GC900" s="18"/>
      <c r="GD900" s="18"/>
      <c r="GE900" s="18"/>
      <c r="GF900" s="18"/>
      <c r="GG900" s="18"/>
      <c r="GH900" s="18"/>
      <c r="GI900" s="18"/>
      <c r="GJ900" s="18"/>
      <c r="GK900" s="18"/>
      <c r="GL900" s="18"/>
      <c r="GM900" s="18"/>
      <c r="GN900" s="18"/>
      <c r="GO900" s="18"/>
      <c r="GP900" s="18"/>
      <c r="GQ900" s="18"/>
      <c r="GR900" s="18"/>
      <c r="GS900" s="18"/>
      <c r="GT900" s="18"/>
      <c r="GU900" s="18"/>
      <c r="GV900" s="18"/>
      <c r="GW900" s="18"/>
      <c r="GX900" s="18"/>
      <c r="GY900" s="18"/>
      <c r="GZ900" s="18"/>
      <c r="HA900" s="18"/>
      <c r="HB900" s="18"/>
      <c r="HC900" s="18"/>
      <c r="HD900" s="18"/>
      <c r="HE900" s="18"/>
      <c r="HF900" s="18"/>
      <c r="HG900" s="13"/>
      <c r="HH900" s="13"/>
      <c r="HI900" s="13"/>
      <c r="HJ900" s="13"/>
      <c r="HK900" s="13"/>
      <c r="HL900" s="13"/>
      <c r="HM900" s="13"/>
      <c r="HN900" s="13"/>
      <c r="HO900" s="13"/>
      <c r="HP900" s="13"/>
      <c r="HQ900" s="13"/>
      <c r="HR900" s="13"/>
      <c r="HS900" s="13"/>
      <c r="HT900" s="13"/>
      <c r="HU900" s="18"/>
      <c r="HV900" s="18"/>
      <c r="HW900" s="18"/>
      <c r="HX900" s="18"/>
      <c r="HY900" s="18"/>
      <c r="HZ900" s="18"/>
      <c r="IA900" s="18"/>
      <c r="IB900" s="18"/>
      <c r="IC900" s="18"/>
      <c r="ID900" s="18"/>
      <c r="IE900" s="18"/>
      <c r="IF900" s="18"/>
      <c r="IG900" s="18"/>
      <c r="IH900" s="18"/>
      <c r="II900" s="18"/>
      <c r="IJ900" s="18"/>
      <c r="IK900" s="18"/>
      <c r="IL900" s="18"/>
      <c r="IM900" s="18"/>
      <c r="IN900" s="18"/>
      <c r="IO900" s="18"/>
      <c r="IP900" s="18"/>
      <c r="IQ900" s="18"/>
      <c r="IR900" s="18"/>
      <c r="IS900" s="18"/>
      <c r="IT900" s="18"/>
      <c r="IU900" s="18"/>
      <c r="IV900" s="18"/>
      <c r="IW900" s="18"/>
      <c r="IX900" s="18"/>
      <c r="IY900" s="18"/>
      <c r="IZ900" s="18"/>
      <c r="JA900" s="18"/>
      <c r="JB900" s="18"/>
      <c r="JC900" s="18"/>
      <c r="JD900" s="18"/>
      <c r="JE900" s="18"/>
      <c r="JF900" s="18"/>
      <c r="JG900" s="18"/>
      <c r="JH900" s="18"/>
      <c r="JI900" s="18"/>
      <c r="JJ900" s="18"/>
      <c r="JK900" s="18"/>
      <c r="JL900" s="18"/>
      <c r="JM900" s="18"/>
      <c r="JN900" s="18"/>
      <c r="JO900" s="18"/>
      <c r="JP900" s="18"/>
      <c r="JQ900" s="18"/>
      <c r="JR900" s="18"/>
      <c r="JS900" s="18"/>
      <c r="JT900" s="18"/>
      <c r="JU900" s="18"/>
      <c r="JV900" s="18"/>
      <c r="JW900" s="18"/>
      <c r="JX900" s="18"/>
      <c r="JY900" s="18"/>
      <c r="JZ900" s="18"/>
      <c r="KA900" s="18"/>
      <c r="KB900" s="18"/>
      <c r="KC900" s="18"/>
      <c r="KD900" s="18"/>
      <c r="KE900" s="18"/>
      <c r="KF900" s="18"/>
      <c r="KG900" s="18"/>
      <c r="KH900" s="18"/>
      <c r="KI900" s="18"/>
      <c r="KJ900" s="18"/>
      <c r="KK900" s="18"/>
      <c r="KL900" s="18"/>
      <c r="KM900" s="18"/>
      <c r="KN900" s="18"/>
      <c r="KO900" s="18"/>
      <c r="KP900" s="18"/>
    </row>
    <row r="901" spans="1:302">
      <c r="A901" s="14"/>
      <c r="B901" s="14"/>
      <c r="F901" s="14"/>
      <c r="G901" s="23"/>
      <c r="H901" s="23"/>
      <c r="I901" s="23"/>
      <c r="J901" s="23"/>
      <c r="K901" s="14"/>
      <c r="L901" s="14"/>
      <c r="P901" s="14"/>
      <c r="AG901" s="44"/>
      <c r="AH901" s="44"/>
      <c r="AI901" s="45"/>
      <c r="AJ901" s="44"/>
      <c r="AK901" s="43"/>
      <c r="AS901" s="14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  <c r="EW901" s="18"/>
      <c r="EX901" s="18"/>
      <c r="EY901" s="18"/>
      <c r="EZ901" s="18"/>
      <c r="FA901" s="18"/>
      <c r="FB901" s="18"/>
      <c r="FC901" s="18"/>
      <c r="FD901" s="18"/>
      <c r="FE901" s="18"/>
      <c r="FF901" s="18"/>
      <c r="FG901" s="18"/>
      <c r="FH901" s="18"/>
      <c r="FI901" s="18"/>
      <c r="FJ901" s="18"/>
      <c r="FK901" s="18"/>
      <c r="FL901" s="18"/>
      <c r="FM901" s="18"/>
      <c r="FN901" s="18"/>
      <c r="FO901" s="18"/>
      <c r="FP901" s="18"/>
      <c r="FQ901" s="18"/>
      <c r="FR901" s="18"/>
      <c r="FS901" s="18"/>
      <c r="FT901" s="18"/>
      <c r="FU901" s="18"/>
      <c r="FV901" s="18"/>
      <c r="FW901" s="18"/>
      <c r="FX901" s="18"/>
      <c r="FY901" s="18"/>
      <c r="FZ901" s="18"/>
      <c r="GA901" s="18"/>
      <c r="GB901" s="18"/>
      <c r="GC901" s="18"/>
      <c r="GD901" s="18"/>
      <c r="GE901" s="18"/>
      <c r="GF901" s="18"/>
      <c r="GG901" s="18"/>
      <c r="GH901" s="18"/>
      <c r="GI901" s="18"/>
      <c r="GJ901" s="18"/>
      <c r="GK901" s="18"/>
      <c r="GL901" s="18"/>
      <c r="GM901" s="18"/>
      <c r="GN901" s="18"/>
      <c r="GO901" s="18"/>
      <c r="GP901" s="18"/>
      <c r="GQ901" s="18"/>
      <c r="GR901" s="18"/>
      <c r="GS901" s="18"/>
      <c r="GT901" s="18"/>
      <c r="GU901" s="18"/>
      <c r="GV901" s="18"/>
      <c r="GW901" s="18"/>
      <c r="GX901" s="18"/>
      <c r="GY901" s="18"/>
      <c r="GZ901" s="18"/>
      <c r="HA901" s="18"/>
      <c r="HB901" s="18"/>
      <c r="HC901" s="18"/>
      <c r="HD901" s="18"/>
      <c r="HE901" s="18"/>
      <c r="HF901" s="18"/>
      <c r="HG901" s="13"/>
      <c r="HH901" s="13"/>
      <c r="HI901" s="13"/>
      <c r="HJ901" s="13"/>
      <c r="HK901" s="13"/>
      <c r="HL901" s="13"/>
      <c r="HM901" s="13"/>
      <c r="HN901" s="13"/>
      <c r="HO901" s="13"/>
      <c r="HP901" s="13"/>
      <c r="HQ901" s="13"/>
      <c r="HR901" s="13"/>
      <c r="HS901" s="13"/>
      <c r="HT901" s="13"/>
      <c r="HU901" s="18"/>
      <c r="HV901" s="18"/>
      <c r="HW901" s="18"/>
      <c r="HX901" s="18"/>
      <c r="HY901" s="18"/>
      <c r="HZ901" s="18"/>
      <c r="IA901" s="18"/>
      <c r="IB901" s="18"/>
      <c r="IC901" s="18"/>
      <c r="ID901" s="18"/>
      <c r="IE901" s="18"/>
      <c r="IF901" s="18"/>
      <c r="IG901" s="18"/>
      <c r="IH901" s="18"/>
      <c r="II901" s="18"/>
      <c r="IJ901" s="18"/>
      <c r="IK901" s="18"/>
      <c r="IL901" s="18"/>
      <c r="IM901" s="18"/>
      <c r="IN901" s="18"/>
      <c r="IO901" s="18"/>
      <c r="IP901" s="18"/>
      <c r="IQ901" s="18"/>
      <c r="IR901" s="18"/>
      <c r="IS901" s="18"/>
      <c r="IT901" s="18"/>
      <c r="IU901" s="18"/>
      <c r="IV901" s="18"/>
      <c r="IW901" s="18"/>
      <c r="IX901" s="18"/>
      <c r="IY901" s="18"/>
      <c r="IZ901" s="18"/>
      <c r="JA901" s="18"/>
      <c r="JB901" s="18"/>
      <c r="JC901" s="18"/>
      <c r="JD901" s="18"/>
      <c r="JE901" s="18"/>
      <c r="JF901" s="18"/>
      <c r="JG901" s="18"/>
      <c r="JH901" s="18"/>
      <c r="JI901" s="18"/>
      <c r="JJ901" s="18"/>
      <c r="JK901" s="18"/>
      <c r="JL901" s="18"/>
      <c r="JM901" s="18"/>
      <c r="JN901" s="18"/>
      <c r="JO901" s="18"/>
      <c r="JP901" s="18"/>
      <c r="JQ901" s="18"/>
      <c r="JR901" s="18"/>
      <c r="JS901" s="18"/>
      <c r="JT901" s="18"/>
      <c r="JU901" s="18"/>
      <c r="JV901" s="18"/>
      <c r="JW901" s="18"/>
      <c r="JX901" s="18"/>
      <c r="JY901" s="18"/>
      <c r="JZ901" s="18"/>
      <c r="KA901" s="18"/>
      <c r="KB901" s="18"/>
      <c r="KC901" s="18"/>
      <c r="KD901" s="18"/>
      <c r="KE901" s="18"/>
      <c r="KF901" s="18"/>
      <c r="KG901" s="18"/>
      <c r="KH901" s="18"/>
      <c r="KI901" s="18"/>
      <c r="KJ901" s="18"/>
      <c r="KK901" s="18"/>
      <c r="KL901" s="18"/>
      <c r="KM901" s="18"/>
      <c r="KN901" s="18"/>
      <c r="KO901" s="18"/>
      <c r="KP901" s="18"/>
    </row>
    <row r="902" spans="1:302">
      <c r="A902" s="14"/>
      <c r="B902" s="14"/>
      <c r="F902" s="14"/>
      <c r="G902" s="23"/>
      <c r="H902" s="23"/>
      <c r="I902" s="23"/>
      <c r="J902" s="23"/>
      <c r="K902" s="14"/>
      <c r="L902" s="14"/>
      <c r="P902" s="14"/>
      <c r="AG902" s="44"/>
      <c r="AH902" s="44"/>
      <c r="AI902" s="45"/>
      <c r="AJ902" s="44"/>
      <c r="AK902" s="43"/>
      <c r="AS902" s="14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  <c r="EW902" s="18"/>
      <c r="EX902" s="18"/>
      <c r="EY902" s="18"/>
      <c r="EZ902" s="18"/>
      <c r="FA902" s="18"/>
      <c r="FB902" s="18"/>
      <c r="FC902" s="18"/>
      <c r="FD902" s="18"/>
      <c r="FE902" s="18"/>
      <c r="FF902" s="18"/>
      <c r="FG902" s="18"/>
      <c r="FH902" s="18"/>
      <c r="FI902" s="18"/>
      <c r="FJ902" s="18"/>
      <c r="FK902" s="18"/>
      <c r="FL902" s="18"/>
      <c r="FM902" s="18"/>
      <c r="FN902" s="18"/>
      <c r="FO902" s="18"/>
      <c r="FP902" s="18"/>
      <c r="FQ902" s="18"/>
      <c r="FR902" s="18"/>
      <c r="FS902" s="18"/>
      <c r="FT902" s="18"/>
      <c r="FU902" s="18"/>
      <c r="FV902" s="18"/>
      <c r="FW902" s="18"/>
      <c r="FX902" s="18"/>
      <c r="FY902" s="18"/>
      <c r="FZ902" s="18"/>
      <c r="GA902" s="18"/>
      <c r="GB902" s="18"/>
      <c r="GC902" s="18"/>
      <c r="GD902" s="18"/>
      <c r="GE902" s="18"/>
      <c r="GF902" s="18"/>
      <c r="GG902" s="18"/>
      <c r="GH902" s="18"/>
      <c r="GI902" s="18"/>
      <c r="GJ902" s="18"/>
      <c r="GK902" s="18"/>
      <c r="GL902" s="18"/>
      <c r="GM902" s="18"/>
      <c r="GN902" s="18"/>
      <c r="GO902" s="18"/>
      <c r="GP902" s="18"/>
      <c r="GQ902" s="18"/>
      <c r="GR902" s="18"/>
      <c r="GS902" s="18"/>
      <c r="GT902" s="18"/>
      <c r="GU902" s="18"/>
      <c r="GV902" s="18"/>
      <c r="GW902" s="18"/>
      <c r="GX902" s="18"/>
      <c r="GY902" s="18"/>
      <c r="GZ902" s="18"/>
      <c r="HA902" s="18"/>
      <c r="HB902" s="18"/>
      <c r="HC902" s="18"/>
      <c r="HD902" s="18"/>
      <c r="HE902" s="18"/>
      <c r="HF902" s="18"/>
      <c r="HG902" s="13"/>
      <c r="HH902" s="13"/>
      <c r="HI902" s="13"/>
      <c r="HJ902" s="13"/>
      <c r="HK902" s="13"/>
      <c r="HL902" s="13"/>
      <c r="HM902" s="13"/>
      <c r="HN902" s="13"/>
      <c r="HO902" s="13"/>
      <c r="HP902" s="13"/>
      <c r="HQ902" s="13"/>
      <c r="HR902" s="13"/>
      <c r="HS902" s="13"/>
      <c r="HT902" s="13"/>
      <c r="HU902" s="18"/>
      <c r="HV902" s="18"/>
      <c r="HW902" s="18"/>
      <c r="HX902" s="18"/>
      <c r="HY902" s="18"/>
      <c r="HZ902" s="18"/>
      <c r="IA902" s="18"/>
      <c r="IB902" s="18"/>
      <c r="IC902" s="18"/>
      <c r="ID902" s="18"/>
      <c r="IE902" s="18"/>
      <c r="IF902" s="18"/>
      <c r="IG902" s="18"/>
      <c r="IH902" s="18"/>
      <c r="II902" s="18"/>
      <c r="IJ902" s="18"/>
      <c r="IK902" s="18"/>
      <c r="IL902" s="18"/>
      <c r="IM902" s="18"/>
      <c r="IN902" s="18"/>
      <c r="IO902" s="18"/>
      <c r="IP902" s="18"/>
      <c r="IQ902" s="18"/>
      <c r="IR902" s="18"/>
      <c r="IS902" s="18"/>
      <c r="IT902" s="18"/>
      <c r="IU902" s="18"/>
      <c r="IV902" s="18"/>
      <c r="IW902" s="18"/>
      <c r="IX902" s="18"/>
      <c r="IY902" s="18"/>
      <c r="IZ902" s="18"/>
      <c r="JA902" s="18"/>
      <c r="JB902" s="18"/>
      <c r="JC902" s="18"/>
      <c r="JD902" s="18"/>
      <c r="JE902" s="18"/>
      <c r="JF902" s="18"/>
      <c r="JG902" s="18"/>
      <c r="JH902" s="18"/>
      <c r="JI902" s="18"/>
      <c r="JJ902" s="18"/>
      <c r="JK902" s="18"/>
      <c r="JL902" s="18"/>
      <c r="JM902" s="18"/>
      <c r="JN902" s="18"/>
      <c r="JO902" s="18"/>
      <c r="JP902" s="18"/>
      <c r="JQ902" s="18"/>
      <c r="JR902" s="18"/>
      <c r="JS902" s="18"/>
      <c r="JT902" s="18"/>
      <c r="JU902" s="18"/>
      <c r="JV902" s="18"/>
      <c r="JW902" s="18"/>
      <c r="JX902" s="18"/>
      <c r="JY902" s="18"/>
      <c r="JZ902" s="18"/>
      <c r="KA902" s="18"/>
      <c r="KB902" s="18"/>
      <c r="KC902" s="18"/>
      <c r="KD902" s="18"/>
      <c r="KE902" s="18"/>
      <c r="KF902" s="18"/>
      <c r="KG902" s="18"/>
      <c r="KH902" s="18"/>
      <c r="KI902" s="18"/>
      <c r="KJ902" s="18"/>
      <c r="KK902" s="18"/>
      <c r="KL902" s="18"/>
      <c r="KM902" s="18"/>
      <c r="KN902" s="18"/>
      <c r="KO902" s="18"/>
      <c r="KP902" s="18"/>
    </row>
    <row r="903" spans="1:302">
      <c r="A903" s="14"/>
      <c r="B903" s="14"/>
      <c r="F903" s="14"/>
      <c r="G903" s="23"/>
      <c r="H903" s="23"/>
      <c r="I903" s="23"/>
      <c r="J903" s="23"/>
      <c r="K903" s="14"/>
      <c r="L903" s="14"/>
      <c r="P903" s="14"/>
      <c r="AG903" s="44"/>
      <c r="AH903" s="44"/>
      <c r="AI903" s="45"/>
      <c r="AJ903" s="44"/>
      <c r="AK903" s="43"/>
      <c r="AS903" s="14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  <c r="EW903" s="18"/>
      <c r="EX903" s="18"/>
      <c r="EY903" s="18"/>
      <c r="EZ903" s="18"/>
      <c r="FA903" s="18"/>
      <c r="FB903" s="18"/>
      <c r="FC903" s="18"/>
      <c r="FD903" s="18"/>
      <c r="FE903" s="18"/>
      <c r="FF903" s="18"/>
      <c r="FG903" s="18"/>
      <c r="FH903" s="18"/>
      <c r="FI903" s="18"/>
      <c r="FJ903" s="18"/>
      <c r="FK903" s="18"/>
      <c r="FL903" s="18"/>
      <c r="FM903" s="18"/>
      <c r="FN903" s="18"/>
      <c r="FO903" s="18"/>
      <c r="FP903" s="18"/>
      <c r="FQ903" s="18"/>
      <c r="FR903" s="18"/>
      <c r="FS903" s="18"/>
      <c r="FT903" s="18"/>
      <c r="FU903" s="18"/>
      <c r="FV903" s="18"/>
      <c r="FW903" s="18"/>
      <c r="FX903" s="18"/>
      <c r="FY903" s="18"/>
      <c r="FZ903" s="18"/>
      <c r="GA903" s="18"/>
      <c r="GB903" s="18"/>
      <c r="GC903" s="18"/>
      <c r="GD903" s="18"/>
      <c r="GE903" s="18"/>
      <c r="GF903" s="18"/>
      <c r="GG903" s="18"/>
      <c r="GH903" s="18"/>
      <c r="GI903" s="18"/>
      <c r="GJ903" s="18"/>
      <c r="GK903" s="18"/>
      <c r="GL903" s="18"/>
      <c r="GM903" s="18"/>
      <c r="GN903" s="18"/>
      <c r="GO903" s="18"/>
      <c r="GP903" s="18"/>
      <c r="GQ903" s="18"/>
      <c r="GR903" s="18"/>
      <c r="GS903" s="18"/>
      <c r="GT903" s="18"/>
      <c r="GU903" s="18"/>
      <c r="GV903" s="18"/>
      <c r="GW903" s="18"/>
      <c r="GX903" s="18"/>
      <c r="GY903" s="18"/>
      <c r="GZ903" s="18"/>
      <c r="HA903" s="18"/>
      <c r="HB903" s="18"/>
      <c r="HC903" s="18"/>
      <c r="HD903" s="18"/>
      <c r="HE903" s="18"/>
      <c r="HF903" s="18"/>
      <c r="HG903" s="13"/>
      <c r="HH903" s="13"/>
      <c r="HI903" s="13"/>
      <c r="HJ903" s="13"/>
      <c r="HK903" s="13"/>
      <c r="HL903" s="13"/>
      <c r="HM903" s="13"/>
      <c r="HN903" s="13"/>
      <c r="HO903" s="13"/>
      <c r="HP903" s="13"/>
      <c r="HQ903" s="13"/>
      <c r="HR903" s="13"/>
      <c r="HS903" s="13"/>
      <c r="HT903" s="13"/>
      <c r="HU903" s="18"/>
      <c r="HV903" s="18"/>
      <c r="HW903" s="18"/>
      <c r="HX903" s="18"/>
      <c r="HY903" s="18"/>
      <c r="HZ903" s="18"/>
      <c r="IA903" s="18"/>
      <c r="IB903" s="18"/>
      <c r="IC903" s="18"/>
      <c r="ID903" s="18"/>
      <c r="IE903" s="18"/>
      <c r="IF903" s="18"/>
      <c r="IG903" s="18"/>
      <c r="IH903" s="18"/>
      <c r="II903" s="18"/>
      <c r="IJ903" s="18"/>
      <c r="IK903" s="18"/>
      <c r="IL903" s="18"/>
      <c r="IM903" s="18"/>
      <c r="IN903" s="18"/>
      <c r="IO903" s="18"/>
      <c r="IP903" s="18"/>
      <c r="IQ903" s="18"/>
      <c r="IR903" s="18"/>
      <c r="IS903" s="18"/>
      <c r="IT903" s="18"/>
      <c r="IU903" s="18"/>
      <c r="IV903" s="18"/>
      <c r="IW903" s="18"/>
      <c r="IX903" s="18"/>
      <c r="IY903" s="18"/>
      <c r="IZ903" s="18"/>
      <c r="JA903" s="18"/>
      <c r="JB903" s="18"/>
      <c r="JC903" s="18"/>
      <c r="JD903" s="18"/>
      <c r="JE903" s="18"/>
      <c r="JF903" s="18"/>
      <c r="JG903" s="18"/>
      <c r="JH903" s="18"/>
      <c r="JI903" s="18"/>
      <c r="JJ903" s="18"/>
      <c r="JK903" s="18"/>
      <c r="JL903" s="18"/>
      <c r="JM903" s="18"/>
      <c r="JN903" s="18"/>
      <c r="JO903" s="18"/>
      <c r="JP903" s="18"/>
      <c r="JQ903" s="18"/>
      <c r="JR903" s="18"/>
      <c r="JS903" s="18"/>
      <c r="JT903" s="18"/>
      <c r="JU903" s="18"/>
      <c r="JV903" s="18"/>
      <c r="JW903" s="18"/>
      <c r="JX903" s="18"/>
      <c r="JY903" s="18"/>
      <c r="JZ903" s="18"/>
      <c r="KA903" s="18"/>
      <c r="KB903" s="18"/>
      <c r="KC903" s="18"/>
      <c r="KD903" s="18"/>
      <c r="KE903" s="18"/>
      <c r="KF903" s="18"/>
      <c r="KG903" s="18"/>
      <c r="KH903" s="18"/>
      <c r="KI903" s="18"/>
      <c r="KJ903" s="18"/>
      <c r="KK903" s="18"/>
      <c r="KL903" s="18"/>
      <c r="KM903" s="18"/>
      <c r="KN903" s="18"/>
      <c r="KO903" s="18"/>
      <c r="KP903" s="18"/>
    </row>
    <row r="904" spans="1:302">
      <c r="A904" s="14"/>
      <c r="B904" s="14"/>
      <c r="F904" s="14"/>
      <c r="G904" s="23"/>
      <c r="H904" s="23"/>
      <c r="I904" s="23"/>
      <c r="J904" s="23"/>
      <c r="K904" s="14"/>
      <c r="L904" s="14"/>
      <c r="P904" s="14"/>
      <c r="AG904" s="44"/>
      <c r="AH904" s="44"/>
      <c r="AI904" s="45"/>
      <c r="AJ904" s="44"/>
      <c r="AK904" s="43"/>
      <c r="AS904" s="14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  <c r="EW904" s="18"/>
      <c r="EX904" s="18"/>
      <c r="EY904" s="18"/>
      <c r="EZ904" s="18"/>
      <c r="FA904" s="18"/>
      <c r="FB904" s="18"/>
      <c r="FC904" s="18"/>
      <c r="FD904" s="18"/>
      <c r="FE904" s="18"/>
      <c r="FF904" s="18"/>
      <c r="FG904" s="18"/>
      <c r="FH904" s="18"/>
      <c r="FI904" s="18"/>
      <c r="FJ904" s="18"/>
      <c r="FK904" s="18"/>
      <c r="FL904" s="18"/>
      <c r="FM904" s="18"/>
      <c r="FN904" s="18"/>
      <c r="FO904" s="18"/>
      <c r="FP904" s="18"/>
      <c r="FQ904" s="18"/>
      <c r="FR904" s="18"/>
      <c r="FS904" s="18"/>
      <c r="FT904" s="18"/>
      <c r="FU904" s="18"/>
      <c r="FV904" s="18"/>
      <c r="FW904" s="18"/>
      <c r="FX904" s="18"/>
      <c r="FY904" s="18"/>
      <c r="FZ904" s="18"/>
      <c r="GA904" s="18"/>
      <c r="GB904" s="18"/>
      <c r="GC904" s="18"/>
      <c r="GD904" s="18"/>
      <c r="GE904" s="18"/>
      <c r="GF904" s="18"/>
      <c r="GG904" s="18"/>
      <c r="GH904" s="18"/>
      <c r="GI904" s="18"/>
      <c r="GJ904" s="18"/>
      <c r="GK904" s="18"/>
      <c r="GL904" s="18"/>
      <c r="GM904" s="18"/>
      <c r="GN904" s="18"/>
      <c r="GO904" s="18"/>
      <c r="GP904" s="18"/>
      <c r="GQ904" s="18"/>
      <c r="GR904" s="18"/>
      <c r="GS904" s="18"/>
      <c r="GT904" s="18"/>
      <c r="GU904" s="18"/>
      <c r="GV904" s="18"/>
      <c r="GW904" s="18"/>
      <c r="GX904" s="18"/>
      <c r="GY904" s="18"/>
      <c r="GZ904" s="18"/>
      <c r="HA904" s="18"/>
      <c r="HB904" s="18"/>
      <c r="HC904" s="18"/>
      <c r="HD904" s="18"/>
      <c r="HE904" s="18"/>
      <c r="HF904" s="18"/>
      <c r="HG904" s="13"/>
      <c r="HH904" s="13"/>
      <c r="HI904" s="13"/>
      <c r="HJ904" s="13"/>
      <c r="HK904" s="13"/>
      <c r="HL904" s="13"/>
      <c r="HM904" s="13"/>
      <c r="HN904" s="13"/>
      <c r="HO904" s="13"/>
      <c r="HP904" s="13"/>
      <c r="HQ904" s="13"/>
      <c r="HR904" s="13"/>
      <c r="HS904" s="13"/>
      <c r="HT904" s="13"/>
      <c r="HU904" s="18"/>
      <c r="HV904" s="18"/>
      <c r="HW904" s="18"/>
      <c r="HX904" s="18"/>
      <c r="HY904" s="18"/>
      <c r="HZ904" s="18"/>
      <c r="IA904" s="18"/>
      <c r="IB904" s="18"/>
      <c r="IC904" s="18"/>
      <c r="ID904" s="18"/>
      <c r="IE904" s="18"/>
      <c r="IF904" s="18"/>
      <c r="IG904" s="18"/>
      <c r="IH904" s="18"/>
      <c r="II904" s="18"/>
      <c r="IJ904" s="18"/>
      <c r="IK904" s="18"/>
      <c r="IL904" s="18"/>
      <c r="IM904" s="18"/>
      <c r="IN904" s="18"/>
      <c r="IO904" s="18"/>
      <c r="IP904" s="18"/>
      <c r="IQ904" s="18"/>
      <c r="IR904" s="18"/>
      <c r="IS904" s="18"/>
      <c r="IT904" s="18"/>
      <c r="IU904" s="18"/>
      <c r="IV904" s="18"/>
      <c r="IW904" s="18"/>
      <c r="IX904" s="18"/>
      <c r="IY904" s="18"/>
      <c r="IZ904" s="18"/>
      <c r="JA904" s="18"/>
      <c r="JB904" s="18"/>
      <c r="JC904" s="18"/>
      <c r="JD904" s="18"/>
      <c r="JE904" s="18"/>
      <c r="JF904" s="18"/>
      <c r="JG904" s="18"/>
      <c r="JH904" s="18"/>
      <c r="JI904" s="18"/>
      <c r="JJ904" s="18"/>
      <c r="JK904" s="18"/>
      <c r="JL904" s="18"/>
      <c r="JM904" s="18"/>
      <c r="JN904" s="18"/>
      <c r="JO904" s="18"/>
      <c r="JP904" s="18"/>
      <c r="JQ904" s="18"/>
      <c r="JR904" s="18"/>
      <c r="JS904" s="18"/>
      <c r="JT904" s="18"/>
      <c r="JU904" s="18"/>
      <c r="JV904" s="18"/>
      <c r="JW904" s="18"/>
      <c r="JX904" s="18"/>
      <c r="JY904" s="18"/>
      <c r="JZ904" s="18"/>
      <c r="KA904" s="18"/>
      <c r="KB904" s="18"/>
      <c r="KC904" s="18"/>
      <c r="KD904" s="18"/>
      <c r="KE904" s="18"/>
      <c r="KF904" s="18"/>
      <c r="KG904" s="18"/>
      <c r="KH904" s="18"/>
      <c r="KI904" s="18"/>
      <c r="KJ904" s="18"/>
      <c r="KK904" s="18"/>
      <c r="KL904" s="18"/>
      <c r="KM904" s="18"/>
      <c r="KN904" s="18"/>
      <c r="KO904" s="18"/>
      <c r="KP904" s="18"/>
    </row>
    <row r="905" spans="1:302">
      <c r="A905" s="14"/>
      <c r="B905" s="14"/>
      <c r="F905" s="14"/>
      <c r="G905" s="23"/>
      <c r="H905" s="23"/>
      <c r="I905" s="23"/>
      <c r="J905" s="23"/>
      <c r="K905" s="14"/>
      <c r="L905" s="14"/>
      <c r="P905" s="14"/>
      <c r="AG905" s="44"/>
      <c r="AH905" s="44"/>
      <c r="AI905" s="45"/>
      <c r="AJ905" s="44"/>
      <c r="AK905" s="43"/>
      <c r="AS905" s="14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  <c r="EW905" s="18"/>
      <c r="EX905" s="18"/>
      <c r="EY905" s="18"/>
      <c r="EZ905" s="18"/>
      <c r="FA905" s="18"/>
      <c r="FB905" s="18"/>
      <c r="FC905" s="18"/>
      <c r="FD905" s="18"/>
      <c r="FE905" s="18"/>
      <c r="FF905" s="18"/>
      <c r="FG905" s="18"/>
      <c r="FH905" s="18"/>
      <c r="FI905" s="18"/>
      <c r="FJ905" s="18"/>
      <c r="FK905" s="18"/>
      <c r="FL905" s="18"/>
      <c r="FM905" s="18"/>
      <c r="FN905" s="18"/>
      <c r="FO905" s="18"/>
      <c r="FP905" s="18"/>
      <c r="FQ905" s="18"/>
      <c r="FR905" s="18"/>
      <c r="FS905" s="18"/>
      <c r="FT905" s="18"/>
      <c r="FU905" s="18"/>
      <c r="FV905" s="18"/>
      <c r="FW905" s="18"/>
      <c r="FX905" s="18"/>
      <c r="FY905" s="18"/>
      <c r="FZ905" s="18"/>
      <c r="GA905" s="18"/>
      <c r="GB905" s="18"/>
      <c r="GC905" s="18"/>
      <c r="GD905" s="18"/>
      <c r="GE905" s="18"/>
      <c r="GF905" s="18"/>
      <c r="GG905" s="18"/>
      <c r="GH905" s="18"/>
      <c r="GI905" s="18"/>
      <c r="GJ905" s="18"/>
      <c r="GK905" s="18"/>
      <c r="GL905" s="18"/>
      <c r="GM905" s="18"/>
      <c r="GN905" s="18"/>
      <c r="GO905" s="18"/>
      <c r="GP905" s="18"/>
      <c r="GQ905" s="18"/>
      <c r="GR905" s="18"/>
      <c r="GS905" s="18"/>
      <c r="GT905" s="18"/>
      <c r="GU905" s="18"/>
      <c r="GV905" s="18"/>
      <c r="GW905" s="18"/>
      <c r="GX905" s="18"/>
      <c r="GY905" s="18"/>
      <c r="GZ905" s="18"/>
      <c r="HA905" s="18"/>
      <c r="HB905" s="18"/>
      <c r="HC905" s="18"/>
      <c r="HD905" s="18"/>
      <c r="HE905" s="18"/>
      <c r="HF905" s="18"/>
      <c r="HG905" s="13"/>
      <c r="HH905" s="13"/>
      <c r="HI905" s="13"/>
      <c r="HJ905" s="13"/>
      <c r="HK905" s="13"/>
      <c r="HL905" s="13"/>
      <c r="HM905" s="13"/>
      <c r="HN905" s="13"/>
      <c r="HO905" s="13"/>
      <c r="HP905" s="13"/>
      <c r="HQ905" s="13"/>
      <c r="HR905" s="13"/>
      <c r="HS905" s="13"/>
      <c r="HT905" s="13"/>
      <c r="HU905" s="18"/>
      <c r="HV905" s="18"/>
      <c r="HW905" s="18"/>
      <c r="HX905" s="18"/>
      <c r="HY905" s="18"/>
      <c r="HZ905" s="18"/>
      <c r="IA905" s="18"/>
      <c r="IB905" s="18"/>
      <c r="IC905" s="18"/>
      <c r="ID905" s="18"/>
      <c r="IE905" s="18"/>
      <c r="IF905" s="18"/>
      <c r="IG905" s="18"/>
      <c r="IH905" s="18"/>
      <c r="II905" s="18"/>
      <c r="IJ905" s="18"/>
      <c r="IK905" s="18"/>
      <c r="IL905" s="18"/>
      <c r="IM905" s="18"/>
      <c r="IN905" s="18"/>
      <c r="IO905" s="18"/>
      <c r="IP905" s="18"/>
      <c r="IQ905" s="18"/>
      <c r="IR905" s="18"/>
      <c r="IS905" s="18"/>
      <c r="IT905" s="18"/>
      <c r="IU905" s="18"/>
      <c r="IV905" s="18"/>
      <c r="IW905" s="18"/>
      <c r="IX905" s="18"/>
      <c r="IY905" s="18"/>
      <c r="IZ905" s="18"/>
      <c r="JA905" s="18"/>
      <c r="JB905" s="18"/>
      <c r="JC905" s="18"/>
      <c r="JD905" s="18"/>
      <c r="JE905" s="18"/>
      <c r="JF905" s="18"/>
      <c r="JG905" s="18"/>
      <c r="JH905" s="18"/>
      <c r="JI905" s="18"/>
      <c r="JJ905" s="18"/>
      <c r="JK905" s="18"/>
      <c r="JL905" s="18"/>
      <c r="JM905" s="18"/>
      <c r="JN905" s="18"/>
      <c r="JO905" s="18"/>
      <c r="JP905" s="18"/>
      <c r="JQ905" s="18"/>
      <c r="JR905" s="18"/>
      <c r="JS905" s="18"/>
      <c r="JT905" s="18"/>
      <c r="JU905" s="18"/>
      <c r="JV905" s="18"/>
      <c r="JW905" s="18"/>
      <c r="JX905" s="18"/>
      <c r="JY905" s="18"/>
      <c r="JZ905" s="18"/>
      <c r="KA905" s="18"/>
      <c r="KB905" s="18"/>
      <c r="KC905" s="18"/>
      <c r="KD905" s="18"/>
      <c r="KE905" s="18"/>
      <c r="KF905" s="18"/>
      <c r="KG905" s="18"/>
      <c r="KH905" s="18"/>
      <c r="KI905" s="18"/>
      <c r="KJ905" s="18"/>
      <c r="KK905" s="18"/>
      <c r="KL905" s="18"/>
      <c r="KM905" s="18"/>
      <c r="KN905" s="18"/>
      <c r="KO905" s="18"/>
      <c r="KP905" s="18"/>
    </row>
    <row r="906" spans="1:302">
      <c r="A906" s="14"/>
      <c r="B906" s="14"/>
      <c r="F906" s="14"/>
      <c r="G906" s="23"/>
      <c r="H906" s="23"/>
      <c r="I906" s="23"/>
      <c r="J906" s="23"/>
      <c r="K906" s="14"/>
      <c r="L906" s="14"/>
      <c r="P906" s="14"/>
      <c r="AG906" s="44"/>
      <c r="AH906" s="44"/>
      <c r="AI906" s="45"/>
      <c r="AJ906" s="44"/>
      <c r="AK906" s="43"/>
      <c r="AS906" s="14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  <c r="EW906" s="18"/>
      <c r="EX906" s="18"/>
      <c r="EY906" s="18"/>
      <c r="EZ906" s="18"/>
      <c r="FA906" s="18"/>
      <c r="FB906" s="18"/>
      <c r="FC906" s="18"/>
      <c r="FD906" s="18"/>
      <c r="FE906" s="18"/>
      <c r="FF906" s="18"/>
      <c r="FG906" s="18"/>
      <c r="FH906" s="18"/>
      <c r="FI906" s="18"/>
      <c r="FJ906" s="18"/>
      <c r="FK906" s="18"/>
      <c r="FL906" s="18"/>
      <c r="FM906" s="18"/>
      <c r="FN906" s="18"/>
      <c r="FO906" s="18"/>
      <c r="FP906" s="18"/>
      <c r="FQ906" s="18"/>
      <c r="FR906" s="18"/>
      <c r="FS906" s="18"/>
      <c r="FT906" s="18"/>
      <c r="FU906" s="18"/>
      <c r="FV906" s="18"/>
      <c r="FW906" s="18"/>
      <c r="FX906" s="18"/>
      <c r="FY906" s="18"/>
      <c r="FZ906" s="18"/>
      <c r="GA906" s="18"/>
      <c r="GB906" s="18"/>
      <c r="GC906" s="18"/>
      <c r="GD906" s="18"/>
      <c r="GE906" s="18"/>
      <c r="GF906" s="18"/>
      <c r="GG906" s="18"/>
      <c r="GH906" s="18"/>
      <c r="GI906" s="18"/>
      <c r="GJ906" s="18"/>
      <c r="GK906" s="18"/>
      <c r="GL906" s="18"/>
      <c r="GM906" s="18"/>
      <c r="GN906" s="18"/>
      <c r="GO906" s="18"/>
      <c r="GP906" s="18"/>
      <c r="GQ906" s="18"/>
      <c r="GR906" s="18"/>
      <c r="GS906" s="18"/>
      <c r="GT906" s="18"/>
      <c r="GU906" s="18"/>
      <c r="GV906" s="18"/>
      <c r="GW906" s="18"/>
      <c r="GX906" s="18"/>
      <c r="GY906" s="18"/>
      <c r="GZ906" s="18"/>
      <c r="HA906" s="18"/>
      <c r="HB906" s="18"/>
      <c r="HC906" s="18"/>
      <c r="HD906" s="18"/>
      <c r="HE906" s="18"/>
      <c r="HF906" s="18"/>
      <c r="HG906" s="13"/>
      <c r="HH906" s="13"/>
      <c r="HI906" s="13"/>
      <c r="HJ906" s="13"/>
      <c r="HK906" s="13"/>
      <c r="HL906" s="13"/>
      <c r="HM906" s="13"/>
      <c r="HN906" s="13"/>
      <c r="HO906" s="13"/>
      <c r="HP906" s="13"/>
      <c r="HQ906" s="13"/>
      <c r="HR906" s="13"/>
      <c r="HS906" s="13"/>
      <c r="HT906" s="13"/>
      <c r="HU906" s="18"/>
      <c r="HV906" s="18"/>
      <c r="HW906" s="18"/>
      <c r="HX906" s="18"/>
      <c r="HY906" s="18"/>
      <c r="HZ906" s="18"/>
      <c r="IA906" s="18"/>
      <c r="IB906" s="18"/>
      <c r="IC906" s="18"/>
      <c r="ID906" s="18"/>
      <c r="IE906" s="18"/>
      <c r="IF906" s="18"/>
      <c r="IG906" s="18"/>
      <c r="IH906" s="18"/>
      <c r="II906" s="18"/>
      <c r="IJ906" s="18"/>
      <c r="IK906" s="18"/>
      <c r="IL906" s="18"/>
      <c r="IM906" s="18"/>
      <c r="IN906" s="18"/>
      <c r="IO906" s="18"/>
      <c r="IP906" s="18"/>
      <c r="IQ906" s="18"/>
      <c r="IR906" s="18"/>
      <c r="IS906" s="18"/>
      <c r="IT906" s="18"/>
      <c r="IU906" s="18"/>
      <c r="IV906" s="18"/>
      <c r="IW906" s="18"/>
      <c r="IX906" s="18"/>
      <c r="IY906" s="18"/>
      <c r="IZ906" s="18"/>
      <c r="JA906" s="18"/>
      <c r="JB906" s="18"/>
      <c r="JC906" s="18"/>
      <c r="JD906" s="18"/>
      <c r="JE906" s="18"/>
      <c r="JF906" s="18"/>
      <c r="JG906" s="18"/>
      <c r="JH906" s="18"/>
      <c r="JI906" s="18"/>
      <c r="JJ906" s="18"/>
      <c r="JK906" s="18"/>
      <c r="JL906" s="18"/>
      <c r="JM906" s="18"/>
      <c r="JN906" s="18"/>
      <c r="JO906" s="18"/>
      <c r="JP906" s="18"/>
      <c r="JQ906" s="18"/>
      <c r="JR906" s="18"/>
      <c r="JS906" s="18"/>
      <c r="JT906" s="18"/>
      <c r="JU906" s="18"/>
      <c r="JV906" s="18"/>
      <c r="JW906" s="18"/>
      <c r="JX906" s="18"/>
      <c r="JY906" s="18"/>
      <c r="JZ906" s="18"/>
      <c r="KA906" s="18"/>
      <c r="KB906" s="18"/>
      <c r="KC906" s="18"/>
      <c r="KD906" s="18"/>
      <c r="KE906" s="18"/>
      <c r="KF906" s="18"/>
      <c r="KG906" s="18"/>
      <c r="KH906" s="18"/>
      <c r="KI906" s="18"/>
      <c r="KJ906" s="18"/>
      <c r="KK906" s="18"/>
      <c r="KL906" s="18"/>
      <c r="KM906" s="18"/>
      <c r="KN906" s="18"/>
      <c r="KO906" s="18"/>
      <c r="KP906" s="18"/>
    </row>
    <row r="907" spans="1:302">
      <c r="A907" s="14"/>
      <c r="B907" s="14"/>
      <c r="F907" s="14"/>
      <c r="G907" s="23"/>
      <c r="H907" s="23"/>
      <c r="I907" s="23"/>
      <c r="J907" s="23"/>
      <c r="K907" s="14"/>
      <c r="L907" s="14"/>
      <c r="P907" s="14"/>
      <c r="AG907" s="44"/>
      <c r="AH907" s="44"/>
      <c r="AI907" s="45"/>
      <c r="AJ907" s="44"/>
      <c r="AK907" s="43"/>
      <c r="AS907" s="14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  <c r="EW907" s="18"/>
      <c r="EX907" s="18"/>
      <c r="EY907" s="18"/>
      <c r="EZ907" s="18"/>
      <c r="FA907" s="18"/>
      <c r="FB907" s="18"/>
      <c r="FC907" s="18"/>
      <c r="FD907" s="18"/>
      <c r="FE907" s="18"/>
      <c r="FF907" s="18"/>
      <c r="FG907" s="18"/>
      <c r="FH907" s="18"/>
      <c r="FI907" s="18"/>
      <c r="FJ907" s="18"/>
      <c r="FK907" s="18"/>
      <c r="FL907" s="18"/>
      <c r="FM907" s="18"/>
      <c r="FN907" s="18"/>
      <c r="FO907" s="18"/>
      <c r="FP907" s="18"/>
      <c r="FQ907" s="18"/>
      <c r="FR907" s="18"/>
      <c r="FS907" s="18"/>
      <c r="FT907" s="18"/>
      <c r="FU907" s="18"/>
      <c r="FV907" s="18"/>
      <c r="FW907" s="18"/>
      <c r="FX907" s="18"/>
      <c r="FY907" s="18"/>
      <c r="FZ907" s="18"/>
      <c r="GA907" s="18"/>
      <c r="GB907" s="18"/>
      <c r="GC907" s="18"/>
      <c r="GD907" s="18"/>
      <c r="GE907" s="18"/>
      <c r="GF907" s="18"/>
      <c r="GG907" s="18"/>
      <c r="GH907" s="18"/>
      <c r="GI907" s="18"/>
      <c r="GJ907" s="18"/>
      <c r="GK907" s="18"/>
      <c r="GL907" s="18"/>
      <c r="GM907" s="18"/>
      <c r="GN907" s="18"/>
      <c r="GO907" s="18"/>
      <c r="GP907" s="18"/>
      <c r="GQ907" s="18"/>
      <c r="GR907" s="18"/>
      <c r="GS907" s="18"/>
      <c r="GT907" s="18"/>
      <c r="GU907" s="18"/>
      <c r="GV907" s="18"/>
      <c r="GW907" s="18"/>
      <c r="GX907" s="18"/>
      <c r="GY907" s="18"/>
      <c r="GZ907" s="18"/>
      <c r="HA907" s="18"/>
      <c r="HB907" s="18"/>
      <c r="HC907" s="18"/>
      <c r="HD907" s="18"/>
      <c r="HE907" s="18"/>
      <c r="HF907" s="18"/>
      <c r="HG907" s="13"/>
      <c r="HH907" s="13"/>
      <c r="HI907" s="13"/>
      <c r="HJ907" s="13"/>
      <c r="HK907" s="13"/>
      <c r="HL907" s="13"/>
      <c r="HM907" s="13"/>
      <c r="HN907" s="13"/>
      <c r="HO907" s="13"/>
      <c r="HP907" s="13"/>
      <c r="HQ907" s="13"/>
      <c r="HR907" s="13"/>
      <c r="HS907" s="13"/>
      <c r="HT907" s="13"/>
      <c r="HU907" s="18"/>
      <c r="HV907" s="18"/>
      <c r="HW907" s="18"/>
      <c r="HX907" s="18"/>
      <c r="HY907" s="18"/>
      <c r="HZ907" s="18"/>
      <c r="IA907" s="18"/>
      <c r="IB907" s="18"/>
      <c r="IC907" s="18"/>
      <c r="ID907" s="18"/>
      <c r="IE907" s="18"/>
      <c r="IF907" s="18"/>
      <c r="IG907" s="18"/>
      <c r="IH907" s="18"/>
      <c r="II907" s="18"/>
      <c r="IJ907" s="18"/>
      <c r="IK907" s="18"/>
      <c r="IL907" s="18"/>
      <c r="IM907" s="18"/>
      <c r="IN907" s="18"/>
      <c r="IO907" s="18"/>
      <c r="IP907" s="18"/>
      <c r="IQ907" s="18"/>
      <c r="IR907" s="18"/>
      <c r="IS907" s="18"/>
      <c r="IT907" s="18"/>
      <c r="IU907" s="18"/>
      <c r="IV907" s="18"/>
      <c r="IW907" s="18"/>
      <c r="IX907" s="18"/>
      <c r="IY907" s="18"/>
      <c r="IZ907" s="18"/>
      <c r="JA907" s="18"/>
      <c r="JB907" s="18"/>
      <c r="JC907" s="18"/>
      <c r="JD907" s="18"/>
      <c r="JE907" s="18"/>
      <c r="JF907" s="18"/>
      <c r="JG907" s="18"/>
      <c r="JH907" s="18"/>
      <c r="JI907" s="18"/>
      <c r="JJ907" s="18"/>
      <c r="JK907" s="18"/>
      <c r="JL907" s="18"/>
      <c r="JM907" s="18"/>
      <c r="JN907" s="18"/>
      <c r="JO907" s="18"/>
      <c r="JP907" s="18"/>
      <c r="JQ907" s="18"/>
      <c r="JR907" s="18"/>
      <c r="JS907" s="18"/>
      <c r="JT907" s="18"/>
      <c r="JU907" s="18"/>
      <c r="JV907" s="18"/>
      <c r="JW907" s="18"/>
      <c r="JX907" s="18"/>
      <c r="JY907" s="18"/>
      <c r="JZ907" s="18"/>
      <c r="KA907" s="18"/>
      <c r="KB907" s="18"/>
      <c r="KC907" s="18"/>
      <c r="KD907" s="18"/>
      <c r="KE907" s="18"/>
      <c r="KF907" s="18"/>
      <c r="KG907" s="18"/>
      <c r="KH907" s="18"/>
      <c r="KI907" s="18"/>
      <c r="KJ907" s="18"/>
      <c r="KK907" s="18"/>
      <c r="KL907" s="18"/>
      <c r="KM907" s="18"/>
      <c r="KN907" s="18"/>
      <c r="KO907" s="18"/>
      <c r="KP907" s="18"/>
    </row>
    <row r="908" spans="1:302">
      <c r="A908" s="14"/>
      <c r="B908" s="14"/>
      <c r="F908" s="14"/>
      <c r="G908" s="23"/>
      <c r="H908" s="23"/>
      <c r="I908" s="23"/>
      <c r="J908" s="23"/>
      <c r="K908" s="14"/>
      <c r="L908" s="14"/>
      <c r="P908" s="14"/>
      <c r="AG908" s="44"/>
      <c r="AH908" s="44"/>
      <c r="AI908" s="45"/>
      <c r="AJ908" s="44"/>
      <c r="AK908" s="43"/>
      <c r="AS908" s="14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  <c r="EW908" s="18"/>
      <c r="EX908" s="18"/>
      <c r="EY908" s="18"/>
      <c r="EZ908" s="18"/>
      <c r="FA908" s="18"/>
      <c r="FB908" s="18"/>
      <c r="FC908" s="18"/>
      <c r="FD908" s="18"/>
      <c r="FE908" s="18"/>
      <c r="FF908" s="18"/>
      <c r="FG908" s="18"/>
      <c r="FH908" s="18"/>
      <c r="FI908" s="18"/>
      <c r="FJ908" s="18"/>
      <c r="FK908" s="18"/>
      <c r="FL908" s="18"/>
      <c r="FM908" s="18"/>
      <c r="FN908" s="18"/>
      <c r="FO908" s="18"/>
      <c r="FP908" s="18"/>
      <c r="FQ908" s="18"/>
      <c r="FR908" s="18"/>
      <c r="FS908" s="18"/>
      <c r="FT908" s="18"/>
      <c r="FU908" s="18"/>
      <c r="FV908" s="18"/>
      <c r="FW908" s="18"/>
      <c r="FX908" s="18"/>
      <c r="FY908" s="18"/>
      <c r="FZ908" s="18"/>
      <c r="GA908" s="18"/>
      <c r="GB908" s="18"/>
      <c r="GC908" s="18"/>
      <c r="GD908" s="18"/>
      <c r="GE908" s="18"/>
      <c r="GF908" s="18"/>
      <c r="GG908" s="18"/>
      <c r="GH908" s="18"/>
      <c r="GI908" s="18"/>
      <c r="GJ908" s="18"/>
      <c r="GK908" s="18"/>
      <c r="GL908" s="18"/>
      <c r="GM908" s="18"/>
      <c r="GN908" s="18"/>
      <c r="GO908" s="18"/>
      <c r="GP908" s="18"/>
      <c r="GQ908" s="18"/>
      <c r="GR908" s="18"/>
      <c r="GS908" s="18"/>
      <c r="GT908" s="18"/>
      <c r="GU908" s="18"/>
      <c r="GV908" s="18"/>
      <c r="GW908" s="18"/>
      <c r="GX908" s="18"/>
      <c r="GY908" s="18"/>
      <c r="GZ908" s="18"/>
      <c r="HA908" s="18"/>
      <c r="HB908" s="18"/>
      <c r="HC908" s="18"/>
      <c r="HD908" s="18"/>
      <c r="HE908" s="18"/>
      <c r="HF908" s="18"/>
      <c r="HG908" s="13"/>
      <c r="HH908" s="13"/>
      <c r="HI908" s="13"/>
      <c r="HJ908" s="13"/>
      <c r="HK908" s="13"/>
      <c r="HL908" s="13"/>
      <c r="HM908" s="13"/>
      <c r="HN908" s="13"/>
      <c r="HO908" s="13"/>
      <c r="HP908" s="13"/>
      <c r="HQ908" s="13"/>
      <c r="HR908" s="13"/>
      <c r="HS908" s="13"/>
      <c r="HT908" s="13"/>
      <c r="HU908" s="18"/>
      <c r="HV908" s="18"/>
      <c r="HW908" s="18"/>
      <c r="HX908" s="18"/>
      <c r="HY908" s="18"/>
      <c r="HZ908" s="18"/>
      <c r="IA908" s="18"/>
      <c r="IB908" s="18"/>
      <c r="IC908" s="18"/>
      <c r="ID908" s="18"/>
      <c r="IE908" s="18"/>
      <c r="IF908" s="18"/>
      <c r="IG908" s="18"/>
      <c r="IH908" s="18"/>
      <c r="II908" s="18"/>
      <c r="IJ908" s="18"/>
      <c r="IK908" s="18"/>
      <c r="IL908" s="18"/>
      <c r="IM908" s="18"/>
      <c r="IN908" s="18"/>
      <c r="IO908" s="18"/>
      <c r="IP908" s="18"/>
      <c r="IQ908" s="18"/>
      <c r="IR908" s="18"/>
      <c r="IS908" s="18"/>
      <c r="IT908" s="18"/>
      <c r="IU908" s="18"/>
      <c r="IV908" s="18"/>
      <c r="IW908" s="18"/>
      <c r="IX908" s="18"/>
      <c r="IY908" s="18"/>
      <c r="IZ908" s="18"/>
      <c r="JA908" s="18"/>
      <c r="JB908" s="18"/>
      <c r="JC908" s="18"/>
      <c r="JD908" s="18"/>
      <c r="JE908" s="18"/>
      <c r="JF908" s="18"/>
      <c r="JG908" s="18"/>
      <c r="JH908" s="18"/>
      <c r="JI908" s="18"/>
      <c r="JJ908" s="18"/>
      <c r="JK908" s="18"/>
      <c r="JL908" s="18"/>
      <c r="JM908" s="18"/>
      <c r="JN908" s="18"/>
      <c r="JO908" s="18"/>
      <c r="JP908" s="18"/>
      <c r="JQ908" s="18"/>
      <c r="JR908" s="18"/>
      <c r="JS908" s="18"/>
      <c r="JT908" s="18"/>
      <c r="JU908" s="18"/>
      <c r="JV908" s="18"/>
      <c r="JW908" s="18"/>
      <c r="JX908" s="18"/>
      <c r="JY908" s="18"/>
      <c r="JZ908" s="18"/>
      <c r="KA908" s="18"/>
      <c r="KB908" s="18"/>
      <c r="KC908" s="18"/>
      <c r="KD908" s="18"/>
      <c r="KE908" s="18"/>
      <c r="KF908" s="18"/>
      <c r="KG908" s="18"/>
      <c r="KH908" s="18"/>
      <c r="KI908" s="18"/>
      <c r="KJ908" s="18"/>
      <c r="KK908" s="18"/>
      <c r="KL908" s="18"/>
      <c r="KM908" s="18"/>
      <c r="KN908" s="18"/>
      <c r="KO908" s="18"/>
      <c r="KP908" s="18"/>
    </row>
    <row r="909" spans="1:302">
      <c r="A909" s="14"/>
      <c r="B909" s="14"/>
      <c r="F909" s="14"/>
      <c r="G909" s="23"/>
      <c r="H909" s="23"/>
      <c r="I909" s="23"/>
      <c r="J909" s="23"/>
      <c r="K909" s="14"/>
      <c r="L909" s="14"/>
      <c r="P909" s="14"/>
      <c r="AG909" s="44"/>
      <c r="AH909" s="44"/>
      <c r="AI909" s="45"/>
      <c r="AJ909" s="44"/>
      <c r="AK909" s="43"/>
      <c r="AS909" s="14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  <c r="EW909" s="18"/>
      <c r="EX909" s="18"/>
      <c r="EY909" s="18"/>
      <c r="EZ909" s="18"/>
      <c r="FA909" s="18"/>
      <c r="FB909" s="18"/>
      <c r="FC909" s="18"/>
      <c r="FD909" s="18"/>
      <c r="FE909" s="18"/>
      <c r="FF909" s="18"/>
      <c r="FG909" s="18"/>
      <c r="FH909" s="18"/>
      <c r="FI909" s="18"/>
      <c r="FJ909" s="18"/>
      <c r="FK909" s="18"/>
      <c r="FL909" s="18"/>
      <c r="FM909" s="18"/>
      <c r="FN909" s="18"/>
      <c r="FO909" s="18"/>
      <c r="FP909" s="18"/>
      <c r="FQ909" s="18"/>
      <c r="FR909" s="18"/>
      <c r="FS909" s="18"/>
      <c r="FT909" s="18"/>
      <c r="FU909" s="18"/>
      <c r="FV909" s="18"/>
      <c r="FW909" s="18"/>
      <c r="FX909" s="18"/>
      <c r="FY909" s="18"/>
      <c r="FZ909" s="18"/>
      <c r="GA909" s="18"/>
      <c r="GB909" s="18"/>
      <c r="GC909" s="18"/>
      <c r="GD909" s="18"/>
      <c r="GE909" s="18"/>
      <c r="GF909" s="18"/>
      <c r="GG909" s="18"/>
      <c r="GH909" s="18"/>
      <c r="GI909" s="18"/>
      <c r="GJ909" s="18"/>
      <c r="GK909" s="18"/>
      <c r="GL909" s="18"/>
      <c r="GM909" s="18"/>
      <c r="GN909" s="18"/>
      <c r="GO909" s="18"/>
      <c r="GP909" s="18"/>
      <c r="GQ909" s="18"/>
      <c r="GR909" s="18"/>
      <c r="GS909" s="18"/>
      <c r="GT909" s="18"/>
      <c r="GU909" s="18"/>
      <c r="GV909" s="18"/>
      <c r="GW909" s="18"/>
      <c r="GX909" s="18"/>
      <c r="GY909" s="18"/>
      <c r="GZ909" s="18"/>
      <c r="HA909" s="18"/>
      <c r="HB909" s="18"/>
      <c r="HC909" s="18"/>
      <c r="HD909" s="18"/>
      <c r="HE909" s="18"/>
      <c r="HF909" s="18"/>
      <c r="HG909" s="13"/>
      <c r="HH909" s="13"/>
      <c r="HI909" s="13"/>
      <c r="HJ909" s="13"/>
      <c r="HK909" s="13"/>
      <c r="HL909" s="13"/>
      <c r="HM909" s="13"/>
      <c r="HN909" s="13"/>
      <c r="HO909" s="13"/>
      <c r="HP909" s="13"/>
      <c r="HQ909" s="13"/>
      <c r="HR909" s="13"/>
      <c r="HS909" s="13"/>
      <c r="HT909" s="13"/>
      <c r="HU909" s="18"/>
      <c r="HV909" s="18"/>
      <c r="HW909" s="18"/>
      <c r="HX909" s="18"/>
      <c r="HY909" s="18"/>
      <c r="HZ909" s="18"/>
      <c r="IA909" s="18"/>
      <c r="IB909" s="18"/>
      <c r="IC909" s="18"/>
      <c r="ID909" s="18"/>
      <c r="IE909" s="18"/>
      <c r="IF909" s="18"/>
      <c r="IG909" s="18"/>
      <c r="IH909" s="18"/>
      <c r="II909" s="18"/>
      <c r="IJ909" s="18"/>
      <c r="IK909" s="18"/>
      <c r="IL909" s="18"/>
      <c r="IM909" s="18"/>
      <c r="IN909" s="18"/>
      <c r="IO909" s="18"/>
      <c r="IP909" s="18"/>
      <c r="IQ909" s="18"/>
      <c r="IR909" s="18"/>
      <c r="IS909" s="18"/>
      <c r="IT909" s="18"/>
      <c r="IU909" s="18"/>
      <c r="IV909" s="18"/>
      <c r="IW909" s="18"/>
      <c r="IX909" s="18"/>
      <c r="IY909" s="18"/>
      <c r="IZ909" s="18"/>
      <c r="JA909" s="18"/>
      <c r="JB909" s="18"/>
      <c r="JC909" s="18"/>
      <c r="JD909" s="18"/>
      <c r="JE909" s="18"/>
      <c r="JF909" s="18"/>
      <c r="JG909" s="18"/>
      <c r="JH909" s="18"/>
      <c r="JI909" s="18"/>
      <c r="JJ909" s="18"/>
      <c r="JK909" s="18"/>
      <c r="JL909" s="18"/>
      <c r="JM909" s="18"/>
      <c r="JN909" s="18"/>
      <c r="JO909" s="18"/>
      <c r="JP909" s="18"/>
      <c r="JQ909" s="18"/>
      <c r="JR909" s="18"/>
      <c r="JS909" s="18"/>
      <c r="JT909" s="18"/>
      <c r="JU909" s="18"/>
      <c r="JV909" s="18"/>
      <c r="JW909" s="18"/>
      <c r="JX909" s="18"/>
      <c r="JY909" s="18"/>
      <c r="JZ909" s="18"/>
      <c r="KA909" s="18"/>
      <c r="KB909" s="18"/>
      <c r="KC909" s="18"/>
      <c r="KD909" s="18"/>
      <c r="KE909" s="18"/>
      <c r="KF909" s="18"/>
      <c r="KG909" s="18"/>
      <c r="KH909" s="18"/>
      <c r="KI909" s="18"/>
      <c r="KJ909" s="18"/>
      <c r="KK909" s="18"/>
      <c r="KL909" s="18"/>
      <c r="KM909" s="18"/>
      <c r="KN909" s="18"/>
      <c r="KO909" s="18"/>
      <c r="KP909" s="18"/>
    </row>
    <row r="910" spans="1:302">
      <c r="A910" s="14"/>
      <c r="B910" s="14"/>
      <c r="F910" s="14"/>
      <c r="G910" s="23"/>
      <c r="H910" s="23"/>
      <c r="I910" s="23"/>
      <c r="J910" s="23"/>
      <c r="K910" s="14"/>
      <c r="L910" s="14"/>
      <c r="P910" s="14"/>
      <c r="AG910" s="44"/>
      <c r="AH910" s="44"/>
      <c r="AI910" s="45"/>
      <c r="AJ910" s="44"/>
      <c r="AK910" s="43"/>
      <c r="AS910" s="14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  <c r="EW910" s="18"/>
      <c r="EX910" s="18"/>
      <c r="EY910" s="18"/>
      <c r="EZ910" s="18"/>
      <c r="FA910" s="18"/>
      <c r="FB910" s="18"/>
      <c r="FC910" s="18"/>
      <c r="FD910" s="18"/>
      <c r="FE910" s="18"/>
      <c r="FF910" s="18"/>
      <c r="FG910" s="18"/>
      <c r="FH910" s="18"/>
      <c r="FI910" s="18"/>
      <c r="FJ910" s="18"/>
      <c r="FK910" s="18"/>
      <c r="FL910" s="18"/>
      <c r="FM910" s="18"/>
      <c r="FN910" s="18"/>
      <c r="FO910" s="18"/>
      <c r="FP910" s="18"/>
      <c r="FQ910" s="18"/>
      <c r="FR910" s="18"/>
      <c r="FS910" s="18"/>
      <c r="FT910" s="18"/>
      <c r="FU910" s="18"/>
      <c r="FV910" s="18"/>
      <c r="FW910" s="18"/>
      <c r="FX910" s="18"/>
      <c r="FY910" s="18"/>
      <c r="FZ910" s="18"/>
      <c r="GA910" s="18"/>
      <c r="GB910" s="18"/>
      <c r="GC910" s="18"/>
      <c r="GD910" s="18"/>
      <c r="GE910" s="18"/>
      <c r="GF910" s="18"/>
      <c r="GG910" s="18"/>
      <c r="GH910" s="18"/>
      <c r="GI910" s="18"/>
      <c r="GJ910" s="18"/>
      <c r="GK910" s="18"/>
      <c r="GL910" s="18"/>
      <c r="GM910" s="18"/>
      <c r="GN910" s="18"/>
      <c r="GO910" s="18"/>
      <c r="GP910" s="18"/>
      <c r="GQ910" s="18"/>
      <c r="GR910" s="18"/>
      <c r="GS910" s="18"/>
      <c r="GT910" s="18"/>
      <c r="GU910" s="18"/>
      <c r="GV910" s="18"/>
      <c r="GW910" s="18"/>
      <c r="GX910" s="18"/>
      <c r="GY910" s="18"/>
      <c r="GZ910" s="18"/>
      <c r="HA910" s="18"/>
      <c r="HB910" s="18"/>
      <c r="HC910" s="18"/>
      <c r="HD910" s="18"/>
      <c r="HE910" s="18"/>
      <c r="HF910" s="18"/>
      <c r="HG910" s="13"/>
      <c r="HH910" s="13"/>
      <c r="HI910" s="13"/>
      <c r="HJ910" s="13"/>
      <c r="HK910" s="13"/>
      <c r="HL910" s="13"/>
      <c r="HM910" s="13"/>
      <c r="HN910" s="13"/>
      <c r="HO910" s="13"/>
      <c r="HP910" s="13"/>
      <c r="HQ910" s="13"/>
      <c r="HR910" s="13"/>
      <c r="HS910" s="13"/>
      <c r="HT910" s="13"/>
      <c r="HU910" s="18"/>
      <c r="HV910" s="18"/>
      <c r="HW910" s="18"/>
      <c r="HX910" s="18"/>
      <c r="HY910" s="18"/>
      <c r="HZ910" s="18"/>
      <c r="IA910" s="18"/>
      <c r="IB910" s="18"/>
      <c r="IC910" s="18"/>
      <c r="ID910" s="18"/>
      <c r="IE910" s="18"/>
      <c r="IF910" s="18"/>
      <c r="IG910" s="18"/>
      <c r="IH910" s="18"/>
      <c r="II910" s="18"/>
      <c r="IJ910" s="18"/>
      <c r="IK910" s="18"/>
      <c r="IL910" s="18"/>
      <c r="IM910" s="18"/>
      <c r="IN910" s="18"/>
      <c r="IO910" s="18"/>
      <c r="IP910" s="18"/>
      <c r="IQ910" s="18"/>
      <c r="IR910" s="18"/>
      <c r="IS910" s="18"/>
      <c r="IT910" s="18"/>
      <c r="IU910" s="18"/>
      <c r="IV910" s="18"/>
      <c r="IW910" s="18"/>
      <c r="IX910" s="18"/>
      <c r="IY910" s="18"/>
      <c r="IZ910" s="18"/>
      <c r="JA910" s="18"/>
      <c r="JB910" s="18"/>
      <c r="JC910" s="18"/>
      <c r="JD910" s="18"/>
      <c r="JE910" s="18"/>
      <c r="JF910" s="18"/>
      <c r="JG910" s="18"/>
      <c r="JH910" s="18"/>
      <c r="JI910" s="18"/>
      <c r="JJ910" s="18"/>
      <c r="JK910" s="18"/>
      <c r="JL910" s="18"/>
      <c r="JM910" s="18"/>
      <c r="JN910" s="18"/>
      <c r="JO910" s="18"/>
      <c r="JP910" s="18"/>
      <c r="JQ910" s="18"/>
      <c r="JR910" s="18"/>
      <c r="JS910" s="18"/>
      <c r="JT910" s="18"/>
      <c r="JU910" s="18"/>
      <c r="JV910" s="18"/>
      <c r="JW910" s="18"/>
      <c r="JX910" s="18"/>
      <c r="JY910" s="18"/>
      <c r="JZ910" s="18"/>
      <c r="KA910" s="18"/>
      <c r="KB910" s="18"/>
      <c r="KC910" s="18"/>
      <c r="KD910" s="18"/>
      <c r="KE910" s="18"/>
      <c r="KF910" s="18"/>
      <c r="KG910" s="18"/>
      <c r="KH910" s="18"/>
      <c r="KI910" s="18"/>
      <c r="KJ910" s="18"/>
      <c r="KK910" s="18"/>
      <c r="KL910" s="18"/>
      <c r="KM910" s="18"/>
      <c r="KN910" s="18"/>
      <c r="KO910" s="18"/>
      <c r="KP910" s="18"/>
    </row>
    <row r="911" spans="1:302">
      <c r="A911" s="14"/>
      <c r="B911" s="14"/>
      <c r="F911" s="14"/>
      <c r="G911" s="23"/>
      <c r="H911" s="23"/>
      <c r="I911" s="23"/>
      <c r="J911" s="23"/>
      <c r="K911" s="14"/>
      <c r="L911" s="14"/>
      <c r="P911" s="14"/>
      <c r="AG911" s="44"/>
      <c r="AH911" s="44"/>
      <c r="AI911" s="45"/>
      <c r="AJ911" s="44"/>
      <c r="AK911" s="43"/>
      <c r="AS911" s="14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  <c r="EW911" s="18"/>
      <c r="EX911" s="18"/>
      <c r="EY911" s="18"/>
      <c r="EZ911" s="18"/>
      <c r="FA911" s="18"/>
      <c r="FB911" s="18"/>
      <c r="FC911" s="18"/>
      <c r="FD911" s="18"/>
      <c r="FE911" s="18"/>
      <c r="FF911" s="18"/>
      <c r="FG911" s="18"/>
      <c r="FH911" s="18"/>
      <c r="FI911" s="18"/>
      <c r="FJ911" s="18"/>
      <c r="FK911" s="18"/>
      <c r="FL911" s="18"/>
      <c r="FM911" s="18"/>
      <c r="FN911" s="18"/>
      <c r="FO911" s="18"/>
      <c r="FP911" s="18"/>
      <c r="FQ911" s="18"/>
      <c r="FR911" s="18"/>
      <c r="FS911" s="18"/>
      <c r="FT911" s="18"/>
      <c r="FU911" s="18"/>
      <c r="FV911" s="18"/>
      <c r="FW911" s="18"/>
      <c r="FX911" s="18"/>
      <c r="FY911" s="18"/>
      <c r="FZ911" s="18"/>
      <c r="GA911" s="18"/>
      <c r="GB911" s="18"/>
      <c r="GC911" s="18"/>
      <c r="GD911" s="18"/>
      <c r="GE911" s="18"/>
      <c r="GF911" s="18"/>
      <c r="GG911" s="18"/>
      <c r="GH911" s="18"/>
      <c r="GI911" s="18"/>
      <c r="GJ911" s="18"/>
      <c r="GK911" s="18"/>
      <c r="GL911" s="18"/>
      <c r="GM911" s="18"/>
      <c r="GN911" s="18"/>
      <c r="GO911" s="18"/>
      <c r="GP911" s="18"/>
      <c r="GQ911" s="18"/>
      <c r="GR911" s="18"/>
      <c r="GS911" s="18"/>
      <c r="GT911" s="18"/>
      <c r="GU911" s="18"/>
      <c r="GV911" s="18"/>
      <c r="GW911" s="18"/>
      <c r="GX911" s="18"/>
      <c r="GY911" s="18"/>
      <c r="GZ911" s="18"/>
      <c r="HA911" s="18"/>
      <c r="HB911" s="18"/>
      <c r="HC911" s="18"/>
      <c r="HD911" s="18"/>
      <c r="HE911" s="18"/>
      <c r="HF911" s="18"/>
      <c r="HG911" s="13"/>
      <c r="HH911" s="13"/>
      <c r="HI911" s="13"/>
      <c r="HJ911" s="13"/>
      <c r="HK911" s="13"/>
      <c r="HL911" s="13"/>
      <c r="HM911" s="13"/>
      <c r="HN911" s="13"/>
      <c r="HO911" s="13"/>
      <c r="HP911" s="13"/>
      <c r="HQ911" s="13"/>
      <c r="HR911" s="13"/>
      <c r="HS911" s="13"/>
      <c r="HT911" s="13"/>
      <c r="HU911" s="18"/>
      <c r="HV911" s="18"/>
      <c r="HW911" s="18"/>
      <c r="HX911" s="18"/>
      <c r="HY911" s="18"/>
      <c r="HZ911" s="18"/>
      <c r="IA911" s="18"/>
      <c r="IB911" s="18"/>
      <c r="IC911" s="18"/>
      <c r="ID911" s="18"/>
      <c r="IE911" s="18"/>
      <c r="IF911" s="18"/>
      <c r="IG911" s="18"/>
      <c r="IH911" s="18"/>
      <c r="II911" s="18"/>
      <c r="IJ911" s="18"/>
      <c r="IK911" s="18"/>
      <c r="IL911" s="18"/>
      <c r="IM911" s="18"/>
      <c r="IN911" s="18"/>
      <c r="IO911" s="18"/>
      <c r="IP911" s="18"/>
      <c r="IQ911" s="18"/>
      <c r="IR911" s="18"/>
      <c r="IS911" s="18"/>
      <c r="IT911" s="18"/>
      <c r="IU911" s="18"/>
      <c r="IV911" s="18"/>
      <c r="IW911" s="18"/>
      <c r="IX911" s="18"/>
      <c r="IY911" s="18"/>
      <c r="IZ911" s="18"/>
      <c r="JA911" s="18"/>
      <c r="JB911" s="18"/>
      <c r="JC911" s="18"/>
      <c r="JD911" s="18"/>
      <c r="JE911" s="18"/>
      <c r="JF911" s="18"/>
      <c r="JG911" s="18"/>
      <c r="JH911" s="18"/>
      <c r="JI911" s="18"/>
      <c r="JJ911" s="18"/>
      <c r="JK911" s="18"/>
      <c r="JL911" s="18"/>
      <c r="JM911" s="18"/>
      <c r="JN911" s="18"/>
      <c r="JO911" s="18"/>
      <c r="JP911" s="18"/>
      <c r="JQ911" s="18"/>
      <c r="JR911" s="18"/>
      <c r="JS911" s="18"/>
      <c r="JT911" s="18"/>
      <c r="JU911" s="18"/>
      <c r="JV911" s="18"/>
      <c r="JW911" s="18"/>
      <c r="JX911" s="18"/>
      <c r="JY911" s="18"/>
      <c r="JZ911" s="18"/>
      <c r="KA911" s="18"/>
      <c r="KB911" s="18"/>
      <c r="KC911" s="18"/>
      <c r="KD911" s="18"/>
      <c r="KE911" s="18"/>
      <c r="KF911" s="18"/>
      <c r="KG911" s="18"/>
      <c r="KH911" s="18"/>
      <c r="KI911" s="18"/>
      <c r="KJ911" s="18"/>
      <c r="KK911" s="18"/>
      <c r="KL911" s="18"/>
      <c r="KM911" s="18"/>
      <c r="KN911" s="18"/>
      <c r="KO911" s="18"/>
      <c r="KP911" s="18"/>
    </row>
    <row r="912" spans="1:302">
      <c r="A912" s="14"/>
      <c r="B912" s="14"/>
      <c r="F912" s="14"/>
      <c r="G912" s="23"/>
      <c r="H912" s="23"/>
      <c r="I912" s="23"/>
      <c r="J912" s="23"/>
      <c r="K912" s="14"/>
      <c r="L912" s="14"/>
      <c r="P912" s="14"/>
      <c r="AG912" s="44"/>
      <c r="AH912" s="44"/>
      <c r="AI912" s="45"/>
      <c r="AJ912" s="44"/>
      <c r="AK912" s="43"/>
      <c r="AS912" s="14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  <c r="FC912" s="18"/>
      <c r="FD912" s="18"/>
      <c r="FE912" s="18"/>
      <c r="FF912" s="18"/>
      <c r="FG912" s="18"/>
      <c r="FH912" s="18"/>
      <c r="FI912" s="18"/>
      <c r="FJ912" s="18"/>
      <c r="FK912" s="18"/>
      <c r="FL912" s="18"/>
      <c r="FM912" s="18"/>
      <c r="FN912" s="18"/>
      <c r="FO912" s="18"/>
      <c r="FP912" s="18"/>
      <c r="FQ912" s="18"/>
      <c r="FR912" s="18"/>
      <c r="FS912" s="18"/>
      <c r="FT912" s="18"/>
      <c r="FU912" s="18"/>
      <c r="FV912" s="18"/>
      <c r="FW912" s="18"/>
      <c r="FX912" s="18"/>
      <c r="FY912" s="18"/>
      <c r="FZ912" s="18"/>
      <c r="GA912" s="18"/>
      <c r="GB912" s="18"/>
      <c r="GC912" s="18"/>
      <c r="GD912" s="18"/>
      <c r="GE912" s="18"/>
      <c r="GF912" s="18"/>
      <c r="GG912" s="18"/>
      <c r="GH912" s="18"/>
      <c r="GI912" s="18"/>
      <c r="GJ912" s="18"/>
      <c r="GK912" s="18"/>
      <c r="GL912" s="18"/>
      <c r="GM912" s="18"/>
      <c r="GN912" s="18"/>
      <c r="GO912" s="18"/>
      <c r="GP912" s="18"/>
      <c r="GQ912" s="18"/>
      <c r="GR912" s="18"/>
      <c r="GS912" s="18"/>
      <c r="GT912" s="18"/>
      <c r="GU912" s="18"/>
      <c r="GV912" s="18"/>
      <c r="GW912" s="18"/>
      <c r="GX912" s="18"/>
      <c r="GY912" s="18"/>
      <c r="GZ912" s="18"/>
      <c r="HA912" s="18"/>
      <c r="HB912" s="18"/>
      <c r="HC912" s="18"/>
      <c r="HD912" s="18"/>
      <c r="HE912" s="18"/>
      <c r="HF912" s="18"/>
      <c r="HG912" s="13"/>
      <c r="HH912" s="13"/>
      <c r="HI912" s="13"/>
      <c r="HJ912" s="13"/>
      <c r="HK912" s="13"/>
      <c r="HL912" s="13"/>
      <c r="HM912" s="13"/>
      <c r="HN912" s="13"/>
      <c r="HO912" s="13"/>
      <c r="HP912" s="13"/>
      <c r="HQ912" s="13"/>
      <c r="HR912" s="13"/>
      <c r="HS912" s="13"/>
      <c r="HT912" s="13"/>
      <c r="HU912" s="18"/>
      <c r="HV912" s="18"/>
      <c r="HW912" s="18"/>
      <c r="HX912" s="18"/>
      <c r="HY912" s="18"/>
      <c r="HZ912" s="18"/>
      <c r="IA912" s="18"/>
      <c r="IB912" s="18"/>
      <c r="IC912" s="18"/>
      <c r="ID912" s="18"/>
      <c r="IE912" s="18"/>
      <c r="IF912" s="18"/>
      <c r="IG912" s="18"/>
      <c r="IH912" s="18"/>
      <c r="II912" s="18"/>
      <c r="IJ912" s="18"/>
      <c r="IK912" s="18"/>
      <c r="IL912" s="18"/>
      <c r="IM912" s="18"/>
      <c r="IN912" s="18"/>
      <c r="IO912" s="18"/>
      <c r="IP912" s="18"/>
      <c r="IQ912" s="18"/>
      <c r="IR912" s="18"/>
      <c r="IS912" s="18"/>
      <c r="IT912" s="18"/>
      <c r="IU912" s="18"/>
      <c r="IV912" s="18"/>
      <c r="IW912" s="18"/>
      <c r="IX912" s="18"/>
      <c r="IY912" s="18"/>
      <c r="IZ912" s="18"/>
      <c r="JA912" s="18"/>
      <c r="JB912" s="18"/>
      <c r="JC912" s="18"/>
      <c r="JD912" s="18"/>
      <c r="JE912" s="18"/>
      <c r="JF912" s="18"/>
      <c r="JG912" s="18"/>
      <c r="JH912" s="18"/>
      <c r="JI912" s="18"/>
      <c r="JJ912" s="18"/>
      <c r="JK912" s="18"/>
      <c r="JL912" s="18"/>
      <c r="JM912" s="18"/>
      <c r="JN912" s="18"/>
      <c r="JO912" s="18"/>
      <c r="JP912" s="18"/>
      <c r="JQ912" s="18"/>
      <c r="JR912" s="18"/>
      <c r="JS912" s="18"/>
      <c r="JT912" s="18"/>
      <c r="JU912" s="18"/>
      <c r="JV912" s="18"/>
      <c r="JW912" s="18"/>
      <c r="JX912" s="18"/>
      <c r="JY912" s="18"/>
      <c r="JZ912" s="18"/>
      <c r="KA912" s="18"/>
      <c r="KB912" s="18"/>
      <c r="KC912" s="18"/>
      <c r="KD912" s="18"/>
      <c r="KE912" s="18"/>
      <c r="KF912" s="18"/>
      <c r="KG912" s="18"/>
      <c r="KH912" s="18"/>
      <c r="KI912" s="18"/>
      <c r="KJ912" s="18"/>
      <c r="KK912" s="18"/>
      <c r="KL912" s="18"/>
      <c r="KM912" s="18"/>
      <c r="KN912" s="18"/>
      <c r="KO912" s="18"/>
      <c r="KP912" s="18"/>
    </row>
    <row r="913" spans="1:302">
      <c r="A913" s="14"/>
      <c r="B913" s="14"/>
      <c r="F913" s="14"/>
      <c r="G913" s="23"/>
      <c r="H913" s="23"/>
      <c r="I913" s="23"/>
      <c r="J913" s="23"/>
      <c r="K913" s="14"/>
      <c r="L913" s="14"/>
      <c r="P913" s="14"/>
      <c r="AG913" s="44"/>
      <c r="AH913" s="44"/>
      <c r="AI913" s="45"/>
      <c r="AJ913" s="44"/>
      <c r="AK913" s="43"/>
      <c r="AS913" s="14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  <c r="EW913" s="18"/>
      <c r="EX913" s="18"/>
      <c r="EY913" s="18"/>
      <c r="EZ913" s="18"/>
      <c r="FA913" s="18"/>
      <c r="FB913" s="18"/>
      <c r="FC913" s="18"/>
      <c r="FD913" s="18"/>
      <c r="FE913" s="18"/>
      <c r="FF913" s="18"/>
      <c r="FG913" s="18"/>
      <c r="FH913" s="18"/>
      <c r="FI913" s="18"/>
      <c r="FJ913" s="18"/>
      <c r="FK913" s="18"/>
      <c r="FL913" s="18"/>
      <c r="FM913" s="18"/>
      <c r="FN913" s="18"/>
      <c r="FO913" s="18"/>
      <c r="FP913" s="18"/>
      <c r="FQ913" s="18"/>
      <c r="FR913" s="18"/>
      <c r="FS913" s="18"/>
      <c r="FT913" s="18"/>
      <c r="FU913" s="18"/>
      <c r="FV913" s="18"/>
      <c r="FW913" s="18"/>
      <c r="FX913" s="18"/>
      <c r="FY913" s="18"/>
      <c r="FZ913" s="18"/>
      <c r="GA913" s="18"/>
      <c r="GB913" s="18"/>
      <c r="GC913" s="18"/>
      <c r="GD913" s="18"/>
      <c r="GE913" s="18"/>
      <c r="GF913" s="18"/>
      <c r="GG913" s="18"/>
      <c r="GH913" s="18"/>
      <c r="GI913" s="18"/>
      <c r="GJ913" s="18"/>
      <c r="GK913" s="18"/>
      <c r="GL913" s="18"/>
      <c r="GM913" s="18"/>
      <c r="GN913" s="18"/>
      <c r="GO913" s="18"/>
      <c r="GP913" s="18"/>
      <c r="GQ913" s="18"/>
      <c r="GR913" s="18"/>
      <c r="GS913" s="18"/>
      <c r="GT913" s="18"/>
      <c r="GU913" s="18"/>
      <c r="GV913" s="18"/>
      <c r="GW913" s="18"/>
      <c r="GX913" s="18"/>
      <c r="GY913" s="18"/>
      <c r="GZ913" s="18"/>
      <c r="HA913" s="18"/>
      <c r="HB913" s="18"/>
      <c r="HC913" s="18"/>
      <c r="HD913" s="18"/>
      <c r="HE913" s="18"/>
      <c r="HF913" s="18"/>
      <c r="HG913" s="13"/>
      <c r="HH913" s="13"/>
      <c r="HI913" s="13"/>
      <c r="HJ913" s="13"/>
      <c r="HK913" s="13"/>
      <c r="HL913" s="13"/>
      <c r="HM913" s="13"/>
      <c r="HN913" s="13"/>
      <c r="HO913" s="13"/>
      <c r="HP913" s="13"/>
      <c r="HQ913" s="13"/>
      <c r="HR913" s="13"/>
      <c r="HS913" s="13"/>
      <c r="HT913" s="13"/>
      <c r="HU913" s="18"/>
      <c r="HV913" s="18"/>
      <c r="HW913" s="18"/>
      <c r="HX913" s="18"/>
      <c r="HY913" s="18"/>
      <c r="HZ913" s="18"/>
      <c r="IA913" s="18"/>
      <c r="IB913" s="18"/>
      <c r="IC913" s="18"/>
      <c r="ID913" s="18"/>
      <c r="IE913" s="18"/>
      <c r="IF913" s="18"/>
      <c r="IG913" s="18"/>
      <c r="IH913" s="18"/>
      <c r="II913" s="18"/>
      <c r="IJ913" s="18"/>
      <c r="IK913" s="18"/>
      <c r="IL913" s="18"/>
      <c r="IM913" s="18"/>
      <c r="IN913" s="18"/>
      <c r="IO913" s="18"/>
      <c r="IP913" s="18"/>
      <c r="IQ913" s="18"/>
      <c r="IR913" s="18"/>
      <c r="IS913" s="18"/>
      <c r="IT913" s="18"/>
      <c r="IU913" s="18"/>
      <c r="IV913" s="18"/>
      <c r="IW913" s="18"/>
      <c r="IX913" s="18"/>
      <c r="IY913" s="18"/>
      <c r="IZ913" s="18"/>
      <c r="JA913" s="18"/>
      <c r="JB913" s="18"/>
      <c r="JC913" s="18"/>
      <c r="JD913" s="18"/>
      <c r="JE913" s="18"/>
      <c r="JF913" s="18"/>
      <c r="JG913" s="18"/>
      <c r="JH913" s="18"/>
      <c r="JI913" s="18"/>
      <c r="JJ913" s="18"/>
      <c r="JK913" s="18"/>
      <c r="JL913" s="18"/>
      <c r="JM913" s="18"/>
      <c r="JN913" s="18"/>
      <c r="JO913" s="18"/>
      <c r="JP913" s="18"/>
      <c r="JQ913" s="18"/>
      <c r="JR913" s="18"/>
      <c r="JS913" s="18"/>
      <c r="JT913" s="18"/>
      <c r="JU913" s="18"/>
      <c r="JV913" s="18"/>
      <c r="JW913" s="18"/>
      <c r="JX913" s="18"/>
      <c r="JY913" s="18"/>
      <c r="JZ913" s="18"/>
      <c r="KA913" s="18"/>
      <c r="KB913" s="18"/>
      <c r="KC913" s="18"/>
      <c r="KD913" s="18"/>
      <c r="KE913" s="18"/>
      <c r="KF913" s="18"/>
      <c r="KG913" s="18"/>
      <c r="KH913" s="18"/>
      <c r="KI913" s="18"/>
      <c r="KJ913" s="18"/>
      <c r="KK913" s="18"/>
      <c r="KL913" s="18"/>
      <c r="KM913" s="18"/>
      <c r="KN913" s="18"/>
      <c r="KO913" s="18"/>
      <c r="KP913" s="18"/>
    </row>
    <row r="914" spans="1:302">
      <c r="A914" s="14"/>
      <c r="B914" s="14"/>
      <c r="F914" s="14"/>
      <c r="G914" s="23"/>
      <c r="H914" s="23"/>
      <c r="I914" s="23"/>
      <c r="J914" s="23"/>
      <c r="K914" s="14"/>
      <c r="L914" s="14"/>
      <c r="P914" s="14"/>
      <c r="AG914" s="44"/>
      <c r="AH914" s="44"/>
      <c r="AI914" s="45"/>
      <c r="AJ914" s="44"/>
      <c r="AK914" s="43"/>
      <c r="AS914" s="14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  <c r="EW914" s="18"/>
      <c r="EX914" s="18"/>
      <c r="EY914" s="18"/>
      <c r="EZ914" s="18"/>
      <c r="FA914" s="18"/>
      <c r="FB914" s="18"/>
      <c r="FC914" s="18"/>
      <c r="FD914" s="18"/>
      <c r="FE914" s="18"/>
      <c r="FF914" s="18"/>
      <c r="FG914" s="18"/>
      <c r="FH914" s="18"/>
      <c r="FI914" s="18"/>
      <c r="FJ914" s="18"/>
      <c r="FK914" s="18"/>
      <c r="FL914" s="18"/>
      <c r="FM914" s="18"/>
      <c r="FN914" s="18"/>
      <c r="FO914" s="18"/>
      <c r="FP914" s="18"/>
      <c r="FQ914" s="18"/>
      <c r="FR914" s="18"/>
      <c r="FS914" s="18"/>
      <c r="FT914" s="18"/>
      <c r="FU914" s="18"/>
      <c r="FV914" s="18"/>
      <c r="FW914" s="18"/>
      <c r="FX914" s="18"/>
      <c r="FY914" s="18"/>
      <c r="FZ914" s="18"/>
      <c r="GA914" s="18"/>
      <c r="GB914" s="18"/>
      <c r="GC914" s="18"/>
      <c r="GD914" s="18"/>
      <c r="GE914" s="18"/>
      <c r="GF914" s="18"/>
      <c r="GG914" s="18"/>
      <c r="GH914" s="18"/>
      <c r="GI914" s="18"/>
      <c r="GJ914" s="18"/>
      <c r="GK914" s="18"/>
      <c r="GL914" s="18"/>
      <c r="GM914" s="18"/>
      <c r="GN914" s="18"/>
      <c r="GO914" s="18"/>
      <c r="GP914" s="18"/>
      <c r="GQ914" s="18"/>
      <c r="GR914" s="18"/>
      <c r="GS914" s="18"/>
      <c r="GT914" s="18"/>
      <c r="GU914" s="18"/>
      <c r="GV914" s="18"/>
      <c r="GW914" s="18"/>
      <c r="GX914" s="18"/>
      <c r="GY914" s="18"/>
      <c r="GZ914" s="18"/>
      <c r="HA914" s="18"/>
      <c r="HB914" s="18"/>
      <c r="HC914" s="18"/>
      <c r="HD914" s="18"/>
      <c r="HE914" s="18"/>
      <c r="HF914" s="18"/>
      <c r="HG914" s="13"/>
      <c r="HH914" s="13"/>
      <c r="HI914" s="13"/>
      <c r="HJ914" s="13"/>
      <c r="HK914" s="13"/>
      <c r="HL914" s="13"/>
      <c r="HM914" s="13"/>
      <c r="HN914" s="13"/>
      <c r="HO914" s="13"/>
      <c r="HP914" s="13"/>
      <c r="HQ914" s="13"/>
      <c r="HR914" s="13"/>
      <c r="HS914" s="13"/>
      <c r="HT914" s="13"/>
      <c r="HU914" s="18"/>
      <c r="HV914" s="18"/>
      <c r="HW914" s="18"/>
      <c r="HX914" s="18"/>
      <c r="HY914" s="18"/>
      <c r="HZ914" s="18"/>
      <c r="IA914" s="18"/>
      <c r="IB914" s="18"/>
      <c r="IC914" s="18"/>
      <c r="ID914" s="18"/>
      <c r="IE914" s="18"/>
      <c r="IF914" s="18"/>
      <c r="IG914" s="18"/>
      <c r="IH914" s="18"/>
      <c r="II914" s="18"/>
      <c r="IJ914" s="18"/>
      <c r="IK914" s="18"/>
      <c r="IL914" s="18"/>
      <c r="IM914" s="18"/>
      <c r="IN914" s="18"/>
      <c r="IO914" s="18"/>
      <c r="IP914" s="18"/>
      <c r="IQ914" s="18"/>
      <c r="IR914" s="18"/>
      <c r="IS914" s="18"/>
      <c r="IT914" s="18"/>
      <c r="IU914" s="18"/>
      <c r="IV914" s="18"/>
      <c r="IW914" s="18"/>
      <c r="IX914" s="18"/>
      <c r="IY914" s="18"/>
      <c r="IZ914" s="18"/>
      <c r="JA914" s="18"/>
      <c r="JB914" s="18"/>
      <c r="JC914" s="18"/>
      <c r="JD914" s="18"/>
      <c r="JE914" s="18"/>
      <c r="JF914" s="18"/>
      <c r="JG914" s="18"/>
      <c r="JH914" s="18"/>
      <c r="JI914" s="18"/>
      <c r="JJ914" s="18"/>
      <c r="JK914" s="18"/>
      <c r="JL914" s="18"/>
      <c r="JM914" s="18"/>
      <c r="JN914" s="18"/>
      <c r="JO914" s="18"/>
      <c r="JP914" s="18"/>
      <c r="JQ914" s="18"/>
      <c r="JR914" s="18"/>
      <c r="JS914" s="18"/>
      <c r="JT914" s="18"/>
      <c r="JU914" s="18"/>
      <c r="JV914" s="18"/>
      <c r="JW914" s="18"/>
      <c r="JX914" s="18"/>
      <c r="JY914" s="18"/>
      <c r="JZ914" s="18"/>
      <c r="KA914" s="18"/>
      <c r="KB914" s="18"/>
      <c r="KC914" s="18"/>
      <c r="KD914" s="18"/>
      <c r="KE914" s="18"/>
      <c r="KF914" s="18"/>
      <c r="KG914" s="18"/>
      <c r="KH914" s="18"/>
      <c r="KI914" s="18"/>
      <c r="KJ914" s="18"/>
      <c r="KK914" s="18"/>
      <c r="KL914" s="18"/>
      <c r="KM914" s="18"/>
      <c r="KN914" s="18"/>
      <c r="KO914" s="18"/>
      <c r="KP914" s="18"/>
    </row>
    <row r="915" spans="1:302">
      <c r="A915" s="14"/>
      <c r="B915" s="14"/>
      <c r="F915" s="14"/>
      <c r="G915" s="23"/>
      <c r="H915" s="23"/>
      <c r="I915" s="23"/>
      <c r="J915" s="23"/>
      <c r="K915" s="14"/>
      <c r="L915" s="14"/>
      <c r="P915" s="14"/>
      <c r="AG915" s="44"/>
      <c r="AH915" s="44"/>
      <c r="AI915" s="45"/>
      <c r="AJ915" s="44"/>
      <c r="AK915" s="43"/>
      <c r="AS915" s="14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  <c r="EW915" s="18"/>
      <c r="EX915" s="18"/>
      <c r="EY915" s="18"/>
      <c r="EZ915" s="18"/>
      <c r="FA915" s="18"/>
      <c r="FB915" s="18"/>
      <c r="FC915" s="18"/>
      <c r="FD915" s="18"/>
      <c r="FE915" s="18"/>
      <c r="FF915" s="18"/>
      <c r="FG915" s="18"/>
      <c r="FH915" s="18"/>
      <c r="FI915" s="18"/>
      <c r="FJ915" s="18"/>
      <c r="FK915" s="18"/>
      <c r="FL915" s="18"/>
      <c r="FM915" s="18"/>
      <c r="FN915" s="18"/>
      <c r="FO915" s="18"/>
      <c r="FP915" s="18"/>
      <c r="FQ915" s="18"/>
      <c r="FR915" s="18"/>
      <c r="FS915" s="18"/>
      <c r="FT915" s="18"/>
      <c r="FU915" s="18"/>
      <c r="FV915" s="18"/>
      <c r="FW915" s="18"/>
      <c r="FX915" s="18"/>
      <c r="FY915" s="18"/>
      <c r="FZ915" s="18"/>
      <c r="GA915" s="18"/>
      <c r="GB915" s="18"/>
      <c r="GC915" s="18"/>
      <c r="GD915" s="18"/>
      <c r="GE915" s="18"/>
      <c r="GF915" s="18"/>
      <c r="GG915" s="18"/>
      <c r="GH915" s="18"/>
      <c r="GI915" s="18"/>
      <c r="GJ915" s="18"/>
      <c r="GK915" s="18"/>
      <c r="GL915" s="18"/>
      <c r="GM915" s="18"/>
      <c r="GN915" s="18"/>
      <c r="GO915" s="18"/>
      <c r="GP915" s="18"/>
      <c r="GQ915" s="18"/>
      <c r="GR915" s="18"/>
      <c r="GS915" s="18"/>
      <c r="GT915" s="18"/>
      <c r="GU915" s="18"/>
      <c r="GV915" s="18"/>
      <c r="GW915" s="18"/>
      <c r="GX915" s="18"/>
      <c r="GY915" s="18"/>
      <c r="GZ915" s="18"/>
      <c r="HA915" s="18"/>
      <c r="HB915" s="18"/>
      <c r="HC915" s="18"/>
      <c r="HD915" s="18"/>
      <c r="HE915" s="18"/>
      <c r="HF915" s="18"/>
      <c r="HG915" s="13"/>
      <c r="HH915" s="13"/>
      <c r="HI915" s="13"/>
      <c r="HJ915" s="13"/>
      <c r="HK915" s="13"/>
      <c r="HL915" s="13"/>
      <c r="HM915" s="13"/>
      <c r="HN915" s="13"/>
      <c r="HO915" s="13"/>
      <c r="HP915" s="13"/>
      <c r="HQ915" s="13"/>
      <c r="HR915" s="13"/>
      <c r="HS915" s="13"/>
      <c r="HT915" s="13"/>
      <c r="HU915" s="18"/>
      <c r="HV915" s="18"/>
      <c r="HW915" s="18"/>
      <c r="HX915" s="18"/>
      <c r="HY915" s="18"/>
      <c r="HZ915" s="18"/>
      <c r="IA915" s="18"/>
      <c r="IB915" s="18"/>
      <c r="IC915" s="18"/>
      <c r="ID915" s="18"/>
      <c r="IE915" s="18"/>
      <c r="IF915" s="18"/>
      <c r="IG915" s="18"/>
      <c r="IH915" s="18"/>
      <c r="II915" s="18"/>
      <c r="IJ915" s="18"/>
      <c r="IK915" s="18"/>
      <c r="IL915" s="18"/>
      <c r="IM915" s="18"/>
      <c r="IN915" s="18"/>
      <c r="IO915" s="18"/>
      <c r="IP915" s="18"/>
      <c r="IQ915" s="18"/>
      <c r="IR915" s="18"/>
      <c r="IS915" s="18"/>
      <c r="IT915" s="18"/>
      <c r="IU915" s="18"/>
      <c r="IV915" s="18"/>
      <c r="IW915" s="18"/>
      <c r="IX915" s="18"/>
      <c r="IY915" s="18"/>
      <c r="IZ915" s="18"/>
      <c r="JA915" s="18"/>
      <c r="JB915" s="18"/>
      <c r="JC915" s="18"/>
      <c r="JD915" s="18"/>
      <c r="JE915" s="18"/>
      <c r="JF915" s="18"/>
      <c r="JG915" s="18"/>
      <c r="JH915" s="18"/>
      <c r="JI915" s="18"/>
      <c r="JJ915" s="18"/>
      <c r="JK915" s="18"/>
      <c r="JL915" s="18"/>
      <c r="JM915" s="18"/>
      <c r="JN915" s="18"/>
      <c r="JO915" s="18"/>
      <c r="JP915" s="18"/>
      <c r="JQ915" s="18"/>
      <c r="JR915" s="18"/>
      <c r="JS915" s="18"/>
      <c r="JT915" s="18"/>
      <c r="JU915" s="18"/>
      <c r="JV915" s="18"/>
      <c r="JW915" s="18"/>
      <c r="JX915" s="18"/>
      <c r="JY915" s="18"/>
      <c r="JZ915" s="18"/>
      <c r="KA915" s="18"/>
      <c r="KB915" s="18"/>
      <c r="KC915" s="18"/>
      <c r="KD915" s="18"/>
      <c r="KE915" s="18"/>
      <c r="KF915" s="18"/>
      <c r="KG915" s="18"/>
      <c r="KH915" s="18"/>
      <c r="KI915" s="18"/>
      <c r="KJ915" s="18"/>
      <c r="KK915" s="18"/>
      <c r="KL915" s="18"/>
      <c r="KM915" s="18"/>
      <c r="KN915" s="18"/>
      <c r="KO915" s="18"/>
      <c r="KP915" s="18"/>
    </row>
    <row r="916" spans="1:302">
      <c r="A916" s="14"/>
      <c r="B916" s="14"/>
      <c r="F916" s="14"/>
      <c r="G916" s="23"/>
      <c r="H916" s="23"/>
      <c r="I916" s="23"/>
      <c r="J916" s="23"/>
      <c r="K916" s="14"/>
      <c r="L916" s="14"/>
      <c r="P916" s="14"/>
      <c r="AG916" s="44"/>
      <c r="AH916" s="44"/>
      <c r="AI916" s="45"/>
      <c r="AJ916" s="44"/>
      <c r="AK916" s="43"/>
      <c r="AS916" s="14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  <c r="EW916" s="18"/>
      <c r="EX916" s="18"/>
      <c r="EY916" s="18"/>
      <c r="EZ916" s="18"/>
      <c r="FA916" s="18"/>
      <c r="FB916" s="18"/>
      <c r="FC916" s="18"/>
      <c r="FD916" s="18"/>
      <c r="FE916" s="18"/>
      <c r="FF916" s="18"/>
      <c r="FG916" s="18"/>
      <c r="FH916" s="18"/>
      <c r="FI916" s="18"/>
      <c r="FJ916" s="18"/>
      <c r="FK916" s="18"/>
      <c r="FL916" s="18"/>
      <c r="FM916" s="18"/>
      <c r="FN916" s="18"/>
      <c r="FO916" s="18"/>
      <c r="FP916" s="18"/>
      <c r="FQ916" s="18"/>
      <c r="FR916" s="18"/>
      <c r="FS916" s="18"/>
      <c r="FT916" s="18"/>
      <c r="FU916" s="18"/>
      <c r="FV916" s="18"/>
      <c r="FW916" s="18"/>
      <c r="FX916" s="18"/>
      <c r="FY916" s="18"/>
      <c r="FZ916" s="18"/>
      <c r="GA916" s="18"/>
      <c r="GB916" s="18"/>
      <c r="GC916" s="18"/>
      <c r="GD916" s="18"/>
      <c r="GE916" s="18"/>
      <c r="GF916" s="18"/>
      <c r="GG916" s="18"/>
      <c r="GH916" s="18"/>
      <c r="GI916" s="18"/>
      <c r="GJ916" s="18"/>
      <c r="GK916" s="18"/>
      <c r="GL916" s="18"/>
      <c r="GM916" s="18"/>
      <c r="GN916" s="18"/>
      <c r="GO916" s="18"/>
      <c r="GP916" s="18"/>
      <c r="GQ916" s="18"/>
      <c r="GR916" s="18"/>
      <c r="GS916" s="18"/>
      <c r="GT916" s="18"/>
      <c r="GU916" s="18"/>
      <c r="GV916" s="18"/>
      <c r="GW916" s="18"/>
      <c r="GX916" s="18"/>
      <c r="GY916" s="18"/>
      <c r="GZ916" s="18"/>
      <c r="HA916" s="18"/>
      <c r="HB916" s="18"/>
      <c r="HC916" s="18"/>
      <c r="HD916" s="18"/>
      <c r="HE916" s="18"/>
      <c r="HF916" s="18"/>
      <c r="HG916" s="13"/>
      <c r="HH916" s="13"/>
      <c r="HI916" s="13"/>
      <c r="HJ916" s="13"/>
      <c r="HK916" s="13"/>
      <c r="HL916" s="13"/>
      <c r="HM916" s="13"/>
      <c r="HN916" s="13"/>
      <c r="HO916" s="13"/>
      <c r="HP916" s="13"/>
      <c r="HQ916" s="13"/>
      <c r="HR916" s="13"/>
      <c r="HS916" s="13"/>
      <c r="HT916" s="13"/>
      <c r="HU916" s="18"/>
      <c r="HV916" s="18"/>
      <c r="HW916" s="18"/>
      <c r="HX916" s="18"/>
      <c r="HY916" s="18"/>
      <c r="HZ916" s="18"/>
      <c r="IA916" s="18"/>
      <c r="IB916" s="18"/>
      <c r="IC916" s="18"/>
      <c r="ID916" s="18"/>
      <c r="IE916" s="18"/>
      <c r="IF916" s="18"/>
      <c r="IG916" s="18"/>
      <c r="IH916" s="18"/>
      <c r="II916" s="18"/>
      <c r="IJ916" s="18"/>
      <c r="IK916" s="18"/>
      <c r="IL916" s="18"/>
      <c r="IM916" s="18"/>
      <c r="IN916" s="18"/>
      <c r="IO916" s="18"/>
      <c r="IP916" s="18"/>
      <c r="IQ916" s="18"/>
      <c r="IR916" s="18"/>
      <c r="IS916" s="18"/>
      <c r="IT916" s="18"/>
      <c r="IU916" s="18"/>
      <c r="IV916" s="18"/>
      <c r="IW916" s="18"/>
      <c r="IX916" s="18"/>
      <c r="IY916" s="18"/>
      <c r="IZ916" s="18"/>
      <c r="JA916" s="18"/>
      <c r="JB916" s="18"/>
      <c r="JC916" s="18"/>
      <c r="JD916" s="18"/>
      <c r="JE916" s="18"/>
      <c r="JF916" s="18"/>
      <c r="JG916" s="18"/>
      <c r="JH916" s="18"/>
      <c r="JI916" s="18"/>
      <c r="JJ916" s="18"/>
      <c r="JK916" s="18"/>
      <c r="JL916" s="18"/>
      <c r="JM916" s="18"/>
      <c r="JN916" s="18"/>
      <c r="JO916" s="18"/>
      <c r="JP916" s="18"/>
      <c r="JQ916" s="18"/>
      <c r="JR916" s="18"/>
      <c r="JS916" s="18"/>
      <c r="JT916" s="18"/>
      <c r="JU916" s="18"/>
      <c r="JV916" s="18"/>
      <c r="JW916" s="18"/>
      <c r="JX916" s="18"/>
      <c r="JY916" s="18"/>
      <c r="JZ916" s="18"/>
      <c r="KA916" s="18"/>
      <c r="KB916" s="18"/>
      <c r="KC916" s="18"/>
      <c r="KD916" s="18"/>
      <c r="KE916" s="18"/>
      <c r="KF916" s="18"/>
      <c r="KG916" s="18"/>
      <c r="KH916" s="18"/>
      <c r="KI916" s="18"/>
      <c r="KJ916" s="18"/>
      <c r="KK916" s="18"/>
      <c r="KL916" s="18"/>
      <c r="KM916" s="18"/>
      <c r="KN916" s="18"/>
      <c r="KO916" s="18"/>
      <c r="KP916" s="18"/>
    </row>
    <row r="917" spans="1:302">
      <c r="A917" s="14"/>
      <c r="B917" s="14"/>
      <c r="F917" s="14"/>
      <c r="G917" s="23"/>
      <c r="H917" s="23"/>
      <c r="I917" s="23"/>
      <c r="J917" s="23"/>
      <c r="K917" s="14"/>
      <c r="L917" s="14"/>
      <c r="P917" s="14"/>
      <c r="AG917" s="44"/>
      <c r="AH917" s="44"/>
      <c r="AI917" s="45"/>
      <c r="AJ917" s="44"/>
      <c r="AK917" s="43"/>
      <c r="AS917" s="14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  <c r="EW917" s="18"/>
      <c r="EX917" s="18"/>
      <c r="EY917" s="18"/>
      <c r="EZ917" s="18"/>
      <c r="FA917" s="18"/>
      <c r="FB917" s="18"/>
      <c r="FC917" s="18"/>
      <c r="FD917" s="18"/>
      <c r="FE917" s="18"/>
      <c r="FF917" s="18"/>
      <c r="FG917" s="18"/>
      <c r="FH917" s="18"/>
      <c r="FI917" s="18"/>
      <c r="FJ917" s="18"/>
      <c r="FK917" s="18"/>
      <c r="FL917" s="18"/>
      <c r="FM917" s="18"/>
      <c r="FN917" s="18"/>
      <c r="FO917" s="18"/>
      <c r="FP917" s="18"/>
      <c r="FQ917" s="18"/>
      <c r="FR917" s="18"/>
      <c r="FS917" s="18"/>
      <c r="FT917" s="18"/>
      <c r="FU917" s="18"/>
      <c r="FV917" s="18"/>
      <c r="FW917" s="18"/>
      <c r="FX917" s="18"/>
      <c r="FY917" s="18"/>
      <c r="FZ917" s="18"/>
      <c r="GA917" s="18"/>
      <c r="GB917" s="18"/>
      <c r="GC917" s="18"/>
      <c r="GD917" s="18"/>
      <c r="GE917" s="18"/>
      <c r="GF917" s="18"/>
      <c r="GG917" s="18"/>
      <c r="GH917" s="18"/>
      <c r="GI917" s="18"/>
      <c r="GJ917" s="18"/>
      <c r="GK917" s="18"/>
      <c r="GL917" s="18"/>
      <c r="GM917" s="18"/>
      <c r="GN917" s="18"/>
      <c r="GO917" s="18"/>
      <c r="GP917" s="18"/>
      <c r="GQ917" s="18"/>
      <c r="GR917" s="18"/>
      <c r="GS917" s="18"/>
      <c r="GT917" s="18"/>
      <c r="GU917" s="18"/>
      <c r="GV917" s="18"/>
      <c r="GW917" s="18"/>
      <c r="GX917" s="18"/>
      <c r="GY917" s="18"/>
      <c r="GZ917" s="18"/>
      <c r="HA917" s="18"/>
      <c r="HB917" s="18"/>
      <c r="HC917" s="18"/>
      <c r="HD917" s="18"/>
      <c r="HE917" s="18"/>
      <c r="HF917" s="18"/>
      <c r="HG917" s="13"/>
      <c r="HH917" s="13"/>
      <c r="HI917" s="13"/>
      <c r="HJ917" s="13"/>
      <c r="HK917" s="13"/>
      <c r="HL917" s="13"/>
      <c r="HM917" s="13"/>
      <c r="HN917" s="13"/>
      <c r="HO917" s="13"/>
      <c r="HP917" s="13"/>
      <c r="HQ917" s="13"/>
      <c r="HR917" s="13"/>
      <c r="HS917" s="13"/>
      <c r="HT917" s="13"/>
      <c r="HU917" s="18"/>
      <c r="HV917" s="18"/>
      <c r="HW917" s="18"/>
      <c r="HX917" s="18"/>
      <c r="HY917" s="18"/>
      <c r="HZ917" s="18"/>
      <c r="IA917" s="18"/>
      <c r="IB917" s="18"/>
      <c r="IC917" s="18"/>
      <c r="ID917" s="18"/>
      <c r="IE917" s="18"/>
      <c r="IF917" s="18"/>
      <c r="IG917" s="18"/>
      <c r="IH917" s="18"/>
      <c r="II917" s="18"/>
      <c r="IJ917" s="18"/>
      <c r="IK917" s="18"/>
      <c r="IL917" s="18"/>
      <c r="IM917" s="18"/>
      <c r="IN917" s="18"/>
      <c r="IO917" s="18"/>
      <c r="IP917" s="18"/>
      <c r="IQ917" s="18"/>
      <c r="IR917" s="18"/>
      <c r="IS917" s="18"/>
      <c r="IT917" s="18"/>
      <c r="IU917" s="18"/>
      <c r="IV917" s="18"/>
      <c r="IW917" s="18"/>
      <c r="IX917" s="18"/>
      <c r="IY917" s="18"/>
      <c r="IZ917" s="18"/>
      <c r="JA917" s="18"/>
      <c r="JB917" s="18"/>
      <c r="JC917" s="18"/>
      <c r="JD917" s="18"/>
      <c r="JE917" s="18"/>
      <c r="JF917" s="18"/>
      <c r="JG917" s="18"/>
      <c r="JH917" s="18"/>
      <c r="JI917" s="18"/>
      <c r="JJ917" s="18"/>
      <c r="JK917" s="18"/>
      <c r="JL917" s="18"/>
      <c r="JM917" s="18"/>
      <c r="JN917" s="18"/>
      <c r="JO917" s="18"/>
      <c r="JP917" s="18"/>
      <c r="JQ917" s="18"/>
      <c r="JR917" s="18"/>
      <c r="JS917" s="18"/>
      <c r="JT917" s="18"/>
      <c r="JU917" s="18"/>
      <c r="JV917" s="18"/>
      <c r="JW917" s="18"/>
      <c r="JX917" s="18"/>
      <c r="JY917" s="18"/>
      <c r="JZ917" s="18"/>
      <c r="KA917" s="18"/>
      <c r="KB917" s="18"/>
      <c r="KC917" s="18"/>
      <c r="KD917" s="18"/>
      <c r="KE917" s="18"/>
      <c r="KF917" s="18"/>
      <c r="KG917" s="18"/>
      <c r="KH917" s="18"/>
      <c r="KI917" s="18"/>
      <c r="KJ917" s="18"/>
      <c r="KK917" s="18"/>
      <c r="KL917" s="18"/>
      <c r="KM917" s="18"/>
      <c r="KN917" s="18"/>
      <c r="KO917" s="18"/>
      <c r="KP917" s="18"/>
    </row>
    <row r="918" spans="1:302">
      <c r="A918" s="14"/>
      <c r="B918" s="14"/>
      <c r="F918" s="14"/>
      <c r="G918" s="23"/>
      <c r="H918" s="23"/>
      <c r="I918" s="23"/>
      <c r="J918" s="23"/>
      <c r="K918" s="14"/>
      <c r="L918" s="14"/>
      <c r="P918" s="14"/>
      <c r="AG918" s="44"/>
      <c r="AH918" s="44"/>
      <c r="AI918" s="45"/>
      <c r="AJ918" s="44"/>
      <c r="AK918" s="43"/>
      <c r="AS918" s="14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  <c r="EW918" s="18"/>
      <c r="EX918" s="18"/>
      <c r="EY918" s="18"/>
      <c r="EZ918" s="18"/>
      <c r="FA918" s="18"/>
      <c r="FB918" s="18"/>
      <c r="FC918" s="18"/>
      <c r="FD918" s="18"/>
      <c r="FE918" s="18"/>
      <c r="FF918" s="18"/>
      <c r="FG918" s="18"/>
      <c r="FH918" s="18"/>
      <c r="FI918" s="18"/>
      <c r="FJ918" s="18"/>
      <c r="FK918" s="18"/>
      <c r="FL918" s="18"/>
      <c r="FM918" s="18"/>
      <c r="FN918" s="18"/>
      <c r="FO918" s="18"/>
      <c r="FP918" s="18"/>
      <c r="FQ918" s="18"/>
      <c r="FR918" s="18"/>
      <c r="FS918" s="18"/>
      <c r="FT918" s="18"/>
      <c r="FU918" s="18"/>
      <c r="FV918" s="18"/>
      <c r="FW918" s="18"/>
      <c r="FX918" s="18"/>
      <c r="FY918" s="18"/>
      <c r="FZ918" s="18"/>
      <c r="GA918" s="18"/>
      <c r="GB918" s="18"/>
      <c r="GC918" s="18"/>
      <c r="GD918" s="18"/>
      <c r="GE918" s="18"/>
      <c r="GF918" s="18"/>
      <c r="GG918" s="18"/>
      <c r="GH918" s="18"/>
      <c r="GI918" s="18"/>
      <c r="GJ918" s="18"/>
      <c r="GK918" s="18"/>
      <c r="GL918" s="18"/>
      <c r="GM918" s="18"/>
      <c r="GN918" s="18"/>
      <c r="GO918" s="18"/>
      <c r="GP918" s="18"/>
      <c r="GQ918" s="18"/>
      <c r="GR918" s="18"/>
      <c r="GS918" s="18"/>
      <c r="GT918" s="18"/>
      <c r="GU918" s="18"/>
      <c r="GV918" s="18"/>
      <c r="GW918" s="18"/>
      <c r="GX918" s="18"/>
      <c r="GY918" s="18"/>
      <c r="GZ918" s="18"/>
      <c r="HA918" s="18"/>
      <c r="HB918" s="18"/>
      <c r="HC918" s="18"/>
      <c r="HD918" s="18"/>
      <c r="HE918" s="18"/>
      <c r="HF918" s="18"/>
      <c r="HG918" s="13"/>
      <c r="HH918" s="13"/>
      <c r="HI918" s="13"/>
      <c r="HJ918" s="13"/>
      <c r="HK918" s="13"/>
      <c r="HL918" s="13"/>
      <c r="HM918" s="13"/>
      <c r="HN918" s="13"/>
      <c r="HO918" s="13"/>
      <c r="HP918" s="13"/>
      <c r="HQ918" s="13"/>
      <c r="HR918" s="13"/>
      <c r="HS918" s="13"/>
      <c r="HT918" s="13"/>
      <c r="HU918" s="18"/>
      <c r="HV918" s="18"/>
      <c r="HW918" s="18"/>
      <c r="HX918" s="18"/>
      <c r="HY918" s="18"/>
      <c r="HZ918" s="18"/>
      <c r="IA918" s="18"/>
      <c r="IB918" s="18"/>
      <c r="IC918" s="18"/>
      <c r="ID918" s="18"/>
      <c r="IE918" s="18"/>
      <c r="IF918" s="18"/>
      <c r="IG918" s="18"/>
      <c r="IH918" s="18"/>
      <c r="II918" s="18"/>
      <c r="IJ918" s="18"/>
      <c r="IK918" s="18"/>
      <c r="IL918" s="18"/>
      <c r="IM918" s="18"/>
      <c r="IN918" s="18"/>
      <c r="IO918" s="18"/>
      <c r="IP918" s="18"/>
      <c r="IQ918" s="18"/>
      <c r="IR918" s="18"/>
      <c r="IS918" s="18"/>
      <c r="IT918" s="18"/>
      <c r="IU918" s="18"/>
      <c r="IV918" s="18"/>
      <c r="IW918" s="18"/>
      <c r="IX918" s="18"/>
      <c r="IY918" s="18"/>
      <c r="IZ918" s="18"/>
      <c r="JA918" s="18"/>
      <c r="JB918" s="18"/>
      <c r="JC918" s="18"/>
      <c r="JD918" s="18"/>
      <c r="JE918" s="18"/>
      <c r="JF918" s="18"/>
      <c r="JG918" s="18"/>
      <c r="JH918" s="18"/>
      <c r="JI918" s="18"/>
      <c r="JJ918" s="18"/>
      <c r="JK918" s="18"/>
      <c r="JL918" s="18"/>
      <c r="JM918" s="18"/>
      <c r="JN918" s="18"/>
      <c r="JO918" s="18"/>
      <c r="JP918" s="18"/>
      <c r="JQ918" s="18"/>
      <c r="JR918" s="18"/>
      <c r="JS918" s="18"/>
      <c r="JT918" s="18"/>
      <c r="JU918" s="18"/>
      <c r="JV918" s="18"/>
      <c r="JW918" s="18"/>
      <c r="JX918" s="18"/>
      <c r="JY918" s="18"/>
      <c r="JZ918" s="18"/>
      <c r="KA918" s="18"/>
      <c r="KB918" s="18"/>
      <c r="KC918" s="18"/>
      <c r="KD918" s="18"/>
      <c r="KE918" s="18"/>
      <c r="KF918" s="18"/>
      <c r="KG918" s="18"/>
      <c r="KH918" s="18"/>
      <c r="KI918" s="18"/>
      <c r="KJ918" s="18"/>
      <c r="KK918" s="18"/>
      <c r="KL918" s="18"/>
      <c r="KM918" s="18"/>
      <c r="KN918" s="18"/>
      <c r="KO918" s="18"/>
      <c r="KP918" s="18"/>
    </row>
    <row r="919" spans="1:302">
      <c r="A919" s="14"/>
      <c r="B919" s="14"/>
      <c r="F919" s="14"/>
      <c r="G919" s="23"/>
      <c r="H919" s="23"/>
      <c r="I919" s="23"/>
      <c r="J919" s="23"/>
      <c r="K919" s="14"/>
      <c r="L919" s="14"/>
      <c r="P919" s="14"/>
      <c r="AG919" s="44"/>
      <c r="AH919" s="44"/>
      <c r="AI919" s="45"/>
      <c r="AJ919" s="44"/>
      <c r="AK919" s="43"/>
      <c r="AS919" s="14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  <c r="EW919" s="18"/>
      <c r="EX919" s="18"/>
      <c r="EY919" s="18"/>
      <c r="EZ919" s="18"/>
      <c r="FA919" s="18"/>
      <c r="FB919" s="18"/>
      <c r="FC919" s="18"/>
      <c r="FD919" s="18"/>
      <c r="FE919" s="18"/>
      <c r="FF919" s="18"/>
      <c r="FG919" s="18"/>
      <c r="FH919" s="18"/>
      <c r="FI919" s="18"/>
      <c r="FJ919" s="18"/>
      <c r="FK919" s="18"/>
      <c r="FL919" s="18"/>
      <c r="FM919" s="18"/>
      <c r="FN919" s="18"/>
      <c r="FO919" s="18"/>
      <c r="FP919" s="18"/>
      <c r="FQ919" s="18"/>
      <c r="FR919" s="18"/>
      <c r="FS919" s="18"/>
      <c r="FT919" s="18"/>
      <c r="FU919" s="18"/>
      <c r="FV919" s="18"/>
      <c r="FW919" s="18"/>
      <c r="FX919" s="18"/>
      <c r="FY919" s="18"/>
      <c r="FZ919" s="18"/>
      <c r="GA919" s="18"/>
      <c r="GB919" s="18"/>
      <c r="GC919" s="18"/>
      <c r="GD919" s="18"/>
      <c r="GE919" s="18"/>
      <c r="GF919" s="18"/>
      <c r="GG919" s="18"/>
      <c r="GH919" s="18"/>
      <c r="GI919" s="18"/>
      <c r="GJ919" s="18"/>
      <c r="GK919" s="18"/>
      <c r="GL919" s="18"/>
      <c r="GM919" s="18"/>
      <c r="GN919" s="18"/>
      <c r="GO919" s="18"/>
      <c r="GP919" s="18"/>
      <c r="GQ919" s="18"/>
      <c r="GR919" s="18"/>
      <c r="GS919" s="18"/>
      <c r="GT919" s="18"/>
      <c r="GU919" s="18"/>
      <c r="GV919" s="18"/>
      <c r="GW919" s="18"/>
      <c r="GX919" s="18"/>
      <c r="GY919" s="18"/>
      <c r="GZ919" s="18"/>
      <c r="HA919" s="18"/>
      <c r="HB919" s="18"/>
      <c r="HC919" s="18"/>
      <c r="HD919" s="18"/>
      <c r="HE919" s="18"/>
      <c r="HF919" s="18"/>
      <c r="HG919" s="13"/>
      <c r="HH919" s="13"/>
      <c r="HI919" s="13"/>
      <c r="HJ919" s="13"/>
      <c r="HK919" s="13"/>
      <c r="HL919" s="13"/>
      <c r="HM919" s="13"/>
      <c r="HN919" s="13"/>
      <c r="HO919" s="13"/>
      <c r="HP919" s="13"/>
      <c r="HQ919" s="13"/>
      <c r="HR919" s="13"/>
      <c r="HS919" s="13"/>
      <c r="HT919" s="13"/>
      <c r="HU919" s="18"/>
      <c r="HV919" s="18"/>
      <c r="HW919" s="18"/>
      <c r="HX919" s="18"/>
      <c r="HY919" s="18"/>
      <c r="HZ919" s="18"/>
      <c r="IA919" s="18"/>
      <c r="IB919" s="18"/>
      <c r="IC919" s="18"/>
      <c r="ID919" s="18"/>
      <c r="IE919" s="18"/>
      <c r="IF919" s="18"/>
      <c r="IG919" s="18"/>
      <c r="IH919" s="18"/>
      <c r="II919" s="18"/>
      <c r="IJ919" s="18"/>
      <c r="IK919" s="18"/>
      <c r="IL919" s="18"/>
      <c r="IM919" s="18"/>
      <c r="IN919" s="18"/>
      <c r="IO919" s="18"/>
      <c r="IP919" s="18"/>
      <c r="IQ919" s="18"/>
      <c r="IR919" s="18"/>
      <c r="IS919" s="18"/>
      <c r="IT919" s="18"/>
      <c r="IU919" s="18"/>
      <c r="IV919" s="18"/>
      <c r="IW919" s="18"/>
      <c r="IX919" s="18"/>
      <c r="IY919" s="18"/>
      <c r="IZ919" s="18"/>
      <c r="JA919" s="18"/>
      <c r="JB919" s="18"/>
      <c r="JC919" s="18"/>
      <c r="JD919" s="18"/>
      <c r="JE919" s="18"/>
      <c r="JF919" s="18"/>
      <c r="JG919" s="18"/>
      <c r="JH919" s="18"/>
      <c r="JI919" s="18"/>
      <c r="JJ919" s="18"/>
      <c r="JK919" s="18"/>
      <c r="JL919" s="18"/>
      <c r="JM919" s="18"/>
      <c r="JN919" s="18"/>
      <c r="JO919" s="18"/>
      <c r="JP919" s="18"/>
      <c r="JQ919" s="18"/>
      <c r="JR919" s="18"/>
      <c r="JS919" s="18"/>
      <c r="JT919" s="18"/>
      <c r="JU919" s="18"/>
      <c r="JV919" s="18"/>
      <c r="JW919" s="18"/>
      <c r="JX919" s="18"/>
      <c r="JY919" s="18"/>
      <c r="JZ919" s="18"/>
      <c r="KA919" s="18"/>
      <c r="KB919" s="18"/>
      <c r="KC919" s="18"/>
      <c r="KD919" s="18"/>
      <c r="KE919" s="18"/>
      <c r="KF919" s="18"/>
      <c r="KG919" s="18"/>
      <c r="KH919" s="18"/>
      <c r="KI919" s="18"/>
      <c r="KJ919" s="18"/>
      <c r="KK919" s="18"/>
      <c r="KL919" s="18"/>
      <c r="KM919" s="18"/>
      <c r="KN919" s="18"/>
      <c r="KO919" s="18"/>
      <c r="KP919" s="18"/>
    </row>
    <row r="920" spans="1:302">
      <c r="A920" s="14"/>
      <c r="B920" s="14"/>
      <c r="F920" s="14"/>
      <c r="G920" s="23"/>
      <c r="H920" s="23"/>
      <c r="I920" s="23"/>
      <c r="J920" s="23"/>
      <c r="K920" s="14"/>
      <c r="L920" s="14"/>
      <c r="P920" s="14"/>
      <c r="AG920" s="44"/>
      <c r="AH920" s="44"/>
      <c r="AI920" s="45"/>
      <c r="AJ920" s="44"/>
      <c r="AK920" s="43"/>
      <c r="AS920" s="14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  <c r="EW920" s="18"/>
      <c r="EX920" s="18"/>
      <c r="EY920" s="18"/>
      <c r="EZ920" s="18"/>
      <c r="FA920" s="18"/>
      <c r="FB920" s="18"/>
      <c r="FC920" s="18"/>
      <c r="FD920" s="18"/>
      <c r="FE920" s="18"/>
      <c r="FF920" s="18"/>
      <c r="FG920" s="18"/>
      <c r="FH920" s="18"/>
      <c r="FI920" s="18"/>
      <c r="FJ920" s="18"/>
      <c r="FK920" s="18"/>
      <c r="FL920" s="18"/>
      <c r="FM920" s="18"/>
      <c r="FN920" s="18"/>
      <c r="FO920" s="18"/>
      <c r="FP920" s="18"/>
      <c r="FQ920" s="18"/>
      <c r="FR920" s="18"/>
      <c r="FS920" s="18"/>
      <c r="FT920" s="18"/>
      <c r="FU920" s="18"/>
      <c r="FV920" s="18"/>
      <c r="FW920" s="18"/>
      <c r="FX920" s="18"/>
      <c r="FY920" s="18"/>
      <c r="FZ920" s="18"/>
      <c r="GA920" s="18"/>
      <c r="GB920" s="18"/>
      <c r="GC920" s="18"/>
      <c r="GD920" s="18"/>
      <c r="GE920" s="18"/>
      <c r="GF920" s="18"/>
      <c r="GG920" s="18"/>
      <c r="GH920" s="18"/>
      <c r="GI920" s="18"/>
      <c r="GJ920" s="18"/>
      <c r="GK920" s="18"/>
      <c r="GL920" s="18"/>
      <c r="GM920" s="18"/>
      <c r="GN920" s="18"/>
      <c r="GO920" s="18"/>
      <c r="GP920" s="18"/>
      <c r="GQ920" s="18"/>
      <c r="GR920" s="18"/>
      <c r="GS920" s="18"/>
      <c r="GT920" s="18"/>
      <c r="GU920" s="18"/>
      <c r="GV920" s="18"/>
      <c r="GW920" s="18"/>
      <c r="GX920" s="18"/>
      <c r="GY920" s="18"/>
      <c r="GZ920" s="18"/>
      <c r="HA920" s="18"/>
      <c r="HB920" s="18"/>
      <c r="HC920" s="18"/>
      <c r="HD920" s="18"/>
      <c r="HE920" s="18"/>
      <c r="HF920" s="18"/>
      <c r="HG920" s="13"/>
      <c r="HH920" s="13"/>
      <c r="HI920" s="13"/>
      <c r="HJ920" s="13"/>
      <c r="HK920" s="13"/>
      <c r="HL920" s="13"/>
      <c r="HM920" s="13"/>
      <c r="HN920" s="13"/>
      <c r="HO920" s="13"/>
      <c r="HP920" s="13"/>
      <c r="HQ920" s="13"/>
      <c r="HR920" s="13"/>
      <c r="HS920" s="13"/>
      <c r="HT920" s="13"/>
      <c r="HU920" s="18"/>
      <c r="HV920" s="18"/>
      <c r="HW920" s="18"/>
      <c r="HX920" s="18"/>
      <c r="HY920" s="18"/>
      <c r="HZ920" s="18"/>
      <c r="IA920" s="18"/>
      <c r="IB920" s="18"/>
      <c r="IC920" s="18"/>
      <c r="ID920" s="18"/>
      <c r="IE920" s="18"/>
      <c r="IF920" s="18"/>
      <c r="IG920" s="18"/>
      <c r="IH920" s="18"/>
      <c r="II920" s="18"/>
      <c r="IJ920" s="18"/>
      <c r="IK920" s="18"/>
      <c r="IL920" s="18"/>
      <c r="IM920" s="18"/>
      <c r="IN920" s="18"/>
      <c r="IO920" s="18"/>
      <c r="IP920" s="18"/>
      <c r="IQ920" s="18"/>
      <c r="IR920" s="18"/>
      <c r="IS920" s="18"/>
      <c r="IT920" s="18"/>
      <c r="IU920" s="18"/>
      <c r="IV920" s="18"/>
      <c r="IW920" s="18"/>
      <c r="IX920" s="18"/>
      <c r="IY920" s="18"/>
      <c r="IZ920" s="18"/>
      <c r="JA920" s="18"/>
      <c r="JB920" s="18"/>
      <c r="JC920" s="18"/>
      <c r="JD920" s="18"/>
      <c r="JE920" s="18"/>
      <c r="JF920" s="18"/>
      <c r="JG920" s="18"/>
      <c r="JH920" s="18"/>
      <c r="JI920" s="18"/>
      <c r="JJ920" s="18"/>
      <c r="JK920" s="18"/>
      <c r="JL920" s="18"/>
      <c r="JM920" s="18"/>
      <c r="JN920" s="18"/>
      <c r="JO920" s="18"/>
      <c r="JP920" s="18"/>
      <c r="JQ920" s="18"/>
      <c r="JR920" s="18"/>
      <c r="JS920" s="18"/>
      <c r="JT920" s="18"/>
      <c r="JU920" s="18"/>
      <c r="JV920" s="18"/>
      <c r="JW920" s="18"/>
      <c r="JX920" s="18"/>
      <c r="JY920" s="18"/>
      <c r="JZ920" s="18"/>
      <c r="KA920" s="18"/>
      <c r="KB920" s="18"/>
      <c r="KC920" s="18"/>
      <c r="KD920" s="18"/>
      <c r="KE920" s="18"/>
      <c r="KF920" s="18"/>
      <c r="KG920" s="18"/>
      <c r="KH920" s="18"/>
      <c r="KI920" s="18"/>
      <c r="KJ920" s="18"/>
      <c r="KK920" s="18"/>
      <c r="KL920" s="18"/>
      <c r="KM920" s="18"/>
      <c r="KN920" s="18"/>
      <c r="KO920" s="18"/>
      <c r="KP920" s="18"/>
    </row>
    <row r="921" spans="1:302">
      <c r="A921" s="14"/>
      <c r="B921" s="14"/>
      <c r="F921" s="14"/>
      <c r="G921" s="23"/>
      <c r="H921" s="23"/>
      <c r="I921" s="23"/>
      <c r="J921" s="23"/>
      <c r="K921" s="14"/>
      <c r="L921" s="14"/>
      <c r="P921" s="14"/>
      <c r="AG921" s="44"/>
      <c r="AH921" s="44"/>
      <c r="AI921" s="45"/>
      <c r="AJ921" s="44"/>
      <c r="AK921" s="43"/>
      <c r="AS921" s="14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  <c r="EW921" s="18"/>
      <c r="EX921" s="18"/>
      <c r="EY921" s="18"/>
      <c r="EZ921" s="18"/>
      <c r="FA921" s="18"/>
      <c r="FB921" s="18"/>
      <c r="FC921" s="18"/>
      <c r="FD921" s="18"/>
      <c r="FE921" s="18"/>
      <c r="FF921" s="18"/>
      <c r="FG921" s="18"/>
      <c r="FH921" s="18"/>
      <c r="FI921" s="18"/>
      <c r="FJ921" s="18"/>
      <c r="FK921" s="18"/>
      <c r="FL921" s="18"/>
      <c r="FM921" s="18"/>
      <c r="FN921" s="18"/>
      <c r="FO921" s="18"/>
      <c r="FP921" s="18"/>
      <c r="FQ921" s="18"/>
      <c r="FR921" s="18"/>
      <c r="FS921" s="18"/>
      <c r="FT921" s="18"/>
      <c r="FU921" s="18"/>
      <c r="FV921" s="18"/>
      <c r="FW921" s="18"/>
      <c r="FX921" s="18"/>
      <c r="FY921" s="18"/>
      <c r="FZ921" s="18"/>
      <c r="GA921" s="18"/>
      <c r="GB921" s="18"/>
      <c r="GC921" s="18"/>
      <c r="GD921" s="18"/>
      <c r="GE921" s="18"/>
      <c r="GF921" s="18"/>
      <c r="GG921" s="18"/>
      <c r="GH921" s="18"/>
      <c r="GI921" s="18"/>
      <c r="GJ921" s="18"/>
      <c r="GK921" s="18"/>
      <c r="GL921" s="18"/>
      <c r="GM921" s="18"/>
      <c r="GN921" s="18"/>
      <c r="GO921" s="18"/>
      <c r="GP921" s="18"/>
      <c r="GQ921" s="18"/>
      <c r="GR921" s="18"/>
      <c r="GS921" s="18"/>
      <c r="GT921" s="18"/>
      <c r="GU921" s="18"/>
      <c r="GV921" s="18"/>
      <c r="GW921" s="18"/>
      <c r="GX921" s="18"/>
      <c r="GY921" s="18"/>
      <c r="GZ921" s="18"/>
      <c r="HA921" s="18"/>
      <c r="HB921" s="18"/>
      <c r="HC921" s="18"/>
      <c r="HD921" s="18"/>
      <c r="HE921" s="18"/>
      <c r="HF921" s="18"/>
      <c r="HG921" s="13"/>
      <c r="HH921" s="13"/>
      <c r="HI921" s="13"/>
      <c r="HJ921" s="13"/>
      <c r="HK921" s="13"/>
      <c r="HL921" s="13"/>
      <c r="HM921" s="13"/>
      <c r="HN921" s="13"/>
      <c r="HO921" s="13"/>
      <c r="HP921" s="13"/>
      <c r="HQ921" s="13"/>
      <c r="HR921" s="13"/>
      <c r="HS921" s="13"/>
      <c r="HT921" s="13"/>
      <c r="HU921" s="18"/>
      <c r="HV921" s="18"/>
      <c r="HW921" s="18"/>
      <c r="HX921" s="18"/>
      <c r="HY921" s="18"/>
      <c r="HZ921" s="18"/>
      <c r="IA921" s="18"/>
      <c r="IB921" s="18"/>
      <c r="IC921" s="18"/>
      <c r="ID921" s="18"/>
      <c r="IE921" s="18"/>
      <c r="IF921" s="18"/>
      <c r="IG921" s="18"/>
      <c r="IH921" s="18"/>
      <c r="II921" s="18"/>
      <c r="IJ921" s="18"/>
      <c r="IK921" s="18"/>
      <c r="IL921" s="18"/>
      <c r="IM921" s="18"/>
      <c r="IN921" s="18"/>
      <c r="IO921" s="18"/>
      <c r="IP921" s="18"/>
      <c r="IQ921" s="18"/>
      <c r="IR921" s="18"/>
      <c r="IS921" s="18"/>
      <c r="IT921" s="18"/>
      <c r="IU921" s="18"/>
      <c r="IV921" s="18"/>
      <c r="IW921" s="18"/>
      <c r="IX921" s="18"/>
      <c r="IY921" s="18"/>
      <c r="IZ921" s="18"/>
      <c r="JA921" s="18"/>
      <c r="JB921" s="18"/>
      <c r="JC921" s="18"/>
      <c r="JD921" s="18"/>
      <c r="JE921" s="18"/>
      <c r="JF921" s="18"/>
      <c r="JG921" s="18"/>
      <c r="JH921" s="18"/>
      <c r="JI921" s="18"/>
      <c r="JJ921" s="18"/>
      <c r="JK921" s="18"/>
      <c r="JL921" s="18"/>
      <c r="JM921" s="18"/>
      <c r="JN921" s="18"/>
      <c r="JO921" s="18"/>
      <c r="JP921" s="18"/>
      <c r="JQ921" s="18"/>
      <c r="JR921" s="18"/>
      <c r="JS921" s="18"/>
      <c r="JT921" s="18"/>
      <c r="JU921" s="18"/>
      <c r="JV921" s="18"/>
      <c r="JW921" s="18"/>
      <c r="JX921" s="18"/>
      <c r="JY921" s="18"/>
      <c r="JZ921" s="18"/>
      <c r="KA921" s="18"/>
      <c r="KB921" s="18"/>
      <c r="KC921" s="18"/>
      <c r="KD921" s="18"/>
      <c r="KE921" s="18"/>
      <c r="KF921" s="18"/>
      <c r="KG921" s="18"/>
      <c r="KH921" s="18"/>
      <c r="KI921" s="18"/>
      <c r="KJ921" s="18"/>
      <c r="KK921" s="18"/>
      <c r="KL921" s="18"/>
      <c r="KM921" s="18"/>
      <c r="KN921" s="18"/>
      <c r="KO921" s="18"/>
      <c r="KP921" s="18"/>
    </row>
    <row r="922" spans="1:302">
      <c r="A922" s="14"/>
      <c r="B922" s="14"/>
      <c r="F922" s="14"/>
      <c r="G922" s="23"/>
      <c r="H922" s="23"/>
      <c r="I922" s="23"/>
      <c r="J922" s="23"/>
      <c r="K922" s="14"/>
      <c r="L922" s="14"/>
      <c r="P922" s="14"/>
      <c r="AG922" s="44"/>
      <c r="AH922" s="44"/>
      <c r="AI922" s="45"/>
      <c r="AJ922" s="44"/>
      <c r="AK922" s="43"/>
      <c r="AS922" s="14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  <c r="EW922" s="18"/>
      <c r="EX922" s="18"/>
      <c r="EY922" s="18"/>
      <c r="EZ922" s="18"/>
      <c r="FA922" s="18"/>
      <c r="FB922" s="18"/>
      <c r="FC922" s="18"/>
      <c r="FD922" s="18"/>
      <c r="FE922" s="18"/>
      <c r="FF922" s="18"/>
      <c r="FG922" s="18"/>
      <c r="FH922" s="18"/>
      <c r="FI922" s="18"/>
      <c r="FJ922" s="18"/>
      <c r="FK922" s="18"/>
      <c r="FL922" s="18"/>
      <c r="FM922" s="18"/>
      <c r="FN922" s="18"/>
      <c r="FO922" s="18"/>
      <c r="FP922" s="18"/>
      <c r="FQ922" s="18"/>
      <c r="FR922" s="18"/>
      <c r="FS922" s="18"/>
      <c r="FT922" s="18"/>
      <c r="FU922" s="18"/>
      <c r="FV922" s="18"/>
      <c r="FW922" s="18"/>
      <c r="FX922" s="18"/>
      <c r="FY922" s="18"/>
      <c r="FZ922" s="18"/>
      <c r="GA922" s="18"/>
      <c r="GB922" s="18"/>
      <c r="GC922" s="18"/>
      <c r="GD922" s="18"/>
      <c r="GE922" s="18"/>
      <c r="GF922" s="18"/>
      <c r="GG922" s="18"/>
      <c r="GH922" s="18"/>
      <c r="GI922" s="18"/>
      <c r="GJ922" s="18"/>
      <c r="GK922" s="18"/>
      <c r="GL922" s="18"/>
      <c r="GM922" s="18"/>
      <c r="GN922" s="18"/>
      <c r="GO922" s="18"/>
      <c r="GP922" s="18"/>
      <c r="GQ922" s="18"/>
      <c r="GR922" s="18"/>
      <c r="GS922" s="18"/>
      <c r="GT922" s="18"/>
      <c r="GU922" s="18"/>
      <c r="GV922" s="18"/>
      <c r="GW922" s="18"/>
      <c r="GX922" s="18"/>
      <c r="GY922" s="18"/>
      <c r="GZ922" s="18"/>
      <c r="HA922" s="18"/>
      <c r="HB922" s="18"/>
      <c r="HC922" s="18"/>
      <c r="HD922" s="18"/>
      <c r="HE922" s="18"/>
      <c r="HF922" s="18"/>
      <c r="HG922" s="13"/>
      <c r="HH922" s="13"/>
      <c r="HI922" s="13"/>
      <c r="HJ922" s="13"/>
      <c r="HK922" s="13"/>
      <c r="HL922" s="13"/>
      <c r="HM922" s="13"/>
      <c r="HN922" s="13"/>
      <c r="HO922" s="13"/>
      <c r="HP922" s="13"/>
      <c r="HQ922" s="13"/>
      <c r="HR922" s="13"/>
      <c r="HS922" s="13"/>
      <c r="HT922" s="13"/>
      <c r="HU922" s="18"/>
      <c r="HV922" s="18"/>
      <c r="HW922" s="18"/>
      <c r="HX922" s="18"/>
      <c r="HY922" s="18"/>
      <c r="HZ922" s="18"/>
      <c r="IA922" s="18"/>
      <c r="IB922" s="18"/>
      <c r="IC922" s="18"/>
      <c r="ID922" s="18"/>
      <c r="IE922" s="18"/>
      <c r="IF922" s="18"/>
      <c r="IG922" s="18"/>
      <c r="IH922" s="18"/>
      <c r="II922" s="18"/>
      <c r="IJ922" s="18"/>
      <c r="IK922" s="18"/>
      <c r="IL922" s="18"/>
      <c r="IM922" s="18"/>
      <c r="IN922" s="18"/>
      <c r="IO922" s="18"/>
      <c r="IP922" s="18"/>
      <c r="IQ922" s="18"/>
      <c r="IR922" s="18"/>
      <c r="IS922" s="18"/>
      <c r="IT922" s="18"/>
      <c r="IU922" s="18"/>
      <c r="IV922" s="18"/>
      <c r="IW922" s="18"/>
      <c r="IX922" s="18"/>
      <c r="IY922" s="18"/>
      <c r="IZ922" s="18"/>
      <c r="JA922" s="18"/>
      <c r="JB922" s="18"/>
      <c r="JC922" s="18"/>
      <c r="JD922" s="18"/>
      <c r="JE922" s="18"/>
      <c r="JF922" s="18"/>
      <c r="JG922" s="18"/>
      <c r="JH922" s="18"/>
      <c r="JI922" s="18"/>
      <c r="JJ922" s="18"/>
      <c r="JK922" s="18"/>
      <c r="JL922" s="18"/>
      <c r="JM922" s="18"/>
      <c r="JN922" s="18"/>
      <c r="JO922" s="18"/>
      <c r="JP922" s="18"/>
      <c r="JQ922" s="18"/>
      <c r="JR922" s="18"/>
      <c r="JS922" s="18"/>
      <c r="JT922" s="18"/>
      <c r="JU922" s="18"/>
      <c r="JV922" s="18"/>
      <c r="JW922" s="18"/>
      <c r="JX922" s="18"/>
      <c r="JY922" s="18"/>
      <c r="JZ922" s="18"/>
      <c r="KA922" s="18"/>
      <c r="KB922" s="18"/>
      <c r="KC922" s="18"/>
      <c r="KD922" s="18"/>
      <c r="KE922" s="18"/>
      <c r="KF922" s="18"/>
      <c r="KG922" s="18"/>
      <c r="KH922" s="18"/>
      <c r="KI922" s="18"/>
      <c r="KJ922" s="18"/>
      <c r="KK922" s="18"/>
      <c r="KL922" s="18"/>
      <c r="KM922" s="18"/>
      <c r="KN922" s="18"/>
      <c r="KO922" s="18"/>
      <c r="KP922" s="18"/>
    </row>
    <row r="923" spans="1:302">
      <c r="A923" s="14"/>
      <c r="B923" s="14"/>
      <c r="F923" s="14"/>
      <c r="G923" s="23"/>
      <c r="H923" s="23"/>
      <c r="I923" s="23"/>
      <c r="J923" s="23"/>
      <c r="K923" s="14"/>
      <c r="L923" s="14"/>
      <c r="P923" s="14"/>
      <c r="AG923" s="44"/>
      <c r="AH923" s="44"/>
      <c r="AI923" s="45"/>
      <c r="AJ923" s="44"/>
      <c r="AK923" s="43"/>
      <c r="AS923" s="14"/>
      <c r="AT923" s="18"/>
      <c r="AU923" s="18"/>
      <c r="AV923" s="18"/>
      <c r="AW923" s="18"/>
      <c r="AX923" s="18"/>
      <c r="AY923" s="18"/>
      <c r="AZ923" s="18"/>
      <c r="BA923" s="18"/>
      <c r="BB923" s="18"/>
      <c r="BC923" s="18"/>
      <c r="BD923" s="18"/>
      <c r="BE923" s="18"/>
      <c r="BF923" s="18"/>
      <c r="BG923" s="18"/>
      <c r="BH923" s="18"/>
      <c r="BI923" s="18"/>
      <c r="BJ923" s="18"/>
      <c r="BK923" s="18"/>
      <c r="BL923" s="18"/>
      <c r="BM923" s="18"/>
      <c r="BN923" s="18"/>
      <c r="BO923" s="18"/>
      <c r="BP923" s="18"/>
      <c r="BQ923" s="18"/>
      <c r="BR923" s="18"/>
      <c r="BS923" s="18"/>
      <c r="BT923" s="18"/>
      <c r="BU923" s="18"/>
      <c r="BV923" s="18"/>
      <c r="BW923" s="18"/>
      <c r="BX923" s="18"/>
      <c r="BY923" s="18"/>
      <c r="BZ923" s="18"/>
      <c r="CA923" s="18"/>
      <c r="CB923" s="18"/>
      <c r="CC923" s="18"/>
      <c r="CD923" s="18"/>
      <c r="CE923" s="18"/>
      <c r="CF923" s="18"/>
      <c r="CG923" s="18"/>
      <c r="CH923" s="18"/>
      <c r="CI923" s="18"/>
      <c r="CJ923" s="18"/>
      <c r="CK923" s="18"/>
      <c r="CL923" s="18"/>
      <c r="CM923" s="18"/>
      <c r="CN923" s="18"/>
      <c r="CO923" s="18"/>
      <c r="CP923" s="18"/>
      <c r="CQ923" s="18"/>
      <c r="CR923" s="18"/>
      <c r="CS923" s="18"/>
      <c r="CT923" s="18"/>
      <c r="CU923" s="18"/>
      <c r="CV923" s="18"/>
      <c r="CW923" s="18"/>
      <c r="CX923" s="18"/>
      <c r="CY923" s="18"/>
      <c r="CZ923" s="18"/>
      <c r="DA923" s="18"/>
      <c r="DB923" s="18"/>
      <c r="DC923" s="18"/>
      <c r="DD923" s="18"/>
      <c r="DE923" s="18"/>
      <c r="DF923" s="18"/>
      <c r="DG923" s="18"/>
      <c r="DH923" s="18"/>
      <c r="DI923" s="18"/>
      <c r="DJ923" s="18"/>
      <c r="DK923" s="18"/>
      <c r="DL923" s="18"/>
      <c r="DM923" s="18"/>
      <c r="DN923" s="18"/>
      <c r="DO923" s="18"/>
      <c r="DP923" s="18"/>
      <c r="DQ923" s="18"/>
      <c r="DR923" s="18"/>
      <c r="DS923" s="18"/>
      <c r="DT923" s="18"/>
      <c r="DU923" s="18"/>
      <c r="DV923" s="18"/>
      <c r="DW923" s="18"/>
      <c r="DX923" s="18"/>
      <c r="DY923" s="18"/>
      <c r="DZ923" s="18"/>
      <c r="EA923" s="18"/>
      <c r="EB923" s="18"/>
      <c r="EC923" s="18"/>
      <c r="ED923" s="18"/>
      <c r="EE923" s="18"/>
      <c r="EF923" s="18"/>
      <c r="EG923" s="18"/>
      <c r="EH923" s="18"/>
      <c r="EI923" s="18"/>
      <c r="EJ923" s="18"/>
      <c r="EK923" s="18"/>
      <c r="EL923" s="18"/>
      <c r="EM923" s="18"/>
      <c r="EN923" s="18"/>
      <c r="EO923" s="18"/>
      <c r="EP923" s="18"/>
      <c r="EQ923" s="18"/>
      <c r="ER923" s="18"/>
      <c r="ES923" s="18"/>
      <c r="ET923" s="18"/>
      <c r="EU923" s="18"/>
      <c r="EV923" s="18"/>
      <c r="EW923" s="18"/>
      <c r="EX923" s="18"/>
      <c r="EY923" s="18"/>
      <c r="EZ923" s="18"/>
      <c r="FA923" s="18"/>
      <c r="FB923" s="18"/>
      <c r="FC923" s="18"/>
      <c r="FD923" s="18"/>
      <c r="FE923" s="18"/>
      <c r="FF923" s="18"/>
      <c r="FG923" s="18"/>
      <c r="FH923" s="18"/>
      <c r="FI923" s="18"/>
      <c r="FJ923" s="18"/>
      <c r="FK923" s="18"/>
      <c r="FL923" s="18"/>
      <c r="FM923" s="18"/>
      <c r="FN923" s="18"/>
      <c r="FO923" s="18"/>
      <c r="FP923" s="18"/>
      <c r="FQ923" s="18"/>
      <c r="FR923" s="18"/>
      <c r="FS923" s="18"/>
      <c r="FT923" s="18"/>
      <c r="FU923" s="18"/>
      <c r="FV923" s="18"/>
      <c r="FW923" s="18"/>
      <c r="FX923" s="18"/>
      <c r="FY923" s="18"/>
      <c r="FZ923" s="18"/>
      <c r="GA923" s="18"/>
      <c r="GB923" s="18"/>
      <c r="GC923" s="18"/>
      <c r="GD923" s="18"/>
      <c r="GE923" s="18"/>
      <c r="GF923" s="18"/>
      <c r="GG923" s="18"/>
      <c r="GH923" s="18"/>
      <c r="GI923" s="18"/>
      <c r="GJ923" s="18"/>
      <c r="GK923" s="18"/>
      <c r="GL923" s="18"/>
      <c r="GM923" s="18"/>
      <c r="GN923" s="18"/>
      <c r="GO923" s="18"/>
      <c r="GP923" s="18"/>
      <c r="GQ923" s="18"/>
      <c r="GR923" s="18"/>
      <c r="GS923" s="18"/>
      <c r="GT923" s="18"/>
      <c r="GU923" s="18"/>
      <c r="GV923" s="18"/>
      <c r="GW923" s="18"/>
      <c r="GX923" s="18"/>
      <c r="GY923" s="18"/>
      <c r="GZ923" s="18"/>
      <c r="HA923" s="18"/>
      <c r="HB923" s="18"/>
      <c r="HC923" s="18"/>
      <c r="HD923" s="18"/>
      <c r="HE923" s="18"/>
      <c r="HF923" s="18"/>
      <c r="HG923" s="13"/>
      <c r="HH923" s="13"/>
      <c r="HI923" s="13"/>
      <c r="HJ923" s="13"/>
      <c r="HK923" s="13"/>
      <c r="HL923" s="13"/>
      <c r="HM923" s="13"/>
      <c r="HN923" s="13"/>
      <c r="HO923" s="13"/>
      <c r="HP923" s="13"/>
      <c r="HQ923" s="13"/>
      <c r="HR923" s="13"/>
      <c r="HS923" s="13"/>
      <c r="HT923" s="13"/>
      <c r="HU923" s="18"/>
      <c r="HV923" s="18"/>
      <c r="HW923" s="18"/>
      <c r="HX923" s="18"/>
      <c r="HY923" s="18"/>
      <c r="HZ923" s="18"/>
      <c r="IA923" s="18"/>
      <c r="IB923" s="18"/>
      <c r="IC923" s="18"/>
      <c r="ID923" s="18"/>
      <c r="IE923" s="18"/>
      <c r="IF923" s="18"/>
      <c r="IG923" s="18"/>
      <c r="IH923" s="18"/>
      <c r="II923" s="18"/>
      <c r="IJ923" s="18"/>
      <c r="IK923" s="18"/>
      <c r="IL923" s="18"/>
      <c r="IM923" s="18"/>
      <c r="IN923" s="18"/>
      <c r="IO923" s="18"/>
      <c r="IP923" s="18"/>
      <c r="IQ923" s="18"/>
      <c r="IR923" s="18"/>
      <c r="IS923" s="18"/>
      <c r="IT923" s="18"/>
      <c r="IU923" s="18"/>
      <c r="IV923" s="18"/>
      <c r="IW923" s="18"/>
      <c r="IX923" s="18"/>
      <c r="IY923" s="18"/>
      <c r="IZ923" s="18"/>
      <c r="JA923" s="18"/>
      <c r="JB923" s="18"/>
      <c r="JC923" s="18"/>
      <c r="JD923" s="18"/>
      <c r="JE923" s="18"/>
      <c r="JF923" s="18"/>
      <c r="JG923" s="18"/>
      <c r="JH923" s="18"/>
      <c r="JI923" s="18"/>
      <c r="JJ923" s="18"/>
      <c r="JK923" s="18"/>
      <c r="JL923" s="18"/>
      <c r="JM923" s="18"/>
      <c r="JN923" s="18"/>
      <c r="JO923" s="18"/>
      <c r="JP923" s="18"/>
      <c r="JQ923" s="18"/>
      <c r="JR923" s="18"/>
      <c r="JS923" s="18"/>
      <c r="JT923" s="18"/>
      <c r="JU923" s="18"/>
      <c r="JV923" s="18"/>
      <c r="JW923" s="18"/>
      <c r="JX923" s="18"/>
      <c r="JY923" s="18"/>
      <c r="JZ923" s="18"/>
      <c r="KA923" s="18"/>
      <c r="KB923" s="18"/>
      <c r="KC923" s="18"/>
      <c r="KD923" s="18"/>
      <c r="KE923" s="18"/>
      <c r="KF923" s="18"/>
      <c r="KG923" s="18"/>
      <c r="KH923" s="18"/>
      <c r="KI923" s="18"/>
      <c r="KJ923" s="18"/>
      <c r="KK923" s="18"/>
      <c r="KL923" s="18"/>
      <c r="KM923" s="18"/>
      <c r="KN923" s="18"/>
      <c r="KO923" s="18"/>
      <c r="KP923" s="18"/>
    </row>
    <row r="924" spans="1:302">
      <c r="A924" s="14"/>
      <c r="B924" s="14"/>
      <c r="F924" s="14"/>
      <c r="G924" s="23"/>
      <c r="H924" s="23"/>
      <c r="I924" s="23"/>
      <c r="J924" s="23"/>
      <c r="K924" s="14"/>
      <c r="L924" s="14"/>
      <c r="P924" s="14"/>
      <c r="AG924" s="44"/>
      <c r="AH924" s="44"/>
      <c r="AI924" s="45"/>
      <c r="AJ924" s="44"/>
      <c r="AK924" s="43"/>
      <c r="AS924" s="14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  <c r="EW924" s="18"/>
      <c r="EX924" s="18"/>
      <c r="EY924" s="18"/>
      <c r="EZ924" s="18"/>
      <c r="FA924" s="18"/>
      <c r="FB924" s="18"/>
      <c r="FC924" s="18"/>
      <c r="FD924" s="18"/>
      <c r="FE924" s="18"/>
      <c r="FF924" s="18"/>
      <c r="FG924" s="18"/>
      <c r="FH924" s="18"/>
      <c r="FI924" s="18"/>
      <c r="FJ924" s="18"/>
      <c r="FK924" s="18"/>
      <c r="FL924" s="18"/>
      <c r="FM924" s="18"/>
      <c r="FN924" s="18"/>
      <c r="FO924" s="18"/>
      <c r="FP924" s="18"/>
      <c r="FQ924" s="18"/>
      <c r="FR924" s="18"/>
      <c r="FS924" s="18"/>
      <c r="FT924" s="18"/>
      <c r="FU924" s="18"/>
      <c r="FV924" s="18"/>
      <c r="FW924" s="18"/>
      <c r="FX924" s="18"/>
      <c r="FY924" s="18"/>
      <c r="FZ924" s="18"/>
      <c r="GA924" s="18"/>
      <c r="GB924" s="18"/>
      <c r="GC924" s="18"/>
      <c r="GD924" s="18"/>
      <c r="GE924" s="18"/>
      <c r="GF924" s="18"/>
      <c r="GG924" s="18"/>
      <c r="GH924" s="18"/>
      <c r="GI924" s="18"/>
      <c r="GJ924" s="18"/>
      <c r="GK924" s="18"/>
      <c r="GL924" s="18"/>
      <c r="GM924" s="18"/>
      <c r="GN924" s="18"/>
      <c r="GO924" s="18"/>
      <c r="GP924" s="18"/>
      <c r="GQ924" s="18"/>
      <c r="GR924" s="18"/>
      <c r="GS924" s="18"/>
      <c r="GT924" s="18"/>
      <c r="GU924" s="18"/>
      <c r="GV924" s="18"/>
      <c r="GW924" s="18"/>
      <c r="GX924" s="18"/>
      <c r="GY924" s="18"/>
      <c r="GZ924" s="18"/>
      <c r="HA924" s="18"/>
      <c r="HB924" s="18"/>
      <c r="HC924" s="18"/>
      <c r="HD924" s="18"/>
      <c r="HE924" s="18"/>
      <c r="HF924" s="18"/>
      <c r="HG924" s="13"/>
      <c r="HH924" s="13"/>
      <c r="HI924" s="13"/>
      <c r="HJ924" s="13"/>
      <c r="HK924" s="13"/>
      <c r="HL924" s="13"/>
      <c r="HM924" s="13"/>
      <c r="HN924" s="13"/>
      <c r="HO924" s="13"/>
      <c r="HP924" s="13"/>
      <c r="HQ924" s="13"/>
      <c r="HR924" s="13"/>
      <c r="HS924" s="13"/>
      <c r="HT924" s="13"/>
      <c r="HU924" s="18"/>
      <c r="HV924" s="18"/>
      <c r="HW924" s="18"/>
      <c r="HX924" s="18"/>
      <c r="HY924" s="18"/>
      <c r="HZ924" s="18"/>
      <c r="IA924" s="18"/>
      <c r="IB924" s="18"/>
      <c r="IC924" s="18"/>
      <c r="ID924" s="18"/>
      <c r="IE924" s="18"/>
      <c r="IF924" s="18"/>
      <c r="IG924" s="18"/>
      <c r="IH924" s="18"/>
      <c r="II924" s="18"/>
      <c r="IJ924" s="18"/>
      <c r="IK924" s="18"/>
      <c r="IL924" s="18"/>
      <c r="IM924" s="18"/>
      <c r="IN924" s="18"/>
      <c r="IO924" s="18"/>
      <c r="IP924" s="18"/>
      <c r="IQ924" s="18"/>
      <c r="IR924" s="18"/>
      <c r="IS924" s="18"/>
      <c r="IT924" s="18"/>
      <c r="IU924" s="18"/>
      <c r="IV924" s="18"/>
      <c r="IW924" s="18"/>
      <c r="IX924" s="18"/>
      <c r="IY924" s="18"/>
      <c r="IZ924" s="18"/>
      <c r="JA924" s="18"/>
      <c r="JB924" s="18"/>
      <c r="JC924" s="18"/>
      <c r="JD924" s="18"/>
      <c r="JE924" s="18"/>
      <c r="JF924" s="18"/>
      <c r="JG924" s="18"/>
      <c r="JH924" s="18"/>
      <c r="JI924" s="18"/>
      <c r="JJ924" s="18"/>
      <c r="JK924" s="18"/>
      <c r="JL924" s="18"/>
      <c r="JM924" s="18"/>
      <c r="JN924" s="18"/>
      <c r="JO924" s="18"/>
      <c r="JP924" s="18"/>
      <c r="JQ924" s="18"/>
      <c r="JR924" s="18"/>
      <c r="JS924" s="18"/>
      <c r="JT924" s="18"/>
      <c r="JU924" s="18"/>
      <c r="JV924" s="18"/>
      <c r="JW924" s="18"/>
      <c r="JX924" s="18"/>
      <c r="JY924" s="18"/>
      <c r="JZ924" s="18"/>
      <c r="KA924" s="18"/>
      <c r="KB924" s="18"/>
      <c r="KC924" s="18"/>
      <c r="KD924" s="18"/>
      <c r="KE924" s="18"/>
      <c r="KF924" s="18"/>
      <c r="KG924" s="18"/>
      <c r="KH924" s="18"/>
      <c r="KI924" s="18"/>
      <c r="KJ924" s="18"/>
      <c r="KK924" s="18"/>
      <c r="KL924" s="18"/>
      <c r="KM924" s="18"/>
      <c r="KN924" s="18"/>
      <c r="KO924" s="18"/>
      <c r="KP924" s="18"/>
    </row>
    <row r="925" spans="1:302">
      <c r="A925" s="14"/>
      <c r="B925" s="14"/>
      <c r="F925" s="14"/>
      <c r="G925" s="23"/>
      <c r="H925" s="23"/>
      <c r="I925" s="23"/>
      <c r="J925" s="23"/>
      <c r="K925" s="14"/>
      <c r="L925" s="14"/>
      <c r="P925" s="14"/>
      <c r="AG925" s="44"/>
      <c r="AH925" s="44"/>
      <c r="AI925" s="45"/>
      <c r="AJ925" s="44"/>
      <c r="AK925" s="43"/>
      <c r="AS925" s="14"/>
      <c r="AT925" s="18"/>
      <c r="AU925" s="18"/>
      <c r="AV925" s="18"/>
      <c r="AW925" s="18"/>
      <c r="AX925" s="18"/>
      <c r="AY925" s="18"/>
      <c r="AZ925" s="18"/>
      <c r="BA925" s="18"/>
      <c r="BB925" s="18"/>
      <c r="BC925" s="18"/>
      <c r="BD925" s="18"/>
      <c r="BE925" s="18"/>
      <c r="BF925" s="18"/>
      <c r="BG925" s="18"/>
      <c r="BH925" s="18"/>
      <c r="BI925" s="18"/>
      <c r="BJ925" s="18"/>
      <c r="BK925" s="18"/>
      <c r="BL925" s="18"/>
      <c r="BM925" s="18"/>
      <c r="BN925" s="18"/>
      <c r="BO925" s="18"/>
      <c r="BP925" s="18"/>
      <c r="BQ925" s="18"/>
      <c r="BR925" s="18"/>
      <c r="BS925" s="18"/>
      <c r="BT925" s="18"/>
      <c r="BU925" s="18"/>
      <c r="BV925" s="18"/>
      <c r="BW925" s="18"/>
      <c r="BX925" s="18"/>
      <c r="BY925" s="18"/>
      <c r="BZ925" s="18"/>
      <c r="CA925" s="18"/>
      <c r="CB925" s="18"/>
      <c r="CC925" s="18"/>
      <c r="CD925" s="18"/>
      <c r="CE925" s="18"/>
      <c r="CF925" s="18"/>
      <c r="CG925" s="18"/>
      <c r="CH925" s="18"/>
      <c r="CI925" s="18"/>
      <c r="CJ925" s="18"/>
      <c r="CK925" s="18"/>
      <c r="CL925" s="18"/>
      <c r="CM925" s="18"/>
      <c r="CN925" s="18"/>
      <c r="CO925" s="18"/>
      <c r="CP925" s="18"/>
      <c r="CQ925" s="18"/>
      <c r="CR925" s="18"/>
      <c r="CS925" s="18"/>
      <c r="CT925" s="18"/>
      <c r="CU925" s="18"/>
      <c r="CV925" s="18"/>
      <c r="CW925" s="18"/>
      <c r="CX925" s="18"/>
      <c r="CY925" s="18"/>
      <c r="CZ925" s="18"/>
      <c r="DA925" s="18"/>
      <c r="DB925" s="18"/>
      <c r="DC925" s="18"/>
      <c r="DD925" s="18"/>
      <c r="DE925" s="18"/>
      <c r="DF925" s="18"/>
      <c r="DG925" s="18"/>
      <c r="DH925" s="18"/>
      <c r="DI925" s="18"/>
      <c r="DJ925" s="18"/>
      <c r="DK925" s="18"/>
      <c r="DL925" s="18"/>
      <c r="DM925" s="18"/>
      <c r="DN925" s="18"/>
      <c r="DO925" s="18"/>
      <c r="DP925" s="18"/>
      <c r="DQ925" s="18"/>
      <c r="DR925" s="18"/>
      <c r="DS925" s="18"/>
      <c r="DT925" s="18"/>
      <c r="DU925" s="18"/>
      <c r="DV925" s="18"/>
      <c r="DW925" s="18"/>
      <c r="DX925" s="18"/>
      <c r="DY925" s="18"/>
      <c r="DZ925" s="18"/>
      <c r="EA925" s="18"/>
      <c r="EB925" s="18"/>
      <c r="EC925" s="18"/>
      <c r="ED925" s="18"/>
      <c r="EE925" s="18"/>
      <c r="EF925" s="18"/>
      <c r="EG925" s="18"/>
      <c r="EH925" s="18"/>
      <c r="EI925" s="18"/>
      <c r="EJ925" s="18"/>
      <c r="EK925" s="18"/>
      <c r="EL925" s="18"/>
      <c r="EM925" s="18"/>
      <c r="EN925" s="18"/>
      <c r="EO925" s="18"/>
      <c r="EP925" s="18"/>
      <c r="EQ925" s="18"/>
      <c r="ER925" s="18"/>
      <c r="ES925" s="18"/>
      <c r="ET925" s="18"/>
      <c r="EU925" s="18"/>
      <c r="EV925" s="18"/>
      <c r="EW925" s="18"/>
      <c r="EX925" s="18"/>
      <c r="EY925" s="18"/>
      <c r="EZ925" s="18"/>
      <c r="FA925" s="18"/>
      <c r="FB925" s="18"/>
      <c r="FC925" s="18"/>
      <c r="FD925" s="18"/>
      <c r="FE925" s="18"/>
      <c r="FF925" s="18"/>
      <c r="FG925" s="18"/>
      <c r="FH925" s="18"/>
      <c r="FI925" s="18"/>
      <c r="FJ925" s="18"/>
      <c r="FK925" s="18"/>
      <c r="FL925" s="18"/>
      <c r="FM925" s="18"/>
      <c r="FN925" s="18"/>
      <c r="FO925" s="18"/>
      <c r="FP925" s="18"/>
      <c r="FQ925" s="18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  <c r="GK925" s="18"/>
      <c r="GL925" s="18"/>
      <c r="GM925" s="18"/>
      <c r="GN925" s="18"/>
      <c r="GO925" s="18"/>
      <c r="GP925" s="18"/>
      <c r="GQ925" s="18"/>
      <c r="GR925" s="18"/>
      <c r="GS925" s="18"/>
      <c r="GT925" s="18"/>
      <c r="GU925" s="18"/>
      <c r="GV925" s="18"/>
      <c r="GW925" s="18"/>
      <c r="GX925" s="18"/>
      <c r="GY925" s="18"/>
      <c r="GZ925" s="18"/>
      <c r="HA925" s="18"/>
      <c r="HB925" s="18"/>
      <c r="HC925" s="18"/>
      <c r="HD925" s="18"/>
      <c r="HE925" s="18"/>
      <c r="HF925" s="18"/>
      <c r="HG925" s="13"/>
      <c r="HH925" s="13"/>
      <c r="HI925" s="13"/>
      <c r="HJ925" s="13"/>
      <c r="HK925" s="13"/>
      <c r="HL925" s="13"/>
      <c r="HM925" s="13"/>
      <c r="HN925" s="13"/>
      <c r="HO925" s="13"/>
      <c r="HP925" s="13"/>
      <c r="HQ925" s="13"/>
      <c r="HR925" s="13"/>
      <c r="HS925" s="13"/>
      <c r="HT925" s="13"/>
      <c r="HU925" s="18"/>
      <c r="HV925" s="18"/>
      <c r="HW925" s="18"/>
      <c r="HX925" s="18"/>
      <c r="HY925" s="18"/>
      <c r="HZ925" s="18"/>
      <c r="IA925" s="18"/>
      <c r="IB925" s="18"/>
      <c r="IC925" s="18"/>
      <c r="ID925" s="18"/>
      <c r="IE925" s="18"/>
      <c r="IF925" s="18"/>
      <c r="IG925" s="18"/>
      <c r="IH925" s="18"/>
      <c r="II925" s="18"/>
      <c r="IJ925" s="18"/>
      <c r="IK925" s="18"/>
      <c r="IL925" s="18"/>
      <c r="IM925" s="18"/>
      <c r="IN925" s="18"/>
      <c r="IO925" s="18"/>
      <c r="IP925" s="18"/>
      <c r="IQ925" s="18"/>
      <c r="IR925" s="18"/>
      <c r="IS925" s="18"/>
      <c r="IT925" s="18"/>
      <c r="IU925" s="18"/>
      <c r="IV925" s="18"/>
      <c r="IW925" s="18"/>
      <c r="IX925" s="18"/>
      <c r="IY925" s="18"/>
      <c r="IZ925" s="18"/>
      <c r="JA925" s="18"/>
      <c r="JB925" s="18"/>
      <c r="JC925" s="18"/>
      <c r="JD925" s="18"/>
      <c r="JE925" s="18"/>
      <c r="JF925" s="18"/>
      <c r="JG925" s="18"/>
      <c r="JH925" s="18"/>
      <c r="JI925" s="18"/>
      <c r="JJ925" s="18"/>
      <c r="JK925" s="18"/>
      <c r="JL925" s="18"/>
      <c r="JM925" s="18"/>
      <c r="JN925" s="18"/>
      <c r="JO925" s="18"/>
      <c r="JP925" s="18"/>
      <c r="JQ925" s="18"/>
      <c r="JR925" s="18"/>
      <c r="JS925" s="18"/>
      <c r="JT925" s="18"/>
      <c r="JU925" s="18"/>
      <c r="JV925" s="18"/>
      <c r="JW925" s="18"/>
      <c r="JX925" s="18"/>
      <c r="JY925" s="18"/>
      <c r="JZ925" s="18"/>
      <c r="KA925" s="18"/>
      <c r="KB925" s="18"/>
      <c r="KC925" s="18"/>
      <c r="KD925" s="18"/>
      <c r="KE925" s="18"/>
      <c r="KF925" s="18"/>
      <c r="KG925" s="18"/>
      <c r="KH925" s="18"/>
      <c r="KI925" s="18"/>
      <c r="KJ925" s="18"/>
      <c r="KK925" s="18"/>
      <c r="KL925" s="18"/>
      <c r="KM925" s="18"/>
      <c r="KN925" s="18"/>
      <c r="KO925" s="18"/>
      <c r="KP925" s="18"/>
    </row>
    <row r="926" spans="1:302">
      <c r="A926" s="14"/>
      <c r="B926" s="14"/>
      <c r="F926" s="14"/>
      <c r="G926" s="23"/>
      <c r="H926" s="23"/>
      <c r="I926" s="23"/>
      <c r="J926" s="23"/>
      <c r="K926" s="14"/>
      <c r="L926" s="14"/>
      <c r="P926" s="14"/>
      <c r="AG926" s="44"/>
      <c r="AH926" s="44"/>
      <c r="AI926" s="45"/>
      <c r="AJ926" s="44"/>
      <c r="AK926" s="43"/>
      <c r="AS926" s="14"/>
      <c r="AT926" s="18"/>
      <c r="AU926" s="18"/>
      <c r="AV926" s="18"/>
      <c r="AW926" s="18"/>
      <c r="AX926" s="18"/>
      <c r="AY926" s="18"/>
      <c r="AZ926" s="18"/>
      <c r="BA926" s="18"/>
      <c r="BB926" s="18"/>
      <c r="BC926" s="18"/>
      <c r="BD926" s="18"/>
      <c r="BE926" s="18"/>
      <c r="BF926" s="18"/>
      <c r="BG926" s="18"/>
      <c r="BH926" s="18"/>
      <c r="BI926" s="18"/>
      <c r="BJ926" s="18"/>
      <c r="BK926" s="18"/>
      <c r="BL926" s="18"/>
      <c r="BM926" s="18"/>
      <c r="BN926" s="18"/>
      <c r="BO926" s="18"/>
      <c r="BP926" s="18"/>
      <c r="BQ926" s="18"/>
      <c r="BR926" s="18"/>
      <c r="BS926" s="18"/>
      <c r="BT926" s="18"/>
      <c r="BU926" s="18"/>
      <c r="BV926" s="18"/>
      <c r="BW926" s="18"/>
      <c r="BX926" s="18"/>
      <c r="BY926" s="18"/>
      <c r="BZ926" s="18"/>
      <c r="CA926" s="18"/>
      <c r="CB926" s="18"/>
      <c r="CC926" s="18"/>
      <c r="CD926" s="18"/>
      <c r="CE926" s="18"/>
      <c r="CF926" s="18"/>
      <c r="CG926" s="18"/>
      <c r="CH926" s="18"/>
      <c r="CI926" s="18"/>
      <c r="CJ926" s="18"/>
      <c r="CK926" s="18"/>
      <c r="CL926" s="18"/>
      <c r="CM926" s="18"/>
      <c r="CN926" s="18"/>
      <c r="CO926" s="18"/>
      <c r="CP926" s="18"/>
      <c r="CQ926" s="18"/>
      <c r="CR926" s="18"/>
      <c r="CS926" s="18"/>
      <c r="CT926" s="18"/>
      <c r="CU926" s="18"/>
      <c r="CV926" s="18"/>
      <c r="CW926" s="18"/>
      <c r="CX926" s="18"/>
      <c r="CY926" s="18"/>
      <c r="CZ926" s="18"/>
      <c r="DA926" s="18"/>
      <c r="DB926" s="18"/>
      <c r="DC926" s="18"/>
      <c r="DD926" s="18"/>
      <c r="DE926" s="18"/>
      <c r="DF926" s="18"/>
      <c r="DG926" s="18"/>
      <c r="DH926" s="18"/>
      <c r="DI926" s="18"/>
      <c r="DJ926" s="18"/>
      <c r="DK926" s="18"/>
      <c r="DL926" s="18"/>
      <c r="DM926" s="18"/>
      <c r="DN926" s="18"/>
      <c r="DO926" s="18"/>
      <c r="DP926" s="18"/>
      <c r="DQ926" s="18"/>
      <c r="DR926" s="18"/>
      <c r="DS926" s="18"/>
      <c r="DT926" s="18"/>
      <c r="DU926" s="18"/>
      <c r="DV926" s="18"/>
      <c r="DW926" s="18"/>
      <c r="DX926" s="18"/>
      <c r="DY926" s="18"/>
      <c r="DZ926" s="18"/>
      <c r="EA926" s="18"/>
      <c r="EB926" s="18"/>
      <c r="EC926" s="18"/>
      <c r="ED926" s="18"/>
      <c r="EE926" s="18"/>
      <c r="EF926" s="18"/>
      <c r="EG926" s="18"/>
      <c r="EH926" s="18"/>
      <c r="EI926" s="18"/>
      <c r="EJ926" s="18"/>
      <c r="EK926" s="18"/>
      <c r="EL926" s="18"/>
      <c r="EM926" s="18"/>
      <c r="EN926" s="18"/>
      <c r="EO926" s="18"/>
      <c r="EP926" s="18"/>
      <c r="EQ926" s="18"/>
      <c r="ER926" s="18"/>
      <c r="ES926" s="18"/>
      <c r="ET926" s="18"/>
      <c r="EU926" s="18"/>
      <c r="EV926" s="18"/>
      <c r="EW926" s="18"/>
      <c r="EX926" s="18"/>
      <c r="EY926" s="18"/>
      <c r="EZ926" s="18"/>
      <c r="FA926" s="18"/>
      <c r="FB926" s="18"/>
      <c r="FC926" s="18"/>
      <c r="FD926" s="18"/>
      <c r="FE926" s="18"/>
      <c r="FF926" s="18"/>
      <c r="FG926" s="18"/>
      <c r="FH926" s="18"/>
      <c r="FI926" s="18"/>
      <c r="FJ926" s="18"/>
      <c r="FK926" s="18"/>
      <c r="FL926" s="18"/>
      <c r="FM926" s="18"/>
      <c r="FN926" s="18"/>
      <c r="FO926" s="18"/>
      <c r="FP926" s="18"/>
      <c r="FQ926" s="18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  <c r="GK926" s="18"/>
      <c r="GL926" s="18"/>
      <c r="GM926" s="18"/>
      <c r="GN926" s="18"/>
      <c r="GO926" s="18"/>
      <c r="GP926" s="18"/>
      <c r="GQ926" s="18"/>
      <c r="GR926" s="18"/>
      <c r="GS926" s="18"/>
      <c r="GT926" s="18"/>
      <c r="GU926" s="18"/>
      <c r="GV926" s="18"/>
      <c r="GW926" s="18"/>
      <c r="GX926" s="18"/>
      <c r="GY926" s="18"/>
      <c r="GZ926" s="18"/>
      <c r="HA926" s="18"/>
      <c r="HB926" s="18"/>
      <c r="HC926" s="18"/>
      <c r="HD926" s="18"/>
      <c r="HE926" s="18"/>
      <c r="HF926" s="18"/>
      <c r="HG926" s="13"/>
      <c r="HH926" s="13"/>
      <c r="HI926" s="13"/>
      <c r="HJ926" s="13"/>
      <c r="HK926" s="13"/>
      <c r="HL926" s="13"/>
      <c r="HM926" s="13"/>
      <c r="HN926" s="13"/>
      <c r="HO926" s="13"/>
      <c r="HP926" s="13"/>
      <c r="HQ926" s="13"/>
      <c r="HR926" s="13"/>
      <c r="HS926" s="13"/>
      <c r="HT926" s="13"/>
      <c r="HU926" s="18"/>
      <c r="HV926" s="18"/>
      <c r="HW926" s="18"/>
      <c r="HX926" s="18"/>
      <c r="HY926" s="18"/>
      <c r="HZ926" s="18"/>
      <c r="IA926" s="18"/>
      <c r="IB926" s="18"/>
      <c r="IC926" s="18"/>
      <c r="ID926" s="18"/>
      <c r="IE926" s="18"/>
      <c r="IF926" s="18"/>
      <c r="IG926" s="18"/>
      <c r="IH926" s="18"/>
      <c r="II926" s="18"/>
      <c r="IJ926" s="18"/>
      <c r="IK926" s="18"/>
      <c r="IL926" s="18"/>
      <c r="IM926" s="18"/>
      <c r="IN926" s="18"/>
      <c r="IO926" s="18"/>
      <c r="IP926" s="18"/>
      <c r="IQ926" s="18"/>
      <c r="IR926" s="18"/>
      <c r="IS926" s="18"/>
      <c r="IT926" s="18"/>
      <c r="IU926" s="18"/>
      <c r="IV926" s="18"/>
      <c r="IW926" s="18"/>
      <c r="IX926" s="18"/>
      <c r="IY926" s="18"/>
      <c r="IZ926" s="18"/>
      <c r="JA926" s="18"/>
      <c r="JB926" s="18"/>
      <c r="JC926" s="18"/>
      <c r="JD926" s="18"/>
      <c r="JE926" s="18"/>
      <c r="JF926" s="18"/>
      <c r="JG926" s="18"/>
      <c r="JH926" s="18"/>
      <c r="JI926" s="18"/>
      <c r="JJ926" s="18"/>
      <c r="JK926" s="18"/>
      <c r="JL926" s="18"/>
      <c r="JM926" s="18"/>
      <c r="JN926" s="18"/>
      <c r="JO926" s="18"/>
      <c r="JP926" s="18"/>
      <c r="JQ926" s="18"/>
      <c r="JR926" s="18"/>
      <c r="JS926" s="18"/>
      <c r="JT926" s="18"/>
      <c r="JU926" s="18"/>
      <c r="JV926" s="18"/>
      <c r="JW926" s="18"/>
      <c r="JX926" s="18"/>
      <c r="JY926" s="18"/>
      <c r="JZ926" s="18"/>
      <c r="KA926" s="18"/>
      <c r="KB926" s="18"/>
      <c r="KC926" s="18"/>
      <c r="KD926" s="18"/>
      <c r="KE926" s="18"/>
      <c r="KF926" s="18"/>
      <c r="KG926" s="18"/>
      <c r="KH926" s="18"/>
      <c r="KI926" s="18"/>
      <c r="KJ926" s="18"/>
      <c r="KK926" s="18"/>
      <c r="KL926" s="18"/>
      <c r="KM926" s="18"/>
      <c r="KN926" s="18"/>
      <c r="KO926" s="18"/>
      <c r="KP926" s="18"/>
    </row>
    <row r="927" spans="1:302">
      <c r="A927" s="14"/>
      <c r="B927" s="14"/>
      <c r="F927" s="14"/>
      <c r="G927" s="23"/>
      <c r="H927" s="23"/>
      <c r="I927" s="23"/>
      <c r="J927" s="23"/>
      <c r="K927" s="14"/>
      <c r="L927" s="14"/>
      <c r="P927" s="14"/>
      <c r="AG927" s="44"/>
      <c r="AH927" s="44"/>
      <c r="AI927" s="45"/>
      <c r="AJ927" s="44"/>
      <c r="AK927" s="43"/>
      <c r="AS927" s="14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  <c r="EW927" s="18"/>
      <c r="EX927" s="18"/>
      <c r="EY927" s="18"/>
      <c r="EZ927" s="18"/>
      <c r="FA927" s="18"/>
      <c r="FB927" s="18"/>
      <c r="FC927" s="18"/>
      <c r="FD927" s="18"/>
      <c r="FE927" s="18"/>
      <c r="FF927" s="18"/>
      <c r="FG927" s="18"/>
      <c r="FH927" s="18"/>
      <c r="FI927" s="18"/>
      <c r="FJ927" s="18"/>
      <c r="FK927" s="18"/>
      <c r="FL927" s="18"/>
      <c r="FM927" s="18"/>
      <c r="FN927" s="18"/>
      <c r="FO927" s="18"/>
      <c r="FP927" s="18"/>
      <c r="FQ927" s="18"/>
      <c r="FR927" s="18"/>
      <c r="FS927" s="18"/>
      <c r="FT927" s="18"/>
      <c r="FU927" s="18"/>
      <c r="FV927" s="18"/>
      <c r="FW927" s="18"/>
      <c r="FX927" s="18"/>
      <c r="FY927" s="18"/>
      <c r="FZ927" s="18"/>
      <c r="GA927" s="18"/>
      <c r="GB927" s="18"/>
      <c r="GC927" s="18"/>
      <c r="GD927" s="18"/>
      <c r="GE927" s="18"/>
      <c r="GF927" s="18"/>
      <c r="GG927" s="18"/>
      <c r="GH927" s="18"/>
      <c r="GI927" s="18"/>
      <c r="GJ927" s="18"/>
      <c r="GK927" s="18"/>
      <c r="GL927" s="18"/>
      <c r="GM927" s="18"/>
      <c r="GN927" s="18"/>
      <c r="GO927" s="18"/>
      <c r="GP927" s="18"/>
      <c r="GQ927" s="18"/>
      <c r="GR927" s="18"/>
      <c r="GS927" s="18"/>
      <c r="GT927" s="18"/>
      <c r="GU927" s="18"/>
      <c r="GV927" s="18"/>
      <c r="GW927" s="18"/>
      <c r="GX927" s="18"/>
      <c r="GY927" s="18"/>
      <c r="GZ927" s="18"/>
      <c r="HA927" s="18"/>
      <c r="HB927" s="18"/>
      <c r="HC927" s="18"/>
      <c r="HD927" s="18"/>
      <c r="HE927" s="18"/>
      <c r="HF927" s="18"/>
      <c r="HG927" s="13"/>
      <c r="HH927" s="13"/>
      <c r="HI927" s="13"/>
      <c r="HJ927" s="13"/>
      <c r="HK927" s="13"/>
      <c r="HL927" s="13"/>
      <c r="HM927" s="13"/>
      <c r="HN927" s="13"/>
      <c r="HO927" s="13"/>
      <c r="HP927" s="13"/>
      <c r="HQ927" s="13"/>
      <c r="HR927" s="13"/>
      <c r="HS927" s="13"/>
      <c r="HT927" s="13"/>
      <c r="HU927" s="18"/>
      <c r="HV927" s="18"/>
      <c r="HW927" s="18"/>
      <c r="HX927" s="18"/>
      <c r="HY927" s="18"/>
      <c r="HZ927" s="18"/>
      <c r="IA927" s="18"/>
      <c r="IB927" s="18"/>
      <c r="IC927" s="18"/>
      <c r="ID927" s="18"/>
      <c r="IE927" s="18"/>
      <c r="IF927" s="18"/>
      <c r="IG927" s="18"/>
      <c r="IH927" s="18"/>
      <c r="II927" s="18"/>
      <c r="IJ927" s="18"/>
      <c r="IK927" s="18"/>
      <c r="IL927" s="18"/>
      <c r="IM927" s="18"/>
      <c r="IN927" s="18"/>
      <c r="IO927" s="18"/>
      <c r="IP927" s="18"/>
      <c r="IQ927" s="18"/>
      <c r="IR927" s="18"/>
      <c r="IS927" s="18"/>
      <c r="IT927" s="18"/>
      <c r="IU927" s="18"/>
      <c r="IV927" s="18"/>
      <c r="IW927" s="18"/>
      <c r="IX927" s="18"/>
      <c r="IY927" s="18"/>
      <c r="IZ927" s="18"/>
      <c r="JA927" s="18"/>
      <c r="JB927" s="18"/>
      <c r="JC927" s="18"/>
      <c r="JD927" s="18"/>
      <c r="JE927" s="18"/>
      <c r="JF927" s="18"/>
      <c r="JG927" s="18"/>
      <c r="JH927" s="18"/>
      <c r="JI927" s="18"/>
      <c r="JJ927" s="18"/>
      <c r="JK927" s="18"/>
      <c r="JL927" s="18"/>
      <c r="JM927" s="18"/>
      <c r="JN927" s="18"/>
      <c r="JO927" s="18"/>
      <c r="JP927" s="18"/>
      <c r="JQ927" s="18"/>
      <c r="JR927" s="18"/>
      <c r="JS927" s="18"/>
      <c r="JT927" s="18"/>
      <c r="JU927" s="18"/>
      <c r="JV927" s="18"/>
      <c r="JW927" s="18"/>
      <c r="JX927" s="18"/>
      <c r="JY927" s="18"/>
      <c r="JZ927" s="18"/>
      <c r="KA927" s="18"/>
      <c r="KB927" s="18"/>
      <c r="KC927" s="18"/>
      <c r="KD927" s="18"/>
      <c r="KE927" s="18"/>
      <c r="KF927" s="18"/>
      <c r="KG927" s="18"/>
      <c r="KH927" s="18"/>
      <c r="KI927" s="18"/>
      <c r="KJ927" s="18"/>
      <c r="KK927" s="18"/>
      <c r="KL927" s="18"/>
      <c r="KM927" s="18"/>
      <c r="KN927" s="18"/>
      <c r="KO927" s="18"/>
      <c r="KP927" s="18"/>
    </row>
    <row r="928" spans="1:302">
      <c r="A928" s="14"/>
      <c r="B928" s="14"/>
      <c r="F928" s="14"/>
      <c r="G928" s="23"/>
      <c r="H928" s="23"/>
      <c r="I928" s="23"/>
      <c r="J928" s="23"/>
      <c r="K928" s="14"/>
      <c r="L928" s="14"/>
      <c r="P928" s="14"/>
      <c r="AG928" s="44"/>
      <c r="AH928" s="44"/>
      <c r="AI928" s="45"/>
      <c r="AJ928" s="44"/>
      <c r="AK928" s="43"/>
      <c r="AS928" s="14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  <c r="EW928" s="18"/>
      <c r="EX928" s="18"/>
      <c r="EY928" s="18"/>
      <c r="EZ928" s="18"/>
      <c r="FA928" s="18"/>
      <c r="FB928" s="18"/>
      <c r="FC928" s="18"/>
      <c r="FD928" s="18"/>
      <c r="FE928" s="18"/>
      <c r="FF928" s="18"/>
      <c r="FG928" s="18"/>
      <c r="FH928" s="18"/>
      <c r="FI928" s="18"/>
      <c r="FJ928" s="18"/>
      <c r="FK928" s="18"/>
      <c r="FL928" s="18"/>
      <c r="FM928" s="18"/>
      <c r="FN928" s="18"/>
      <c r="FO928" s="18"/>
      <c r="FP928" s="18"/>
      <c r="FQ928" s="18"/>
      <c r="FR928" s="18"/>
      <c r="FS928" s="18"/>
      <c r="FT928" s="18"/>
      <c r="FU928" s="18"/>
      <c r="FV928" s="18"/>
      <c r="FW928" s="18"/>
      <c r="FX928" s="18"/>
      <c r="FY928" s="18"/>
      <c r="FZ928" s="18"/>
      <c r="GA928" s="18"/>
      <c r="GB928" s="18"/>
      <c r="GC928" s="18"/>
      <c r="GD928" s="18"/>
      <c r="GE928" s="18"/>
      <c r="GF928" s="18"/>
      <c r="GG928" s="18"/>
      <c r="GH928" s="18"/>
      <c r="GI928" s="18"/>
      <c r="GJ928" s="18"/>
      <c r="GK928" s="18"/>
      <c r="GL928" s="18"/>
      <c r="GM928" s="18"/>
      <c r="GN928" s="18"/>
      <c r="GO928" s="18"/>
      <c r="GP928" s="18"/>
      <c r="GQ928" s="18"/>
      <c r="GR928" s="18"/>
      <c r="GS928" s="18"/>
      <c r="GT928" s="18"/>
      <c r="GU928" s="18"/>
      <c r="GV928" s="18"/>
      <c r="GW928" s="18"/>
      <c r="GX928" s="18"/>
      <c r="GY928" s="18"/>
      <c r="GZ928" s="18"/>
      <c r="HA928" s="18"/>
      <c r="HB928" s="18"/>
      <c r="HC928" s="18"/>
      <c r="HD928" s="18"/>
      <c r="HE928" s="18"/>
      <c r="HF928" s="18"/>
      <c r="HG928" s="13"/>
      <c r="HH928" s="13"/>
      <c r="HI928" s="13"/>
      <c r="HJ928" s="13"/>
      <c r="HK928" s="13"/>
      <c r="HL928" s="13"/>
      <c r="HM928" s="13"/>
      <c r="HN928" s="13"/>
      <c r="HO928" s="13"/>
      <c r="HP928" s="13"/>
      <c r="HQ928" s="13"/>
      <c r="HR928" s="13"/>
      <c r="HS928" s="13"/>
      <c r="HT928" s="13"/>
      <c r="HU928" s="18"/>
      <c r="HV928" s="18"/>
      <c r="HW928" s="18"/>
      <c r="HX928" s="18"/>
      <c r="HY928" s="18"/>
      <c r="HZ928" s="18"/>
      <c r="IA928" s="18"/>
      <c r="IB928" s="18"/>
      <c r="IC928" s="18"/>
      <c r="ID928" s="18"/>
      <c r="IE928" s="18"/>
      <c r="IF928" s="18"/>
      <c r="IG928" s="18"/>
      <c r="IH928" s="18"/>
      <c r="II928" s="18"/>
      <c r="IJ928" s="18"/>
      <c r="IK928" s="18"/>
      <c r="IL928" s="18"/>
      <c r="IM928" s="18"/>
      <c r="IN928" s="18"/>
      <c r="IO928" s="18"/>
      <c r="IP928" s="18"/>
      <c r="IQ928" s="18"/>
      <c r="IR928" s="18"/>
      <c r="IS928" s="18"/>
      <c r="IT928" s="18"/>
      <c r="IU928" s="18"/>
      <c r="IV928" s="18"/>
      <c r="IW928" s="18"/>
      <c r="IX928" s="18"/>
      <c r="IY928" s="18"/>
      <c r="IZ928" s="18"/>
      <c r="JA928" s="18"/>
      <c r="JB928" s="18"/>
      <c r="JC928" s="18"/>
      <c r="JD928" s="18"/>
      <c r="JE928" s="18"/>
      <c r="JF928" s="18"/>
      <c r="JG928" s="18"/>
      <c r="JH928" s="18"/>
      <c r="JI928" s="18"/>
      <c r="JJ928" s="18"/>
      <c r="JK928" s="18"/>
      <c r="JL928" s="18"/>
      <c r="JM928" s="18"/>
      <c r="JN928" s="18"/>
      <c r="JO928" s="18"/>
      <c r="JP928" s="18"/>
      <c r="JQ928" s="18"/>
      <c r="JR928" s="18"/>
      <c r="JS928" s="18"/>
      <c r="JT928" s="18"/>
      <c r="JU928" s="18"/>
      <c r="JV928" s="18"/>
      <c r="JW928" s="18"/>
      <c r="JX928" s="18"/>
      <c r="JY928" s="18"/>
      <c r="JZ928" s="18"/>
      <c r="KA928" s="18"/>
      <c r="KB928" s="18"/>
      <c r="KC928" s="18"/>
      <c r="KD928" s="18"/>
      <c r="KE928" s="18"/>
      <c r="KF928" s="18"/>
      <c r="KG928" s="18"/>
      <c r="KH928" s="18"/>
      <c r="KI928" s="18"/>
      <c r="KJ928" s="18"/>
      <c r="KK928" s="18"/>
      <c r="KL928" s="18"/>
      <c r="KM928" s="18"/>
      <c r="KN928" s="18"/>
      <c r="KO928" s="18"/>
      <c r="KP928" s="18"/>
    </row>
    <row r="929" spans="1:302">
      <c r="A929" s="14"/>
      <c r="B929" s="14"/>
      <c r="F929" s="14"/>
      <c r="G929" s="23"/>
      <c r="H929" s="23"/>
      <c r="I929" s="23"/>
      <c r="J929" s="23"/>
      <c r="K929" s="14"/>
      <c r="L929" s="14"/>
      <c r="P929" s="14"/>
      <c r="AG929" s="44"/>
      <c r="AH929" s="44"/>
      <c r="AI929" s="45"/>
      <c r="AJ929" s="44"/>
      <c r="AK929" s="43"/>
      <c r="AS929" s="14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  <c r="EW929" s="18"/>
      <c r="EX929" s="18"/>
      <c r="EY929" s="18"/>
      <c r="EZ929" s="18"/>
      <c r="FA929" s="18"/>
      <c r="FB929" s="18"/>
      <c r="FC929" s="18"/>
      <c r="FD929" s="18"/>
      <c r="FE929" s="18"/>
      <c r="FF929" s="18"/>
      <c r="FG929" s="18"/>
      <c r="FH929" s="18"/>
      <c r="FI929" s="18"/>
      <c r="FJ929" s="18"/>
      <c r="FK929" s="18"/>
      <c r="FL929" s="18"/>
      <c r="FM929" s="18"/>
      <c r="FN929" s="18"/>
      <c r="FO929" s="18"/>
      <c r="FP929" s="18"/>
      <c r="FQ929" s="18"/>
      <c r="FR929" s="18"/>
      <c r="FS929" s="18"/>
      <c r="FT929" s="18"/>
      <c r="FU929" s="18"/>
      <c r="FV929" s="18"/>
      <c r="FW929" s="18"/>
      <c r="FX929" s="18"/>
      <c r="FY929" s="18"/>
      <c r="FZ929" s="18"/>
      <c r="GA929" s="18"/>
      <c r="GB929" s="18"/>
      <c r="GC929" s="18"/>
      <c r="GD929" s="18"/>
      <c r="GE929" s="18"/>
      <c r="GF929" s="18"/>
      <c r="GG929" s="18"/>
      <c r="GH929" s="18"/>
      <c r="GI929" s="18"/>
      <c r="GJ929" s="18"/>
      <c r="GK929" s="18"/>
      <c r="GL929" s="18"/>
      <c r="GM929" s="18"/>
      <c r="GN929" s="18"/>
      <c r="GO929" s="18"/>
      <c r="GP929" s="18"/>
      <c r="GQ929" s="18"/>
      <c r="GR929" s="18"/>
      <c r="GS929" s="18"/>
      <c r="GT929" s="18"/>
      <c r="GU929" s="18"/>
      <c r="GV929" s="18"/>
      <c r="GW929" s="18"/>
      <c r="GX929" s="18"/>
      <c r="GY929" s="18"/>
      <c r="GZ929" s="18"/>
      <c r="HA929" s="18"/>
      <c r="HB929" s="18"/>
      <c r="HC929" s="18"/>
      <c r="HD929" s="18"/>
      <c r="HE929" s="18"/>
      <c r="HF929" s="18"/>
      <c r="HG929" s="13"/>
      <c r="HH929" s="13"/>
      <c r="HI929" s="13"/>
      <c r="HJ929" s="13"/>
      <c r="HK929" s="13"/>
      <c r="HL929" s="13"/>
      <c r="HM929" s="13"/>
      <c r="HN929" s="13"/>
      <c r="HO929" s="13"/>
      <c r="HP929" s="13"/>
      <c r="HQ929" s="13"/>
      <c r="HR929" s="13"/>
      <c r="HS929" s="13"/>
      <c r="HT929" s="13"/>
      <c r="HU929" s="18"/>
      <c r="HV929" s="18"/>
      <c r="HW929" s="18"/>
      <c r="HX929" s="18"/>
      <c r="HY929" s="18"/>
      <c r="HZ929" s="18"/>
      <c r="IA929" s="18"/>
      <c r="IB929" s="18"/>
      <c r="IC929" s="18"/>
      <c r="ID929" s="18"/>
      <c r="IE929" s="18"/>
      <c r="IF929" s="18"/>
      <c r="IG929" s="18"/>
      <c r="IH929" s="18"/>
      <c r="II929" s="18"/>
      <c r="IJ929" s="18"/>
      <c r="IK929" s="18"/>
      <c r="IL929" s="18"/>
      <c r="IM929" s="18"/>
      <c r="IN929" s="18"/>
      <c r="IO929" s="18"/>
      <c r="IP929" s="18"/>
      <c r="IQ929" s="18"/>
      <c r="IR929" s="18"/>
      <c r="IS929" s="18"/>
      <c r="IT929" s="18"/>
      <c r="IU929" s="18"/>
      <c r="IV929" s="18"/>
      <c r="IW929" s="18"/>
      <c r="IX929" s="18"/>
      <c r="IY929" s="18"/>
      <c r="IZ929" s="18"/>
      <c r="JA929" s="18"/>
      <c r="JB929" s="18"/>
      <c r="JC929" s="18"/>
      <c r="JD929" s="18"/>
      <c r="JE929" s="18"/>
      <c r="JF929" s="18"/>
      <c r="JG929" s="18"/>
      <c r="JH929" s="18"/>
      <c r="JI929" s="18"/>
      <c r="JJ929" s="18"/>
      <c r="JK929" s="18"/>
      <c r="JL929" s="18"/>
      <c r="JM929" s="18"/>
      <c r="JN929" s="18"/>
      <c r="JO929" s="18"/>
      <c r="JP929" s="18"/>
      <c r="JQ929" s="18"/>
      <c r="JR929" s="18"/>
      <c r="JS929" s="18"/>
      <c r="JT929" s="18"/>
      <c r="JU929" s="18"/>
      <c r="JV929" s="18"/>
      <c r="JW929" s="18"/>
      <c r="JX929" s="18"/>
      <c r="JY929" s="18"/>
      <c r="JZ929" s="18"/>
      <c r="KA929" s="18"/>
      <c r="KB929" s="18"/>
      <c r="KC929" s="18"/>
      <c r="KD929" s="18"/>
      <c r="KE929" s="18"/>
      <c r="KF929" s="18"/>
      <c r="KG929" s="18"/>
      <c r="KH929" s="18"/>
      <c r="KI929" s="18"/>
      <c r="KJ929" s="18"/>
      <c r="KK929" s="18"/>
      <c r="KL929" s="18"/>
      <c r="KM929" s="18"/>
      <c r="KN929" s="18"/>
      <c r="KO929" s="18"/>
      <c r="KP929" s="18"/>
    </row>
    <row r="930" spans="1:302">
      <c r="A930" s="14"/>
      <c r="B930" s="14"/>
      <c r="F930" s="14"/>
      <c r="G930" s="23"/>
      <c r="H930" s="23"/>
      <c r="I930" s="23"/>
      <c r="J930" s="23"/>
      <c r="K930" s="14"/>
      <c r="L930" s="14"/>
      <c r="P930" s="14"/>
      <c r="AG930" s="44"/>
      <c r="AH930" s="44"/>
      <c r="AI930" s="45"/>
      <c r="AJ930" s="44"/>
      <c r="AK930" s="43"/>
      <c r="AS930" s="14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  <c r="EW930" s="18"/>
      <c r="EX930" s="18"/>
      <c r="EY930" s="18"/>
      <c r="EZ930" s="18"/>
      <c r="FA930" s="18"/>
      <c r="FB930" s="18"/>
      <c r="FC930" s="18"/>
      <c r="FD930" s="18"/>
      <c r="FE930" s="18"/>
      <c r="FF930" s="18"/>
      <c r="FG930" s="18"/>
      <c r="FH930" s="18"/>
      <c r="FI930" s="18"/>
      <c r="FJ930" s="18"/>
      <c r="FK930" s="18"/>
      <c r="FL930" s="18"/>
      <c r="FM930" s="18"/>
      <c r="FN930" s="18"/>
      <c r="FO930" s="18"/>
      <c r="FP930" s="18"/>
      <c r="FQ930" s="18"/>
      <c r="FR930" s="18"/>
      <c r="FS930" s="18"/>
      <c r="FT930" s="18"/>
      <c r="FU930" s="18"/>
      <c r="FV930" s="18"/>
      <c r="FW930" s="18"/>
      <c r="FX930" s="18"/>
      <c r="FY930" s="18"/>
      <c r="FZ930" s="18"/>
      <c r="GA930" s="18"/>
      <c r="GB930" s="18"/>
      <c r="GC930" s="18"/>
      <c r="GD930" s="18"/>
      <c r="GE930" s="18"/>
      <c r="GF930" s="18"/>
      <c r="GG930" s="18"/>
      <c r="GH930" s="18"/>
      <c r="GI930" s="18"/>
      <c r="GJ930" s="18"/>
      <c r="GK930" s="18"/>
      <c r="GL930" s="18"/>
      <c r="GM930" s="18"/>
      <c r="GN930" s="18"/>
      <c r="GO930" s="18"/>
      <c r="GP930" s="18"/>
      <c r="GQ930" s="18"/>
      <c r="GR930" s="18"/>
      <c r="GS930" s="18"/>
      <c r="GT930" s="18"/>
      <c r="GU930" s="18"/>
      <c r="GV930" s="18"/>
      <c r="GW930" s="18"/>
      <c r="GX930" s="18"/>
      <c r="GY930" s="18"/>
      <c r="GZ930" s="18"/>
      <c r="HA930" s="18"/>
      <c r="HB930" s="18"/>
      <c r="HC930" s="18"/>
      <c r="HD930" s="18"/>
      <c r="HE930" s="18"/>
      <c r="HF930" s="18"/>
      <c r="HG930" s="13"/>
      <c r="HH930" s="13"/>
      <c r="HI930" s="13"/>
      <c r="HJ930" s="13"/>
      <c r="HK930" s="13"/>
      <c r="HL930" s="13"/>
      <c r="HM930" s="13"/>
      <c r="HN930" s="13"/>
      <c r="HO930" s="13"/>
      <c r="HP930" s="13"/>
      <c r="HQ930" s="13"/>
      <c r="HR930" s="13"/>
      <c r="HS930" s="13"/>
      <c r="HT930" s="13"/>
      <c r="HU930" s="18"/>
      <c r="HV930" s="18"/>
      <c r="HW930" s="18"/>
      <c r="HX930" s="18"/>
      <c r="HY930" s="18"/>
      <c r="HZ930" s="18"/>
      <c r="IA930" s="18"/>
      <c r="IB930" s="18"/>
      <c r="IC930" s="18"/>
      <c r="ID930" s="18"/>
      <c r="IE930" s="18"/>
      <c r="IF930" s="18"/>
      <c r="IG930" s="18"/>
      <c r="IH930" s="18"/>
      <c r="II930" s="18"/>
      <c r="IJ930" s="18"/>
      <c r="IK930" s="18"/>
      <c r="IL930" s="18"/>
      <c r="IM930" s="18"/>
      <c r="IN930" s="18"/>
      <c r="IO930" s="18"/>
      <c r="IP930" s="18"/>
      <c r="IQ930" s="18"/>
      <c r="IR930" s="18"/>
      <c r="IS930" s="18"/>
      <c r="IT930" s="18"/>
      <c r="IU930" s="18"/>
      <c r="IV930" s="18"/>
      <c r="IW930" s="18"/>
      <c r="IX930" s="18"/>
      <c r="IY930" s="18"/>
      <c r="IZ930" s="18"/>
      <c r="JA930" s="18"/>
      <c r="JB930" s="18"/>
      <c r="JC930" s="18"/>
      <c r="JD930" s="18"/>
      <c r="JE930" s="18"/>
      <c r="JF930" s="18"/>
      <c r="JG930" s="18"/>
      <c r="JH930" s="18"/>
      <c r="JI930" s="18"/>
      <c r="JJ930" s="18"/>
      <c r="JK930" s="18"/>
      <c r="JL930" s="18"/>
      <c r="JM930" s="18"/>
      <c r="JN930" s="18"/>
      <c r="JO930" s="18"/>
      <c r="JP930" s="18"/>
      <c r="JQ930" s="18"/>
      <c r="JR930" s="18"/>
      <c r="JS930" s="18"/>
      <c r="JT930" s="18"/>
      <c r="JU930" s="18"/>
      <c r="JV930" s="18"/>
      <c r="JW930" s="18"/>
      <c r="JX930" s="18"/>
      <c r="JY930" s="18"/>
      <c r="JZ930" s="18"/>
      <c r="KA930" s="18"/>
      <c r="KB930" s="18"/>
      <c r="KC930" s="18"/>
      <c r="KD930" s="18"/>
      <c r="KE930" s="18"/>
      <c r="KF930" s="18"/>
      <c r="KG930" s="18"/>
      <c r="KH930" s="18"/>
      <c r="KI930" s="18"/>
      <c r="KJ930" s="18"/>
      <c r="KK930" s="18"/>
      <c r="KL930" s="18"/>
      <c r="KM930" s="18"/>
      <c r="KN930" s="18"/>
      <c r="KO930" s="18"/>
      <c r="KP930" s="18"/>
    </row>
    <row r="931" spans="1:302">
      <c r="A931" s="14"/>
      <c r="B931" s="14"/>
      <c r="F931" s="14"/>
      <c r="G931" s="23"/>
      <c r="H931" s="23"/>
      <c r="I931" s="23"/>
      <c r="J931" s="23"/>
      <c r="K931" s="14"/>
      <c r="L931" s="14"/>
      <c r="P931" s="14"/>
      <c r="AG931" s="44"/>
      <c r="AH931" s="44"/>
      <c r="AI931" s="45"/>
      <c r="AJ931" s="44"/>
      <c r="AK931" s="43"/>
      <c r="AS931" s="14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  <c r="EW931" s="18"/>
      <c r="EX931" s="18"/>
      <c r="EY931" s="18"/>
      <c r="EZ931" s="18"/>
      <c r="FA931" s="18"/>
      <c r="FB931" s="18"/>
      <c r="FC931" s="18"/>
      <c r="FD931" s="18"/>
      <c r="FE931" s="18"/>
      <c r="FF931" s="18"/>
      <c r="FG931" s="18"/>
      <c r="FH931" s="18"/>
      <c r="FI931" s="18"/>
      <c r="FJ931" s="18"/>
      <c r="FK931" s="18"/>
      <c r="FL931" s="18"/>
      <c r="FM931" s="18"/>
      <c r="FN931" s="18"/>
      <c r="FO931" s="18"/>
      <c r="FP931" s="18"/>
      <c r="FQ931" s="18"/>
      <c r="FR931" s="18"/>
      <c r="FS931" s="18"/>
      <c r="FT931" s="18"/>
      <c r="FU931" s="18"/>
      <c r="FV931" s="18"/>
      <c r="FW931" s="18"/>
      <c r="FX931" s="18"/>
      <c r="FY931" s="18"/>
      <c r="FZ931" s="18"/>
      <c r="GA931" s="18"/>
      <c r="GB931" s="18"/>
      <c r="GC931" s="18"/>
      <c r="GD931" s="18"/>
      <c r="GE931" s="18"/>
      <c r="GF931" s="18"/>
      <c r="GG931" s="18"/>
      <c r="GH931" s="18"/>
      <c r="GI931" s="18"/>
      <c r="GJ931" s="18"/>
      <c r="GK931" s="18"/>
      <c r="GL931" s="18"/>
      <c r="GM931" s="18"/>
      <c r="GN931" s="18"/>
      <c r="GO931" s="18"/>
      <c r="GP931" s="18"/>
      <c r="GQ931" s="18"/>
      <c r="GR931" s="18"/>
      <c r="GS931" s="18"/>
      <c r="GT931" s="18"/>
      <c r="GU931" s="18"/>
      <c r="GV931" s="18"/>
      <c r="GW931" s="18"/>
      <c r="GX931" s="18"/>
      <c r="GY931" s="18"/>
      <c r="GZ931" s="18"/>
      <c r="HA931" s="18"/>
      <c r="HB931" s="18"/>
      <c r="HC931" s="18"/>
      <c r="HD931" s="18"/>
      <c r="HE931" s="18"/>
      <c r="HF931" s="18"/>
      <c r="HG931" s="13"/>
      <c r="HH931" s="13"/>
      <c r="HI931" s="13"/>
      <c r="HJ931" s="13"/>
      <c r="HK931" s="13"/>
      <c r="HL931" s="13"/>
      <c r="HM931" s="13"/>
      <c r="HN931" s="13"/>
      <c r="HO931" s="13"/>
      <c r="HP931" s="13"/>
      <c r="HQ931" s="13"/>
      <c r="HR931" s="13"/>
      <c r="HS931" s="13"/>
      <c r="HT931" s="13"/>
      <c r="HU931" s="18"/>
      <c r="HV931" s="18"/>
      <c r="HW931" s="18"/>
      <c r="HX931" s="18"/>
      <c r="HY931" s="18"/>
      <c r="HZ931" s="18"/>
      <c r="IA931" s="18"/>
      <c r="IB931" s="18"/>
      <c r="IC931" s="18"/>
      <c r="ID931" s="18"/>
      <c r="IE931" s="18"/>
      <c r="IF931" s="18"/>
      <c r="IG931" s="18"/>
      <c r="IH931" s="18"/>
      <c r="II931" s="18"/>
      <c r="IJ931" s="18"/>
      <c r="IK931" s="18"/>
      <c r="IL931" s="18"/>
      <c r="IM931" s="18"/>
      <c r="IN931" s="18"/>
      <c r="IO931" s="18"/>
      <c r="IP931" s="18"/>
      <c r="IQ931" s="18"/>
      <c r="IR931" s="18"/>
      <c r="IS931" s="18"/>
      <c r="IT931" s="18"/>
      <c r="IU931" s="18"/>
      <c r="IV931" s="18"/>
      <c r="IW931" s="18"/>
      <c r="IX931" s="18"/>
      <c r="IY931" s="18"/>
      <c r="IZ931" s="18"/>
      <c r="JA931" s="18"/>
      <c r="JB931" s="18"/>
      <c r="JC931" s="18"/>
      <c r="JD931" s="18"/>
      <c r="JE931" s="18"/>
      <c r="JF931" s="18"/>
      <c r="JG931" s="18"/>
      <c r="JH931" s="18"/>
      <c r="JI931" s="18"/>
      <c r="JJ931" s="18"/>
      <c r="JK931" s="18"/>
      <c r="JL931" s="18"/>
      <c r="JM931" s="18"/>
      <c r="JN931" s="18"/>
      <c r="JO931" s="18"/>
      <c r="JP931" s="18"/>
      <c r="JQ931" s="18"/>
      <c r="JR931" s="18"/>
      <c r="JS931" s="18"/>
      <c r="JT931" s="18"/>
      <c r="JU931" s="18"/>
      <c r="JV931" s="18"/>
      <c r="JW931" s="18"/>
      <c r="JX931" s="18"/>
      <c r="JY931" s="18"/>
      <c r="JZ931" s="18"/>
      <c r="KA931" s="18"/>
      <c r="KB931" s="18"/>
      <c r="KC931" s="18"/>
      <c r="KD931" s="18"/>
      <c r="KE931" s="18"/>
      <c r="KF931" s="18"/>
      <c r="KG931" s="18"/>
      <c r="KH931" s="18"/>
      <c r="KI931" s="18"/>
      <c r="KJ931" s="18"/>
      <c r="KK931" s="18"/>
      <c r="KL931" s="18"/>
      <c r="KM931" s="18"/>
      <c r="KN931" s="18"/>
      <c r="KO931" s="18"/>
      <c r="KP931" s="18"/>
    </row>
    <row r="932" spans="1:302">
      <c r="A932" s="14"/>
      <c r="B932" s="14"/>
      <c r="F932" s="14"/>
      <c r="G932" s="23"/>
      <c r="H932" s="23"/>
      <c r="I932" s="23"/>
      <c r="J932" s="23"/>
      <c r="K932" s="14"/>
      <c r="L932" s="14"/>
      <c r="P932" s="14"/>
      <c r="AG932" s="44"/>
      <c r="AH932" s="44"/>
      <c r="AI932" s="45"/>
      <c r="AJ932" s="44"/>
      <c r="AK932" s="43"/>
      <c r="AS932" s="14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  <c r="EW932" s="18"/>
      <c r="EX932" s="18"/>
      <c r="EY932" s="18"/>
      <c r="EZ932" s="18"/>
      <c r="FA932" s="18"/>
      <c r="FB932" s="18"/>
      <c r="FC932" s="18"/>
      <c r="FD932" s="18"/>
      <c r="FE932" s="18"/>
      <c r="FF932" s="18"/>
      <c r="FG932" s="18"/>
      <c r="FH932" s="18"/>
      <c r="FI932" s="18"/>
      <c r="FJ932" s="18"/>
      <c r="FK932" s="18"/>
      <c r="FL932" s="18"/>
      <c r="FM932" s="18"/>
      <c r="FN932" s="18"/>
      <c r="FO932" s="18"/>
      <c r="FP932" s="18"/>
      <c r="FQ932" s="18"/>
      <c r="FR932" s="18"/>
      <c r="FS932" s="18"/>
      <c r="FT932" s="18"/>
      <c r="FU932" s="18"/>
      <c r="FV932" s="18"/>
      <c r="FW932" s="18"/>
      <c r="FX932" s="18"/>
      <c r="FY932" s="18"/>
      <c r="FZ932" s="18"/>
      <c r="GA932" s="18"/>
      <c r="GB932" s="18"/>
      <c r="GC932" s="18"/>
      <c r="GD932" s="18"/>
      <c r="GE932" s="18"/>
      <c r="GF932" s="18"/>
      <c r="GG932" s="18"/>
      <c r="GH932" s="18"/>
      <c r="GI932" s="18"/>
      <c r="GJ932" s="18"/>
      <c r="GK932" s="18"/>
      <c r="GL932" s="18"/>
      <c r="GM932" s="18"/>
      <c r="GN932" s="18"/>
      <c r="GO932" s="18"/>
      <c r="GP932" s="18"/>
      <c r="GQ932" s="18"/>
      <c r="GR932" s="18"/>
      <c r="GS932" s="18"/>
      <c r="GT932" s="18"/>
      <c r="GU932" s="18"/>
      <c r="GV932" s="18"/>
      <c r="GW932" s="18"/>
      <c r="GX932" s="18"/>
      <c r="GY932" s="18"/>
      <c r="GZ932" s="18"/>
      <c r="HA932" s="18"/>
      <c r="HB932" s="18"/>
      <c r="HC932" s="18"/>
      <c r="HD932" s="18"/>
      <c r="HE932" s="18"/>
      <c r="HF932" s="18"/>
      <c r="HG932" s="13"/>
      <c r="HH932" s="13"/>
      <c r="HI932" s="13"/>
      <c r="HJ932" s="13"/>
      <c r="HK932" s="13"/>
      <c r="HL932" s="13"/>
      <c r="HM932" s="13"/>
      <c r="HN932" s="13"/>
      <c r="HO932" s="13"/>
      <c r="HP932" s="13"/>
      <c r="HQ932" s="13"/>
      <c r="HR932" s="13"/>
      <c r="HS932" s="13"/>
      <c r="HT932" s="13"/>
      <c r="HU932" s="18"/>
      <c r="HV932" s="18"/>
      <c r="HW932" s="18"/>
      <c r="HX932" s="18"/>
      <c r="HY932" s="18"/>
      <c r="HZ932" s="18"/>
      <c r="IA932" s="18"/>
      <c r="IB932" s="18"/>
      <c r="IC932" s="18"/>
      <c r="ID932" s="18"/>
      <c r="IE932" s="18"/>
      <c r="IF932" s="18"/>
      <c r="IG932" s="18"/>
      <c r="IH932" s="18"/>
      <c r="II932" s="18"/>
      <c r="IJ932" s="18"/>
      <c r="IK932" s="18"/>
      <c r="IL932" s="18"/>
      <c r="IM932" s="18"/>
      <c r="IN932" s="18"/>
      <c r="IO932" s="18"/>
      <c r="IP932" s="18"/>
      <c r="IQ932" s="18"/>
      <c r="IR932" s="18"/>
      <c r="IS932" s="18"/>
      <c r="IT932" s="18"/>
      <c r="IU932" s="18"/>
      <c r="IV932" s="18"/>
      <c r="IW932" s="18"/>
      <c r="IX932" s="18"/>
      <c r="IY932" s="18"/>
      <c r="IZ932" s="18"/>
      <c r="JA932" s="18"/>
      <c r="JB932" s="18"/>
      <c r="JC932" s="18"/>
      <c r="JD932" s="18"/>
      <c r="JE932" s="18"/>
      <c r="JF932" s="18"/>
      <c r="JG932" s="18"/>
      <c r="JH932" s="18"/>
      <c r="JI932" s="18"/>
      <c r="JJ932" s="18"/>
      <c r="JK932" s="18"/>
      <c r="JL932" s="18"/>
      <c r="JM932" s="18"/>
      <c r="JN932" s="18"/>
      <c r="JO932" s="18"/>
      <c r="JP932" s="18"/>
      <c r="JQ932" s="18"/>
      <c r="JR932" s="18"/>
      <c r="JS932" s="18"/>
      <c r="JT932" s="18"/>
      <c r="JU932" s="18"/>
      <c r="JV932" s="18"/>
      <c r="JW932" s="18"/>
      <c r="JX932" s="18"/>
      <c r="JY932" s="18"/>
      <c r="JZ932" s="18"/>
      <c r="KA932" s="18"/>
      <c r="KB932" s="18"/>
      <c r="KC932" s="18"/>
      <c r="KD932" s="18"/>
      <c r="KE932" s="18"/>
      <c r="KF932" s="18"/>
      <c r="KG932" s="18"/>
      <c r="KH932" s="18"/>
      <c r="KI932" s="18"/>
      <c r="KJ932" s="18"/>
      <c r="KK932" s="18"/>
      <c r="KL932" s="18"/>
      <c r="KM932" s="18"/>
      <c r="KN932" s="18"/>
      <c r="KO932" s="18"/>
      <c r="KP932" s="18"/>
    </row>
    <row r="933" spans="1:302">
      <c r="A933" s="14"/>
      <c r="B933" s="14"/>
      <c r="F933" s="14"/>
      <c r="G933" s="23"/>
      <c r="H933" s="23"/>
      <c r="I933" s="23"/>
      <c r="J933" s="23"/>
      <c r="K933" s="14"/>
      <c r="L933" s="14"/>
      <c r="P933" s="14"/>
      <c r="AG933" s="44"/>
      <c r="AH933" s="44"/>
      <c r="AI933" s="45"/>
      <c r="AJ933" s="44"/>
      <c r="AK933" s="43"/>
      <c r="AS933" s="14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  <c r="EW933" s="18"/>
      <c r="EX933" s="18"/>
      <c r="EY933" s="18"/>
      <c r="EZ933" s="18"/>
      <c r="FA933" s="18"/>
      <c r="FB933" s="18"/>
      <c r="FC933" s="18"/>
      <c r="FD933" s="18"/>
      <c r="FE933" s="18"/>
      <c r="FF933" s="18"/>
      <c r="FG933" s="18"/>
      <c r="FH933" s="18"/>
      <c r="FI933" s="18"/>
      <c r="FJ933" s="18"/>
      <c r="FK933" s="18"/>
      <c r="FL933" s="18"/>
      <c r="FM933" s="18"/>
      <c r="FN933" s="18"/>
      <c r="FO933" s="18"/>
      <c r="FP933" s="18"/>
      <c r="FQ933" s="18"/>
      <c r="FR933" s="18"/>
      <c r="FS933" s="18"/>
      <c r="FT933" s="18"/>
      <c r="FU933" s="18"/>
      <c r="FV933" s="18"/>
      <c r="FW933" s="18"/>
      <c r="FX933" s="18"/>
      <c r="FY933" s="18"/>
      <c r="FZ933" s="18"/>
      <c r="GA933" s="18"/>
      <c r="GB933" s="18"/>
      <c r="GC933" s="18"/>
      <c r="GD933" s="18"/>
      <c r="GE933" s="18"/>
      <c r="GF933" s="18"/>
      <c r="GG933" s="18"/>
      <c r="GH933" s="18"/>
      <c r="GI933" s="18"/>
      <c r="GJ933" s="18"/>
      <c r="GK933" s="18"/>
      <c r="GL933" s="18"/>
      <c r="GM933" s="18"/>
      <c r="GN933" s="18"/>
      <c r="GO933" s="18"/>
      <c r="GP933" s="18"/>
      <c r="GQ933" s="18"/>
      <c r="GR933" s="18"/>
      <c r="GS933" s="18"/>
      <c r="GT933" s="18"/>
      <c r="GU933" s="18"/>
      <c r="GV933" s="18"/>
      <c r="GW933" s="18"/>
      <c r="GX933" s="18"/>
      <c r="GY933" s="18"/>
      <c r="GZ933" s="18"/>
      <c r="HA933" s="18"/>
      <c r="HB933" s="18"/>
      <c r="HC933" s="18"/>
      <c r="HD933" s="18"/>
      <c r="HE933" s="18"/>
      <c r="HF933" s="18"/>
      <c r="HG933" s="13"/>
      <c r="HH933" s="13"/>
      <c r="HI933" s="13"/>
      <c r="HJ933" s="13"/>
      <c r="HK933" s="13"/>
      <c r="HL933" s="13"/>
      <c r="HM933" s="13"/>
      <c r="HN933" s="13"/>
      <c r="HO933" s="13"/>
      <c r="HP933" s="13"/>
      <c r="HQ933" s="13"/>
      <c r="HR933" s="13"/>
      <c r="HS933" s="13"/>
      <c r="HT933" s="13"/>
      <c r="HU933" s="18"/>
      <c r="HV933" s="18"/>
      <c r="HW933" s="18"/>
      <c r="HX933" s="18"/>
      <c r="HY933" s="18"/>
      <c r="HZ933" s="18"/>
      <c r="IA933" s="18"/>
      <c r="IB933" s="18"/>
      <c r="IC933" s="18"/>
      <c r="ID933" s="18"/>
      <c r="IE933" s="18"/>
      <c r="IF933" s="18"/>
      <c r="IG933" s="18"/>
      <c r="IH933" s="18"/>
      <c r="II933" s="18"/>
      <c r="IJ933" s="18"/>
      <c r="IK933" s="18"/>
      <c r="IL933" s="18"/>
      <c r="IM933" s="18"/>
      <c r="IN933" s="18"/>
      <c r="IO933" s="18"/>
      <c r="IP933" s="18"/>
      <c r="IQ933" s="18"/>
      <c r="IR933" s="18"/>
      <c r="IS933" s="18"/>
      <c r="IT933" s="18"/>
      <c r="IU933" s="18"/>
      <c r="IV933" s="18"/>
      <c r="IW933" s="18"/>
      <c r="IX933" s="18"/>
      <c r="IY933" s="18"/>
      <c r="IZ933" s="18"/>
      <c r="JA933" s="18"/>
      <c r="JB933" s="18"/>
      <c r="JC933" s="18"/>
      <c r="JD933" s="18"/>
      <c r="JE933" s="18"/>
      <c r="JF933" s="18"/>
      <c r="JG933" s="18"/>
      <c r="JH933" s="18"/>
      <c r="JI933" s="18"/>
      <c r="JJ933" s="18"/>
      <c r="JK933" s="18"/>
      <c r="JL933" s="18"/>
      <c r="JM933" s="18"/>
      <c r="JN933" s="18"/>
      <c r="JO933" s="18"/>
      <c r="JP933" s="18"/>
      <c r="JQ933" s="18"/>
      <c r="JR933" s="18"/>
      <c r="JS933" s="18"/>
      <c r="JT933" s="18"/>
      <c r="JU933" s="18"/>
      <c r="JV933" s="18"/>
      <c r="JW933" s="18"/>
      <c r="JX933" s="18"/>
      <c r="JY933" s="18"/>
      <c r="JZ933" s="18"/>
      <c r="KA933" s="18"/>
      <c r="KB933" s="18"/>
      <c r="KC933" s="18"/>
      <c r="KD933" s="18"/>
      <c r="KE933" s="18"/>
      <c r="KF933" s="18"/>
      <c r="KG933" s="18"/>
      <c r="KH933" s="18"/>
      <c r="KI933" s="18"/>
      <c r="KJ933" s="18"/>
      <c r="KK933" s="18"/>
      <c r="KL933" s="18"/>
      <c r="KM933" s="18"/>
      <c r="KN933" s="18"/>
      <c r="KO933" s="18"/>
      <c r="KP933" s="18"/>
    </row>
    <row r="934" spans="1:302">
      <c r="A934" s="14"/>
      <c r="B934" s="14"/>
      <c r="F934" s="14"/>
      <c r="G934" s="23"/>
      <c r="H934" s="23"/>
      <c r="I934" s="23"/>
      <c r="J934" s="23"/>
      <c r="K934" s="14"/>
      <c r="L934" s="14"/>
      <c r="P934" s="14"/>
      <c r="AG934" s="44"/>
      <c r="AH934" s="44"/>
      <c r="AI934" s="45"/>
      <c r="AJ934" s="44"/>
      <c r="AK934" s="43"/>
      <c r="AS934" s="14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  <c r="EW934" s="18"/>
      <c r="EX934" s="18"/>
      <c r="EY934" s="18"/>
      <c r="EZ934" s="18"/>
      <c r="FA934" s="18"/>
      <c r="FB934" s="18"/>
      <c r="FC934" s="18"/>
      <c r="FD934" s="18"/>
      <c r="FE934" s="18"/>
      <c r="FF934" s="18"/>
      <c r="FG934" s="18"/>
      <c r="FH934" s="18"/>
      <c r="FI934" s="18"/>
      <c r="FJ934" s="18"/>
      <c r="FK934" s="18"/>
      <c r="FL934" s="18"/>
      <c r="FM934" s="18"/>
      <c r="FN934" s="18"/>
      <c r="FO934" s="18"/>
      <c r="FP934" s="18"/>
      <c r="FQ934" s="18"/>
      <c r="FR934" s="18"/>
      <c r="FS934" s="18"/>
      <c r="FT934" s="18"/>
      <c r="FU934" s="18"/>
      <c r="FV934" s="18"/>
      <c r="FW934" s="18"/>
      <c r="FX934" s="18"/>
      <c r="FY934" s="18"/>
      <c r="FZ934" s="18"/>
      <c r="GA934" s="18"/>
      <c r="GB934" s="18"/>
      <c r="GC934" s="18"/>
      <c r="GD934" s="18"/>
      <c r="GE934" s="18"/>
      <c r="GF934" s="18"/>
      <c r="GG934" s="18"/>
      <c r="GH934" s="18"/>
      <c r="GI934" s="18"/>
      <c r="GJ934" s="18"/>
      <c r="GK934" s="18"/>
      <c r="GL934" s="18"/>
      <c r="GM934" s="18"/>
      <c r="GN934" s="18"/>
      <c r="GO934" s="18"/>
      <c r="GP934" s="18"/>
      <c r="GQ934" s="18"/>
      <c r="GR934" s="18"/>
      <c r="GS934" s="18"/>
      <c r="GT934" s="18"/>
      <c r="GU934" s="18"/>
      <c r="GV934" s="18"/>
      <c r="GW934" s="18"/>
      <c r="GX934" s="18"/>
      <c r="GY934" s="18"/>
      <c r="GZ934" s="18"/>
      <c r="HA934" s="18"/>
      <c r="HB934" s="18"/>
      <c r="HC934" s="18"/>
      <c r="HD934" s="18"/>
      <c r="HE934" s="18"/>
      <c r="HF934" s="18"/>
      <c r="HG934" s="13"/>
      <c r="HH934" s="13"/>
      <c r="HI934" s="13"/>
      <c r="HJ934" s="13"/>
      <c r="HK934" s="13"/>
      <c r="HL934" s="13"/>
      <c r="HM934" s="13"/>
      <c r="HN934" s="13"/>
      <c r="HO934" s="13"/>
      <c r="HP934" s="13"/>
      <c r="HQ934" s="13"/>
      <c r="HR934" s="13"/>
      <c r="HS934" s="13"/>
      <c r="HT934" s="13"/>
      <c r="HU934" s="18"/>
      <c r="HV934" s="18"/>
      <c r="HW934" s="18"/>
      <c r="HX934" s="18"/>
      <c r="HY934" s="18"/>
      <c r="HZ934" s="18"/>
      <c r="IA934" s="18"/>
      <c r="IB934" s="18"/>
      <c r="IC934" s="18"/>
      <c r="ID934" s="18"/>
      <c r="IE934" s="18"/>
      <c r="IF934" s="18"/>
      <c r="IG934" s="18"/>
      <c r="IH934" s="18"/>
      <c r="II934" s="18"/>
      <c r="IJ934" s="18"/>
      <c r="IK934" s="18"/>
      <c r="IL934" s="18"/>
      <c r="IM934" s="18"/>
      <c r="IN934" s="18"/>
      <c r="IO934" s="18"/>
      <c r="IP934" s="18"/>
      <c r="IQ934" s="18"/>
      <c r="IR934" s="18"/>
      <c r="IS934" s="18"/>
      <c r="IT934" s="18"/>
      <c r="IU934" s="18"/>
      <c r="IV934" s="18"/>
      <c r="IW934" s="18"/>
      <c r="IX934" s="18"/>
      <c r="IY934" s="18"/>
      <c r="IZ934" s="18"/>
      <c r="JA934" s="18"/>
      <c r="JB934" s="18"/>
      <c r="JC934" s="18"/>
      <c r="JD934" s="18"/>
      <c r="JE934" s="18"/>
      <c r="JF934" s="18"/>
      <c r="JG934" s="18"/>
      <c r="JH934" s="18"/>
      <c r="JI934" s="18"/>
      <c r="JJ934" s="18"/>
      <c r="JK934" s="18"/>
      <c r="JL934" s="18"/>
      <c r="JM934" s="18"/>
      <c r="JN934" s="18"/>
      <c r="JO934" s="18"/>
      <c r="JP934" s="18"/>
      <c r="JQ934" s="18"/>
      <c r="JR934" s="18"/>
      <c r="JS934" s="18"/>
      <c r="JT934" s="18"/>
      <c r="JU934" s="18"/>
      <c r="JV934" s="18"/>
      <c r="JW934" s="18"/>
      <c r="JX934" s="18"/>
      <c r="JY934" s="18"/>
      <c r="JZ934" s="18"/>
      <c r="KA934" s="18"/>
      <c r="KB934" s="18"/>
      <c r="KC934" s="18"/>
      <c r="KD934" s="18"/>
      <c r="KE934" s="18"/>
      <c r="KF934" s="18"/>
      <c r="KG934" s="18"/>
      <c r="KH934" s="18"/>
      <c r="KI934" s="18"/>
      <c r="KJ934" s="18"/>
      <c r="KK934" s="18"/>
      <c r="KL934" s="18"/>
      <c r="KM934" s="18"/>
      <c r="KN934" s="18"/>
      <c r="KO934" s="18"/>
      <c r="KP934" s="18"/>
    </row>
    <row r="935" spans="1:302">
      <c r="A935" s="14"/>
      <c r="B935" s="14"/>
      <c r="F935" s="14"/>
      <c r="G935" s="23"/>
      <c r="H935" s="23"/>
      <c r="I935" s="23"/>
      <c r="J935" s="23"/>
      <c r="K935" s="14"/>
      <c r="L935" s="14"/>
      <c r="P935" s="14"/>
      <c r="AG935" s="44"/>
      <c r="AH935" s="44"/>
      <c r="AI935" s="45"/>
      <c r="AJ935" s="44"/>
      <c r="AK935" s="43"/>
      <c r="AS935" s="14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  <c r="EW935" s="18"/>
      <c r="EX935" s="18"/>
      <c r="EY935" s="18"/>
      <c r="EZ935" s="18"/>
      <c r="FA935" s="18"/>
      <c r="FB935" s="18"/>
      <c r="FC935" s="18"/>
      <c r="FD935" s="18"/>
      <c r="FE935" s="18"/>
      <c r="FF935" s="18"/>
      <c r="FG935" s="18"/>
      <c r="FH935" s="18"/>
      <c r="FI935" s="18"/>
      <c r="FJ935" s="18"/>
      <c r="FK935" s="18"/>
      <c r="FL935" s="18"/>
      <c r="FM935" s="18"/>
      <c r="FN935" s="18"/>
      <c r="FO935" s="18"/>
      <c r="FP935" s="18"/>
      <c r="FQ935" s="18"/>
      <c r="FR935" s="18"/>
      <c r="FS935" s="18"/>
      <c r="FT935" s="18"/>
      <c r="FU935" s="18"/>
      <c r="FV935" s="18"/>
      <c r="FW935" s="18"/>
      <c r="FX935" s="18"/>
      <c r="FY935" s="18"/>
      <c r="FZ935" s="18"/>
      <c r="GA935" s="18"/>
      <c r="GB935" s="18"/>
      <c r="GC935" s="18"/>
      <c r="GD935" s="18"/>
      <c r="GE935" s="18"/>
      <c r="GF935" s="18"/>
      <c r="GG935" s="18"/>
      <c r="GH935" s="18"/>
      <c r="GI935" s="18"/>
      <c r="GJ935" s="18"/>
      <c r="GK935" s="18"/>
      <c r="GL935" s="18"/>
      <c r="GM935" s="18"/>
      <c r="GN935" s="18"/>
      <c r="GO935" s="18"/>
      <c r="GP935" s="18"/>
      <c r="GQ935" s="18"/>
      <c r="GR935" s="18"/>
      <c r="GS935" s="18"/>
      <c r="GT935" s="18"/>
      <c r="GU935" s="18"/>
      <c r="GV935" s="18"/>
      <c r="GW935" s="18"/>
      <c r="GX935" s="18"/>
      <c r="GY935" s="18"/>
      <c r="GZ935" s="18"/>
      <c r="HA935" s="18"/>
      <c r="HB935" s="18"/>
      <c r="HC935" s="18"/>
      <c r="HD935" s="18"/>
      <c r="HE935" s="18"/>
      <c r="HF935" s="18"/>
      <c r="HG935" s="13"/>
      <c r="HH935" s="13"/>
      <c r="HI935" s="13"/>
      <c r="HJ935" s="13"/>
      <c r="HK935" s="13"/>
      <c r="HL935" s="13"/>
      <c r="HM935" s="13"/>
      <c r="HN935" s="13"/>
      <c r="HO935" s="13"/>
      <c r="HP935" s="13"/>
      <c r="HQ935" s="13"/>
      <c r="HR935" s="13"/>
      <c r="HS935" s="13"/>
      <c r="HT935" s="13"/>
      <c r="HU935" s="18"/>
      <c r="HV935" s="18"/>
      <c r="HW935" s="18"/>
      <c r="HX935" s="18"/>
      <c r="HY935" s="18"/>
      <c r="HZ935" s="18"/>
      <c r="IA935" s="18"/>
      <c r="IB935" s="18"/>
      <c r="IC935" s="18"/>
      <c r="ID935" s="18"/>
      <c r="IE935" s="18"/>
      <c r="IF935" s="18"/>
      <c r="IG935" s="18"/>
      <c r="IH935" s="18"/>
      <c r="II935" s="18"/>
      <c r="IJ935" s="18"/>
      <c r="IK935" s="18"/>
      <c r="IL935" s="18"/>
      <c r="IM935" s="18"/>
      <c r="IN935" s="18"/>
      <c r="IO935" s="18"/>
      <c r="IP935" s="18"/>
      <c r="IQ935" s="18"/>
      <c r="IR935" s="18"/>
      <c r="IS935" s="18"/>
      <c r="IT935" s="18"/>
      <c r="IU935" s="18"/>
      <c r="IV935" s="18"/>
      <c r="IW935" s="18"/>
      <c r="IX935" s="18"/>
      <c r="IY935" s="18"/>
      <c r="IZ935" s="18"/>
      <c r="JA935" s="18"/>
      <c r="JB935" s="18"/>
      <c r="JC935" s="18"/>
      <c r="JD935" s="18"/>
      <c r="JE935" s="18"/>
      <c r="JF935" s="18"/>
      <c r="JG935" s="18"/>
      <c r="JH935" s="18"/>
      <c r="JI935" s="18"/>
      <c r="JJ935" s="18"/>
      <c r="JK935" s="18"/>
      <c r="JL935" s="18"/>
      <c r="JM935" s="18"/>
      <c r="JN935" s="18"/>
      <c r="JO935" s="18"/>
      <c r="JP935" s="18"/>
      <c r="JQ935" s="18"/>
      <c r="JR935" s="18"/>
      <c r="JS935" s="18"/>
      <c r="JT935" s="18"/>
      <c r="JU935" s="18"/>
      <c r="JV935" s="18"/>
      <c r="JW935" s="18"/>
      <c r="JX935" s="18"/>
      <c r="JY935" s="18"/>
      <c r="JZ935" s="18"/>
      <c r="KA935" s="18"/>
      <c r="KB935" s="18"/>
      <c r="KC935" s="18"/>
      <c r="KD935" s="18"/>
      <c r="KE935" s="18"/>
      <c r="KF935" s="18"/>
      <c r="KG935" s="18"/>
      <c r="KH935" s="18"/>
      <c r="KI935" s="18"/>
      <c r="KJ935" s="18"/>
      <c r="KK935" s="18"/>
      <c r="KL935" s="18"/>
      <c r="KM935" s="18"/>
      <c r="KN935" s="18"/>
      <c r="KO935" s="18"/>
      <c r="KP935" s="18"/>
    </row>
    <row r="936" spans="1:302">
      <c r="A936" s="14"/>
      <c r="B936" s="14"/>
      <c r="F936" s="14"/>
      <c r="G936" s="23"/>
      <c r="H936" s="23"/>
      <c r="I936" s="23"/>
      <c r="J936" s="23"/>
      <c r="K936" s="14"/>
      <c r="L936" s="14"/>
      <c r="P936" s="14"/>
      <c r="AG936" s="44"/>
      <c r="AH936" s="44"/>
      <c r="AI936" s="45"/>
      <c r="AJ936" s="44"/>
      <c r="AK936" s="43"/>
      <c r="AS936" s="14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  <c r="EW936" s="18"/>
      <c r="EX936" s="18"/>
      <c r="EY936" s="18"/>
      <c r="EZ936" s="18"/>
      <c r="FA936" s="18"/>
      <c r="FB936" s="18"/>
      <c r="FC936" s="18"/>
      <c r="FD936" s="18"/>
      <c r="FE936" s="18"/>
      <c r="FF936" s="18"/>
      <c r="FG936" s="18"/>
      <c r="FH936" s="18"/>
      <c r="FI936" s="18"/>
      <c r="FJ936" s="18"/>
      <c r="FK936" s="18"/>
      <c r="FL936" s="18"/>
      <c r="FM936" s="18"/>
      <c r="FN936" s="18"/>
      <c r="FO936" s="18"/>
      <c r="FP936" s="18"/>
      <c r="FQ936" s="18"/>
      <c r="FR936" s="18"/>
      <c r="FS936" s="18"/>
      <c r="FT936" s="18"/>
      <c r="FU936" s="18"/>
      <c r="FV936" s="18"/>
      <c r="FW936" s="18"/>
      <c r="FX936" s="18"/>
      <c r="FY936" s="18"/>
      <c r="FZ936" s="18"/>
      <c r="GA936" s="18"/>
      <c r="GB936" s="18"/>
      <c r="GC936" s="18"/>
      <c r="GD936" s="18"/>
      <c r="GE936" s="18"/>
      <c r="GF936" s="18"/>
      <c r="GG936" s="18"/>
      <c r="GH936" s="18"/>
      <c r="GI936" s="18"/>
      <c r="GJ936" s="18"/>
      <c r="GK936" s="18"/>
      <c r="GL936" s="18"/>
      <c r="GM936" s="18"/>
      <c r="GN936" s="18"/>
      <c r="GO936" s="18"/>
      <c r="GP936" s="18"/>
      <c r="GQ936" s="18"/>
      <c r="GR936" s="18"/>
      <c r="GS936" s="18"/>
      <c r="GT936" s="18"/>
      <c r="GU936" s="18"/>
      <c r="GV936" s="18"/>
      <c r="GW936" s="18"/>
      <c r="GX936" s="18"/>
      <c r="GY936" s="18"/>
      <c r="GZ936" s="18"/>
      <c r="HA936" s="18"/>
      <c r="HB936" s="18"/>
      <c r="HC936" s="18"/>
      <c r="HD936" s="18"/>
      <c r="HE936" s="18"/>
      <c r="HF936" s="18"/>
      <c r="HG936" s="13"/>
      <c r="HH936" s="13"/>
      <c r="HI936" s="13"/>
      <c r="HJ936" s="13"/>
      <c r="HK936" s="13"/>
      <c r="HL936" s="13"/>
      <c r="HM936" s="13"/>
      <c r="HN936" s="13"/>
      <c r="HO936" s="13"/>
      <c r="HP936" s="13"/>
      <c r="HQ936" s="13"/>
      <c r="HR936" s="13"/>
      <c r="HS936" s="13"/>
      <c r="HT936" s="13"/>
      <c r="HU936" s="18"/>
      <c r="HV936" s="18"/>
      <c r="HW936" s="18"/>
      <c r="HX936" s="18"/>
      <c r="HY936" s="18"/>
      <c r="HZ936" s="18"/>
      <c r="IA936" s="18"/>
      <c r="IB936" s="18"/>
      <c r="IC936" s="18"/>
      <c r="ID936" s="18"/>
      <c r="IE936" s="18"/>
      <c r="IF936" s="18"/>
      <c r="IG936" s="18"/>
      <c r="IH936" s="18"/>
      <c r="II936" s="18"/>
      <c r="IJ936" s="18"/>
      <c r="IK936" s="18"/>
      <c r="IL936" s="18"/>
      <c r="IM936" s="18"/>
      <c r="IN936" s="18"/>
      <c r="IO936" s="18"/>
      <c r="IP936" s="18"/>
      <c r="IQ936" s="18"/>
      <c r="IR936" s="18"/>
      <c r="IS936" s="18"/>
      <c r="IT936" s="18"/>
      <c r="IU936" s="18"/>
      <c r="IV936" s="18"/>
      <c r="IW936" s="18"/>
      <c r="IX936" s="18"/>
      <c r="IY936" s="18"/>
      <c r="IZ936" s="18"/>
      <c r="JA936" s="18"/>
      <c r="JB936" s="18"/>
      <c r="JC936" s="18"/>
      <c r="JD936" s="18"/>
      <c r="JE936" s="18"/>
      <c r="JF936" s="18"/>
      <c r="JG936" s="18"/>
      <c r="JH936" s="18"/>
      <c r="JI936" s="18"/>
      <c r="JJ936" s="18"/>
      <c r="JK936" s="18"/>
      <c r="JL936" s="18"/>
      <c r="JM936" s="18"/>
      <c r="JN936" s="18"/>
      <c r="JO936" s="18"/>
      <c r="JP936" s="18"/>
      <c r="JQ936" s="18"/>
      <c r="JR936" s="18"/>
      <c r="JS936" s="18"/>
      <c r="JT936" s="18"/>
      <c r="JU936" s="18"/>
      <c r="JV936" s="18"/>
      <c r="JW936" s="18"/>
      <c r="JX936" s="18"/>
      <c r="JY936" s="18"/>
      <c r="JZ936" s="18"/>
      <c r="KA936" s="18"/>
      <c r="KB936" s="18"/>
      <c r="KC936" s="18"/>
      <c r="KD936" s="18"/>
      <c r="KE936" s="18"/>
      <c r="KF936" s="18"/>
      <c r="KG936" s="18"/>
      <c r="KH936" s="18"/>
      <c r="KI936" s="18"/>
      <c r="KJ936" s="18"/>
      <c r="KK936" s="18"/>
      <c r="KL936" s="18"/>
      <c r="KM936" s="18"/>
      <c r="KN936" s="18"/>
      <c r="KO936" s="18"/>
      <c r="KP936" s="18"/>
    </row>
    <row r="937" spans="1:302">
      <c r="A937" s="14"/>
      <c r="B937" s="14"/>
      <c r="F937" s="14"/>
      <c r="G937" s="23"/>
      <c r="H937" s="23"/>
      <c r="I937" s="23"/>
      <c r="J937" s="23"/>
      <c r="K937" s="14"/>
      <c r="L937" s="14"/>
      <c r="P937" s="14"/>
      <c r="AG937" s="44"/>
      <c r="AH937" s="44"/>
      <c r="AI937" s="45"/>
      <c r="AJ937" s="44"/>
      <c r="AK937" s="43"/>
      <c r="AS937" s="14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  <c r="EW937" s="18"/>
      <c r="EX937" s="18"/>
      <c r="EY937" s="18"/>
      <c r="EZ937" s="18"/>
      <c r="FA937" s="18"/>
      <c r="FB937" s="18"/>
      <c r="FC937" s="18"/>
      <c r="FD937" s="18"/>
      <c r="FE937" s="18"/>
      <c r="FF937" s="18"/>
      <c r="FG937" s="18"/>
      <c r="FH937" s="18"/>
      <c r="FI937" s="18"/>
      <c r="FJ937" s="18"/>
      <c r="FK937" s="18"/>
      <c r="FL937" s="18"/>
      <c r="FM937" s="18"/>
      <c r="FN937" s="18"/>
      <c r="FO937" s="18"/>
      <c r="FP937" s="18"/>
      <c r="FQ937" s="18"/>
      <c r="FR937" s="18"/>
      <c r="FS937" s="18"/>
      <c r="FT937" s="18"/>
      <c r="FU937" s="18"/>
      <c r="FV937" s="18"/>
      <c r="FW937" s="18"/>
      <c r="FX937" s="18"/>
      <c r="FY937" s="18"/>
      <c r="FZ937" s="18"/>
      <c r="GA937" s="18"/>
      <c r="GB937" s="18"/>
      <c r="GC937" s="18"/>
      <c r="GD937" s="18"/>
      <c r="GE937" s="18"/>
      <c r="GF937" s="18"/>
      <c r="GG937" s="18"/>
      <c r="GH937" s="18"/>
      <c r="GI937" s="18"/>
      <c r="GJ937" s="18"/>
      <c r="GK937" s="18"/>
      <c r="GL937" s="18"/>
      <c r="GM937" s="18"/>
      <c r="GN937" s="18"/>
      <c r="GO937" s="18"/>
      <c r="GP937" s="18"/>
      <c r="GQ937" s="18"/>
      <c r="GR937" s="18"/>
      <c r="GS937" s="18"/>
      <c r="GT937" s="18"/>
      <c r="GU937" s="18"/>
      <c r="GV937" s="18"/>
      <c r="GW937" s="18"/>
      <c r="GX937" s="18"/>
      <c r="GY937" s="18"/>
      <c r="GZ937" s="18"/>
      <c r="HA937" s="18"/>
      <c r="HB937" s="18"/>
      <c r="HC937" s="18"/>
      <c r="HD937" s="18"/>
      <c r="HE937" s="18"/>
      <c r="HF937" s="18"/>
      <c r="HG937" s="13"/>
      <c r="HH937" s="13"/>
      <c r="HI937" s="13"/>
      <c r="HJ937" s="13"/>
      <c r="HK937" s="13"/>
      <c r="HL937" s="13"/>
      <c r="HM937" s="13"/>
      <c r="HN937" s="13"/>
      <c r="HO937" s="13"/>
      <c r="HP937" s="13"/>
      <c r="HQ937" s="13"/>
      <c r="HR937" s="13"/>
      <c r="HS937" s="13"/>
      <c r="HT937" s="13"/>
      <c r="HU937" s="18"/>
      <c r="HV937" s="18"/>
      <c r="HW937" s="18"/>
      <c r="HX937" s="18"/>
      <c r="HY937" s="18"/>
      <c r="HZ937" s="18"/>
      <c r="IA937" s="18"/>
      <c r="IB937" s="18"/>
      <c r="IC937" s="18"/>
      <c r="ID937" s="18"/>
      <c r="IE937" s="18"/>
      <c r="IF937" s="18"/>
      <c r="IG937" s="18"/>
      <c r="IH937" s="18"/>
      <c r="II937" s="18"/>
      <c r="IJ937" s="18"/>
      <c r="IK937" s="18"/>
      <c r="IL937" s="18"/>
      <c r="IM937" s="18"/>
      <c r="IN937" s="18"/>
      <c r="IO937" s="18"/>
      <c r="IP937" s="18"/>
      <c r="IQ937" s="18"/>
      <c r="IR937" s="18"/>
      <c r="IS937" s="18"/>
      <c r="IT937" s="18"/>
      <c r="IU937" s="18"/>
      <c r="IV937" s="18"/>
      <c r="IW937" s="18"/>
      <c r="IX937" s="18"/>
      <c r="IY937" s="18"/>
      <c r="IZ937" s="18"/>
      <c r="JA937" s="18"/>
      <c r="JB937" s="18"/>
      <c r="JC937" s="18"/>
      <c r="JD937" s="18"/>
      <c r="JE937" s="18"/>
      <c r="JF937" s="18"/>
      <c r="JG937" s="18"/>
      <c r="JH937" s="18"/>
      <c r="JI937" s="18"/>
      <c r="JJ937" s="18"/>
      <c r="JK937" s="18"/>
      <c r="JL937" s="18"/>
      <c r="JM937" s="18"/>
      <c r="JN937" s="18"/>
      <c r="JO937" s="18"/>
      <c r="JP937" s="18"/>
      <c r="JQ937" s="18"/>
      <c r="JR937" s="18"/>
      <c r="JS937" s="18"/>
      <c r="JT937" s="18"/>
      <c r="JU937" s="18"/>
      <c r="JV937" s="18"/>
      <c r="JW937" s="18"/>
      <c r="JX937" s="18"/>
      <c r="JY937" s="18"/>
      <c r="JZ937" s="18"/>
      <c r="KA937" s="18"/>
      <c r="KB937" s="18"/>
      <c r="KC937" s="18"/>
      <c r="KD937" s="18"/>
      <c r="KE937" s="18"/>
      <c r="KF937" s="18"/>
      <c r="KG937" s="18"/>
      <c r="KH937" s="18"/>
      <c r="KI937" s="18"/>
      <c r="KJ937" s="18"/>
      <c r="KK937" s="18"/>
      <c r="KL937" s="18"/>
      <c r="KM937" s="18"/>
      <c r="KN937" s="18"/>
      <c r="KO937" s="18"/>
      <c r="KP937" s="18"/>
    </row>
    <row r="938" spans="1:302">
      <c r="A938" s="14"/>
      <c r="B938" s="14"/>
      <c r="F938" s="14"/>
      <c r="G938" s="23"/>
      <c r="H938" s="23"/>
      <c r="I938" s="23"/>
      <c r="J938" s="23"/>
      <c r="K938" s="14"/>
      <c r="L938" s="14"/>
      <c r="P938" s="14"/>
      <c r="AG938" s="44"/>
      <c r="AH938" s="44"/>
      <c r="AI938" s="45"/>
      <c r="AJ938" s="44"/>
      <c r="AK938" s="43"/>
      <c r="AS938" s="14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  <c r="EW938" s="18"/>
      <c r="EX938" s="18"/>
      <c r="EY938" s="18"/>
      <c r="EZ938" s="18"/>
      <c r="FA938" s="18"/>
      <c r="FB938" s="18"/>
      <c r="FC938" s="18"/>
      <c r="FD938" s="18"/>
      <c r="FE938" s="18"/>
      <c r="FF938" s="18"/>
      <c r="FG938" s="18"/>
      <c r="FH938" s="18"/>
      <c r="FI938" s="18"/>
      <c r="FJ938" s="18"/>
      <c r="FK938" s="18"/>
      <c r="FL938" s="18"/>
      <c r="FM938" s="18"/>
      <c r="FN938" s="18"/>
      <c r="FO938" s="18"/>
      <c r="FP938" s="18"/>
      <c r="FQ938" s="18"/>
      <c r="FR938" s="18"/>
      <c r="FS938" s="18"/>
      <c r="FT938" s="18"/>
      <c r="FU938" s="18"/>
      <c r="FV938" s="18"/>
      <c r="FW938" s="18"/>
      <c r="FX938" s="18"/>
      <c r="FY938" s="18"/>
      <c r="FZ938" s="18"/>
      <c r="GA938" s="18"/>
      <c r="GB938" s="18"/>
      <c r="GC938" s="18"/>
      <c r="GD938" s="18"/>
      <c r="GE938" s="18"/>
      <c r="GF938" s="18"/>
      <c r="GG938" s="18"/>
      <c r="GH938" s="18"/>
      <c r="GI938" s="18"/>
      <c r="GJ938" s="18"/>
      <c r="GK938" s="18"/>
      <c r="GL938" s="18"/>
      <c r="GM938" s="18"/>
      <c r="GN938" s="18"/>
      <c r="GO938" s="18"/>
      <c r="GP938" s="18"/>
      <c r="GQ938" s="18"/>
      <c r="GR938" s="18"/>
      <c r="GS938" s="18"/>
      <c r="GT938" s="18"/>
      <c r="GU938" s="18"/>
      <c r="GV938" s="18"/>
      <c r="GW938" s="18"/>
      <c r="GX938" s="18"/>
      <c r="GY938" s="18"/>
      <c r="GZ938" s="18"/>
      <c r="HA938" s="18"/>
      <c r="HB938" s="18"/>
      <c r="HC938" s="18"/>
      <c r="HD938" s="18"/>
      <c r="HE938" s="18"/>
      <c r="HF938" s="18"/>
      <c r="HG938" s="13"/>
      <c r="HH938" s="13"/>
      <c r="HI938" s="13"/>
      <c r="HJ938" s="13"/>
      <c r="HK938" s="13"/>
      <c r="HL938" s="13"/>
      <c r="HM938" s="13"/>
      <c r="HN938" s="13"/>
      <c r="HO938" s="13"/>
      <c r="HP938" s="13"/>
      <c r="HQ938" s="13"/>
      <c r="HR938" s="13"/>
      <c r="HS938" s="13"/>
      <c r="HT938" s="13"/>
      <c r="HU938" s="18"/>
      <c r="HV938" s="18"/>
      <c r="HW938" s="18"/>
      <c r="HX938" s="18"/>
      <c r="HY938" s="18"/>
      <c r="HZ938" s="18"/>
      <c r="IA938" s="18"/>
      <c r="IB938" s="18"/>
      <c r="IC938" s="18"/>
      <c r="ID938" s="18"/>
      <c r="IE938" s="18"/>
      <c r="IF938" s="18"/>
      <c r="IG938" s="18"/>
      <c r="IH938" s="18"/>
      <c r="II938" s="18"/>
      <c r="IJ938" s="18"/>
      <c r="IK938" s="18"/>
      <c r="IL938" s="18"/>
      <c r="IM938" s="18"/>
      <c r="IN938" s="18"/>
      <c r="IO938" s="18"/>
      <c r="IP938" s="18"/>
      <c r="IQ938" s="18"/>
      <c r="IR938" s="18"/>
      <c r="IS938" s="18"/>
      <c r="IT938" s="18"/>
      <c r="IU938" s="18"/>
      <c r="IV938" s="18"/>
      <c r="IW938" s="18"/>
      <c r="IX938" s="18"/>
      <c r="IY938" s="18"/>
      <c r="IZ938" s="18"/>
      <c r="JA938" s="18"/>
      <c r="JB938" s="18"/>
      <c r="JC938" s="18"/>
      <c r="JD938" s="18"/>
      <c r="JE938" s="18"/>
      <c r="JF938" s="18"/>
      <c r="JG938" s="18"/>
      <c r="JH938" s="18"/>
      <c r="JI938" s="18"/>
      <c r="JJ938" s="18"/>
      <c r="JK938" s="18"/>
      <c r="JL938" s="18"/>
      <c r="JM938" s="18"/>
      <c r="JN938" s="18"/>
      <c r="JO938" s="18"/>
      <c r="JP938" s="18"/>
      <c r="JQ938" s="18"/>
      <c r="JR938" s="18"/>
      <c r="JS938" s="18"/>
      <c r="JT938" s="18"/>
      <c r="JU938" s="18"/>
      <c r="JV938" s="18"/>
      <c r="JW938" s="18"/>
      <c r="JX938" s="18"/>
      <c r="JY938" s="18"/>
      <c r="JZ938" s="18"/>
      <c r="KA938" s="18"/>
      <c r="KB938" s="18"/>
      <c r="KC938" s="18"/>
      <c r="KD938" s="18"/>
      <c r="KE938" s="18"/>
      <c r="KF938" s="18"/>
      <c r="KG938" s="18"/>
      <c r="KH938" s="18"/>
      <c r="KI938" s="18"/>
      <c r="KJ938" s="18"/>
      <c r="KK938" s="18"/>
      <c r="KL938" s="18"/>
      <c r="KM938" s="18"/>
      <c r="KN938" s="18"/>
      <c r="KO938" s="18"/>
      <c r="KP938" s="18"/>
    </row>
    <row r="939" spans="1:302">
      <c r="A939" s="14"/>
      <c r="B939" s="14"/>
      <c r="F939" s="14"/>
      <c r="G939" s="23"/>
      <c r="H939" s="23"/>
      <c r="I939" s="23"/>
      <c r="J939" s="23"/>
      <c r="K939" s="14"/>
      <c r="L939" s="14"/>
      <c r="P939" s="14"/>
      <c r="AG939" s="44"/>
      <c r="AH939" s="44"/>
      <c r="AI939" s="45"/>
      <c r="AJ939" s="44"/>
      <c r="AK939" s="43"/>
      <c r="AS939" s="14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  <c r="EW939" s="18"/>
      <c r="EX939" s="18"/>
      <c r="EY939" s="18"/>
      <c r="EZ939" s="18"/>
      <c r="FA939" s="18"/>
      <c r="FB939" s="18"/>
      <c r="FC939" s="18"/>
      <c r="FD939" s="18"/>
      <c r="FE939" s="18"/>
      <c r="FF939" s="18"/>
      <c r="FG939" s="18"/>
      <c r="FH939" s="18"/>
      <c r="FI939" s="18"/>
      <c r="FJ939" s="18"/>
      <c r="FK939" s="18"/>
      <c r="FL939" s="18"/>
      <c r="FM939" s="18"/>
      <c r="FN939" s="18"/>
      <c r="FO939" s="18"/>
      <c r="FP939" s="18"/>
      <c r="FQ939" s="18"/>
      <c r="FR939" s="18"/>
      <c r="FS939" s="18"/>
      <c r="FT939" s="18"/>
      <c r="FU939" s="18"/>
      <c r="FV939" s="18"/>
      <c r="FW939" s="18"/>
      <c r="FX939" s="18"/>
      <c r="FY939" s="18"/>
      <c r="FZ939" s="18"/>
      <c r="GA939" s="18"/>
      <c r="GB939" s="18"/>
      <c r="GC939" s="18"/>
      <c r="GD939" s="18"/>
      <c r="GE939" s="18"/>
      <c r="GF939" s="18"/>
      <c r="GG939" s="18"/>
      <c r="GH939" s="18"/>
      <c r="GI939" s="18"/>
      <c r="GJ939" s="18"/>
      <c r="GK939" s="18"/>
      <c r="GL939" s="18"/>
      <c r="GM939" s="18"/>
      <c r="GN939" s="18"/>
      <c r="GO939" s="18"/>
      <c r="GP939" s="18"/>
      <c r="GQ939" s="18"/>
      <c r="GR939" s="18"/>
      <c r="GS939" s="18"/>
      <c r="GT939" s="18"/>
      <c r="GU939" s="18"/>
      <c r="GV939" s="18"/>
      <c r="GW939" s="18"/>
      <c r="GX939" s="18"/>
      <c r="GY939" s="18"/>
      <c r="GZ939" s="18"/>
      <c r="HA939" s="18"/>
      <c r="HB939" s="18"/>
      <c r="HC939" s="18"/>
      <c r="HD939" s="18"/>
      <c r="HE939" s="18"/>
      <c r="HF939" s="18"/>
      <c r="HG939" s="13"/>
      <c r="HH939" s="13"/>
      <c r="HI939" s="13"/>
      <c r="HJ939" s="13"/>
      <c r="HK939" s="13"/>
      <c r="HL939" s="13"/>
      <c r="HM939" s="13"/>
      <c r="HN939" s="13"/>
      <c r="HO939" s="13"/>
      <c r="HP939" s="13"/>
      <c r="HQ939" s="13"/>
      <c r="HR939" s="13"/>
      <c r="HS939" s="13"/>
      <c r="HT939" s="13"/>
      <c r="HU939" s="18"/>
      <c r="HV939" s="18"/>
      <c r="HW939" s="18"/>
      <c r="HX939" s="18"/>
      <c r="HY939" s="18"/>
      <c r="HZ939" s="18"/>
      <c r="IA939" s="18"/>
      <c r="IB939" s="18"/>
      <c r="IC939" s="18"/>
      <c r="ID939" s="18"/>
      <c r="IE939" s="18"/>
      <c r="IF939" s="18"/>
      <c r="IG939" s="18"/>
      <c r="IH939" s="18"/>
      <c r="II939" s="18"/>
      <c r="IJ939" s="18"/>
      <c r="IK939" s="18"/>
      <c r="IL939" s="18"/>
      <c r="IM939" s="18"/>
      <c r="IN939" s="18"/>
      <c r="IO939" s="18"/>
      <c r="IP939" s="18"/>
      <c r="IQ939" s="18"/>
      <c r="IR939" s="18"/>
      <c r="IS939" s="18"/>
      <c r="IT939" s="18"/>
      <c r="IU939" s="18"/>
      <c r="IV939" s="18"/>
      <c r="IW939" s="18"/>
      <c r="IX939" s="18"/>
      <c r="IY939" s="18"/>
      <c r="IZ939" s="18"/>
      <c r="JA939" s="18"/>
      <c r="JB939" s="18"/>
      <c r="JC939" s="18"/>
      <c r="JD939" s="18"/>
      <c r="JE939" s="18"/>
      <c r="JF939" s="18"/>
      <c r="JG939" s="18"/>
      <c r="JH939" s="18"/>
      <c r="JI939" s="18"/>
      <c r="JJ939" s="18"/>
      <c r="JK939" s="18"/>
      <c r="JL939" s="18"/>
      <c r="JM939" s="18"/>
      <c r="JN939" s="18"/>
      <c r="JO939" s="18"/>
      <c r="JP939" s="18"/>
      <c r="JQ939" s="18"/>
      <c r="JR939" s="18"/>
      <c r="JS939" s="18"/>
      <c r="JT939" s="18"/>
      <c r="JU939" s="18"/>
      <c r="JV939" s="18"/>
      <c r="JW939" s="18"/>
      <c r="JX939" s="18"/>
      <c r="JY939" s="18"/>
      <c r="JZ939" s="18"/>
      <c r="KA939" s="18"/>
      <c r="KB939" s="18"/>
      <c r="KC939" s="18"/>
      <c r="KD939" s="18"/>
      <c r="KE939" s="18"/>
      <c r="KF939" s="18"/>
      <c r="KG939" s="18"/>
      <c r="KH939" s="18"/>
      <c r="KI939" s="18"/>
      <c r="KJ939" s="18"/>
      <c r="KK939" s="18"/>
      <c r="KL939" s="18"/>
      <c r="KM939" s="18"/>
      <c r="KN939" s="18"/>
      <c r="KO939" s="18"/>
      <c r="KP939" s="18"/>
    </row>
    <row r="940" spans="1:302">
      <c r="A940" s="14"/>
      <c r="B940" s="14"/>
      <c r="F940" s="14"/>
      <c r="G940" s="23"/>
      <c r="H940" s="23"/>
      <c r="I940" s="23"/>
      <c r="J940" s="23"/>
      <c r="K940" s="14"/>
      <c r="L940" s="14"/>
      <c r="P940" s="14"/>
      <c r="AG940" s="44"/>
      <c r="AH940" s="44"/>
      <c r="AI940" s="45"/>
      <c r="AJ940" s="44"/>
      <c r="AK940" s="43"/>
      <c r="AS940" s="14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  <c r="EW940" s="18"/>
      <c r="EX940" s="18"/>
      <c r="EY940" s="18"/>
      <c r="EZ940" s="18"/>
      <c r="FA940" s="18"/>
      <c r="FB940" s="18"/>
      <c r="FC940" s="18"/>
      <c r="FD940" s="18"/>
      <c r="FE940" s="18"/>
      <c r="FF940" s="18"/>
      <c r="FG940" s="18"/>
      <c r="FH940" s="18"/>
      <c r="FI940" s="18"/>
      <c r="FJ940" s="18"/>
      <c r="FK940" s="18"/>
      <c r="FL940" s="18"/>
      <c r="FM940" s="18"/>
      <c r="FN940" s="18"/>
      <c r="FO940" s="18"/>
      <c r="FP940" s="18"/>
      <c r="FQ940" s="18"/>
      <c r="FR940" s="18"/>
      <c r="FS940" s="18"/>
      <c r="FT940" s="18"/>
      <c r="FU940" s="18"/>
      <c r="FV940" s="18"/>
      <c r="FW940" s="18"/>
      <c r="FX940" s="18"/>
      <c r="FY940" s="18"/>
      <c r="FZ940" s="18"/>
      <c r="GA940" s="18"/>
      <c r="GB940" s="18"/>
      <c r="GC940" s="18"/>
      <c r="GD940" s="18"/>
      <c r="GE940" s="18"/>
      <c r="GF940" s="18"/>
      <c r="GG940" s="18"/>
      <c r="GH940" s="18"/>
      <c r="GI940" s="18"/>
      <c r="GJ940" s="18"/>
      <c r="GK940" s="18"/>
      <c r="GL940" s="18"/>
      <c r="GM940" s="18"/>
      <c r="GN940" s="18"/>
      <c r="GO940" s="18"/>
      <c r="GP940" s="18"/>
      <c r="GQ940" s="18"/>
      <c r="GR940" s="18"/>
      <c r="GS940" s="18"/>
      <c r="GT940" s="18"/>
      <c r="GU940" s="18"/>
      <c r="GV940" s="18"/>
      <c r="GW940" s="18"/>
      <c r="GX940" s="18"/>
      <c r="GY940" s="18"/>
      <c r="GZ940" s="18"/>
      <c r="HA940" s="18"/>
      <c r="HB940" s="18"/>
      <c r="HC940" s="18"/>
      <c r="HD940" s="18"/>
      <c r="HE940" s="18"/>
      <c r="HF940" s="18"/>
      <c r="HG940" s="13"/>
      <c r="HH940" s="13"/>
      <c r="HI940" s="13"/>
      <c r="HJ940" s="13"/>
      <c r="HK940" s="13"/>
      <c r="HL940" s="13"/>
      <c r="HM940" s="13"/>
      <c r="HN940" s="13"/>
      <c r="HO940" s="13"/>
      <c r="HP940" s="13"/>
      <c r="HQ940" s="13"/>
      <c r="HR940" s="13"/>
      <c r="HS940" s="13"/>
      <c r="HT940" s="13"/>
      <c r="HU940" s="18"/>
      <c r="HV940" s="18"/>
      <c r="HW940" s="18"/>
      <c r="HX940" s="18"/>
      <c r="HY940" s="18"/>
      <c r="HZ940" s="18"/>
      <c r="IA940" s="18"/>
      <c r="IB940" s="18"/>
      <c r="IC940" s="18"/>
      <c r="ID940" s="18"/>
      <c r="IE940" s="18"/>
      <c r="IF940" s="18"/>
      <c r="IG940" s="18"/>
      <c r="IH940" s="18"/>
      <c r="II940" s="18"/>
      <c r="IJ940" s="18"/>
      <c r="IK940" s="18"/>
      <c r="IL940" s="18"/>
      <c r="IM940" s="18"/>
      <c r="IN940" s="18"/>
      <c r="IO940" s="18"/>
      <c r="IP940" s="18"/>
      <c r="IQ940" s="18"/>
      <c r="IR940" s="18"/>
      <c r="IS940" s="18"/>
      <c r="IT940" s="18"/>
      <c r="IU940" s="18"/>
      <c r="IV940" s="18"/>
      <c r="IW940" s="18"/>
      <c r="IX940" s="18"/>
      <c r="IY940" s="18"/>
      <c r="IZ940" s="18"/>
      <c r="JA940" s="18"/>
      <c r="JB940" s="18"/>
      <c r="JC940" s="18"/>
      <c r="JD940" s="18"/>
      <c r="JE940" s="18"/>
      <c r="JF940" s="18"/>
      <c r="JG940" s="18"/>
      <c r="JH940" s="18"/>
      <c r="JI940" s="18"/>
      <c r="JJ940" s="18"/>
      <c r="JK940" s="18"/>
      <c r="JL940" s="18"/>
      <c r="JM940" s="18"/>
      <c r="JN940" s="18"/>
      <c r="JO940" s="18"/>
      <c r="JP940" s="18"/>
      <c r="JQ940" s="18"/>
      <c r="JR940" s="18"/>
      <c r="JS940" s="18"/>
      <c r="JT940" s="18"/>
      <c r="JU940" s="18"/>
      <c r="JV940" s="18"/>
      <c r="JW940" s="18"/>
      <c r="JX940" s="18"/>
      <c r="JY940" s="18"/>
      <c r="JZ940" s="18"/>
      <c r="KA940" s="18"/>
      <c r="KB940" s="18"/>
      <c r="KC940" s="18"/>
      <c r="KD940" s="18"/>
      <c r="KE940" s="18"/>
      <c r="KF940" s="18"/>
      <c r="KG940" s="18"/>
      <c r="KH940" s="18"/>
      <c r="KI940" s="18"/>
      <c r="KJ940" s="18"/>
      <c r="KK940" s="18"/>
      <c r="KL940" s="18"/>
      <c r="KM940" s="18"/>
      <c r="KN940" s="18"/>
      <c r="KO940" s="18"/>
      <c r="KP940" s="18"/>
    </row>
    <row r="941" spans="1:302">
      <c r="A941" s="14"/>
      <c r="B941" s="14"/>
      <c r="F941" s="14"/>
      <c r="G941" s="23"/>
      <c r="H941" s="23"/>
      <c r="I941" s="23"/>
      <c r="J941" s="23"/>
      <c r="K941" s="14"/>
      <c r="L941" s="14"/>
      <c r="P941" s="14"/>
      <c r="AG941" s="44"/>
      <c r="AH941" s="44"/>
      <c r="AI941" s="45"/>
      <c r="AJ941" s="44"/>
      <c r="AK941" s="43"/>
      <c r="AS941" s="14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  <c r="EW941" s="18"/>
      <c r="EX941" s="18"/>
      <c r="EY941" s="18"/>
      <c r="EZ941" s="18"/>
      <c r="FA941" s="18"/>
      <c r="FB941" s="18"/>
      <c r="FC941" s="18"/>
      <c r="FD941" s="18"/>
      <c r="FE941" s="18"/>
      <c r="FF941" s="18"/>
      <c r="FG941" s="18"/>
      <c r="FH941" s="18"/>
      <c r="FI941" s="18"/>
      <c r="FJ941" s="18"/>
      <c r="FK941" s="18"/>
      <c r="FL941" s="18"/>
      <c r="FM941" s="18"/>
      <c r="FN941" s="18"/>
      <c r="FO941" s="18"/>
      <c r="FP941" s="18"/>
      <c r="FQ941" s="18"/>
      <c r="FR941" s="18"/>
      <c r="FS941" s="18"/>
      <c r="FT941" s="18"/>
      <c r="FU941" s="18"/>
      <c r="FV941" s="18"/>
      <c r="FW941" s="18"/>
      <c r="FX941" s="18"/>
      <c r="FY941" s="18"/>
      <c r="FZ941" s="18"/>
      <c r="GA941" s="18"/>
      <c r="GB941" s="18"/>
      <c r="GC941" s="18"/>
      <c r="GD941" s="18"/>
      <c r="GE941" s="18"/>
      <c r="GF941" s="18"/>
      <c r="GG941" s="18"/>
      <c r="GH941" s="18"/>
      <c r="GI941" s="18"/>
      <c r="GJ941" s="18"/>
      <c r="GK941" s="18"/>
      <c r="GL941" s="18"/>
      <c r="GM941" s="18"/>
      <c r="GN941" s="18"/>
      <c r="GO941" s="18"/>
      <c r="GP941" s="18"/>
      <c r="GQ941" s="18"/>
      <c r="GR941" s="18"/>
      <c r="GS941" s="18"/>
      <c r="GT941" s="18"/>
      <c r="GU941" s="18"/>
      <c r="GV941" s="18"/>
      <c r="GW941" s="18"/>
      <c r="GX941" s="18"/>
      <c r="GY941" s="18"/>
      <c r="GZ941" s="18"/>
      <c r="HA941" s="18"/>
      <c r="HB941" s="18"/>
      <c r="HC941" s="18"/>
      <c r="HD941" s="18"/>
      <c r="HE941" s="18"/>
      <c r="HF941" s="18"/>
      <c r="HG941" s="13"/>
      <c r="HH941" s="13"/>
      <c r="HI941" s="13"/>
      <c r="HJ941" s="13"/>
      <c r="HK941" s="13"/>
      <c r="HL941" s="13"/>
      <c r="HM941" s="13"/>
      <c r="HN941" s="13"/>
      <c r="HO941" s="13"/>
      <c r="HP941" s="13"/>
      <c r="HQ941" s="13"/>
      <c r="HR941" s="13"/>
      <c r="HS941" s="13"/>
      <c r="HT941" s="13"/>
      <c r="HU941" s="18"/>
      <c r="HV941" s="18"/>
      <c r="HW941" s="18"/>
      <c r="HX941" s="18"/>
      <c r="HY941" s="18"/>
      <c r="HZ941" s="18"/>
      <c r="IA941" s="18"/>
      <c r="IB941" s="18"/>
      <c r="IC941" s="18"/>
      <c r="ID941" s="18"/>
      <c r="IE941" s="18"/>
      <c r="IF941" s="18"/>
      <c r="IG941" s="18"/>
      <c r="IH941" s="18"/>
      <c r="II941" s="18"/>
      <c r="IJ941" s="18"/>
      <c r="IK941" s="18"/>
      <c r="IL941" s="18"/>
      <c r="IM941" s="18"/>
      <c r="IN941" s="18"/>
      <c r="IO941" s="18"/>
      <c r="IP941" s="18"/>
      <c r="IQ941" s="18"/>
      <c r="IR941" s="18"/>
      <c r="IS941" s="18"/>
      <c r="IT941" s="18"/>
      <c r="IU941" s="18"/>
      <c r="IV941" s="18"/>
      <c r="IW941" s="18"/>
      <c r="IX941" s="18"/>
      <c r="IY941" s="18"/>
      <c r="IZ941" s="18"/>
      <c r="JA941" s="18"/>
      <c r="JB941" s="18"/>
      <c r="JC941" s="18"/>
      <c r="JD941" s="18"/>
      <c r="JE941" s="18"/>
      <c r="JF941" s="18"/>
      <c r="JG941" s="18"/>
      <c r="JH941" s="18"/>
      <c r="JI941" s="18"/>
      <c r="JJ941" s="18"/>
      <c r="JK941" s="18"/>
      <c r="JL941" s="18"/>
      <c r="JM941" s="18"/>
      <c r="JN941" s="18"/>
      <c r="JO941" s="18"/>
      <c r="JP941" s="18"/>
      <c r="JQ941" s="18"/>
      <c r="JR941" s="18"/>
      <c r="JS941" s="18"/>
      <c r="JT941" s="18"/>
      <c r="JU941" s="18"/>
      <c r="JV941" s="18"/>
      <c r="JW941" s="18"/>
      <c r="JX941" s="18"/>
      <c r="JY941" s="18"/>
      <c r="JZ941" s="18"/>
      <c r="KA941" s="18"/>
      <c r="KB941" s="18"/>
      <c r="KC941" s="18"/>
      <c r="KD941" s="18"/>
      <c r="KE941" s="18"/>
      <c r="KF941" s="18"/>
      <c r="KG941" s="18"/>
      <c r="KH941" s="18"/>
      <c r="KI941" s="18"/>
      <c r="KJ941" s="18"/>
      <c r="KK941" s="18"/>
      <c r="KL941" s="18"/>
      <c r="KM941" s="18"/>
      <c r="KN941" s="18"/>
      <c r="KO941" s="18"/>
      <c r="KP941" s="18"/>
    </row>
    <row r="942" spans="1:302">
      <c r="A942" s="14"/>
      <c r="B942" s="14"/>
      <c r="F942" s="14"/>
      <c r="G942" s="23"/>
      <c r="H942" s="23"/>
      <c r="I942" s="23"/>
      <c r="J942" s="23"/>
      <c r="K942" s="14"/>
      <c r="L942" s="14"/>
      <c r="P942" s="14"/>
      <c r="AG942" s="44"/>
      <c r="AH942" s="44"/>
      <c r="AI942" s="45"/>
      <c r="AJ942" s="44"/>
      <c r="AK942" s="43"/>
      <c r="AS942" s="14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  <c r="EW942" s="18"/>
      <c r="EX942" s="18"/>
      <c r="EY942" s="18"/>
      <c r="EZ942" s="18"/>
      <c r="FA942" s="18"/>
      <c r="FB942" s="18"/>
      <c r="FC942" s="18"/>
      <c r="FD942" s="18"/>
      <c r="FE942" s="18"/>
      <c r="FF942" s="18"/>
      <c r="FG942" s="18"/>
      <c r="FH942" s="18"/>
      <c r="FI942" s="18"/>
      <c r="FJ942" s="18"/>
      <c r="FK942" s="18"/>
      <c r="FL942" s="18"/>
      <c r="FM942" s="18"/>
      <c r="FN942" s="18"/>
      <c r="FO942" s="18"/>
      <c r="FP942" s="18"/>
      <c r="FQ942" s="18"/>
      <c r="FR942" s="18"/>
      <c r="FS942" s="18"/>
      <c r="FT942" s="18"/>
      <c r="FU942" s="18"/>
      <c r="FV942" s="18"/>
      <c r="FW942" s="18"/>
      <c r="FX942" s="18"/>
      <c r="FY942" s="18"/>
      <c r="FZ942" s="18"/>
      <c r="GA942" s="18"/>
      <c r="GB942" s="18"/>
      <c r="GC942" s="18"/>
      <c r="GD942" s="18"/>
      <c r="GE942" s="18"/>
      <c r="GF942" s="18"/>
      <c r="GG942" s="18"/>
      <c r="GH942" s="18"/>
      <c r="GI942" s="18"/>
      <c r="GJ942" s="18"/>
      <c r="GK942" s="18"/>
      <c r="GL942" s="18"/>
      <c r="GM942" s="18"/>
      <c r="GN942" s="18"/>
      <c r="GO942" s="18"/>
      <c r="GP942" s="18"/>
      <c r="GQ942" s="18"/>
      <c r="GR942" s="18"/>
      <c r="GS942" s="18"/>
      <c r="GT942" s="18"/>
      <c r="GU942" s="18"/>
      <c r="GV942" s="18"/>
      <c r="GW942" s="18"/>
      <c r="GX942" s="18"/>
      <c r="GY942" s="18"/>
      <c r="GZ942" s="18"/>
      <c r="HA942" s="18"/>
      <c r="HB942" s="18"/>
      <c r="HC942" s="18"/>
      <c r="HD942" s="18"/>
      <c r="HE942" s="18"/>
      <c r="HF942" s="18"/>
      <c r="HG942" s="13"/>
      <c r="HH942" s="13"/>
      <c r="HI942" s="13"/>
      <c r="HJ942" s="13"/>
      <c r="HK942" s="13"/>
      <c r="HL942" s="13"/>
      <c r="HM942" s="13"/>
      <c r="HN942" s="13"/>
      <c r="HO942" s="13"/>
      <c r="HP942" s="13"/>
      <c r="HQ942" s="13"/>
      <c r="HR942" s="13"/>
      <c r="HS942" s="13"/>
      <c r="HT942" s="13"/>
      <c r="HU942" s="18"/>
      <c r="HV942" s="18"/>
      <c r="HW942" s="18"/>
      <c r="HX942" s="18"/>
      <c r="HY942" s="18"/>
      <c r="HZ942" s="18"/>
      <c r="IA942" s="18"/>
      <c r="IB942" s="18"/>
      <c r="IC942" s="18"/>
      <c r="ID942" s="18"/>
      <c r="IE942" s="18"/>
      <c r="IF942" s="18"/>
      <c r="IG942" s="18"/>
      <c r="IH942" s="18"/>
      <c r="II942" s="18"/>
      <c r="IJ942" s="18"/>
      <c r="IK942" s="18"/>
      <c r="IL942" s="18"/>
      <c r="IM942" s="18"/>
      <c r="IN942" s="18"/>
      <c r="IO942" s="18"/>
      <c r="IP942" s="18"/>
      <c r="IQ942" s="18"/>
      <c r="IR942" s="18"/>
      <c r="IS942" s="18"/>
      <c r="IT942" s="18"/>
      <c r="IU942" s="18"/>
      <c r="IV942" s="18"/>
      <c r="IW942" s="18"/>
      <c r="IX942" s="18"/>
      <c r="IY942" s="18"/>
      <c r="IZ942" s="18"/>
      <c r="JA942" s="18"/>
      <c r="JB942" s="18"/>
      <c r="JC942" s="18"/>
      <c r="JD942" s="18"/>
      <c r="JE942" s="18"/>
      <c r="JF942" s="18"/>
      <c r="JG942" s="18"/>
      <c r="JH942" s="18"/>
      <c r="JI942" s="18"/>
      <c r="JJ942" s="18"/>
      <c r="JK942" s="18"/>
      <c r="JL942" s="18"/>
      <c r="JM942" s="18"/>
      <c r="JN942" s="18"/>
      <c r="JO942" s="18"/>
      <c r="JP942" s="18"/>
      <c r="JQ942" s="18"/>
      <c r="JR942" s="18"/>
      <c r="JS942" s="18"/>
      <c r="JT942" s="18"/>
      <c r="JU942" s="18"/>
      <c r="JV942" s="18"/>
      <c r="JW942" s="18"/>
      <c r="JX942" s="18"/>
      <c r="JY942" s="18"/>
      <c r="JZ942" s="18"/>
      <c r="KA942" s="18"/>
      <c r="KB942" s="18"/>
      <c r="KC942" s="18"/>
      <c r="KD942" s="18"/>
      <c r="KE942" s="18"/>
      <c r="KF942" s="18"/>
      <c r="KG942" s="18"/>
      <c r="KH942" s="18"/>
      <c r="KI942" s="18"/>
      <c r="KJ942" s="18"/>
      <c r="KK942" s="18"/>
      <c r="KL942" s="18"/>
      <c r="KM942" s="18"/>
      <c r="KN942" s="18"/>
      <c r="KO942" s="18"/>
      <c r="KP942" s="18"/>
    </row>
    <row r="943" spans="1:302">
      <c r="A943" s="14"/>
      <c r="B943" s="14"/>
      <c r="F943" s="14"/>
      <c r="G943" s="23"/>
      <c r="H943" s="23"/>
      <c r="I943" s="23"/>
      <c r="J943" s="23"/>
      <c r="K943" s="14"/>
      <c r="L943" s="14"/>
      <c r="P943" s="14"/>
      <c r="AG943" s="44"/>
      <c r="AH943" s="44"/>
      <c r="AI943" s="45"/>
      <c r="AJ943" s="44"/>
      <c r="AK943" s="43"/>
      <c r="AS943" s="14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  <c r="FC943" s="18"/>
      <c r="FD943" s="18"/>
      <c r="FE943" s="18"/>
      <c r="FF943" s="18"/>
      <c r="FG943" s="18"/>
      <c r="FH943" s="18"/>
      <c r="FI943" s="18"/>
      <c r="FJ943" s="18"/>
      <c r="FK943" s="18"/>
      <c r="FL943" s="18"/>
      <c r="FM943" s="18"/>
      <c r="FN943" s="18"/>
      <c r="FO943" s="18"/>
      <c r="FP943" s="18"/>
      <c r="FQ943" s="18"/>
      <c r="FR943" s="18"/>
      <c r="FS943" s="18"/>
      <c r="FT943" s="18"/>
      <c r="FU943" s="18"/>
      <c r="FV943" s="18"/>
      <c r="FW943" s="18"/>
      <c r="FX943" s="18"/>
      <c r="FY943" s="18"/>
      <c r="FZ943" s="18"/>
      <c r="GA943" s="18"/>
      <c r="GB943" s="18"/>
      <c r="GC943" s="18"/>
      <c r="GD943" s="18"/>
      <c r="GE943" s="18"/>
      <c r="GF943" s="18"/>
      <c r="GG943" s="18"/>
      <c r="GH943" s="18"/>
      <c r="GI943" s="18"/>
      <c r="GJ943" s="18"/>
      <c r="GK943" s="18"/>
      <c r="GL943" s="18"/>
      <c r="GM943" s="18"/>
      <c r="GN943" s="18"/>
      <c r="GO943" s="18"/>
      <c r="GP943" s="18"/>
      <c r="GQ943" s="18"/>
      <c r="GR943" s="18"/>
      <c r="GS943" s="18"/>
      <c r="GT943" s="18"/>
      <c r="GU943" s="18"/>
      <c r="GV943" s="18"/>
      <c r="GW943" s="18"/>
      <c r="GX943" s="18"/>
      <c r="GY943" s="18"/>
      <c r="GZ943" s="18"/>
      <c r="HA943" s="18"/>
      <c r="HB943" s="18"/>
      <c r="HC943" s="18"/>
      <c r="HD943" s="18"/>
      <c r="HE943" s="18"/>
      <c r="HF943" s="18"/>
      <c r="HG943" s="13"/>
      <c r="HH943" s="13"/>
      <c r="HI943" s="13"/>
      <c r="HJ943" s="13"/>
      <c r="HK943" s="13"/>
      <c r="HL943" s="13"/>
      <c r="HM943" s="13"/>
      <c r="HN943" s="13"/>
      <c r="HO943" s="13"/>
      <c r="HP943" s="13"/>
      <c r="HQ943" s="13"/>
      <c r="HR943" s="13"/>
      <c r="HS943" s="13"/>
      <c r="HT943" s="13"/>
      <c r="HU943" s="18"/>
      <c r="HV943" s="18"/>
      <c r="HW943" s="18"/>
      <c r="HX943" s="18"/>
      <c r="HY943" s="18"/>
      <c r="HZ943" s="18"/>
      <c r="IA943" s="18"/>
      <c r="IB943" s="18"/>
      <c r="IC943" s="18"/>
      <c r="ID943" s="18"/>
      <c r="IE943" s="18"/>
      <c r="IF943" s="18"/>
      <c r="IG943" s="18"/>
      <c r="IH943" s="18"/>
      <c r="II943" s="18"/>
      <c r="IJ943" s="18"/>
      <c r="IK943" s="18"/>
      <c r="IL943" s="18"/>
      <c r="IM943" s="18"/>
      <c r="IN943" s="18"/>
      <c r="IO943" s="18"/>
      <c r="IP943" s="18"/>
      <c r="IQ943" s="18"/>
      <c r="IR943" s="18"/>
      <c r="IS943" s="18"/>
      <c r="IT943" s="18"/>
      <c r="IU943" s="18"/>
      <c r="IV943" s="18"/>
      <c r="IW943" s="18"/>
      <c r="IX943" s="18"/>
      <c r="IY943" s="18"/>
      <c r="IZ943" s="18"/>
      <c r="JA943" s="18"/>
      <c r="JB943" s="18"/>
      <c r="JC943" s="18"/>
      <c r="JD943" s="18"/>
      <c r="JE943" s="18"/>
      <c r="JF943" s="18"/>
      <c r="JG943" s="18"/>
      <c r="JH943" s="18"/>
      <c r="JI943" s="18"/>
      <c r="JJ943" s="18"/>
      <c r="JK943" s="18"/>
      <c r="JL943" s="18"/>
      <c r="JM943" s="18"/>
      <c r="JN943" s="18"/>
      <c r="JO943" s="18"/>
      <c r="JP943" s="18"/>
      <c r="JQ943" s="18"/>
      <c r="JR943" s="18"/>
      <c r="JS943" s="18"/>
      <c r="JT943" s="18"/>
      <c r="JU943" s="18"/>
      <c r="JV943" s="18"/>
      <c r="JW943" s="18"/>
      <c r="JX943" s="18"/>
      <c r="JY943" s="18"/>
      <c r="JZ943" s="18"/>
      <c r="KA943" s="18"/>
      <c r="KB943" s="18"/>
      <c r="KC943" s="18"/>
      <c r="KD943" s="18"/>
      <c r="KE943" s="18"/>
      <c r="KF943" s="18"/>
      <c r="KG943" s="18"/>
      <c r="KH943" s="18"/>
      <c r="KI943" s="18"/>
      <c r="KJ943" s="18"/>
      <c r="KK943" s="18"/>
      <c r="KL943" s="18"/>
      <c r="KM943" s="18"/>
      <c r="KN943" s="18"/>
      <c r="KO943" s="18"/>
      <c r="KP943" s="18"/>
    </row>
    <row r="944" spans="1:302">
      <c r="A944" s="14"/>
      <c r="B944" s="14"/>
      <c r="F944" s="14"/>
      <c r="G944" s="23"/>
      <c r="H944" s="23"/>
      <c r="I944" s="23"/>
      <c r="J944" s="23"/>
      <c r="K944" s="14"/>
      <c r="L944" s="14"/>
      <c r="P944" s="14"/>
      <c r="AG944" s="44"/>
      <c r="AH944" s="44"/>
      <c r="AI944" s="45"/>
      <c r="AJ944" s="44"/>
      <c r="AK944" s="43"/>
      <c r="AS944" s="14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  <c r="EW944" s="18"/>
      <c r="EX944" s="18"/>
      <c r="EY944" s="18"/>
      <c r="EZ944" s="18"/>
      <c r="FA944" s="18"/>
      <c r="FB944" s="18"/>
      <c r="FC944" s="18"/>
      <c r="FD944" s="18"/>
      <c r="FE944" s="18"/>
      <c r="FF944" s="18"/>
      <c r="FG944" s="18"/>
      <c r="FH944" s="18"/>
      <c r="FI944" s="18"/>
      <c r="FJ944" s="18"/>
      <c r="FK944" s="18"/>
      <c r="FL944" s="18"/>
      <c r="FM944" s="18"/>
      <c r="FN944" s="18"/>
      <c r="FO944" s="18"/>
      <c r="FP944" s="18"/>
      <c r="FQ944" s="18"/>
      <c r="FR944" s="18"/>
      <c r="FS944" s="18"/>
      <c r="FT944" s="18"/>
      <c r="FU944" s="18"/>
      <c r="FV944" s="18"/>
      <c r="FW944" s="18"/>
      <c r="FX944" s="18"/>
      <c r="FY944" s="18"/>
      <c r="FZ944" s="18"/>
      <c r="GA944" s="18"/>
      <c r="GB944" s="18"/>
      <c r="GC944" s="18"/>
      <c r="GD944" s="18"/>
      <c r="GE944" s="18"/>
      <c r="GF944" s="18"/>
      <c r="GG944" s="18"/>
      <c r="GH944" s="18"/>
      <c r="GI944" s="18"/>
      <c r="GJ944" s="18"/>
      <c r="GK944" s="18"/>
      <c r="GL944" s="18"/>
      <c r="GM944" s="18"/>
      <c r="GN944" s="18"/>
      <c r="GO944" s="18"/>
      <c r="GP944" s="18"/>
      <c r="GQ944" s="18"/>
      <c r="GR944" s="18"/>
      <c r="GS944" s="18"/>
      <c r="GT944" s="18"/>
      <c r="GU944" s="18"/>
      <c r="GV944" s="18"/>
      <c r="GW944" s="18"/>
      <c r="GX944" s="18"/>
      <c r="GY944" s="18"/>
      <c r="GZ944" s="18"/>
      <c r="HA944" s="18"/>
      <c r="HB944" s="18"/>
      <c r="HC944" s="18"/>
      <c r="HD944" s="18"/>
      <c r="HE944" s="18"/>
      <c r="HF944" s="18"/>
      <c r="HG944" s="13"/>
      <c r="HH944" s="13"/>
      <c r="HI944" s="13"/>
      <c r="HJ944" s="13"/>
      <c r="HK944" s="13"/>
      <c r="HL944" s="13"/>
      <c r="HM944" s="13"/>
      <c r="HN944" s="13"/>
      <c r="HO944" s="13"/>
      <c r="HP944" s="13"/>
      <c r="HQ944" s="13"/>
      <c r="HR944" s="13"/>
      <c r="HS944" s="13"/>
      <c r="HT944" s="13"/>
      <c r="HU944" s="18"/>
      <c r="HV944" s="18"/>
      <c r="HW944" s="18"/>
      <c r="HX944" s="18"/>
      <c r="HY944" s="18"/>
      <c r="HZ944" s="18"/>
      <c r="IA944" s="18"/>
      <c r="IB944" s="18"/>
      <c r="IC944" s="18"/>
      <c r="ID944" s="18"/>
      <c r="IE944" s="18"/>
      <c r="IF944" s="18"/>
      <c r="IG944" s="18"/>
      <c r="IH944" s="18"/>
      <c r="II944" s="18"/>
      <c r="IJ944" s="18"/>
      <c r="IK944" s="18"/>
      <c r="IL944" s="18"/>
      <c r="IM944" s="18"/>
      <c r="IN944" s="18"/>
      <c r="IO944" s="18"/>
      <c r="IP944" s="18"/>
      <c r="IQ944" s="18"/>
      <c r="IR944" s="18"/>
      <c r="IS944" s="18"/>
      <c r="IT944" s="18"/>
      <c r="IU944" s="18"/>
      <c r="IV944" s="18"/>
      <c r="IW944" s="18"/>
      <c r="IX944" s="18"/>
      <c r="IY944" s="18"/>
      <c r="IZ944" s="18"/>
      <c r="JA944" s="18"/>
      <c r="JB944" s="18"/>
      <c r="JC944" s="18"/>
      <c r="JD944" s="18"/>
      <c r="JE944" s="18"/>
      <c r="JF944" s="18"/>
      <c r="JG944" s="18"/>
      <c r="JH944" s="18"/>
      <c r="JI944" s="18"/>
      <c r="JJ944" s="18"/>
      <c r="JK944" s="18"/>
      <c r="JL944" s="18"/>
      <c r="JM944" s="18"/>
      <c r="JN944" s="18"/>
      <c r="JO944" s="18"/>
      <c r="JP944" s="18"/>
      <c r="JQ944" s="18"/>
      <c r="JR944" s="18"/>
      <c r="JS944" s="18"/>
      <c r="JT944" s="18"/>
      <c r="JU944" s="18"/>
      <c r="JV944" s="18"/>
      <c r="JW944" s="18"/>
      <c r="JX944" s="18"/>
      <c r="JY944" s="18"/>
      <c r="JZ944" s="18"/>
      <c r="KA944" s="18"/>
      <c r="KB944" s="18"/>
      <c r="KC944" s="18"/>
      <c r="KD944" s="18"/>
      <c r="KE944" s="18"/>
      <c r="KF944" s="18"/>
      <c r="KG944" s="18"/>
      <c r="KH944" s="18"/>
      <c r="KI944" s="18"/>
      <c r="KJ944" s="18"/>
      <c r="KK944" s="18"/>
      <c r="KL944" s="18"/>
      <c r="KM944" s="18"/>
      <c r="KN944" s="18"/>
      <c r="KO944" s="18"/>
      <c r="KP944" s="18"/>
    </row>
    <row r="945" spans="1:302">
      <c r="A945" s="14"/>
      <c r="B945" s="14"/>
      <c r="F945" s="14"/>
      <c r="G945" s="23"/>
      <c r="H945" s="23"/>
      <c r="I945" s="23"/>
      <c r="J945" s="23"/>
      <c r="K945" s="14"/>
      <c r="L945" s="14"/>
      <c r="P945" s="14"/>
      <c r="AG945" s="44"/>
      <c r="AH945" s="44"/>
      <c r="AI945" s="45"/>
      <c r="AJ945" s="44"/>
      <c r="AK945" s="43"/>
      <c r="AS945" s="14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  <c r="EW945" s="18"/>
      <c r="EX945" s="18"/>
      <c r="EY945" s="18"/>
      <c r="EZ945" s="18"/>
      <c r="FA945" s="18"/>
      <c r="FB945" s="18"/>
      <c r="FC945" s="18"/>
      <c r="FD945" s="18"/>
      <c r="FE945" s="18"/>
      <c r="FF945" s="18"/>
      <c r="FG945" s="18"/>
      <c r="FH945" s="18"/>
      <c r="FI945" s="18"/>
      <c r="FJ945" s="18"/>
      <c r="FK945" s="18"/>
      <c r="FL945" s="18"/>
      <c r="FM945" s="18"/>
      <c r="FN945" s="18"/>
      <c r="FO945" s="18"/>
      <c r="FP945" s="18"/>
      <c r="FQ945" s="18"/>
      <c r="FR945" s="18"/>
      <c r="FS945" s="18"/>
      <c r="FT945" s="18"/>
      <c r="FU945" s="18"/>
      <c r="FV945" s="18"/>
      <c r="FW945" s="18"/>
      <c r="FX945" s="18"/>
      <c r="FY945" s="18"/>
      <c r="FZ945" s="18"/>
      <c r="GA945" s="18"/>
      <c r="GB945" s="18"/>
      <c r="GC945" s="18"/>
      <c r="GD945" s="18"/>
      <c r="GE945" s="18"/>
      <c r="GF945" s="18"/>
      <c r="GG945" s="18"/>
      <c r="GH945" s="18"/>
      <c r="GI945" s="18"/>
      <c r="GJ945" s="18"/>
      <c r="GK945" s="18"/>
      <c r="GL945" s="18"/>
      <c r="GM945" s="18"/>
      <c r="GN945" s="18"/>
      <c r="GO945" s="18"/>
      <c r="GP945" s="18"/>
      <c r="GQ945" s="18"/>
      <c r="GR945" s="18"/>
      <c r="GS945" s="18"/>
      <c r="GT945" s="18"/>
      <c r="GU945" s="18"/>
      <c r="GV945" s="18"/>
      <c r="GW945" s="18"/>
      <c r="GX945" s="18"/>
      <c r="GY945" s="18"/>
      <c r="GZ945" s="18"/>
      <c r="HA945" s="18"/>
      <c r="HB945" s="18"/>
      <c r="HC945" s="18"/>
      <c r="HD945" s="18"/>
      <c r="HE945" s="18"/>
      <c r="HF945" s="18"/>
      <c r="HG945" s="13"/>
      <c r="HH945" s="13"/>
      <c r="HI945" s="13"/>
      <c r="HJ945" s="13"/>
      <c r="HK945" s="13"/>
      <c r="HL945" s="13"/>
      <c r="HM945" s="13"/>
      <c r="HN945" s="13"/>
      <c r="HO945" s="13"/>
      <c r="HP945" s="13"/>
      <c r="HQ945" s="13"/>
      <c r="HR945" s="13"/>
      <c r="HS945" s="13"/>
      <c r="HT945" s="13"/>
      <c r="HU945" s="18"/>
      <c r="HV945" s="18"/>
      <c r="HW945" s="18"/>
      <c r="HX945" s="18"/>
      <c r="HY945" s="18"/>
      <c r="HZ945" s="18"/>
      <c r="IA945" s="18"/>
      <c r="IB945" s="18"/>
      <c r="IC945" s="18"/>
      <c r="ID945" s="18"/>
      <c r="IE945" s="18"/>
      <c r="IF945" s="18"/>
      <c r="IG945" s="18"/>
      <c r="IH945" s="18"/>
      <c r="II945" s="18"/>
      <c r="IJ945" s="18"/>
      <c r="IK945" s="18"/>
      <c r="IL945" s="18"/>
      <c r="IM945" s="18"/>
      <c r="IN945" s="18"/>
      <c r="IO945" s="18"/>
      <c r="IP945" s="18"/>
      <c r="IQ945" s="18"/>
      <c r="IR945" s="18"/>
      <c r="IS945" s="18"/>
      <c r="IT945" s="18"/>
      <c r="IU945" s="18"/>
      <c r="IV945" s="18"/>
      <c r="IW945" s="18"/>
      <c r="IX945" s="18"/>
      <c r="IY945" s="18"/>
      <c r="IZ945" s="18"/>
      <c r="JA945" s="18"/>
      <c r="JB945" s="18"/>
      <c r="JC945" s="18"/>
      <c r="JD945" s="18"/>
      <c r="JE945" s="18"/>
      <c r="JF945" s="18"/>
      <c r="JG945" s="18"/>
      <c r="JH945" s="18"/>
      <c r="JI945" s="18"/>
      <c r="JJ945" s="18"/>
      <c r="JK945" s="18"/>
      <c r="JL945" s="18"/>
      <c r="JM945" s="18"/>
      <c r="JN945" s="18"/>
      <c r="JO945" s="18"/>
      <c r="JP945" s="18"/>
      <c r="JQ945" s="18"/>
      <c r="JR945" s="18"/>
      <c r="JS945" s="18"/>
      <c r="JT945" s="18"/>
      <c r="JU945" s="18"/>
      <c r="JV945" s="18"/>
      <c r="JW945" s="18"/>
      <c r="JX945" s="18"/>
      <c r="JY945" s="18"/>
      <c r="JZ945" s="18"/>
      <c r="KA945" s="18"/>
      <c r="KB945" s="18"/>
      <c r="KC945" s="18"/>
      <c r="KD945" s="18"/>
      <c r="KE945" s="18"/>
      <c r="KF945" s="18"/>
      <c r="KG945" s="18"/>
      <c r="KH945" s="18"/>
      <c r="KI945" s="18"/>
      <c r="KJ945" s="18"/>
      <c r="KK945" s="18"/>
      <c r="KL945" s="18"/>
      <c r="KM945" s="18"/>
      <c r="KN945" s="18"/>
      <c r="KO945" s="18"/>
      <c r="KP945" s="18"/>
    </row>
    <row r="946" spans="1:302">
      <c r="A946" s="14"/>
      <c r="B946" s="14"/>
      <c r="F946" s="14"/>
      <c r="G946" s="23"/>
      <c r="H946" s="23"/>
      <c r="I946" s="23"/>
      <c r="J946" s="23"/>
      <c r="K946" s="14"/>
      <c r="L946" s="14"/>
      <c r="P946" s="14"/>
      <c r="AG946" s="44"/>
      <c r="AH946" s="44"/>
      <c r="AI946" s="45"/>
      <c r="AJ946" s="44"/>
      <c r="AK946" s="43"/>
      <c r="AS946" s="14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  <c r="EW946" s="18"/>
      <c r="EX946" s="18"/>
      <c r="EY946" s="18"/>
      <c r="EZ946" s="18"/>
      <c r="FA946" s="18"/>
      <c r="FB946" s="18"/>
      <c r="FC946" s="18"/>
      <c r="FD946" s="18"/>
      <c r="FE946" s="18"/>
      <c r="FF946" s="18"/>
      <c r="FG946" s="18"/>
      <c r="FH946" s="18"/>
      <c r="FI946" s="18"/>
      <c r="FJ946" s="18"/>
      <c r="FK946" s="18"/>
      <c r="FL946" s="18"/>
      <c r="FM946" s="18"/>
      <c r="FN946" s="18"/>
      <c r="FO946" s="18"/>
      <c r="FP946" s="18"/>
      <c r="FQ946" s="18"/>
      <c r="FR946" s="18"/>
      <c r="FS946" s="18"/>
      <c r="FT946" s="18"/>
      <c r="FU946" s="18"/>
      <c r="FV946" s="18"/>
      <c r="FW946" s="18"/>
      <c r="FX946" s="18"/>
      <c r="FY946" s="18"/>
      <c r="FZ946" s="18"/>
      <c r="GA946" s="18"/>
      <c r="GB946" s="18"/>
      <c r="GC946" s="18"/>
      <c r="GD946" s="18"/>
      <c r="GE946" s="18"/>
      <c r="GF946" s="18"/>
      <c r="GG946" s="18"/>
      <c r="GH946" s="18"/>
      <c r="GI946" s="18"/>
      <c r="GJ946" s="18"/>
      <c r="GK946" s="18"/>
      <c r="GL946" s="18"/>
      <c r="GM946" s="18"/>
      <c r="GN946" s="18"/>
      <c r="GO946" s="18"/>
      <c r="GP946" s="18"/>
      <c r="GQ946" s="18"/>
      <c r="GR946" s="18"/>
      <c r="GS946" s="18"/>
      <c r="GT946" s="18"/>
      <c r="GU946" s="18"/>
      <c r="GV946" s="18"/>
      <c r="GW946" s="18"/>
      <c r="GX946" s="18"/>
      <c r="GY946" s="18"/>
      <c r="GZ946" s="18"/>
      <c r="HA946" s="18"/>
      <c r="HB946" s="18"/>
      <c r="HC946" s="18"/>
      <c r="HD946" s="18"/>
      <c r="HE946" s="18"/>
      <c r="HF946" s="18"/>
      <c r="HG946" s="13"/>
      <c r="HH946" s="13"/>
      <c r="HI946" s="13"/>
      <c r="HJ946" s="13"/>
      <c r="HK946" s="13"/>
      <c r="HL946" s="13"/>
      <c r="HM946" s="13"/>
      <c r="HN946" s="13"/>
      <c r="HO946" s="13"/>
      <c r="HP946" s="13"/>
      <c r="HQ946" s="13"/>
      <c r="HR946" s="13"/>
      <c r="HS946" s="13"/>
      <c r="HT946" s="13"/>
      <c r="HU946" s="18"/>
      <c r="HV946" s="18"/>
      <c r="HW946" s="18"/>
      <c r="HX946" s="18"/>
      <c r="HY946" s="18"/>
      <c r="HZ946" s="18"/>
      <c r="IA946" s="18"/>
      <c r="IB946" s="18"/>
      <c r="IC946" s="18"/>
      <c r="ID946" s="18"/>
      <c r="IE946" s="18"/>
      <c r="IF946" s="18"/>
      <c r="IG946" s="18"/>
      <c r="IH946" s="18"/>
      <c r="II946" s="18"/>
      <c r="IJ946" s="18"/>
      <c r="IK946" s="18"/>
      <c r="IL946" s="18"/>
      <c r="IM946" s="18"/>
      <c r="IN946" s="18"/>
      <c r="IO946" s="18"/>
      <c r="IP946" s="18"/>
      <c r="IQ946" s="18"/>
      <c r="IR946" s="18"/>
      <c r="IS946" s="18"/>
      <c r="IT946" s="18"/>
      <c r="IU946" s="18"/>
      <c r="IV946" s="18"/>
      <c r="IW946" s="18"/>
      <c r="IX946" s="18"/>
      <c r="IY946" s="18"/>
      <c r="IZ946" s="18"/>
      <c r="JA946" s="18"/>
      <c r="JB946" s="18"/>
      <c r="JC946" s="18"/>
      <c r="JD946" s="18"/>
      <c r="JE946" s="18"/>
      <c r="JF946" s="18"/>
      <c r="JG946" s="18"/>
      <c r="JH946" s="18"/>
      <c r="JI946" s="18"/>
      <c r="JJ946" s="18"/>
      <c r="JK946" s="18"/>
      <c r="JL946" s="18"/>
      <c r="JM946" s="18"/>
      <c r="JN946" s="18"/>
      <c r="JO946" s="18"/>
      <c r="JP946" s="18"/>
      <c r="JQ946" s="18"/>
      <c r="JR946" s="18"/>
      <c r="JS946" s="18"/>
      <c r="JT946" s="18"/>
      <c r="JU946" s="18"/>
      <c r="JV946" s="18"/>
      <c r="JW946" s="18"/>
      <c r="JX946" s="18"/>
      <c r="JY946" s="18"/>
      <c r="JZ946" s="18"/>
      <c r="KA946" s="18"/>
      <c r="KB946" s="18"/>
      <c r="KC946" s="18"/>
      <c r="KD946" s="18"/>
      <c r="KE946" s="18"/>
      <c r="KF946" s="18"/>
      <c r="KG946" s="18"/>
      <c r="KH946" s="18"/>
      <c r="KI946" s="18"/>
      <c r="KJ946" s="18"/>
      <c r="KK946" s="18"/>
      <c r="KL946" s="18"/>
      <c r="KM946" s="18"/>
      <c r="KN946" s="18"/>
      <c r="KO946" s="18"/>
      <c r="KP946" s="18"/>
    </row>
    <row r="947" spans="1:302">
      <c r="A947" s="14"/>
      <c r="B947" s="14"/>
      <c r="F947" s="14"/>
      <c r="G947" s="23"/>
      <c r="H947" s="23"/>
      <c r="I947" s="23"/>
      <c r="J947" s="23"/>
      <c r="K947" s="14"/>
      <c r="L947" s="14"/>
      <c r="P947" s="14"/>
      <c r="AG947" s="44"/>
      <c r="AH947" s="44"/>
      <c r="AI947" s="45"/>
      <c r="AJ947" s="44"/>
      <c r="AK947" s="43"/>
      <c r="AS947" s="14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  <c r="EW947" s="18"/>
      <c r="EX947" s="18"/>
      <c r="EY947" s="18"/>
      <c r="EZ947" s="18"/>
      <c r="FA947" s="18"/>
      <c r="FB947" s="18"/>
      <c r="FC947" s="18"/>
      <c r="FD947" s="18"/>
      <c r="FE947" s="18"/>
      <c r="FF947" s="18"/>
      <c r="FG947" s="18"/>
      <c r="FH947" s="18"/>
      <c r="FI947" s="18"/>
      <c r="FJ947" s="18"/>
      <c r="FK947" s="18"/>
      <c r="FL947" s="18"/>
      <c r="FM947" s="18"/>
      <c r="FN947" s="18"/>
      <c r="FO947" s="18"/>
      <c r="FP947" s="18"/>
      <c r="FQ947" s="18"/>
      <c r="FR947" s="18"/>
      <c r="FS947" s="18"/>
      <c r="FT947" s="18"/>
      <c r="FU947" s="18"/>
      <c r="FV947" s="18"/>
      <c r="FW947" s="18"/>
      <c r="FX947" s="18"/>
      <c r="FY947" s="18"/>
      <c r="FZ947" s="18"/>
      <c r="GA947" s="18"/>
      <c r="GB947" s="18"/>
      <c r="GC947" s="18"/>
      <c r="GD947" s="18"/>
      <c r="GE947" s="18"/>
      <c r="GF947" s="18"/>
      <c r="GG947" s="18"/>
      <c r="GH947" s="18"/>
      <c r="GI947" s="18"/>
      <c r="GJ947" s="18"/>
      <c r="GK947" s="18"/>
      <c r="GL947" s="18"/>
      <c r="GM947" s="18"/>
      <c r="GN947" s="18"/>
      <c r="GO947" s="18"/>
      <c r="GP947" s="18"/>
      <c r="GQ947" s="18"/>
      <c r="GR947" s="18"/>
      <c r="GS947" s="18"/>
      <c r="GT947" s="18"/>
      <c r="GU947" s="18"/>
      <c r="GV947" s="18"/>
      <c r="GW947" s="18"/>
      <c r="GX947" s="18"/>
      <c r="GY947" s="18"/>
      <c r="GZ947" s="18"/>
      <c r="HA947" s="18"/>
      <c r="HB947" s="18"/>
      <c r="HC947" s="18"/>
      <c r="HD947" s="18"/>
      <c r="HE947" s="18"/>
      <c r="HF947" s="18"/>
      <c r="HG947" s="13"/>
      <c r="HH947" s="13"/>
      <c r="HI947" s="13"/>
      <c r="HJ947" s="13"/>
      <c r="HK947" s="13"/>
      <c r="HL947" s="13"/>
      <c r="HM947" s="13"/>
      <c r="HN947" s="13"/>
      <c r="HO947" s="13"/>
      <c r="HP947" s="13"/>
      <c r="HQ947" s="13"/>
      <c r="HR947" s="13"/>
      <c r="HS947" s="13"/>
      <c r="HT947" s="13"/>
      <c r="HU947" s="18"/>
      <c r="HV947" s="18"/>
      <c r="HW947" s="18"/>
      <c r="HX947" s="18"/>
      <c r="HY947" s="18"/>
      <c r="HZ947" s="18"/>
      <c r="IA947" s="18"/>
      <c r="IB947" s="18"/>
      <c r="IC947" s="18"/>
      <c r="ID947" s="18"/>
      <c r="IE947" s="18"/>
      <c r="IF947" s="18"/>
      <c r="IG947" s="18"/>
      <c r="IH947" s="18"/>
      <c r="II947" s="18"/>
      <c r="IJ947" s="18"/>
      <c r="IK947" s="18"/>
      <c r="IL947" s="18"/>
      <c r="IM947" s="18"/>
      <c r="IN947" s="18"/>
      <c r="IO947" s="18"/>
      <c r="IP947" s="18"/>
      <c r="IQ947" s="18"/>
      <c r="IR947" s="18"/>
      <c r="IS947" s="18"/>
      <c r="IT947" s="18"/>
      <c r="IU947" s="18"/>
      <c r="IV947" s="18"/>
      <c r="IW947" s="18"/>
      <c r="IX947" s="18"/>
      <c r="IY947" s="18"/>
      <c r="IZ947" s="18"/>
      <c r="JA947" s="18"/>
      <c r="JB947" s="18"/>
      <c r="JC947" s="18"/>
      <c r="JD947" s="18"/>
      <c r="JE947" s="18"/>
      <c r="JF947" s="18"/>
      <c r="JG947" s="18"/>
      <c r="JH947" s="18"/>
      <c r="JI947" s="18"/>
      <c r="JJ947" s="18"/>
      <c r="JK947" s="18"/>
      <c r="JL947" s="18"/>
      <c r="JM947" s="18"/>
      <c r="JN947" s="18"/>
      <c r="JO947" s="18"/>
      <c r="JP947" s="18"/>
      <c r="JQ947" s="18"/>
      <c r="JR947" s="18"/>
      <c r="JS947" s="18"/>
      <c r="JT947" s="18"/>
      <c r="JU947" s="18"/>
      <c r="JV947" s="18"/>
      <c r="JW947" s="18"/>
      <c r="JX947" s="18"/>
      <c r="JY947" s="18"/>
      <c r="JZ947" s="18"/>
      <c r="KA947" s="18"/>
      <c r="KB947" s="18"/>
      <c r="KC947" s="18"/>
      <c r="KD947" s="18"/>
      <c r="KE947" s="18"/>
      <c r="KF947" s="18"/>
      <c r="KG947" s="18"/>
      <c r="KH947" s="18"/>
      <c r="KI947" s="18"/>
      <c r="KJ947" s="18"/>
      <c r="KK947" s="18"/>
      <c r="KL947" s="18"/>
      <c r="KM947" s="18"/>
      <c r="KN947" s="18"/>
      <c r="KO947" s="18"/>
      <c r="KP947" s="18"/>
    </row>
    <row r="948" spans="1:302">
      <c r="A948" s="14"/>
      <c r="B948" s="14"/>
      <c r="F948" s="14"/>
      <c r="G948" s="23"/>
      <c r="H948" s="23"/>
      <c r="I948" s="23"/>
      <c r="J948" s="23"/>
      <c r="K948" s="14"/>
      <c r="L948" s="14"/>
      <c r="P948" s="14"/>
      <c r="AG948" s="44"/>
      <c r="AH948" s="44"/>
      <c r="AI948" s="45"/>
      <c r="AJ948" s="44"/>
      <c r="AK948" s="43"/>
      <c r="AS948" s="14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  <c r="EW948" s="18"/>
      <c r="EX948" s="18"/>
      <c r="EY948" s="18"/>
      <c r="EZ948" s="18"/>
      <c r="FA948" s="18"/>
      <c r="FB948" s="18"/>
      <c r="FC948" s="18"/>
      <c r="FD948" s="18"/>
      <c r="FE948" s="18"/>
      <c r="FF948" s="18"/>
      <c r="FG948" s="18"/>
      <c r="FH948" s="18"/>
      <c r="FI948" s="18"/>
      <c r="FJ948" s="18"/>
      <c r="FK948" s="18"/>
      <c r="FL948" s="18"/>
      <c r="FM948" s="18"/>
      <c r="FN948" s="18"/>
      <c r="FO948" s="18"/>
      <c r="FP948" s="18"/>
      <c r="FQ948" s="18"/>
      <c r="FR948" s="18"/>
      <c r="FS948" s="18"/>
      <c r="FT948" s="18"/>
      <c r="FU948" s="18"/>
      <c r="FV948" s="18"/>
      <c r="FW948" s="18"/>
      <c r="FX948" s="18"/>
      <c r="FY948" s="18"/>
      <c r="FZ948" s="18"/>
      <c r="GA948" s="18"/>
      <c r="GB948" s="18"/>
      <c r="GC948" s="18"/>
      <c r="GD948" s="18"/>
      <c r="GE948" s="18"/>
      <c r="GF948" s="18"/>
      <c r="GG948" s="18"/>
      <c r="GH948" s="18"/>
      <c r="GI948" s="18"/>
      <c r="GJ948" s="18"/>
      <c r="GK948" s="18"/>
      <c r="GL948" s="18"/>
      <c r="GM948" s="18"/>
      <c r="GN948" s="18"/>
      <c r="GO948" s="18"/>
      <c r="GP948" s="18"/>
      <c r="GQ948" s="18"/>
      <c r="GR948" s="18"/>
      <c r="GS948" s="18"/>
      <c r="GT948" s="18"/>
      <c r="GU948" s="18"/>
      <c r="GV948" s="18"/>
      <c r="GW948" s="18"/>
      <c r="GX948" s="18"/>
      <c r="GY948" s="18"/>
      <c r="GZ948" s="18"/>
      <c r="HA948" s="18"/>
      <c r="HB948" s="18"/>
      <c r="HC948" s="18"/>
      <c r="HD948" s="18"/>
      <c r="HE948" s="18"/>
      <c r="HF948" s="18"/>
      <c r="HG948" s="13"/>
      <c r="HH948" s="13"/>
      <c r="HI948" s="13"/>
      <c r="HJ948" s="13"/>
      <c r="HK948" s="13"/>
      <c r="HL948" s="13"/>
      <c r="HM948" s="13"/>
      <c r="HN948" s="13"/>
      <c r="HO948" s="13"/>
      <c r="HP948" s="13"/>
      <c r="HQ948" s="13"/>
      <c r="HR948" s="13"/>
      <c r="HS948" s="13"/>
      <c r="HT948" s="13"/>
      <c r="HU948" s="18"/>
      <c r="HV948" s="18"/>
      <c r="HW948" s="18"/>
      <c r="HX948" s="18"/>
      <c r="HY948" s="18"/>
      <c r="HZ948" s="18"/>
      <c r="IA948" s="18"/>
      <c r="IB948" s="18"/>
      <c r="IC948" s="18"/>
      <c r="ID948" s="18"/>
      <c r="IE948" s="18"/>
      <c r="IF948" s="18"/>
      <c r="IG948" s="18"/>
      <c r="IH948" s="18"/>
      <c r="II948" s="18"/>
      <c r="IJ948" s="18"/>
      <c r="IK948" s="18"/>
      <c r="IL948" s="18"/>
      <c r="IM948" s="18"/>
      <c r="IN948" s="18"/>
      <c r="IO948" s="18"/>
      <c r="IP948" s="18"/>
      <c r="IQ948" s="18"/>
      <c r="IR948" s="18"/>
      <c r="IS948" s="18"/>
      <c r="IT948" s="18"/>
      <c r="IU948" s="18"/>
      <c r="IV948" s="18"/>
      <c r="IW948" s="18"/>
      <c r="IX948" s="18"/>
      <c r="IY948" s="18"/>
      <c r="IZ948" s="18"/>
      <c r="JA948" s="18"/>
      <c r="JB948" s="18"/>
      <c r="JC948" s="18"/>
      <c r="JD948" s="18"/>
      <c r="JE948" s="18"/>
      <c r="JF948" s="18"/>
      <c r="JG948" s="18"/>
      <c r="JH948" s="18"/>
      <c r="JI948" s="18"/>
      <c r="JJ948" s="18"/>
      <c r="JK948" s="18"/>
      <c r="JL948" s="18"/>
      <c r="JM948" s="18"/>
      <c r="JN948" s="18"/>
      <c r="JO948" s="18"/>
      <c r="JP948" s="18"/>
      <c r="JQ948" s="18"/>
      <c r="JR948" s="18"/>
      <c r="JS948" s="18"/>
      <c r="JT948" s="18"/>
      <c r="JU948" s="18"/>
      <c r="JV948" s="18"/>
      <c r="JW948" s="18"/>
      <c r="JX948" s="18"/>
      <c r="JY948" s="18"/>
      <c r="JZ948" s="18"/>
      <c r="KA948" s="18"/>
      <c r="KB948" s="18"/>
      <c r="KC948" s="18"/>
      <c r="KD948" s="18"/>
      <c r="KE948" s="18"/>
      <c r="KF948" s="18"/>
      <c r="KG948" s="18"/>
      <c r="KH948" s="18"/>
      <c r="KI948" s="18"/>
      <c r="KJ948" s="18"/>
      <c r="KK948" s="18"/>
      <c r="KL948" s="18"/>
      <c r="KM948" s="18"/>
      <c r="KN948" s="18"/>
      <c r="KO948" s="18"/>
      <c r="KP948" s="18"/>
    </row>
    <row r="949" spans="1:302">
      <c r="A949" s="14"/>
      <c r="B949" s="14"/>
      <c r="F949" s="14"/>
      <c r="G949" s="23"/>
      <c r="H949" s="23"/>
      <c r="I949" s="23"/>
      <c r="J949" s="23"/>
      <c r="K949" s="14"/>
      <c r="L949" s="14"/>
      <c r="P949" s="14"/>
      <c r="AG949" s="44"/>
      <c r="AH949" s="44"/>
      <c r="AI949" s="45"/>
      <c r="AJ949" s="44"/>
      <c r="AK949" s="43"/>
      <c r="AS949" s="14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  <c r="EW949" s="18"/>
      <c r="EX949" s="18"/>
      <c r="EY949" s="18"/>
      <c r="EZ949" s="18"/>
      <c r="FA949" s="18"/>
      <c r="FB949" s="18"/>
      <c r="FC949" s="18"/>
      <c r="FD949" s="18"/>
      <c r="FE949" s="18"/>
      <c r="FF949" s="18"/>
      <c r="FG949" s="18"/>
      <c r="FH949" s="18"/>
      <c r="FI949" s="18"/>
      <c r="FJ949" s="18"/>
      <c r="FK949" s="18"/>
      <c r="FL949" s="18"/>
      <c r="FM949" s="18"/>
      <c r="FN949" s="18"/>
      <c r="FO949" s="18"/>
      <c r="FP949" s="18"/>
      <c r="FQ949" s="18"/>
      <c r="FR949" s="18"/>
      <c r="FS949" s="18"/>
      <c r="FT949" s="18"/>
      <c r="FU949" s="18"/>
      <c r="FV949" s="18"/>
      <c r="FW949" s="18"/>
      <c r="FX949" s="18"/>
      <c r="FY949" s="18"/>
      <c r="FZ949" s="18"/>
      <c r="GA949" s="18"/>
      <c r="GB949" s="18"/>
      <c r="GC949" s="18"/>
      <c r="GD949" s="18"/>
      <c r="GE949" s="18"/>
      <c r="GF949" s="18"/>
      <c r="GG949" s="18"/>
      <c r="GH949" s="18"/>
      <c r="GI949" s="18"/>
      <c r="GJ949" s="18"/>
      <c r="GK949" s="18"/>
      <c r="GL949" s="18"/>
      <c r="GM949" s="18"/>
      <c r="GN949" s="18"/>
      <c r="GO949" s="18"/>
      <c r="GP949" s="18"/>
      <c r="GQ949" s="18"/>
      <c r="GR949" s="18"/>
      <c r="GS949" s="18"/>
      <c r="GT949" s="18"/>
      <c r="GU949" s="18"/>
      <c r="GV949" s="18"/>
      <c r="GW949" s="18"/>
      <c r="GX949" s="18"/>
      <c r="GY949" s="18"/>
      <c r="GZ949" s="18"/>
      <c r="HA949" s="18"/>
      <c r="HB949" s="18"/>
      <c r="HC949" s="18"/>
      <c r="HD949" s="18"/>
      <c r="HE949" s="18"/>
      <c r="HF949" s="18"/>
      <c r="HG949" s="13"/>
      <c r="HH949" s="13"/>
      <c r="HI949" s="13"/>
      <c r="HJ949" s="13"/>
      <c r="HK949" s="13"/>
      <c r="HL949" s="13"/>
      <c r="HM949" s="13"/>
      <c r="HN949" s="13"/>
      <c r="HO949" s="13"/>
      <c r="HP949" s="13"/>
      <c r="HQ949" s="13"/>
      <c r="HR949" s="13"/>
      <c r="HS949" s="13"/>
      <c r="HT949" s="13"/>
      <c r="HU949" s="18"/>
      <c r="HV949" s="18"/>
      <c r="HW949" s="18"/>
      <c r="HX949" s="18"/>
      <c r="HY949" s="18"/>
      <c r="HZ949" s="18"/>
      <c r="IA949" s="18"/>
      <c r="IB949" s="18"/>
      <c r="IC949" s="18"/>
      <c r="ID949" s="18"/>
      <c r="IE949" s="18"/>
      <c r="IF949" s="18"/>
      <c r="IG949" s="18"/>
      <c r="IH949" s="18"/>
      <c r="II949" s="18"/>
      <c r="IJ949" s="18"/>
      <c r="IK949" s="18"/>
      <c r="IL949" s="18"/>
      <c r="IM949" s="18"/>
      <c r="IN949" s="18"/>
      <c r="IO949" s="18"/>
      <c r="IP949" s="18"/>
      <c r="IQ949" s="18"/>
      <c r="IR949" s="18"/>
      <c r="IS949" s="18"/>
      <c r="IT949" s="18"/>
      <c r="IU949" s="18"/>
      <c r="IV949" s="18"/>
      <c r="IW949" s="18"/>
      <c r="IX949" s="18"/>
      <c r="IY949" s="18"/>
      <c r="IZ949" s="18"/>
      <c r="JA949" s="18"/>
      <c r="JB949" s="18"/>
      <c r="JC949" s="18"/>
      <c r="JD949" s="18"/>
      <c r="JE949" s="18"/>
      <c r="JF949" s="18"/>
      <c r="JG949" s="18"/>
      <c r="JH949" s="18"/>
      <c r="JI949" s="18"/>
      <c r="JJ949" s="18"/>
      <c r="JK949" s="18"/>
      <c r="JL949" s="18"/>
      <c r="JM949" s="18"/>
      <c r="JN949" s="18"/>
      <c r="JO949" s="18"/>
      <c r="JP949" s="18"/>
      <c r="JQ949" s="18"/>
      <c r="JR949" s="18"/>
      <c r="JS949" s="18"/>
      <c r="JT949" s="18"/>
      <c r="JU949" s="18"/>
      <c r="JV949" s="18"/>
      <c r="JW949" s="18"/>
      <c r="JX949" s="18"/>
      <c r="JY949" s="18"/>
      <c r="JZ949" s="18"/>
      <c r="KA949" s="18"/>
      <c r="KB949" s="18"/>
      <c r="KC949" s="18"/>
      <c r="KD949" s="18"/>
      <c r="KE949" s="18"/>
      <c r="KF949" s="18"/>
      <c r="KG949" s="18"/>
      <c r="KH949" s="18"/>
      <c r="KI949" s="18"/>
      <c r="KJ949" s="18"/>
      <c r="KK949" s="18"/>
      <c r="KL949" s="18"/>
      <c r="KM949" s="18"/>
      <c r="KN949" s="18"/>
      <c r="KO949" s="18"/>
      <c r="KP949" s="18"/>
    </row>
    <row r="950" spans="1:302">
      <c r="A950" s="14"/>
      <c r="B950" s="14"/>
      <c r="F950" s="14"/>
      <c r="G950" s="23"/>
      <c r="H950" s="23"/>
      <c r="I950" s="23"/>
      <c r="J950" s="23"/>
      <c r="K950" s="14"/>
      <c r="L950" s="14"/>
      <c r="P950" s="14"/>
      <c r="AG950" s="44"/>
      <c r="AH950" s="44"/>
      <c r="AI950" s="45"/>
      <c r="AJ950" s="44"/>
      <c r="AK950" s="43"/>
      <c r="AS950" s="14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  <c r="EW950" s="18"/>
      <c r="EX950" s="18"/>
      <c r="EY950" s="18"/>
      <c r="EZ950" s="18"/>
      <c r="FA950" s="18"/>
      <c r="FB950" s="18"/>
      <c r="FC950" s="18"/>
      <c r="FD950" s="18"/>
      <c r="FE950" s="18"/>
      <c r="FF950" s="18"/>
      <c r="FG950" s="18"/>
      <c r="FH950" s="18"/>
      <c r="FI950" s="18"/>
      <c r="FJ950" s="18"/>
      <c r="FK950" s="18"/>
      <c r="FL950" s="18"/>
      <c r="FM950" s="18"/>
      <c r="FN950" s="18"/>
      <c r="FO950" s="18"/>
      <c r="FP950" s="18"/>
      <c r="FQ950" s="18"/>
      <c r="FR950" s="18"/>
      <c r="FS950" s="18"/>
      <c r="FT950" s="18"/>
      <c r="FU950" s="18"/>
      <c r="FV950" s="18"/>
      <c r="FW950" s="18"/>
      <c r="FX950" s="18"/>
      <c r="FY950" s="18"/>
      <c r="FZ950" s="18"/>
      <c r="GA950" s="18"/>
      <c r="GB950" s="18"/>
      <c r="GC950" s="18"/>
      <c r="GD950" s="18"/>
      <c r="GE950" s="18"/>
      <c r="GF950" s="18"/>
      <c r="GG950" s="18"/>
      <c r="GH950" s="18"/>
      <c r="GI950" s="18"/>
      <c r="GJ950" s="18"/>
      <c r="GK950" s="18"/>
      <c r="GL950" s="18"/>
      <c r="GM950" s="18"/>
      <c r="GN950" s="18"/>
      <c r="GO950" s="18"/>
      <c r="GP950" s="18"/>
      <c r="GQ950" s="18"/>
      <c r="GR950" s="18"/>
      <c r="GS950" s="18"/>
      <c r="GT950" s="18"/>
      <c r="GU950" s="18"/>
      <c r="GV950" s="18"/>
      <c r="GW950" s="18"/>
      <c r="GX950" s="18"/>
      <c r="GY950" s="18"/>
      <c r="GZ950" s="18"/>
      <c r="HA950" s="18"/>
      <c r="HB950" s="18"/>
      <c r="HC950" s="18"/>
      <c r="HD950" s="18"/>
      <c r="HE950" s="18"/>
      <c r="HF950" s="18"/>
      <c r="HG950" s="13"/>
      <c r="HH950" s="13"/>
      <c r="HI950" s="13"/>
      <c r="HJ950" s="13"/>
      <c r="HK950" s="13"/>
      <c r="HL950" s="13"/>
      <c r="HM950" s="13"/>
      <c r="HN950" s="13"/>
      <c r="HO950" s="13"/>
      <c r="HP950" s="13"/>
      <c r="HQ950" s="13"/>
      <c r="HR950" s="13"/>
      <c r="HS950" s="13"/>
      <c r="HT950" s="13"/>
      <c r="HU950" s="18"/>
      <c r="HV950" s="18"/>
      <c r="HW950" s="18"/>
      <c r="HX950" s="18"/>
      <c r="HY950" s="18"/>
      <c r="HZ950" s="18"/>
      <c r="IA950" s="18"/>
      <c r="IB950" s="18"/>
      <c r="IC950" s="18"/>
      <c r="ID950" s="18"/>
      <c r="IE950" s="18"/>
      <c r="IF950" s="18"/>
      <c r="IG950" s="18"/>
      <c r="IH950" s="18"/>
      <c r="II950" s="18"/>
      <c r="IJ950" s="18"/>
      <c r="IK950" s="18"/>
      <c r="IL950" s="18"/>
      <c r="IM950" s="18"/>
      <c r="IN950" s="18"/>
      <c r="IO950" s="18"/>
      <c r="IP950" s="18"/>
      <c r="IQ950" s="18"/>
      <c r="IR950" s="18"/>
      <c r="IS950" s="18"/>
      <c r="IT950" s="18"/>
      <c r="IU950" s="18"/>
      <c r="IV950" s="18"/>
      <c r="IW950" s="18"/>
      <c r="IX950" s="18"/>
      <c r="IY950" s="18"/>
      <c r="IZ950" s="18"/>
      <c r="JA950" s="18"/>
      <c r="JB950" s="18"/>
      <c r="JC950" s="18"/>
      <c r="JD950" s="18"/>
      <c r="JE950" s="18"/>
      <c r="JF950" s="18"/>
      <c r="JG950" s="18"/>
      <c r="JH950" s="18"/>
      <c r="JI950" s="18"/>
      <c r="JJ950" s="18"/>
      <c r="JK950" s="18"/>
      <c r="JL950" s="18"/>
      <c r="JM950" s="18"/>
      <c r="JN950" s="18"/>
      <c r="JO950" s="18"/>
      <c r="JP950" s="18"/>
      <c r="JQ950" s="18"/>
      <c r="JR950" s="18"/>
      <c r="JS950" s="18"/>
      <c r="JT950" s="18"/>
      <c r="JU950" s="18"/>
      <c r="JV950" s="18"/>
      <c r="JW950" s="18"/>
      <c r="JX950" s="18"/>
      <c r="JY950" s="18"/>
      <c r="JZ950" s="18"/>
      <c r="KA950" s="18"/>
      <c r="KB950" s="18"/>
      <c r="KC950" s="18"/>
      <c r="KD950" s="18"/>
      <c r="KE950" s="18"/>
      <c r="KF950" s="18"/>
      <c r="KG950" s="18"/>
      <c r="KH950" s="18"/>
      <c r="KI950" s="18"/>
      <c r="KJ950" s="18"/>
      <c r="KK950" s="18"/>
      <c r="KL950" s="18"/>
      <c r="KM950" s="18"/>
      <c r="KN950" s="18"/>
      <c r="KO950" s="18"/>
      <c r="KP950" s="18"/>
    </row>
    <row r="951" spans="1:302">
      <c r="A951" s="14"/>
      <c r="B951" s="14"/>
      <c r="F951" s="14"/>
      <c r="G951" s="23"/>
      <c r="H951" s="23"/>
      <c r="I951" s="23"/>
      <c r="J951" s="23"/>
      <c r="K951" s="14"/>
      <c r="L951" s="14"/>
      <c r="P951" s="14"/>
      <c r="AG951" s="44"/>
      <c r="AH951" s="44"/>
      <c r="AI951" s="45"/>
      <c r="AJ951" s="44"/>
      <c r="AK951" s="43"/>
      <c r="AS951" s="14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  <c r="EW951" s="18"/>
      <c r="EX951" s="18"/>
      <c r="EY951" s="18"/>
      <c r="EZ951" s="18"/>
      <c r="FA951" s="18"/>
      <c r="FB951" s="18"/>
      <c r="FC951" s="18"/>
      <c r="FD951" s="18"/>
      <c r="FE951" s="18"/>
      <c r="FF951" s="18"/>
      <c r="FG951" s="18"/>
      <c r="FH951" s="18"/>
      <c r="FI951" s="18"/>
      <c r="FJ951" s="18"/>
      <c r="FK951" s="18"/>
      <c r="FL951" s="18"/>
      <c r="FM951" s="18"/>
      <c r="FN951" s="18"/>
      <c r="FO951" s="18"/>
      <c r="FP951" s="18"/>
      <c r="FQ951" s="18"/>
      <c r="FR951" s="18"/>
      <c r="FS951" s="18"/>
      <c r="FT951" s="18"/>
      <c r="FU951" s="18"/>
      <c r="FV951" s="18"/>
      <c r="FW951" s="18"/>
      <c r="FX951" s="18"/>
      <c r="FY951" s="18"/>
      <c r="FZ951" s="18"/>
      <c r="GA951" s="18"/>
      <c r="GB951" s="18"/>
      <c r="GC951" s="18"/>
      <c r="GD951" s="18"/>
      <c r="GE951" s="18"/>
      <c r="GF951" s="18"/>
      <c r="GG951" s="18"/>
      <c r="GH951" s="18"/>
      <c r="GI951" s="18"/>
      <c r="GJ951" s="18"/>
      <c r="GK951" s="18"/>
      <c r="GL951" s="18"/>
      <c r="GM951" s="18"/>
      <c r="GN951" s="18"/>
      <c r="GO951" s="18"/>
      <c r="GP951" s="18"/>
      <c r="GQ951" s="18"/>
      <c r="GR951" s="18"/>
      <c r="GS951" s="18"/>
      <c r="GT951" s="18"/>
      <c r="GU951" s="18"/>
      <c r="GV951" s="18"/>
      <c r="GW951" s="18"/>
      <c r="GX951" s="18"/>
      <c r="GY951" s="18"/>
      <c r="GZ951" s="18"/>
      <c r="HA951" s="18"/>
      <c r="HB951" s="18"/>
      <c r="HC951" s="18"/>
      <c r="HD951" s="18"/>
      <c r="HE951" s="18"/>
      <c r="HF951" s="18"/>
      <c r="HG951" s="13"/>
      <c r="HH951" s="13"/>
      <c r="HI951" s="13"/>
      <c r="HJ951" s="13"/>
      <c r="HK951" s="13"/>
      <c r="HL951" s="13"/>
      <c r="HM951" s="13"/>
      <c r="HN951" s="13"/>
      <c r="HO951" s="13"/>
      <c r="HP951" s="13"/>
      <c r="HQ951" s="13"/>
      <c r="HR951" s="13"/>
      <c r="HS951" s="13"/>
      <c r="HT951" s="13"/>
      <c r="HU951" s="18"/>
      <c r="HV951" s="18"/>
      <c r="HW951" s="18"/>
      <c r="HX951" s="18"/>
      <c r="HY951" s="18"/>
      <c r="HZ951" s="18"/>
      <c r="IA951" s="18"/>
      <c r="IB951" s="18"/>
      <c r="IC951" s="18"/>
      <c r="ID951" s="18"/>
      <c r="IE951" s="18"/>
      <c r="IF951" s="18"/>
      <c r="IG951" s="18"/>
      <c r="IH951" s="18"/>
      <c r="II951" s="18"/>
      <c r="IJ951" s="18"/>
      <c r="IK951" s="18"/>
      <c r="IL951" s="18"/>
      <c r="IM951" s="18"/>
      <c r="IN951" s="18"/>
      <c r="IO951" s="18"/>
      <c r="IP951" s="18"/>
      <c r="IQ951" s="18"/>
      <c r="IR951" s="18"/>
      <c r="IS951" s="18"/>
      <c r="IT951" s="18"/>
      <c r="IU951" s="18"/>
      <c r="IV951" s="18"/>
      <c r="IW951" s="18"/>
      <c r="IX951" s="18"/>
      <c r="IY951" s="18"/>
      <c r="IZ951" s="18"/>
      <c r="JA951" s="18"/>
      <c r="JB951" s="18"/>
      <c r="JC951" s="18"/>
      <c r="JD951" s="18"/>
      <c r="JE951" s="18"/>
      <c r="JF951" s="18"/>
      <c r="JG951" s="18"/>
      <c r="JH951" s="18"/>
      <c r="JI951" s="18"/>
      <c r="JJ951" s="18"/>
      <c r="JK951" s="18"/>
      <c r="JL951" s="18"/>
      <c r="JM951" s="18"/>
      <c r="JN951" s="18"/>
      <c r="JO951" s="18"/>
      <c r="JP951" s="18"/>
      <c r="JQ951" s="18"/>
      <c r="JR951" s="18"/>
      <c r="JS951" s="18"/>
      <c r="JT951" s="18"/>
      <c r="JU951" s="18"/>
      <c r="JV951" s="18"/>
      <c r="JW951" s="18"/>
      <c r="JX951" s="18"/>
      <c r="JY951" s="18"/>
      <c r="JZ951" s="18"/>
      <c r="KA951" s="18"/>
      <c r="KB951" s="18"/>
      <c r="KC951" s="18"/>
      <c r="KD951" s="18"/>
      <c r="KE951" s="18"/>
      <c r="KF951" s="18"/>
      <c r="KG951" s="18"/>
      <c r="KH951" s="18"/>
      <c r="KI951" s="18"/>
      <c r="KJ951" s="18"/>
      <c r="KK951" s="18"/>
      <c r="KL951" s="18"/>
      <c r="KM951" s="18"/>
      <c r="KN951" s="18"/>
      <c r="KO951" s="18"/>
      <c r="KP951" s="18"/>
    </row>
    <row r="952" spans="1:302">
      <c r="A952" s="14"/>
      <c r="B952" s="14"/>
      <c r="F952" s="14"/>
      <c r="G952" s="23"/>
      <c r="H952" s="23"/>
      <c r="I952" s="23"/>
      <c r="J952" s="23"/>
      <c r="K952" s="14"/>
      <c r="L952" s="14"/>
      <c r="P952" s="14"/>
      <c r="AG952" s="44"/>
      <c r="AH952" s="44"/>
      <c r="AI952" s="45"/>
      <c r="AJ952" s="44"/>
      <c r="AK952" s="43"/>
      <c r="AS952" s="14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  <c r="EW952" s="18"/>
      <c r="EX952" s="18"/>
      <c r="EY952" s="18"/>
      <c r="EZ952" s="18"/>
      <c r="FA952" s="18"/>
      <c r="FB952" s="18"/>
      <c r="FC952" s="18"/>
      <c r="FD952" s="18"/>
      <c r="FE952" s="18"/>
      <c r="FF952" s="18"/>
      <c r="FG952" s="18"/>
      <c r="FH952" s="18"/>
      <c r="FI952" s="18"/>
      <c r="FJ952" s="18"/>
      <c r="FK952" s="18"/>
      <c r="FL952" s="18"/>
      <c r="FM952" s="18"/>
      <c r="FN952" s="18"/>
      <c r="FO952" s="18"/>
      <c r="FP952" s="18"/>
      <c r="FQ952" s="18"/>
      <c r="FR952" s="18"/>
      <c r="FS952" s="18"/>
      <c r="FT952" s="18"/>
      <c r="FU952" s="18"/>
      <c r="FV952" s="18"/>
      <c r="FW952" s="18"/>
      <c r="FX952" s="18"/>
      <c r="FY952" s="18"/>
      <c r="FZ952" s="18"/>
      <c r="GA952" s="18"/>
      <c r="GB952" s="18"/>
      <c r="GC952" s="18"/>
      <c r="GD952" s="18"/>
      <c r="GE952" s="18"/>
      <c r="GF952" s="18"/>
      <c r="GG952" s="18"/>
      <c r="GH952" s="18"/>
      <c r="GI952" s="18"/>
      <c r="GJ952" s="18"/>
      <c r="GK952" s="18"/>
      <c r="GL952" s="18"/>
      <c r="GM952" s="18"/>
      <c r="GN952" s="18"/>
      <c r="GO952" s="18"/>
      <c r="GP952" s="18"/>
      <c r="GQ952" s="18"/>
      <c r="GR952" s="18"/>
      <c r="GS952" s="18"/>
      <c r="GT952" s="18"/>
      <c r="GU952" s="18"/>
      <c r="GV952" s="18"/>
      <c r="GW952" s="18"/>
      <c r="GX952" s="18"/>
      <c r="GY952" s="18"/>
      <c r="GZ952" s="18"/>
      <c r="HA952" s="18"/>
      <c r="HB952" s="18"/>
      <c r="HC952" s="18"/>
      <c r="HD952" s="18"/>
      <c r="HE952" s="18"/>
      <c r="HF952" s="18"/>
      <c r="HG952" s="13"/>
      <c r="HH952" s="13"/>
      <c r="HI952" s="13"/>
      <c r="HJ952" s="13"/>
      <c r="HK952" s="13"/>
      <c r="HL952" s="13"/>
      <c r="HM952" s="13"/>
      <c r="HN952" s="13"/>
      <c r="HO952" s="13"/>
      <c r="HP952" s="13"/>
      <c r="HQ952" s="13"/>
      <c r="HR952" s="13"/>
      <c r="HS952" s="13"/>
      <c r="HT952" s="13"/>
      <c r="HU952" s="18"/>
      <c r="HV952" s="18"/>
      <c r="HW952" s="18"/>
      <c r="HX952" s="18"/>
      <c r="HY952" s="18"/>
      <c r="HZ952" s="18"/>
      <c r="IA952" s="18"/>
      <c r="IB952" s="18"/>
      <c r="IC952" s="18"/>
      <c r="ID952" s="18"/>
      <c r="IE952" s="18"/>
      <c r="IF952" s="18"/>
      <c r="IG952" s="18"/>
      <c r="IH952" s="18"/>
      <c r="II952" s="18"/>
      <c r="IJ952" s="18"/>
      <c r="IK952" s="18"/>
      <c r="IL952" s="18"/>
      <c r="IM952" s="18"/>
      <c r="IN952" s="18"/>
      <c r="IO952" s="18"/>
      <c r="IP952" s="18"/>
      <c r="IQ952" s="18"/>
      <c r="IR952" s="18"/>
      <c r="IS952" s="18"/>
      <c r="IT952" s="18"/>
      <c r="IU952" s="18"/>
      <c r="IV952" s="18"/>
      <c r="IW952" s="18"/>
      <c r="IX952" s="18"/>
      <c r="IY952" s="18"/>
      <c r="IZ952" s="18"/>
      <c r="JA952" s="18"/>
      <c r="JB952" s="18"/>
      <c r="JC952" s="18"/>
      <c r="JD952" s="18"/>
      <c r="JE952" s="18"/>
      <c r="JF952" s="18"/>
      <c r="JG952" s="18"/>
      <c r="JH952" s="18"/>
      <c r="JI952" s="18"/>
      <c r="JJ952" s="18"/>
      <c r="JK952" s="18"/>
      <c r="JL952" s="18"/>
      <c r="JM952" s="18"/>
      <c r="JN952" s="18"/>
      <c r="JO952" s="18"/>
      <c r="JP952" s="18"/>
      <c r="JQ952" s="18"/>
      <c r="JR952" s="18"/>
      <c r="JS952" s="18"/>
      <c r="JT952" s="18"/>
      <c r="JU952" s="18"/>
      <c r="JV952" s="18"/>
      <c r="JW952" s="18"/>
      <c r="JX952" s="18"/>
      <c r="JY952" s="18"/>
      <c r="JZ952" s="18"/>
      <c r="KA952" s="18"/>
      <c r="KB952" s="18"/>
      <c r="KC952" s="18"/>
      <c r="KD952" s="18"/>
      <c r="KE952" s="18"/>
      <c r="KF952" s="18"/>
      <c r="KG952" s="18"/>
      <c r="KH952" s="18"/>
      <c r="KI952" s="18"/>
      <c r="KJ952" s="18"/>
      <c r="KK952" s="18"/>
      <c r="KL952" s="18"/>
      <c r="KM952" s="18"/>
      <c r="KN952" s="18"/>
      <c r="KO952" s="18"/>
      <c r="KP952" s="18"/>
    </row>
    <row r="953" spans="1:302">
      <c r="A953" s="14"/>
      <c r="B953" s="14"/>
      <c r="F953" s="14"/>
      <c r="G953" s="23"/>
      <c r="H953" s="23"/>
      <c r="I953" s="23"/>
      <c r="J953" s="23"/>
      <c r="K953" s="14"/>
      <c r="L953" s="14"/>
      <c r="P953" s="14"/>
      <c r="AG953" s="44"/>
      <c r="AH953" s="44"/>
      <c r="AI953" s="45"/>
      <c r="AJ953" s="44"/>
      <c r="AK953" s="43"/>
      <c r="AS953" s="14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  <c r="EW953" s="18"/>
      <c r="EX953" s="18"/>
      <c r="EY953" s="18"/>
      <c r="EZ953" s="18"/>
      <c r="FA953" s="18"/>
      <c r="FB953" s="18"/>
      <c r="FC953" s="18"/>
      <c r="FD953" s="18"/>
      <c r="FE953" s="18"/>
      <c r="FF953" s="18"/>
      <c r="FG953" s="18"/>
      <c r="FH953" s="18"/>
      <c r="FI953" s="18"/>
      <c r="FJ953" s="18"/>
      <c r="FK953" s="18"/>
      <c r="FL953" s="18"/>
      <c r="FM953" s="18"/>
      <c r="FN953" s="18"/>
      <c r="FO953" s="18"/>
      <c r="FP953" s="18"/>
      <c r="FQ953" s="18"/>
      <c r="FR953" s="18"/>
      <c r="FS953" s="18"/>
      <c r="FT953" s="18"/>
      <c r="FU953" s="18"/>
      <c r="FV953" s="18"/>
      <c r="FW953" s="18"/>
      <c r="FX953" s="18"/>
      <c r="FY953" s="18"/>
      <c r="FZ953" s="18"/>
      <c r="GA953" s="18"/>
      <c r="GB953" s="18"/>
      <c r="GC953" s="18"/>
      <c r="GD953" s="18"/>
      <c r="GE953" s="18"/>
      <c r="GF953" s="18"/>
      <c r="GG953" s="18"/>
      <c r="GH953" s="18"/>
      <c r="GI953" s="18"/>
      <c r="GJ953" s="18"/>
      <c r="GK953" s="18"/>
      <c r="GL953" s="18"/>
      <c r="GM953" s="18"/>
      <c r="GN953" s="18"/>
      <c r="GO953" s="18"/>
      <c r="GP953" s="18"/>
      <c r="GQ953" s="18"/>
      <c r="GR953" s="18"/>
      <c r="GS953" s="18"/>
      <c r="GT953" s="18"/>
      <c r="GU953" s="18"/>
      <c r="GV953" s="18"/>
      <c r="GW953" s="18"/>
      <c r="GX953" s="18"/>
      <c r="GY953" s="18"/>
      <c r="GZ953" s="18"/>
      <c r="HA953" s="18"/>
      <c r="HB953" s="18"/>
      <c r="HC953" s="18"/>
      <c r="HD953" s="18"/>
      <c r="HE953" s="18"/>
      <c r="HF953" s="18"/>
      <c r="HG953" s="13"/>
      <c r="HH953" s="13"/>
      <c r="HI953" s="13"/>
      <c r="HJ953" s="13"/>
      <c r="HK953" s="13"/>
      <c r="HL953" s="13"/>
      <c r="HM953" s="13"/>
      <c r="HN953" s="13"/>
      <c r="HO953" s="13"/>
      <c r="HP953" s="13"/>
      <c r="HQ953" s="13"/>
      <c r="HR953" s="13"/>
      <c r="HS953" s="13"/>
      <c r="HT953" s="13"/>
      <c r="HU953" s="18"/>
      <c r="HV953" s="18"/>
      <c r="HW953" s="18"/>
      <c r="HX953" s="18"/>
      <c r="HY953" s="18"/>
      <c r="HZ953" s="18"/>
      <c r="IA953" s="18"/>
      <c r="IB953" s="18"/>
      <c r="IC953" s="18"/>
      <c r="ID953" s="18"/>
      <c r="IE953" s="18"/>
      <c r="IF953" s="18"/>
      <c r="IG953" s="18"/>
      <c r="IH953" s="18"/>
      <c r="II953" s="18"/>
      <c r="IJ953" s="18"/>
      <c r="IK953" s="18"/>
      <c r="IL953" s="18"/>
      <c r="IM953" s="18"/>
      <c r="IN953" s="18"/>
      <c r="IO953" s="18"/>
      <c r="IP953" s="18"/>
      <c r="IQ953" s="18"/>
      <c r="IR953" s="18"/>
      <c r="IS953" s="18"/>
      <c r="IT953" s="18"/>
      <c r="IU953" s="18"/>
      <c r="IV953" s="18"/>
      <c r="IW953" s="18"/>
      <c r="IX953" s="18"/>
      <c r="IY953" s="18"/>
      <c r="IZ953" s="18"/>
      <c r="JA953" s="18"/>
      <c r="JB953" s="18"/>
      <c r="JC953" s="18"/>
      <c r="JD953" s="18"/>
      <c r="JE953" s="18"/>
      <c r="JF953" s="18"/>
      <c r="JG953" s="18"/>
      <c r="JH953" s="18"/>
      <c r="JI953" s="18"/>
      <c r="JJ953" s="18"/>
      <c r="JK953" s="18"/>
      <c r="JL953" s="18"/>
      <c r="JM953" s="18"/>
      <c r="JN953" s="18"/>
      <c r="JO953" s="18"/>
      <c r="JP953" s="18"/>
      <c r="JQ953" s="18"/>
      <c r="JR953" s="18"/>
      <c r="JS953" s="18"/>
      <c r="JT953" s="18"/>
      <c r="JU953" s="18"/>
      <c r="JV953" s="18"/>
      <c r="JW953" s="18"/>
      <c r="JX953" s="18"/>
      <c r="JY953" s="18"/>
      <c r="JZ953" s="18"/>
      <c r="KA953" s="18"/>
      <c r="KB953" s="18"/>
      <c r="KC953" s="18"/>
      <c r="KD953" s="18"/>
      <c r="KE953" s="18"/>
      <c r="KF953" s="18"/>
      <c r="KG953" s="18"/>
      <c r="KH953" s="18"/>
      <c r="KI953" s="18"/>
      <c r="KJ953" s="18"/>
      <c r="KK953" s="18"/>
      <c r="KL953" s="18"/>
      <c r="KM953" s="18"/>
      <c r="KN953" s="18"/>
      <c r="KO953" s="18"/>
      <c r="KP953" s="18"/>
    </row>
    <row r="954" spans="1:302">
      <c r="A954" s="14"/>
      <c r="B954" s="14"/>
      <c r="F954" s="14"/>
      <c r="G954" s="23"/>
      <c r="H954" s="23"/>
      <c r="I954" s="23"/>
      <c r="J954" s="23"/>
      <c r="K954" s="14"/>
      <c r="L954" s="14"/>
      <c r="P954" s="14"/>
      <c r="AG954" s="44"/>
      <c r="AH954" s="44"/>
      <c r="AI954" s="45"/>
      <c r="AJ954" s="44"/>
      <c r="AK954" s="43"/>
      <c r="AS954" s="14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  <c r="EW954" s="18"/>
      <c r="EX954" s="18"/>
      <c r="EY954" s="18"/>
      <c r="EZ954" s="18"/>
      <c r="FA954" s="18"/>
      <c r="FB954" s="18"/>
      <c r="FC954" s="18"/>
      <c r="FD954" s="18"/>
      <c r="FE954" s="18"/>
      <c r="FF954" s="18"/>
      <c r="FG954" s="18"/>
      <c r="FH954" s="18"/>
      <c r="FI954" s="18"/>
      <c r="FJ954" s="18"/>
      <c r="FK954" s="18"/>
      <c r="FL954" s="18"/>
      <c r="FM954" s="18"/>
      <c r="FN954" s="18"/>
      <c r="FO954" s="18"/>
      <c r="FP954" s="18"/>
      <c r="FQ954" s="18"/>
      <c r="FR954" s="18"/>
      <c r="FS954" s="18"/>
      <c r="FT954" s="18"/>
      <c r="FU954" s="18"/>
      <c r="FV954" s="18"/>
      <c r="FW954" s="18"/>
      <c r="FX954" s="18"/>
      <c r="FY954" s="18"/>
      <c r="FZ954" s="18"/>
      <c r="GA954" s="18"/>
      <c r="GB954" s="18"/>
      <c r="GC954" s="18"/>
      <c r="GD954" s="18"/>
      <c r="GE954" s="18"/>
      <c r="GF954" s="18"/>
      <c r="GG954" s="18"/>
      <c r="GH954" s="18"/>
      <c r="GI954" s="18"/>
      <c r="GJ954" s="18"/>
      <c r="GK954" s="18"/>
      <c r="GL954" s="18"/>
      <c r="GM954" s="18"/>
      <c r="GN954" s="18"/>
      <c r="GO954" s="18"/>
      <c r="GP954" s="18"/>
      <c r="GQ954" s="18"/>
      <c r="GR954" s="18"/>
      <c r="GS954" s="18"/>
      <c r="GT954" s="18"/>
      <c r="GU954" s="18"/>
      <c r="GV954" s="18"/>
      <c r="GW954" s="18"/>
      <c r="GX954" s="18"/>
      <c r="GY954" s="18"/>
      <c r="GZ954" s="18"/>
      <c r="HA954" s="18"/>
      <c r="HB954" s="18"/>
      <c r="HC954" s="18"/>
      <c r="HD954" s="18"/>
      <c r="HE954" s="18"/>
      <c r="HF954" s="18"/>
      <c r="HG954" s="13"/>
      <c r="HH954" s="13"/>
      <c r="HI954" s="13"/>
      <c r="HJ954" s="13"/>
      <c r="HK954" s="13"/>
      <c r="HL954" s="13"/>
      <c r="HM954" s="13"/>
      <c r="HN954" s="13"/>
      <c r="HO954" s="13"/>
      <c r="HP954" s="13"/>
      <c r="HQ954" s="13"/>
      <c r="HR954" s="13"/>
      <c r="HS954" s="13"/>
      <c r="HT954" s="13"/>
      <c r="HU954" s="18"/>
      <c r="HV954" s="18"/>
      <c r="HW954" s="18"/>
      <c r="HX954" s="18"/>
      <c r="HY954" s="18"/>
      <c r="HZ954" s="18"/>
      <c r="IA954" s="18"/>
      <c r="IB954" s="18"/>
      <c r="IC954" s="18"/>
      <c r="ID954" s="18"/>
      <c r="IE954" s="18"/>
      <c r="IF954" s="18"/>
      <c r="IG954" s="18"/>
      <c r="IH954" s="18"/>
      <c r="II954" s="18"/>
      <c r="IJ954" s="18"/>
      <c r="IK954" s="18"/>
      <c r="IL954" s="18"/>
      <c r="IM954" s="18"/>
      <c r="IN954" s="18"/>
      <c r="IO954" s="18"/>
      <c r="IP954" s="18"/>
      <c r="IQ954" s="18"/>
      <c r="IR954" s="18"/>
      <c r="IS954" s="18"/>
      <c r="IT954" s="18"/>
      <c r="IU954" s="18"/>
      <c r="IV954" s="18"/>
      <c r="IW954" s="18"/>
      <c r="IX954" s="18"/>
      <c r="IY954" s="18"/>
      <c r="IZ954" s="18"/>
      <c r="JA954" s="18"/>
      <c r="JB954" s="18"/>
      <c r="JC954" s="18"/>
      <c r="JD954" s="18"/>
      <c r="JE954" s="18"/>
      <c r="JF954" s="18"/>
      <c r="JG954" s="18"/>
      <c r="JH954" s="18"/>
      <c r="JI954" s="18"/>
      <c r="JJ954" s="18"/>
      <c r="JK954" s="18"/>
      <c r="JL954" s="18"/>
      <c r="JM954" s="18"/>
      <c r="JN954" s="18"/>
      <c r="JO954" s="18"/>
      <c r="JP954" s="18"/>
      <c r="JQ954" s="18"/>
      <c r="JR954" s="18"/>
      <c r="JS954" s="18"/>
      <c r="JT954" s="18"/>
      <c r="JU954" s="18"/>
      <c r="JV954" s="18"/>
      <c r="JW954" s="18"/>
      <c r="JX954" s="18"/>
      <c r="JY954" s="18"/>
      <c r="JZ954" s="18"/>
      <c r="KA954" s="18"/>
      <c r="KB954" s="18"/>
      <c r="KC954" s="18"/>
      <c r="KD954" s="18"/>
      <c r="KE954" s="18"/>
      <c r="KF954" s="18"/>
      <c r="KG954" s="18"/>
      <c r="KH954" s="18"/>
      <c r="KI954" s="18"/>
      <c r="KJ954" s="18"/>
      <c r="KK954" s="18"/>
      <c r="KL954" s="18"/>
      <c r="KM954" s="18"/>
      <c r="KN954" s="18"/>
      <c r="KO954" s="18"/>
      <c r="KP954" s="18"/>
    </row>
    <row r="955" spans="1:302">
      <c r="A955" s="14"/>
      <c r="B955" s="14"/>
      <c r="F955" s="14"/>
      <c r="G955" s="23"/>
      <c r="H955" s="23"/>
      <c r="I955" s="23"/>
      <c r="J955" s="23"/>
      <c r="K955" s="14"/>
      <c r="L955" s="14"/>
      <c r="P955" s="14"/>
      <c r="AG955" s="44"/>
      <c r="AH955" s="44"/>
      <c r="AI955" s="45"/>
      <c r="AJ955" s="44"/>
      <c r="AK955" s="43"/>
      <c r="AS955" s="14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  <c r="EW955" s="18"/>
      <c r="EX955" s="18"/>
      <c r="EY955" s="18"/>
      <c r="EZ955" s="18"/>
      <c r="FA955" s="18"/>
      <c r="FB955" s="18"/>
      <c r="FC955" s="18"/>
      <c r="FD955" s="18"/>
      <c r="FE955" s="18"/>
      <c r="FF955" s="18"/>
      <c r="FG955" s="18"/>
      <c r="FH955" s="18"/>
      <c r="FI955" s="18"/>
      <c r="FJ955" s="18"/>
      <c r="FK955" s="18"/>
      <c r="FL955" s="18"/>
      <c r="FM955" s="18"/>
      <c r="FN955" s="18"/>
      <c r="FO955" s="18"/>
      <c r="FP955" s="18"/>
      <c r="FQ955" s="18"/>
      <c r="FR955" s="18"/>
      <c r="FS955" s="18"/>
      <c r="FT955" s="18"/>
      <c r="FU955" s="18"/>
      <c r="FV955" s="18"/>
      <c r="FW955" s="18"/>
      <c r="FX955" s="18"/>
      <c r="FY955" s="18"/>
      <c r="FZ955" s="18"/>
      <c r="GA955" s="18"/>
      <c r="GB955" s="18"/>
      <c r="GC955" s="18"/>
      <c r="GD955" s="18"/>
      <c r="GE955" s="18"/>
      <c r="GF955" s="18"/>
      <c r="GG955" s="18"/>
      <c r="GH955" s="18"/>
      <c r="GI955" s="18"/>
      <c r="GJ955" s="18"/>
      <c r="GK955" s="18"/>
      <c r="GL955" s="18"/>
      <c r="GM955" s="18"/>
      <c r="GN955" s="18"/>
      <c r="GO955" s="18"/>
      <c r="GP955" s="18"/>
      <c r="GQ955" s="18"/>
      <c r="GR955" s="18"/>
      <c r="GS955" s="18"/>
      <c r="GT955" s="18"/>
      <c r="GU955" s="18"/>
      <c r="GV955" s="18"/>
      <c r="GW955" s="18"/>
      <c r="GX955" s="18"/>
      <c r="GY955" s="18"/>
      <c r="GZ955" s="18"/>
      <c r="HA955" s="18"/>
      <c r="HB955" s="18"/>
      <c r="HC955" s="18"/>
      <c r="HD955" s="18"/>
      <c r="HE955" s="18"/>
      <c r="HF955" s="18"/>
      <c r="HG955" s="13"/>
      <c r="HH955" s="13"/>
      <c r="HI955" s="13"/>
      <c r="HJ955" s="13"/>
      <c r="HK955" s="13"/>
      <c r="HL955" s="13"/>
      <c r="HM955" s="13"/>
      <c r="HN955" s="13"/>
      <c r="HO955" s="13"/>
      <c r="HP955" s="13"/>
      <c r="HQ955" s="13"/>
      <c r="HR955" s="13"/>
      <c r="HS955" s="13"/>
      <c r="HT955" s="13"/>
      <c r="HU955" s="18"/>
      <c r="HV955" s="18"/>
      <c r="HW955" s="18"/>
      <c r="HX955" s="18"/>
      <c r="HY955" s="18"/>
      <c r="HZ955" s="18"/>
      <c r="IA955" s="18"/>
      <c r="IB955" s="18"/>
      <c r="IC955" s="18"/>
      <c r="ID955" s="18"/>
      <c r="IE955" s="18"/>
      <c r="IF955" s="18"/>
      <c r="IG955" s="18"/>
      <c r="IH955" s="18"/>
      <c r="II955" s="18"/>
      <c r="IJ955" s="18"/>
      <c r="IK955" s="18"/>
      <c r="IL955" s="18"/>
      <c r="IM955" s="18"/>
      <c r="IN955" s="18"/>
      <c r="IO955" s="18"/>
      <c r="IP955" s="18"/>
      <c r="IQ955" s="18"/>
      <c r="IR955" s="18"/>
      <c r="IS955" s="18"/>
      <c r="IT955" s="18"/>
      <c r="IU955" s="18"/>
      <c r="IV955" s="18"/>
      <c r="IW955" s="18"/>
      <c r="IX955" s="18"/>
      <c r="IY955" s="18"/>
      <c r="IZ955" s="18"/>
      <c r="JA955" s="18"/>
      <c r="JB955" s="18"/>
      <c r="JC955" s="18"/>
      <c r="JD955" s="18"/>
      <c r="JE955" s="18"/>
      <c r="JF955" s="18"/>
      <c r="JG955" s="18"/>
      <c r="JH955" s="18"/>
      <c r="JI955" s="18"/>
      <c r="JJ955" s="18"/>
      <c r="JK955" s="18"/>
      <c r="JL955" s="18"/>
      <c r="JM955" s="18"/>
      <c r="JN955" s="18"/>
      <c r="JO955" s="18"/>
      <c r="JP955" s="18"/>
      <c r="JQ955" s="18"/>
      <c r="JR955" s="18"/>
      <c r="JS955" s="18"/>
      <c r="JT955" s="18"/>
      <c r="JU955" s="18"/>
      <c r="JV955" s="18"/>
      <c r="JW955" s="18"/>
      <c r="JX955" s="18"/>
      <c r="JY955" s="18"/>
      <c r="JZ955" s="18"/>
      <c r="KA955" s="18"/>
      <c r="KB955" s="18"/>
      <c r="KC955" s="18"/>
      <c r="KD955" s="18"/>
      <c r="KE955" s="18"/>
      <c r="KF955" s="18"/>
      <c r="KG955" s="18"/>
      <c r="KH955" s="18"/>
      <c r="KI955" s="18"/>
      <c r="KJ955" s="18"/>
      <c r="KK955" s="18"/>
      <c r="KL955" s="18"/>
      <c r="KM955" s="18"/>
      <c r="KN955" s="18"/>
      <c r="KO955" s="18"/>
      <c r="KP955" s="18"/>
    </row>
    <row r="956" spans="1:302">
      <c r="A956" s="14"/>
      <c r="B956" s="14"/>
      <c r="F956" s="14"/>
      <c r="G956" s="23"/>
      <c r="H956" s="23"/>
      <c r="I956" s="23"/>
      <c r="J956" s="23"/>
      <c r="K956" s="14"/>
      <c r="L956" s="14"/>
      <c r="P956" s="14"/>
      <c r="AG956" s="44"/>
      <c r="AH956" s="44"/>
      <c r="AI956" s="45"/>
      <c r="AJ956" s="44"/>
      <c r="AK956" s="43"/>
      <c r="AS956" s="14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  <c r="EW956" s="18"/>
      <c r="EX956" s="18"/>
      <c r="EY956" s="18"/>
      <c r="EZ956" s="18"/>
      <c r="FA956" s="18"/>
      <c r="FB956" s="18"/>
      <c r="FC956" s="18"/>
      <c r="FD956" s="18"/>
      <c r="FE956" s="18"/>
      <c r="FF956" s="18"/>
      <c r="FG956" s="18"/>
      <c r="FH956" s="18"/>
      <c r="FI956" s="18"/>
      <c r="FJ956" s="18"/>
      <c r="FK956" s="18"/>
      <c r="FL956" s="18"/>
      <c r="FM956" s="18"/>
      <c r="FN956" s="18"/>
      <c r="FO956" s="18"/>
      <c r="FP956" s="18"/>
      <c r="FQ956" s="18"/>
      <c r="FR956" s="18"/>
      <c r="FS956" s="18"/>
      <c r="FT956" s="18"/>
      <c r="FU956" s="18"/>
      <c r="FV956" s="18"/>
      <c r="FW956" s="18"/>
      <c r="FX956" s="18"/>
      <c r="FY956" s="18"/>
      <c r="FZ956" s="18"/>
      <c r="GA956" s="18"/>
      <c r="GB956" s="18"/>
      <c r="GC956" s="18"/>
      <c r="GD956" s="18"/>
      <c r="GE956" s="18"/>
      <c r="GF956" s="18"/>
      <c r="GG956" s="18"/>
      <c r="GH956" s="18"/>
      <c r="GI956" s="18"/>
      <c r="GJ956" s="18"/>
      <c r="GK956" s="18"/>
      <c r="GL956" s="18"/>
      <c r="GM956" s="18"/>
      <c r="GN956" s="18"/>
      <c r="GO956" s="18"/>
      <c r="GP956" s="18"/>
      <c r="GQ956" s="18"/>
      <c r="GR956" s="18"/>
      <c r="GS956" s="18"/>
      <c r="GT956" s="18"/>
      <c r="GU956" s="18"/>
      <c r="GV956" s="18"/>
      <c r="GW956" s="18"/>
      <c r="GX956" s="18"/>
      <c r="GY956" s="18"/>
      <c r="GZ956" s="18"/>
      <c r="HA956" s="18"/>
      <c r="HB956" s="18"/>
      <c r="HC956" s="18"/>
      <c r="HD956" s="18"/>
      <c r="HE956" s="18"/>
      <c r="HF956" s="18"/>
      <c r="HG956" s="13"/>
      <c r="HH956" s="13"/>
      <c r="HI956" s="13"/>
      <c r="HJ956" s="13"/>
      <c r="HK956" s="13"/>
      <c r="HL956" s="13"/>
      <c r="HM956" s="13"/>
      <c r="HN956" s="13"/>
      <c r="HO956" s="13"/>
      <c r="HP956" s="13"/>
      <c r="HQ956" s="13"/>
      <c r="HR956" s="13"/>
      <c r="HS956" s="13"/>
      <c r="HT956" s="13"/>
      <c r="HU956" s="18"/>
      <c r="HV956" s="18"/>
      <c r="HW956" s="18"/>
      <c r="HX956" s="18"/>
      <c r="HY956" s="18"/>
      <c r="HZ956" s="18"/>
      <c r="IA956" s="18"/>
      <c r="IB956" s="18"/>
      <c r="IC956" s="18"/>
      <c r="ID956" s="18"/>
      <c r="IE956" s="18"/>
      <c r="IF956" s="18"/>
      <c r="IG956" s="18"/>
      <c r="IH956" s="18"/>
      <c r="II956" s="18"/>
      <c r="IJ956" s="18"/>
      <c r="IK956" s="18"/>
      <c r="IL956" s="18"/>
      <c r="IM956" s="18"/>
      <c r="IN956" s="18"/>
      <c r="IO956" s="18"/>
      <c r="IP956" s="18"/>
      <c r="IQ956" s="18"/>
      <c r="IR956" s="18"/>
      <c r="IS956" s="18"/>
      <c r="IT956" s="18"/>
      <c r="IU956" s="18"/>
      <c r="IV956" s="18"/>
      <c r="IW956" s="18"/>
      <c r="IX956" s="18"/>
      <c r="IY956" s="18"/>
      <c r="IZ956" s="18"/>
      <c r="JA956" s="18"/>
      <c r="JB956" s="18"/>
      <c r="JC956" s="18"/>
      <c r="JD956" s="18"/>
      <c r="JE956" s="18"/>
      <c r="JF956" s="18"/>
      <c r="JG956" s="18"/>
      <c r="JH956" s="18"/>
      <c r="JI956" s="18"/>
      <c r="JJ956" s="18"/>
      <c r="JK956" s="18"/>
      <c r="JL956" s="18"/>
      <c r="JM956" s="18"/>
      <c r="JN956" s="18"/>
      <c r="JO956" s="18"/>
      <c r="JP956" s="18"/>
      <c r="JQ956" s="18"/>
      <c r="JR956" s="18"/>
      <c r="JS956" s="18"/>
      <c r="JT956" s="18"/>
      <c r="JU956" s="18"/>
      <c r="JV956" s="18"/>
      <c r="JW956" s="18"/>
      <c r="JX956" s="18"/>
      <c r="JY956" s="18"/>
      <c r="JZ956" s="18"/>
      <c r="KA956" s="18"/>
      <c r="KB956" s="18"/>
      <c r="KC956" s="18"/>
      <c r="KD956" s="18"/>
      <c r="KE956" s="18"/>
      <c r="KF956" s="18"/>
      <c r="KG956" s="18"/>
      <c r="KH956" s="18"/>
      <c r="KI956" s="18"/>
      <c r="KJ956" s="18"/>
      <c r="KK956" s="18"/>
      <c r="KL956" s="18"/>
      <c r="KM956" s="18"/>
      <c r="KN956" s="18"/>
      <c r="KO956" s="18"/>
      <c r="KP956" s="18"/>
    </row>
    <row r="957" spans="1:302">
      <c r="A957" s="14"/>
      <c r="B957" s="14"/>
      <c r="F957" s="14"/>
      <c r="G957" s="23"/>
      <c r="H957" s="23"/>
      <c r="I957" s="23"/>
      <c r="J957" s="23"/>
      <c r="K957" s="14"/>
      <c r="L957" s="14"/>
      <c r="P957" s="14"/>
      <c r="AG957" s="44"/>
      <c r="AH957" s="44"/>
      <c r="AI957" s="45"/>
      <c r="AJ957" s="44"/>
      <c r="AK957" s="43"/>
      <c r="AS957" s="14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  <c r="EW957" s="18"/>
      <c r="EX957" s="18"/>
      <c r="EY957" s="18"/>
      <c r="EZ957" s="18"/>
      <c r="FA957" s="18"/>
      <c r="FB957" s="18"/>
      <c r="FC957" s="18"/>
      <c r="FD957" s="18"/>
      <c r="FE957" s="18"/>
      <c r="FF957" s="18"/>
      <c r="FG957" s="18"/>
      <c r="FH957" s="18"/>
      <c r="FI957" s="18"/>
      <c r="FJ957" s="18"/>
      <c r="FK957" s="18"/>
      <c r="FL957" s="18"/>
      <c r="FM957" s="18"/>
      <c r="FN957" s="18"/>
      <c r="FO957" s="18"/>
      <c r="FP957" s="18"/>
      <c r="FQ957" s="18"/>
      <c r="FR957" s="18"/>
      <c r="FS957" s="18"/>
      <c r="FT957" s="18"/>
      <c r="FU957" s="18"/>
      <c r="FV957" s="18"/>
      <c r="FW957" s="18"/>
      <c r="FX957" s="18"/>
      <c r="FY957" s="18"/>
      <c r="FZ957" s="18"/>
      <c r="GA957" s="18"/>
      <c r="GB957" s="18"/>
      <c r="GC957" s="18"/>
      <c r="GD957" s="18"/>
      <c r="GE957" s="18"/>
      <c r="GF957" s="18"/>
      <c r="GG957" s="18"/>
      <c r="GH957" s="18"/>
      <c r="GI957" s="18"/>
      <c r="GJ957" s="18"/>
      <c r="GK957" s="18"/>
      <c r="GL957" s="18"/>
      <c r="GM957" s="18"/>
      <c r="GN957" s="18"/>
      <c r="GO957" s="18"/>
      <c r="GP957" s="18"/>
      <c r="GQ957" s="18"/>
      <c r="GR957" s="18"/>
      <c r="GS957" s="18"/>
      <c r="GT957" s="18"/>
      <c r="GU957" s="18"/>
      <c r="GV957" s="18"/>
      <c r="GW957" s="18"/>
      <c r="GX957" s="18"/>
      <c r="GY957" s="18"/>
      <c r="GZ957" s="18"/>
      <c r="HA957" s="18"/>
      <c r="HB957" s="18"/>
      <c r="HC957" s="18"/>
      <c r="HD957" s="18"/>
      <c r="HE957" s="18"/>
      <c r="HF957" s="18"/>
      <c r="HG957" s="13"/>
      <c r="HH957" s="13"/>
      <c r="HI957" s="13"/>
      <c r="HJ957" s="13"/>
      <c r="HK957" s="13"/>
      <c r="HL957" s="13"/>
      <c r="HM957" s="13"/>
      <c r="HN957" s="13"/>
      <c r="HO957" s="13"/>
      <c r="HP957" s="13"/>
      <c r="HQ957" s="13"/>
      <c r="HR957" s="13"/>
      <c r="HS957" s="13"/>
      <c r="HT957" s="13"/>
      <c r="HU957" s="18"/>
      <c r="HV957" s="18"/>
      <c r="HW957" s="18"/>
      <c r="HX957" s="18"/>
      <c r="HY957" s="18"/>
      <c r="HZ957" s="18"/>
      <c r="IA957" s="18"/>
      <c r="IB957" s="18"/>
      <c r="IC957" s="18"/>
      <c r="ID957" s="18"/>
      <c r="IE957" s="18"/>
      <c r="IF957" s="18"/>
      <c r="IG957" s="18"/>
      <c r="IH957" s="18"/>
      <c r="II957" s="18"/>
      <c r="IJ957" s="18"/>
      <c r="IK957" s="18"/>
      <c r="IL957" s="18"/>
      <c r="IM957" s="18"/>
      <c r="IN957" s="18"/>
      <c r="IO957" s="18"/>
      <c r="IP957" s="18"/>
      <c r="IQ957" s="18"/>
      <c r="IR957" s="18"/>
      <c r="IS957" s="18"/>
      <c r="IT957" s="18"/>
      <c r="IU957" s="18"/>
      <c r="IV957" s="18"/>
      <c r="IW957" s="18"/>
      <c r="IX957" s="18"/>
      <c r="IY957" s="18"/>
      <c r="IZ957" s="18"/>
      <c r="JA957" s="18"/>
      <c r="JB957" s="18"/>
      <c r="JC957" s="18"/>
      <c r="JD957" s="18"/>
      <c r="JE957" s="18"/>
      <c r="JF957" s="18"/>
      <c r="JG957" s="18"/>
      <c r="JH957" s="18"/>
      <c r="JI957" s="18"/>
      <c r="JJ957" s="18"/>
      <c r="JK957" s="18"/>
      <c r="JL957" s="18"/>
      <c r="JM957" s="18"/>
      <c r="JN957" s="18"/>
      <c r="JO957" s="18"/>
      <c r="JP957" s="18"/>
      <c r="JQ957" s="18"/>
      <c r="JR957" s="18"/>
      <c r="JS957" s="18"/>
      <c r="JT957" s="18"/>
      <c r="JU957" s="18"/>
      <c r="JV957" s="18"/>
      <c r="JW957" s="18"/>
      <c r="JX957" s="18"/>
      <c r="JY957" s="18"/>
      <c r="JZ957" s="18"/>
      <c r="KA957" s="18"/>
      <c r="KB957" s="18"/>
      <c r="KC957" s="18"/>
      <c r="KD957" s="18"/>
      <c r="KE957" s="18"/>
      <c r="KF957" s="18"/>
      <c r="KG957" s="18"/>
      <c r="KH957" s="18"/>
      <c r="KI957" s="18"/>
      <c r="KJ957" s="18"/>
      <c r="KK957" s="18"/>
      <c r="KL957" s="18"/>
      <c r="KM957" s="18"/>
      <c r="KN957" s="18"/>
      <c r="KO957" s="18"/>
      <c r="KP957" s="18"/>
    </row>
    <row r="958" spans="1:302">
      <c r="A958" s="14"/>
      <c r="B958" s="14"/>
      <c r="F958" s="14"/>
      <c r="G958" s="23"/>
      <c r="H958" s="23"/>
      <c r="I958" s="23"/>
      <c r="J958" s="23"/>
      <c r="K958" s="14"/>
      <c r="L958" s="14"/>
      <c r="P958" s="14"/>
      <c r="AG958" s="44"/>
      <c r="AH958" s="44"/>
      <c r="AI958" s="45"/>
      <c r="AJ958" s="44"/>
      <c r="AK958" s="43"/>
      <c r="AS958" s="14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  <c r="EW958" s="18"/>
      <c r="EX958" s="18"/>
      <c r="EY958" s="18"/>
      <c r="EZ958" s="18"/>
      <c r="FA958" s="18"/>
      <c r="FB958" s="18"/>
      <c r="FC958" s="18"/>
      <c r="FD958" s="18"/>
      <c r="FE958" s="18"/>
      <c r="FF958" s="18"/>
      <c r="FG958" s="18"/>
      <c r="FH958" s="18"/>
      <c r="FI958" s="18"/>
      <c r="FJ958" s="18"/>
      <c r="FK958" s="18"/>
      <c r="FL958" s="18"/>
      <c r="FM958" s="18"/>
      <c r="FN958" s="18"/>
      <c r="FO958" s="18"/>
      <c r="FP958" s="18"/>
      <c r="FQ958" s="18"/>
      <c r="FR958" s="18"/>
      <c r="FS958" s="18"/>
      <c r="FT958" s="18"/>
      <c r="FU958" s="18"/>
      <c r="FV958" s="18"/>
      <c r="FW958" s="18"/>
      <c r="FX958" s="18"/>
      <c r="FY958" s="18"/>
      <c r="FZ958" s="18"/>
      <c r="GA958" s="18"/>
      <c r="GB958" s="18"/>
      <c r="GC958" s="18"/>
      <c r="GD958" s="18"/>
      <c r="GE958" s="18"/>
      <c r="GF958" s="18"/>
      <c r="GG958" s="18"/>
      <c r="GH958" s="18"/>
      <c r="GI958" s="18"/>
      <c r="GJ958" s="18"/>
      <c r="GK958" s="18"/>
      <c r="GL958" s="18"/>
      <c r="GM958" s="18"/>
      <c r="GN958" s="18"/>
      <c r="GO958" s="18"/>
      <c r="GP958" s="18"/>
      <c r="GQ958" s="18"/>
      <c r="GR958" s="18"/>
      <c r="GS958" s="18"/>
      <c r="GT958" s="18"/>
      <c r="GU958" s="18"/>
      <c r="GV958" s="18"/>
      <c r="GW958" s="18"/>
      <c r="GX958" s="18"/>
      <c r="GY958" s="18"/>
      <c r="GZ958" s="18"/>
      <c r="HA958" s="18"/>
      <c r="HB958" s="18"/>
      <c r="HC958" s="18"/>
      <c r="HD958" s="18"/>
      <c r="HE958" s="18"/>
      <c r="HF958" s="18"/>
      <c r="HG958" s="13"/>
      <c r="HH958" s="13"/>
      <c r="HI958" s="13"/>
      <c r="HJ958" s="13"/>
      <c r="HK958" s="13"/>
      <c r="HL958" s="13"/>
      <c r="HM958" s="13"/>
      <c r="HN958" s="13"/>
      <c r="HO958" s="13"/>
      <c r="HP958" s="13"/>
      <c r="HQ958" s="13"/>
      <c r="HR958" s="13"/>
      <c r="HS958" s="13"/>
      <c r="HT958" s="13"/>
      <c r="HU958" s="18"/>
      <c r="HV958" s="18"/>
      <c r="HW958" s="18"/>
      <c r="HX958" s="18"/>
      <c r="HY958" s="18"/>
      <c r="HZ958" s="18"/>
      <c r="IA958" s="18"/>
      <c r="IB958" s="18"/>
      <c r="IC958" s="18"/>
      <c r="ID958" s="18"/>
      <c r="IE958" s="18"/>
      <c r="IF958" s="18"/>
      <c r="IG958" s="18"/>
      <c r="IH958" s="18"/>
      <c r="II958" s="18"/>
      <c r="IJ958" s="18"/>
      <c r="IK958" s="18"/>
      <c r="IL958" s="18"/>
      <c r="IM958" s="18"/>
      <c r="IN958" s="18"/>
      <c r="IO958" s="18"/>
      <c r="IP958" s="18"/>
      <c r="IQ958" s="18"/>
      <c r="IR958" s="18"/>
      <c r="IS958" s="18"/>
      <c r="IT958" s="18"/>
      <c r="IU958" s="18"/>
      <c r="IV958" s="18"/>
      <c r="IW958" s="18"/>
      <c r="IX958" s="18"/>
      <c r="IY958" s="18"/>
      <c r="IZ958" s="18"/>
      <c r="JA958" s="18"/>
      <c r="JB958" s="18"/>
      <c r="JC958" s="18"/>
      <c r="JD958" s="18"/>
      <c r="JE958" s="18"/>
      <c r="JF958" s="18"/>
      <c r="JG958" s="18"/>
      <c r="JH958" s="18"/>
      <c r="JI958" s="18"/>
      <c r="JJ958" s="18"/>
      <c r="JK958" s="18"/>
      <c r="JL958" s="18"/>
      <c r="JM958" s="18"/>
      <c r="JN958" s="18"/>
      <c r="JO958" s="18"/>
      <c r="JP958" s="18"/>
      <c r="JQ958" s="18"/>
      <c r="JR958" s="18"/>
      <c r="JS958" s="18"/>
      <c r="JT958" s="18"/>
      <c r="JU958" s="18"/>
      <c r="JV958" s="18"/>
      <c r="JW958" s="18"/>
      <c r="JX958" s="18"/>
      <c r="JY958" s="18"/>
      <c r="JZ958" s="18"/>
      <c r="KA958" s="18"/>
      <c r="KB958" s="18"/>
      <c r="KC958" s="18"/>
      <c r="KD958" s="18"/>
      <c r="KE958" s="18"/>
      <c r="KF958" s="18"/>
      <c r="KG958" s="18"/>
      <c r="KH958" s="18"/>
      <c r="KI958" s="18"/>
      <c r="KJ958" s="18"/>
      <c r="KK958" s="18"/>
      <c r="KL958" s="18"/>
      <c r="KM958" s="18"/>
      <c r="KN958" s="18"/>
      <c r="KO958" s="18"/>
      <c r="KP958" s="18"/>
    </row>
    <row r="959" spans="1:302">
      <c r="A959" s="14"/>
      <c r="B959" s="14"/>
      <c r="F959" s="14"/>
      <c r="G959" s="23"/>
      <c r="H959" s="23"/>
      <c r="I959" s="23"/>
      <c r="J959" s="23"/>
      <c r="K959" s="14"/>
      <c r="L959" s="14"/>
      <c r="P959" s="14"/>
      <c r="AG959" s="44"/>
      <c r="AH959" s="44"/>
      <c r="AI959" s="45"/>
      <c r="AJ959" s="44"/>
      <c r="AK959" s="43"/>
      <c r="AS959" s="14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  <c r="EW959" s="18"/>
      <c r="EX959" s="18"/>
      <c r="EY959" s="18"/>
      <c r="EZ959" s="18"/>
      <c r="FA959" s="18"/>
      <c r="FB959" s="18"/>
      <c r="FC959" s="18"/>
      <c r="FD959" s="18"/>
      <c r="FE959" s="18"/>
      <c r="FF959" s="18"/>
      <c r="FG959" s="18"/>
      <c r="FH959" s="18"/>
      <c r="FI959" s="18"/>
      <c r="FJ959" s="18"/>
      <c r="FK959" s="18"/>
      <c r="FL959" s="18"/>
      <c r="FM959" s="18"/>
      <c r="FN959" s="18"/>
      <c r="FO959" s="18"/>
      <c r="FP959" s="18"/>
      <c r="FQ959" s="18"/>
      <c r="FR959" s="18"/>
      <c r="FS959" s="18"/>
      <c r="FT959" s="18"/>
      <c r="FU959" s="18"/>
      <c r="FV959" s="18"/>
      <c r="FW959" s="18"/>
      <c r="FX959" s="18"/>
      <c r="FY959" s="18"/>
      <c r="FZ959" s="18"/>
      <c r="GA959" s="18"/>
      <c r="GB959" s="18"/>
      <c r="GC959" s="18"/>
      <c r="GD959" s="18"/>
      <c r="GE959" s="18"/>
      <c r="GF959" s="18"/>
      <c r="GG959" s="18"/>
      <c r="GH959" s="18"/>
      <c r="GI959" s="18"/>
      <c r="GJ959" s="18"/>
      <c r="GK959" s="18"/>
      <c r="GL959" s="18"/>
      <c r="GM959" s="18"/>
      <c r="GN959" s="18"/>
      <c r="GO959" s="18"/>
      <c r="GP959" s="18"/>
      <c r="GQ959" s="18"/>
      <c r="GR959" s="18"/>
      <c r="GS959" s="18"/>
      <c r="GT959" s="18"/>
      <c r="GU959" s="18"/>
      <c r="GV959" s="18"/>
      <c r="GW959" s="18"/>
      <c r="GX959" s="18"/>
      <c r="GY959" s="18"/>
      <c r="GZ959" s="18"/>
      <c r="HA959" s="18"/>
      <c r="HB959" s="18"/>
      <c r="HC959" s="18"/>
      <c r="HD959" s="18"/>
      <c r="HE959" s="18"/>
      <c r="HF959" s="18"/>
      <c r="HG959" s="13"/>
      <c r="HH959" s="13"/>
      <c r="HI959" s="13"/>
      <c r="HJ959" s="13"/>
      <c r="HK959" s="13"/>
      <c r="HL959" s="13"/>
      <c r="HM959" s="13"/>
      <c r="HN959" s="13"/>
      <c r="HO959" s="13"/>
      <c r="HP959" s="13"/>
      <c r="HQ959" s="13"/>
      <c r="HR959" s="13"/>
      <c r="HS959" s="13"/>
      <c r="HT959" s="13"/>
      <c r="HU959" s="18"/>
      <c r="HV959" s="18"/>
      <c r="HW959" s="18"/>
      <c r="HX959" s="18"/>
      <c r="HY959" s="18"/>
      <c r="HZ959" s="18"/>
      <c r="IA959" s="18"/>
      <c r="IB959" s="18"/>
      <c r="IC959" s="18"/>
      <c r="ID959" s="18"/>
      <c r="IE959" s="18"/>
      <c r="IF959" s="18"/>
      <c r="IG959" s="18"/>
      <c r="IH959" s="18"/>
      <c r="II959" s="18"/>
      <c r="IJ959" s="18"/>
      <c r="IK959" s="18"/>
      <c r="IL959" s="18"/>
      <c r="IM959" s="18"/>
      <c r="IN959" s="18"/>
      <c r="IO959" s="18"/>
      <c r="IP959" s="18"/>
      <c r="IQ959" s="18"/>
      <c r="IR959" s="18"/>
      <c r="IS959" s="18"/>
      <c r="IT959" s="18"/>
      <c r="IU959" s="18"/>
      <c r="IV959" s="18"/>
      <c r="IW959" s="18"/>
      <c r="IX959" s="18"/>
      <c r="IY959" s="18"/>
      <c r="IZ959" s="18"/>
      <c r="JA959" s="18"/>
      <c r="JB959" s="18"/>
      <c r="JC959" s="18"/>
      <c r="JD959" s="18"/>
      <c r="JE959" s="18"/>
      <c r="JF959" s="18"/>
      <c r="JG959" s="18"/>
      <c r="JH959" s="18"/>
      <c r="JI959" s="18"/>
      <c r="JJ959" s="18"/>
      <c r="JK959" s="18"/>
      <c r="JL959" s="18"/>
      <c r="JM959" s="18"/>
      <c r="JN959" s="18"/>
      <c r="JO959" s="18"/>
      <c r="JP959" s="18"/>
      <c r="JQ959" s="18"/>
      <c r="JR959" s="18"/>
      <c r="JS959" s="18"/>
      <c r="JT959" s="18"/>
      <c r="JU959" s="18"/>
      <c r="JV959" s="18"/>
      <c r="JW959" s="18"/>
      <c r="JX959" s="18"/>
      <c r="JY959" s="18"/>
      <c r="JZ959" s="18"/>
      <c r="KA959" s="18"/>
      <c r="KB959" s="18"/>
      <c r="KC959" s="18"/>
      <c r="KD959" s="18"/>
      <c r="KE959" s="18"/>
      <c r="KF959" s="18"/>
      <c r="KG959" s="18"/>
      <c r="KH959" s="18"/>
      <c r="KI959" s="18"/>
      <c r="KJ959" s="18"/>
      <c r="KK959" s="18"/>
      <c r="KL959" s="18"/>
      <c r="KM959" s="18"/>
      <c r="KN959" s="18"/>
      <c r="KO959" s="18"/>
      <c r="KP959" s="18"/>
    </row>
    <row r="960" spans="1:302">
      <c r="A960" s="14"/>
      <c r="B960" s="14"/>
      <c r="F960" s="14"/>
      <c r="G960" s="23"/>
      <c r="H960" s="23"/>
      <c r="I960" s="23"/>
      <c r="J960" s="23"/>
      <c r="K960" s="14"/>
      <c r="L960" s="14"/>
      <c r="P960" s="14"/>
      <c r="AG960" s="44"/>
      <c r="AH960" s="44"/>
      <c r="AI960" s="45"/>
      <c r="AJ960" s="44"/>
      <c r="AK960" s="43"/>
      <c r="AS960" s="14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  <c r="EW960" s="18"/>
      <c r="EX960" s="18"/>
      <c r="EY960" s="18"/>
      <c r="EZ960" s="18"/>
      <c r="FA960" s="18"/>
      <c r="FB960" s="18"/>
      <c r="FC960" s="18"/>
      <c r="FD960" s="18"/>
      <c r="FE960" s="18"/>
      <c r="FF960" s="18"/>
      <c r="FG960" s="18"/>
      <c r="FH960" s="18"/>
      <c r="FI960" s="18"/>
      <c r="FJ960" s="18"/>
      <c r="FK960" s="18"/>
      <c r="FL960" s="18"/>
      <c r="FM960" s="18"/>
      <c r="FN960" s="18"/>
      <c r="FO960" s="18"/>
      <c r="FP960" s="18"/>
      <c r="FQ960" s="18"/>
      <c r="FR960" s="18"/>
      <c r="FS960" s="18"/>
      <c r="FT960" s="18"/>
      <c r="FU960" s="18"/>
      <c r="FV960" s="18"/>
      <c r="FW960" s="18"/>
      <c r="FX960" s="18"/>
      <c r="FY960" s="18"/>
      <c r="FZ960" s="18"/>
      <c r="GA960" s="18"/>
      <c r="GB960" s="18"/>
      <c r="GC960" s="18"/>
      <c r="GD960" s="18"/>
      <c r="GE960" s="18"/>
      <c r="GF960" s="18"/>
      <c r="GG960" s="18"/>
      <c r="GH960" s="18"/>
      <c r="GI960" s="18"/>
      <c r="GJ960" s="18"/>
      <c r="GK960" s="18"/>
      <c r="GL960" s="18"/>
      <c r="GM960" s="18"/>
      <c r="GN960" s="18"/>
      <c r="GO960" s="18"/>
      <c r="GP960" s="18"/>
      <c r="GQ960" s="18"/>
      <c r="GR960" s="18"/>
      <c r="GS960" s="18"/>
      <c r="GT960" s="18"/>
      <c r="GU960" s="18"/>
      <c r="GV960" s="18"/>
      <c r="GW960" s="18"/>
      <c r="GX960" s="18"/>
      <c r="GY960" s="18"/>
      <c r="GZ960" s="18"/>
      <c r="HA960" s="18"/>
      <c r="HB960" s="18"/>
      <c r="HC960" s="18"/>
      <c r="HD960" s="18"/>
      <c r="HE960" s="18"/>
      <c r="HF960" s="18"/>
      <c r="HG960" s="13"/>
      <c r="HH960" s="13"/>
      <c r="HI960" s="13"/>
      <c r="HJ960" s="13"/>
      <c r="HK960" s="13"/>
      <c r="HL960" s="13"/>
      <c r="HM960" s="13"/>
      <c r="HN960" s="13"/>
      <c r="HO960" s="13"/>
      <c r="HP960" s="13"/>
      <c r="HQ960" s="13"/>
      <c r="HR960" s="13"/>
      <c r="HS960" s="13"/>
      <c r="HT960" s="13"/>
      <c r="HU960" s="18"/>
      <c r="HV960" s="18"/>
      <c r="HW960" s="18"/>
      <c r="HX960" s="18"/>
      <c r="HY960" s="18"/>
      <c r="HZ960" s="18"/>
      <c r="IA960" s="18"/>
      <c r="IB960" s="18"/>
      <c r="IC960" s="18"/>
      <c r="ID960" s="18"/>
      <c r="IE960" s="18"/>
      <c r="IF960" s="18"/>
      <c r="IG960" s="18"/>
      <c r="IH960" s="18"/>
      <c r="II960" s="18"/>
      <c r="IJ960" s="18"/>
      <c r="IK960" s="18"/>
      <c r="IL960" s="18"/>
      <c r="IM960" s="18"/>
      <c r="IN960" s="18"/>
      <c r="IO960" s="18"/>
      <c r="IP960" s="18"/>
      <c r="IQ960" s="18"/>
      <c r="IR960" s="18"/>
      <c r="IS960" s="18"/>
      <c r="IT960" s="18"/>
      <c r="IU960" s="18"/>
      <c r="IV960" s="18"/>
      <c r="IW960" s="18"/>
      <c r="IX960" s="18"/>
      <c r="IY960" s="18"/>
      <c r="IZ960" s="18"/>
      <c r="JA960" s="18"/>
      <c r="JB960" s="18"/>
      <c r="JC960" s="18"/>
      <c r="JD960" s="18"/>
      <c r="JE960" s="18"/>
      <c r="JF960" s="18"/>
      <c r="JG960" s="18"/>
      <c r="JH960" s="18"/>
      <c r="JI960" s="18"/>
      <c r="JJ960" s="18"/>
      <c r="JK960" s="18"/>
      <c r="JL960" s="18"/>
      <c r="JM960" s="18"/>
      <c r="JN960" s="18"/>
      <c r="JO960" s="18"/>
      <c r="JP960" s="18"/>
      <c r="JQ960" s="18"/>
      <c r="JR960" s="18"/>
      <c r="JS960" s="18"/>
      <c r="JT960" s="18"/>
      <c r="JU960" s="18"/>
      <c r="JV960" s="18"/>
      <c r="JW960" s="18"/>
      <c r="JX960" s="18"/>
      <c r="JY960" s="18"/>
      <c r="JZ960" s="18"/>
      <c r="KA960" s="18"/>
      <c r="KB960" s="18"/>
      <c r="KC960" s="18"/>
      <c r="KD960" s="18"/>
      <c r="KE960" s="18"/>
      <c r="KF960" s="18"/>
      <c r="KG960" s="18"/>
      <c r="KH960" s="18"/>
      <c r="KI960" s="18"/>
      <c r="KJ960" s="18"/>
      <c r="KK960" s="18"/>
      <c r="KL960" s="18"/>
      <c r="KM960" s="18"/>
      <c r="KN960" s="18"/>
      <c r="KO960" s="18"/>
      <c r="KP960" s="18"/>
    </row>
    <row r="961" spans="1:302">
      <c r="A961" s="14"/>
      <c r="B961" s="14"/>
      <c r="F961" s="14"/>
      <c r="G961" s="23"/>
      <c r="H961" s="23"/>
      <c r="I961" s="23"/>
      <c r="J961" s="23"/>
      <c r="K961" s="14"/>
      <c r="L961" s="14"/>
      <c r="P961" s="14"/>
      <c r="AG961" s="44"/>
      <c r="AH961" s="44"/>
      <c r="AI961" s="45"/>
      <c r="AJ961" s="44"/>
      <c r="AK961" s="43"/>
      <c r="AS961" s="14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  <c r="EW961" s="18"/>
      <c r="EX961" s="18"/>
      <c r="EY961" s="18"/>
      <c r="EZ961" s="18"/>
      <c r="FA961" s="18"/>
      <c r="FB961" s="18"/>
      <c r="FC961" s="18"/>
      <c r="FD961" s="18"/>
      <c r="FE961" s="18"/>
      <c r="FF961" s="18"/>
      <c r="FG961" s="18"/>
      <c r="FH961" s="18"/>
      <c r="FI961" s="18"/>
      <c r="FJ961" s="18"/>
      <c r="FK961" s="18"/>
      <c r="FL961" s="18"/>
      <c r="FM961" s="18"/>
      <c r="FN961" s="18"/>
      <c r="FO961" s="18"/>
      <c r="FP961" s="18"/>
      <c r="FQ961" s="18"/>
      <c r="FR961" s="18"/>
      <c r="FS961" s="18"/>
      <c r="FT961" s="18"/>
      <c r="FU961" s="18"/>
      <c r="FV961" s="18"/>
      <c r="FW961" s="18"/>
      <c r="FX961" s="18"/>
      <c r="FY961" s="18"/>
      <c r="FZ961" s="18"/>
      <c r="GA961" s="18"/>
      <c r="GB961" s="18"/>
      <c r="GC961" s="18"/>
      <c r="GD961" s="18"/>
      <c r="GE961" s="18"/>
      <c r="GF961" s="18"/>
      <c r="GG961" s="18"/>
      <c r="GH961" s="18"/>
      <c r="GI961" s="18"/>
      <c r="GJ961" s="18"/>
      <c r="GK961" s="18"/>
      <c r="GL961" s="18"/>
      <c r="GM961" s="18"/>
      <c r="GN961" s="18"/>
      <c r="GO961" s="18"/>
      <c r="GP961" s="18"/>
      <c r="GQ961" s="18"/>
      <c r="GR961" s="18"/>
      <c r="GS961" s="18"/>
      <c r="GT961" s="18"/>
      <c r="GU961" s="18"/>
      <c r="GV961" s="18"/>
      <c r="GW961" s="18"/>
      <c r="GX961" s="18"/>
      <c r="GY961" s="18"/>
      <c r="GZ961" s="18"/>
      <c r="HA961" s="18"/>
      <c r="HB961" s="18"/>
      <c r="HC961" s="18"/>
      <c r="HD961" s="18"/>
      <c r="HE961" s="18"/>
      <c r="HF961" s="18"/>
      <c r="HG961" s="13"/>
      <c r="HH961" s="13"/>
      <c r="HI961" s="13"/>
      <c r="HJ961" s="13"/>
      <c r="HK961" s="13"/>
      <c r="HL961" s="13"/>
      <c r="HM961" s="13"/>
      <c r="HN961" s="13"/>
      <c r="HO961" s="13"/>
      <c r="HP961" s="13"/>
      <c r="HQ961" s="13"/>
      <c r="HR961" s="13"/>
      <c r="HS961" s="13"/>
      <c r="HT961" s="13"/>
      <c r="HU961" s="18"/>
      <c r="HV961" s="18"/>
      <c r="HW961" s="18"/>
      <c r="HX961" s="18"/>
      <c r="HY961" s="18"/>
      <c r="HZ961" s="18"/>
      <c r="IA961" s="18"/>
      <c r="IB961" s="18"/>
      <c r="IC961" s="18"/>
      <c r="ID961" s="18"/>
      <c r="IE961" s="18"/>
      <c r="IF961" s="18"/>
      <c r="IG961" s="18"/>
      <c r="IH961" s="18"/>
      <c r="II961" s="18"/>
      <c r="IJ961" s="18"/>
      <c r="IK961" s="18"/>
      <c r="IL961" s="18"/>
      <c r="IM961" s="18"/>
      <c r="IN961" s="18"/>
      <c r="IO961" s="18"/>
      <c r="IP961" s="18"/>
      <c r="IQ961" s="18"/>
      <c r="IR961" s="18"/>
      <c r="IS961" s="18"/>
      <c r="IT961" s="18"/>
      <c r="IU961" s="18"/>
      <c r="IV961" s="18"/>
      <c r="IW961" s="18"/>
      <c r="IX961" s="18"/>
      <c r="IY961" s="18"/>
      <c r="IZ961" s="18"/>
      <c r="JA961" s="18"/>
      <c r="JB961" s="18"/>
      <c r="JC961" s="18"/>
      <c r="JD961" s="18"/>
      <c r="JE961" s="18"/>
      <c r="JF961" s="18"/>
      <c r="JG961" s="18"/>
      <c r="JH961" s="18"/>
      <c r="JI961" s="18"/>
      <c r="JJ961" s="18"/>
      <c r="JK961" s="18"/>
      <c r="JL961" s="18"/>
      <c r="JM961" s="18"/>
      <c r="JN961" s="18"/>
      <c r="JO961" s="18"/>
      <c r="JP961" s="18"/>
      <c r="JQ961" s="18"/>
      <c r="JR961" s="18"/>
      <c r="JS961" s="18"/>
      <c r="JT961" s="18"/>
      <c r="JU961" s="18"/>
      <c r="JV961" s="18"/>
      <c r="JW961" s="18"/>
      <c r="JX961" s="18"/>
      <c r="JY961" s="18"/>
      <c r="JZ961" s="18"/>
      <c r="KA961" s="18"/>
      <c r="KB961" s="18"/>
      <c r="KC961" s="18"/>
      <c r="KD961" s="18"/>
      <c r="KE961" s="18"/>
      <c r="KF961" s="18"/>
      <c r="KG961" s="18"/>
      <c r="KH961" s="18"/>
      <c r="KI961" s="18"/>
      <c r="KJ961" s="18"/>
      <c r="KK961" s="18"/>
      <c r="KL961" s="18"/>
      <c r="KM961" s="18"/>
      <c r="KN961" s="18"/>
      <c r="KO961" s="18"/>
      <c r="KP961" s="18"/>
    </row>
    <row r="962" spans="1:302">
      <c r="A962" s="14"/>
      <c r="B962" s="14"/>
      <c r="F962" s="14"/>
      <c r="G962" s="23"/>
      <c r="H962" s="23"/>
      <c r="I962" s="23"/>
      <c r="J962" s="23"/>
      <c r="K962" s="14"/>
      <c r="L962" s="14"/>
      <c r="P962" s="14"/>
      <c r="AG962" s="44"/>
      <c r="AH962" s="44"/>
      <c r="AI962" s="45"/>
      <c r="AJ962" s="44"/>
      <c r="AK962" s="43"/>
      <c r="AS962" s="14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  <c r="EW962" s="18"/>
      <c r="EX962" s="18"/>
      <c r="EY962" s="18"/>
      <c r="EZ962" s="18"/>
      <c r="FA962" s="18"/>
      <c r="FB962" s="18"/>
      <c r="FC962" s="18"/>
      <c r="FD962" s="18"/>
      <c r="FE962" s="18"/>
      <c r="FF962" s="18"/>
      <c r="FG962" s="18"/>
      <c r="FH962" s="18"/>
      <c r="FI962" s="18"/>
      <c r="FJ962" s="18"/>
      <c r="FK962" s="18"/>
      <c r="FL962" s="18"/>
      <c r="FM962" s="18"/>
      <c r="FN962" s="18"/>
      <c r="FO962" s="18"/>
      <c r="FP962" s="18"/>
      <c r="FQ962" s="18"/>
      <c r="FR962" s="18"/>
      <c r="FS962" s="18"/>
      <c r="FT962" s="18"/>
      <c r="FU962" s="18"/>
      <c r="FV962" s="18"/>
      <c r="FW962" s="18"/>
      <c r="FX962" s="18"/>
      <c r="FY962" s="18"/>
      <c r="FZ962" s="18"/>
      <c r="GA962" s="18"/>
      <c r="GB962" s="18"/>
      <c r="GC962" s="18"/>
      <c r="GD962" s="18"/>
      <c r="GE962" s="18"/>
      <c r="GF962" s="18"/>
      <c r="GG962" s="18"/>
      <c r="GH962" s="18"/>
      <c r="GI962" s="18"/>
      <c r="GJ962" s="18"/>
      <c r="GK962" s="18"/>
      <c r="GL962" s="18"/>
      <c r="GM962" s="18"/>
      <c r="GN962" s="18"/>
      <c r="GO962" s="18"/>
      <c r="GP962" s="18"/>
      <c r="GQ962" s="18"/>
      <c r="GR962" s="18"/>
      <c r="GS962" s="18"/>
      <c r="GT962" s="18"/>
      <c r="GU962" s="18"/>
      <c r="GV962" s="18"/>
      <c r="GW962" s="18"/>
      <c r="GX962" s="18"/>
      <c r="GY962" s="18"/>
      <c r="GZ962" s="18"/>
      <c r="HA962" s="18"/>
      <c r="HB962" s="18"/>
      <c r="HC962" s="18"/>
      <c r="HD962" s="18"/>
      <c r="HE962" s="18"/>
      <c r="HF962" s="18"/>
      <c r="HG962" s="13"/>
      <c r="HH962" s="13"/>
      <c r="HI962" s="13"/>
      <c r="HJ962" s="13"/>
      <c r="HK962" s="13"/>
      <c r="HL962" s="13"/>
      <c r="HM962" s="13"/>
      <c r="HN962" s="13"/>
      <c r="HO962" s="13"/>
      <c r="HP962" s="13"/>
      <c r="HQ962" s="13"/>
      <c r="HR962" s="13"/>
      <c r="HS962" s="13"/>
      <c r="HT962" s="13"/>
      <c r="HU962" s="18"/>
      <c r="HV962" s="18"/>
      <c r="HW962" s="18"/>
      <c r="HX962" s="18"/>
      <c r="HY962" s="18"/>
      <c r="HZ962" s="18"/>
      <c r="IA962" s="18"/>
      <c r="IB962" s="18"/>
      <c r="IC962" s="18"/>
      <c r="ID962" s="18"/>
      <c r="IE962" s="18"/>
      <c r="IF962" s="18"/>
      <c r="IG962" s="18"/>
      <c r="IH962" s="18"/>
      <c r="II962" s="18"/>
      <c r="IJ962" s="18"/>
      <c r="IK962" s="18"/>
      <c r="IL962" s="18"/>
      <c r="IM962" s="18"/>
      <c r="IN962" s="18"/>
      <c r="IO962" s="18"/>
      <c r="IP962" s="18"/>
      <c r="IQ962" s="18"/>
      <c r="IR962" s="18"/>
      <c r="IS962" s="18"/>
      <c r="IT962" s="18"/>
      <c r="IU962" s="18"/>
      <c r="IV962" s="18"/>
      <c r="IW962" s="18"/>
      <c r="IX962" s="18"/>
      <c r="IY962" s="18"/>
      <c r="IZ962" s="18"/>
      <c r="JA962" s="18"/>
      <c r="JB962" s="18"/>
      <c r="JC962" s="18"/>
      <c r="JD962" s="18"/>
      <c r="JE962" s="18"/>
      <c r="JF962" s="18"/>
      <c r="JG962" s="18"/>
      <c r="JH962" s="18"/>
      <c r="JI962" s="18"/>
      <c r="JJ962" s="18"/>
      <c r="JK962" s="18"/>
      <c r="JL962" s="18"/>
      <c r="JM962" s="18"/>
      <c r="JN962" s="18"/>
      <c r="JO962" s="18"/>
      <c r="JP962" s="18"/>
      <c r="JQ962" s="18"/>
      <c r="JR962" s="18"/>
      <c r="JS962" s="18"/>
      <c r="JT962" s="18"/>
      <c r="JU962" s="18"/>
      <c r="JV962" s="18"/>
      <c r="JW962" s="18"/>
      <c r="JX962" s="18"/>
      <c r="JY962" s="18"/>
      <c r="JZ962" s="18"/>
      <c r="KA962" s="18"/>
      <c r="KB962" s="18"/>
      <c r="KC962" s="18"/>
      <c r="KD962" s="18"/>
      <c r="KE962" s="18"/>
      <c r="KF962" s="18"/>
      <c r="KG962" s="18"/>
      <c r="KH962" s="18"/>
      <c r="KI962" s="18"/>
      <c r="KJ962" s="18"/>
      <c r="KK962" s="18"/>
      <c r="KL962" s="18"/>
      <c r="KM962" s="18"/>
      <c r="KN962" s="18"/>
      <c r="KO962" s="18"/>
      <c r="KP962" s="18"/>
    </row>
    <row r="963" spans="1:302">
      <c r="A963" s="14"/>
      <c r="B963" s="14"/>
      <c r="F963" s="14"/>
      <c r="G963" s="23"/>
      <c r="H963" s="23"/>
      <c r="I963" s="23"/>
      <c r="J963" s="23"/>
      <c r="K963" s="14"/>
      <c r="L963" s="14"/>
      <c r="P963" s="14"/>
      <c r="AG963" s="44"/>
      <c r="AH963" s="44"/>
      <c r="AI963" s="45"/>
      <c r="AJ963" s="44"/>
      <c r="AK963" s="43"/>
      <c r="AS963" s="14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  <c r="EW963" s="18"/>
      <c r="EX963" s="18"/>
      <c r="EY963" s="18"/>
      <c r="EZ963" s="18"/>
      <c r="FA963" s="18"/>
      <c r="FB963" s="18"/>
      <c r="FC963" s="18"/>
      <c r="FD963" s="18"/>
      <c r="FE963" s="18"/>
      <c r="FF963" s="18"/>
      <c r="FG963" s="18"/>
      <c r="FH963" s="18"/>
      <c r="FI963" s="18"/>
      <c r="FJ963" s="18"/>
      <c r="FK963" s="18"/>
      <c r="FL963" s="18"/>
      <c r="FM963" s="18"/>
      <c r="FN963" s="18"/>
      <c r="FO963" s="18"/>
      <c r="FP963" s="18"/>
      <c r="FQ963" s="18"/>
      <c r="FR963" s="18"/>
      <c r="FS963" s="18"/>
      <c r="FT963" s="18"/>
      <c r="FU963" s="18"/>
      <c r="FV963" s="18"/>
      <c r="FW963" s="18"/>
      <c r="FX963" s="18"/>
      <c r="FY963" s="18"/>
      <c r="FZ963" s="18"/>
      <c r="GA963" s="18"/>
      <c r="GB963" s="18"/>
      <c r="GC963" s="18"/>
      <c r="GD963" s="18"/>
      <c r="GE963" s="18"/>
      <c r="GF963" s="18"/>
      <c r="GG963" s="18"/>
      <c r="GH963" s="18"/>
      <c r="GI963" s="18"/>
      <c r="GJ963" s="18"/>
      <c r="GK963" s="18"/>
      <c r="GL963" s="18"/>
      <c r="GM963" s="18"/>
      <c r="GN963" s="18"/>
      <c r="GO963" s="18"/>
      <c r="GP963" s="18"/>
      <c r="GQ963" s="18"/>
      <c r="GR963" s="18"/>
      <c r="GS963" s="18"/>
      <c r="GT963" s="18"/>
      <c r="GU963" s="18"/>
      <c r="GV963" s="18"/>
      <c r="GW963" s="18"/>
      <c r="GX963" s="18"/>
      <c r="GY963" s="18"/>
      <c r="GZ963" s="18"/>
      <c r="HA963" s="18"/>
      <c r="HB963" s="18"/>
      <c r="HC963" s="18"/>
      <c r="HD963" s="18"/>
      <c r="HE963" s="18"/>
      <c r="HF963" s="18"/>
      <c r="HG963" s="13"/>
      <c r="HH963" s="13"/>
      <c r="HI963" s="13"/>
      <c r="HJ963" s="13"/>
      <c r="HK963" s="13"/>
      <c r="HL963" s="13"/>
      <c r="HM963" s="13"/>
      <c r="HN963" s="13"/>
      <c r="HO963" s="13"/>
      <c r="HP963" s="13"/>
      <c r="HQ963" s="13"/>
      <c r="HR963" s="13"/>
      <c r="HS963" s="13"/>
      <c r="HT963" s="13"/>
      <c r="HU963" s="18"/>
      <c r="HV963" s="18"/>
      <c r="HW963" s="18"/>
      <c r="HX963" s="18"/>
      <c r="HY963" s="18"/>
      <c r="HZ963" s="18"/>
      <c r="IA963" s="18"/>
      <c r="IB963" s="18"/>
      <c r="IC963" s="18"/>
      <c r="ID963" s="18"/>
      <c r="IE963" s="18"/>
      <c r="IF963" s="18"/>
      <c r="IG963" s="18"/>
      <c r="IH963" s="18"/>
      <c r="II963" s="18"/>
      <c r="IJ963" s="18"/>
      <c r="IK963" s="18"/>
      <c r="IL963" s="18"/>
      <c r="IM963" s="18"/>
      <c r="IN963" s="18"/>
      <c r="IO963" s="18"/>
      <c r="IP963" s="18"/>
      <c r="IQ963" s="18"/>
      <c r="IR963" s="18"/>
      <c r="IS963" s="18"/>
      <c r="IT963" s="18"/>
      <c r="IU963" s="18"/>
      <c r="IV963" s="18"/>
      <c r="IW963" s="18"/>
      <c r="IX963" s="18"/>
      <c r="IY963" s="18"/>
      <c r="IZ963" s="18"/>
      <c r="JA963" s="18"/>
      <c r="JB963" s="18"/>
      <c r="JC963" s="18"/>
      <c r="JD963" s="18"/>
      <c r="JE963" s="18"/>
      <c r="JF963" s="18"/>
      <c r="JG963" s="18"/>
      <c r="JH963" s="18"/>
      <c r="JI963" s="18"/>
      <c r="JJ963" s="18"/>
      <c r="JK963" s="18"/>
      <c r="JL963" s="18"/>
      <c r="JM963" s="18"/>
      <c r="JN963" s="18"/>
      <c r="JO963" s="18"/>
      <c r="JP963" s="18"/>
      <c r="JQ963" s="18"/>
      <c r="JR963" s="18"/>
      <c r="JS963" s="18"/>
      <c r="JT963" s="18"/>
      <c r="JU963" s="18"/>
      <c r="JV963" s="18"/>
      <c r="JW963" s="18"/>
      <c r="JX963" s="18"/>
      <c r="JY963" s="18"/>
      <c r="JZ963" s="18"/>
      <c r="KA963" s="18"/>
      <c r="KB963" s="18"/>
      <c r="KC963" s="18"/>
      <c r="KD963" s="18"/>
      <c r="KE963" s="18"/>
      <c r="KF963" s="18"/>
      <c r="KG963" s="18"/>
      <c r="KH963" s="18"/>
      <c r="KI963" s="18"/>
      <c r="KJ963" s="18"/>
      <c r="KK963" s="18"/>
      <c r="KL963" s="18"/>
      <c r="KM963" s="18"/>
      <c r="KN963" s="18"/>
      <c r="KO963" s="18"/>
      <c r="KP963" s="18"/>
    </row>
    <row r="964" spans="1:302">
      <c r="A964" s="14"/>
      <c r="B964" s="14"/>
      <c r="F964" s="14"/>
      <c r="G964" s="23"/>
      <c r="H964" s="23"/>
      <c r="I964" s="23"/>
      <c r="J964" s="23"/>
      <c r="K964" s="14"/>
      <c r="L964" s="14"/>
      <c r="P964" s="14"/>
      <c r="AG964" s="44"/>
      <c r="AH964" s="44"/>
      <c r="AI964" s="45"/>
      <c r="AJ964" s="44"/>
      <c r="AK964" s="43"/>
      <c r="AS964" s="14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  <c r="EW964" s="18"/>
      <c r="EX964" s="18"/>
      <c r="EY964" s="18"/>
      <c r="EZ964" s="18"/>
      <c r="FA964" s="18"/>
      <c r="FB964" s="18"/>
      <c r="FC964" s="18"/>
      <c r="FD964" s="18"/>
      <c r="FE964" s="18"/>
      <c r="FF964" s="18"/>
      <c r="FG964" s="18"/>
      <c r="FH964" s="18"/>
      <c r="FI964" s="18"/>
      <c r="FJ964" s="18"/>
      <c r="FK964" s="18"/>
      <c r="FL964" s="18"/>
      <c r="FM964" s="18"/>
      <c r="FN964" s="18"/>
      <c r="FO964" s="18"/>
      <c r="FP964" s="18"/>
      <c r="FQ964" s="18"/>
      <c r="FR964" s="18"/>
      <c r="FS964" s="18"/>
      <c r="FT964" s="18"/>
      <c r="FU964" s="18"/>
      <c r="FV964" s="18"/>
      <c r="FW964" s="18"/>
      <c r="FX964" s="18"/>
      <c r="FY964" s="18"/>
      <c r="FZ964" s="18"/>
      <c r="GA964" s="18"/>
      <c r="GB964" s="18"/>
      <c r="GC964" s="18"/>
      <c r="GD964" s="18"/>
      <c r="GE964" s="18"/>
      <c r="GF964" s="18"/>
      <c r="GG964" s="18"/>
      <c r="GH964" s="18"/>
      <c r="GI964" s="18"/>
      <c r="GJ964" s="18"/>
      <c r="GK964" s="18"/>
      <c r="GL964" s="18"/>
      <c r="GM964" s="18"/>
      <c r="GN964" s="18"/>
      <c r="GO964" s="18"/>
      <c r="GP964" s="18"/>
      <c r="GQ964" s="18"/>
      <c r="GR964" s="18"/>
      <c r="GS964" s="18"/>
      <c r="GT964" s="18"/>
      <c r="GU964" s="18"/>
      <c r="GV964" s="18"/>
      <c r="GW964" s="18"/>
      <c r="GX964" s="18"/>
      <c r="GY964" s="18"/>
      <c r="GZ964" s="18"/>
      <c r="HA964" s="18"/>
      <c r="HB964" s="18"/>
      <c r="HC964" s="18"/>
      <c r="HD964" s="18"/>
      <c r="HE964" s="18"/>
      <c r="HF964" s="18"/>
      <c r="HG964" s="13"/>
      <c r="HH964" s="13"/>
      <c r="HI964" s="13"/>
      <c r="HJ964" s="13"/>
      <c r="HK964" s="13"/>
      <c r="HL964" s="13"/>
      <c r="HM964" s="13"/>
      <c r="HN964" s="13"/>
      <c r="HO964" s="13"/>
      <c r="HP964" s="13"/>
      <c r="HQ964" s="13"/>
      <c r="HR964" s="13"/>
      <c r="HS964" s="13"/>
      <c r="HT964" s="13"/>
      <c r="HU964" s="18"/>
      <c r="HV964" s="18"/>
      <c r="HW964" s="18"/>
      <c r="HX964" s="18"/>
      <c r="HY964" s="18"/>
      <c r="HZ964" s="18"/>
      <c r="IA964" s="18"/>
      <c r="IB964" s="18"/>
      <c r="IC964" s="18"/>
      <c r="ID964" s="18"/>
      <c r="IE964" s="18"/>
      <c r="IF964" s="18"/>
      <c r="IG964" s="18"/>
      <c r="IH964" s="18"/>
      <c r="II964" s="18"/>
      <c r="IJ964" s="18"/>
      <c r="IK964" s="18"/>
      <c r="IL964" s="18"/>
      <c r="IM964" s="18"/>
      <c r="IN964" s="18"/>
      <c r="IO964" s="18"/>
      <c r="IP964" s="18"/>
      <c r="IQ964" s="18"/>
      <c r="IR964" s="18"/>
      <c r="IS964" s="18"/>
      <c r="IT964" s="18"/>
      <c r="IU964" s="18"/>
      <c r="IV964" s="18"/>
      <c r="IW964" s="18"/>
      <c r="IX964" s="18"/>
      <c r="IY964" s="18"/>
      <c r="IZ964" s="18"/>
      <c r="JA964" s="18"/>
      <c r="JB964" s="18"/>
      <c r="JC964" s="18"/>
      <c r="JD964" s="18"/>
      <c r="JE964" s="18"/>
      <c r="JF964" s="18"/>
      <c r="JG964" s="18"/>
      <c r="JH964" s="18"/>
      <c r="JI964" s="18"/>
      <c r="JJ964" s="18"/>
      <c r="JK964" s="18"/>
      <c r="JL964" s="18"/>
      <c r="JM964" s="18"/>
      <c r="JN964" s="18"/>
      <c r="JO964" s="18"/>
      <c r="JP964" s="18"/>
      <c r="JQ964" s="18"/>
      <c r="JR964" s="18"/>
      <c r="JS964" s="18"/>
      <c r="JT964" s="18"/>
      <c r="JU964" s="18"/>
      <c r="JV964" s="18"/>
      <c r="JW964" s="18"/>
      <c r="JX964" s="18"/>
      <c r="JY964" s="18"/>
      <c r="JZ964" s="18"/>
      <c r="KA964" s="18"/>
      <c r="KB964" s="18"/>
      <c r="KC964" s="18"/>
      <c r="KD964" s="18"/>
      <c r="KE964" s="18"/>
      <c r="KF964" s="18"/>
      <c r="KG964" s="18"/>
      <c r="KH964" s="18"/>
      <c r="KI964" s="18"/>
      <c r="KJ964" s="18"/>
      <c r="KK964" s="18"/>
      <c r="KL964" s="18"/>
      <c r="KM964" s="18"/>
      <c r="KN964" s="18"/>
      <c r="KO964" s="18"/>
      <c r="KP964" s="18"/>
    </row>
    <row r="965" spans="1:302">
      <c r="A965" s="14"/>
      <c r="B965" s="14"/>
      <c r="F965" s="14"/>
      <c r="G965" s="23"/>
      <c r="H965" s="23"/>
      <c r="I965" s="23"/>
      <c r="J965" s="23"/>
      <c r="K965" s="14"/>
      <c r="L965" s="14"/>
      <c r="P965" s="14"/>
      <c r="AG965" s="44"/>
      <c r="AH965" s="44"/>
      <c r="AI965" s="45"/>
      <c r="AJ965" s="44"/>
      <c r="AK965" s="43"/>
      <c r="AS965" s="14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  <c r="EW965" s="18"/>
      <c r="EX965" s="18"/>
      <c r="EY965" s="18"/>
      <c r="EZ965" s="18"/>
      <c r="FA965" s="18"/>
      <c r="FB965" s="18"/>
      <c r="FC965" s="18"/>
      <c r="FD965" s="18"/>
      <c r="FE965" s="18"/>
      <c r="FF965" s="18"/>
      <c r="FG965" s="18"/>
      <c r="FH965" s="18"/>
      <c r="FI965" s="18"/>
      <c r="FJ965" s="18"/>
      <c r="FK965" s="18"/>
      <c r="FL965" s="18"/>
      <c r="FM965" s="18"/>
      <c r="FN965" s="18"/>
      <c r="FO965" s="18"/>
      <c r="FP965" s="18"/>
      <c r="FQ965" s="18"/>
      <c r="FR965" s="18"/>
      <c r="FS965" s="18"/>
      <c r="FT965" s="18"/>
      <c r="FU965" s="18"/>
      <c r="FV965" s="18"/>
      <c r="FW965" s="18"/>
      <c r="FX965" s="18"/>
      <c r="FY965" s="18"/>
      <c r="FZ965" s="18"/>
      <c r="GA965" s="18"/>
      <c r="GB965" s="18"/>
      <c r="GC965" s="18"/>
      <c r="GD965" s="18"/>
      <c r="GE965" s="18"/>
      <c r="GF965" s="18"/>
      <c r="GG965" s="18"/>
      <c r="GH965" s="18"/>
      <c r="GI965" s="18"/>
      <c r="GJ965" s="18"/>
      <c r="GK965" s="18"/>
      <c r="GL965" s="18"/>
      <c r="GM965" s="18"/>
      <c r="GN965" s="18"/>
      <c r="GO965" s="18"/>
      <c r="GP965" s="18"/>
      <c r="GQ965" s="18"/>
      <c r="GR965" s="18"/>
      <c r="GS965" s="18"/>
      <c r="GT965" s="18"/>
      <c r="GU965" s="18"/>
      <c r="GV965" s="18"/>
      <c r="GW965" s="18"/>
      <c r="GX965" s="18"/>
      <c r="GY965" s="18"/>
      <c r="GZ965" s="18"/>
      <c r="HA965" s="18"/>
      <c r="HB965" s="18"/>
      <c r="HC965" s="18"/>
      <c r="HD965" s="18"/>
      <c r="HE965" s="18"/>
      <c r="HF965" s="18"/>
      <c r="HG965" s="13"/>
      <c r="HH965" s="13"/>
      <c r="HI965" s="13"/>
      <c r="HJ965" s="13"/>
      <c r="HK965" s="13"/>
      <c r="HL965" s="13"/>
      <c r="HM965" s="13"/>
      <c r="HN965" s="13"/>
      <c r="HO965" s="13"/>
      <c r="HP965" s="13"/>
      <c r="HQ965" s="13"/>
      <c r="HR965" s="13"/>
      <c r="HS965" s="13"/>
      <c r="HT965" s="13"/>
      <c r="HU965" s="18"/>
      <c r="HV965" s="18"/>
      <c r="HW965" s="18"/>
      <c r="HX965" s="18"/>
      <c r="HY965" s="18"/>
      <c r="HZ965" s="18"/>
      <c r="IA965" s="18"/>
      <c r="IB965" s="18"/>
      <c r="IC965" s="18"/>
      <c r="ID965" s="18"/>
      <c r="IE965" s="18"/>
      <c r="IF965" s="18"/>
      <c r="IG965" s="18"/>
      <c r="IH965" s="18"/>
      <c r="II965" s="18"/>
      <c r="IJ965" s="18"/>
      <c r="IK965" s="18"/>
      <c r="IL965" s="18"/>
      <c r="IM965" s="18"/>
      <c r="IN965" s="18"/>
      <c r="IO965" s="18"/>
      <c r="IP965" s="18"/>
      <c r="IQ965" s="18"/>
      <c r="IR965" s="18"/>
      <c r="IS965" s="18"/>
      <c r="IT965" s="18"/>
      <c r="IU965" s="18"/>
      <c r="IV965" s="18"/>
      <c r="IW965" s="18"/>
      <c r="IX965" s="18"/>
      <c r="IY965" s="18"/>
      <c r="IZ965" s="18"/>
      <c r="JA965" s="18"/>
      <c r="JB965" s="18"/>
      <c r="JC965" s="18"/>
      <c r="JD965" s="18"/>
      <c r="JE965" s="18"/>
      <c r="JF965" s="18"/>
      <c r="JG965" s="18"/>
      <c r="JH965" s="18"/>
      <c r="JI965" s="18"/>
      <c r="JJ965" s="18"/>
      <c r="JK965" s="18"/>
      <c r="JL965" s="18"/>
      <c r="JM965" s="18"/>
      <c r="JN965" s="18"/>
      <c r="JO965" s="18"/>
      <c r="JP965" s="18"/>
      <c r="JQ965" s="18"/>
      <c r="JR965" s="18"/>
      <c r="JS965" s="18"/>
      <c r="JT965" s="18"/>
      <c r="JU965" s="18"/>
      <c r="JV965" s="18"/>
      <c r="JW965" s="18"/>
      <c r="JX965" s="18"/>
      <c r="JY965" s="18"/>
      <c r="JZ965" s="18"/>
      <c r="KA965" s="18"/>
      <c r="KB965" s="18"/>
      <c r="KC965" s="18"/>
      <c r="KD965" s="18"/>
      <c r="KE965" s="18"/>
      <c r="KF965" s="18"/>
      <c r="KG965" s="18"/>
      <c r="KH965" s="18"/>
      <c r="KI965" s="18"/>
      <c r="KJ965" s="18"/>
      <c r="KK965" s="18"/>
      <c r="KL965" s="18"/>
      <c r="KM965" s="18"/>
      <c r="KN965" s="18"/>
      <c r="KO965" s="18"/>
      <c r="KP965" s="18"/>
    </row>
    <row r="966" spans="1:302">
      <c r="A966" s="14"/>
      <c r="B966" s="14"/>
      <c r="F966" s="14"/>
      <c r="G966" s="23"/>
      <c r="H966" s="23"/>
      <c r="I966" s="23"/>
      <c r="J966" s="23"/>
      <c r="K966" s="14"/>
      <c r="L966" s="14"/>
      <c r="P966" s="14"/>
      <c r="AG966" s="44"/>
      <c r="AH966" s="44"/>
      <c r="AI966" s="45"/>
      <c r="AJ966" s="44"/>
      <c r="AK966" s="43"/>
      <c r="AS966" s="14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  <c r="EW966" s="18"/>
      <c r="EX966" s="18"/>
      <c r="EY966" s="18"/>
      <c r="EZ966" s="18"/>
      <c r="FA966" s="18"/>
      <c r="FB966" s="18"/>
      <c r="FC966" s="18"/>
      <c r="FD966" s="18"/>
      <c r="FE966" s="18"/>
      <c r="FF966" s="18"/>
      <c r="FG966" s="18"/>
      <c r="FH966" s="18"/>
      <c r="FI966" s="18"/>
      <c r="FJ966" s="18"/>
      <c r="FK966" s="18"/>
      <c r="FL966" s="18"/>
      <c r="FM966" s="18"/>
      <c r="FN966" s="18"/>
      <c r="FO966" s="18"/>
      <c r="FP966" s="18"/>
      <c r="FQ966" s="18"/>
      <c r="FR966" s="18"/>
      <c r="FS966" s="18"/>
      <c r="FT966" s="18"/>
      <c r="FU966" s="18"/>
      <c r="FV966" s="18"/>
      <c r="FW966" s="18"/>
      <c r="FX966" s="18"/>
      <c r="FY966" s="18"/>
      <c r="FZ966" s="18"/>
      <c r="GA966" s="18"/>
      <c r="GB966" s="18"/>
      <c r="GC966" s="18"/>
      <c r="GD966" s="18"/>
      <c r="GE966" s="18"/>
      <c r="GF966" s="18"/>
      <c r="GG966" s="18"/>
      <c r="GH966" s="18"/>
      <c r="GI966" s="18"/>
      <c r="GJ966" s="18"/>
      <c r="GK966" s="18"/>
      <c r="GL966" s="18"/>
      <c r="GM966" s="18"/>
      <c r="GN966" s="18"/>
      <c r="GO966" s="18"/>
      <c r="GP966" s="18"/>
      <c r="GQ966" s="18"/>
      <c r="GR966" s="18"/>
      <c r="GS966" s="18"/>
      <c r="GT966" s="18"/>
      <c r="GU966" s="18"/>
      <c r="GV966" s="18"/>
      <c r="GW966" s="18"/>
      <c r="GX966" s="18"/>
      <c r="GY966" s="18"/>
      <c r="GZ966" s="18"/>
      <c r="HA966" s="18"/>
      <c r="HB966" s="18"/>
      <c r="HC966" s="18"/>
      <c r="HD966" s="18"/>
      <c r="HE966" s="18"/>
      <c r="HF966" s="18"/>
      <c r="HG966" s="13"/>
      <c r="HH966" s="13"/>
      <c r="HI966" s="13"/>
      <c r="HJ966" s="13"/>
      <c r="HK966" s="13"/>
      <c r="HL966" s="13"/>
      <c r="HM966" s="13"/>
      <c r="HN966" s="13"/>
      <c r="HO966" s="13"/>
      <c r="HP966" s="13"/>
      <c r="HQ966" s="13"/>
      <c r="HR966" s="13"/>
      <c r="HS966" s="13"/>
      <c r="HT966" s="13"/>
      <c r="HU966" s="18"/>
      <c r="HV966" s="18"/>
      <c r="HW966" s="18"/>
      <c r="HX966" s="18"/>
      <c r="HY966" s="18"/>
      <c r="HZ966" s="18"/>
      <c r="IA966" s="18"/>
      <c r="IB966" s="18"/>
      <c r="IC966" s="18"/>
      <c r="ID966" s="18"/>
      <c r="IE966" s="18"/>
      <c r="IF966" s="18"/>
      <c r="IG966" s="18"/>
      <c r="IH966" s="18"/>
      <c r="II966" s="18"/>
      <c r="IJ966" s="18"/>
      <c r="IK966" s="18"/>
      <c r="IL966" s="18"/>
      <c r="IM966" s="18"/>
      <c r="IN966" s="18"/>
      <c r="IO966" s="18"/>
      <c r="IP966" s="18"/>
      <c r="IQ966" s="18"/>
      <c r="IR966" s="18"/>
      <c r="IS966" s="18"/>
      <c r="IT966" s="18"/>
      <c r="IU966" s="18"/>
      <c r="IV966" s="18"/>
      <c r="IW966" s="18"/>
      <c r="IX966" s="18"/>
      <c r="IY966" s="18"/>
      <c r="IZ966" s="18"/>
      <c r="JA966" s="18"/>
      <c r="JB966" s="18"/>
      <c r="JC966" s="18"/>
      <c r="JD966" s="18"/>
      <c r="JE966" s="18"/>
      <c r="JF966" s="18"/>
      <c r="JG966" s="18"/>
      <c r="JH966" s="18"/>
      <c r="JI966" s="18"/>
      <c r="JJ966" s="18"/>
      <c r="JK966" s="18"/>
      <c r="JL966" s="18"/>
      <c r="JM966" s="18"/>
      <c r="JN966" s="18"/>
      <c r="JO966" s="18"/>
      <c r="JP966" s="18"/>
      <c r="JQ966" s="18"/>
      <c r="JR966" s="18"/>
      <c r="JS966" s="18"/>
      <c r="JT966" s="18"/>
      <c r="JU966" s="18"/>
      <c r="JV966" s="18"/>
      <c r="JW966" s="18"/>
      <c r="JX966" s="18"/>
      <c r="JY966" s="18"/>
      <c r="JZ966" s="18"/>
      <c r="KA966" s="18"/>
      <c r="KB966" s="18"/>
      <c r="KC966" s="18"/>
      <c r="KD966" s="18"/>
      <c r="KE966" s="18"/>
      <c r="KF966" s="18"/>
      <c r="KG966" s="18"/>
      <c r="KH966" s="18"/>
      <c r="KI966" s="18"/>
      <c r="KJ966" s="18"/>
      <c r="KK966" s="18"/>
      <c r="KL966" s="18"/>
      <c r="KM966" s="18"/>
      <c r="KN966" s="18"/>
      <c r="KO966" s="18"/>
      <c r="KP966" s="18"/>
    </row>
    <row r="967" spans="1:302">
      <c r="A967" s="14"/>
      <c r="B967" s="14"/>
      <c r="F967" s="14"/>
      <c r="G967" s="23"/>
      <c r="H967" s="23"/>
      <c r="I967" s="23"/>
      <c r="J967" s="23"/>
      <c r="K967" s="14"/>
      <c r="L967" s="14"/>
      <c r="P967" s="14"/>
      <c r="AG967" s="44"/>
      <c r="AH967" s="44"/>
      <c r="AI967" s="45"/>
      <c r="AJ967" s="44"/>
      <c r="AK967" s="43"/>
      <c r="AS967" s="14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  <c r="EW967" s="18"/>
      <c r="EX967" s="18"/>
      <c r="EY967" s="18"/>
      <c r="EZ967" s="18"/>
      <c r="FA967" s="18"/>
      <c r="FB967" s="18"/>
      <c r="FC967" s="18"/>
      <c r="FD967" s="18"/>
      <c r="FE967" s="18"/>
      <c r="FF967" s="18"/>
      <c r="FG967" s="18"/>
      <c r="FH967" s="18"/>
      <c r="FI967" s="18"/>
      <c r="FJ967" s="18"/>
      <c r="FK967" s="18"/>
      <c r="FL967" s="18"/>
      <c r="FM967" s="18"/>
      <c r="FN967" s="18"/>
      <c r="FO967" s="18"/>
      <c r="FP967" s="18"/>
      <c r="FQ967" s="18"/>
      <c r="FR967" s="18"/>
      <c r="FS967" s="18"/>
      <c r="FT967" s="18"/>
      <c r="FU967" s="18"/>
      <c r="FV967" s="18"/>
      <c r="FW967" s="18"/>
      <c r="FX967" s="18"/>
      <c r="FY967" s="18"/>
      <c r="FZ967" s="18"/>
      <c r="GA967" s="18"/>
      <c r="GB967" s="18"/>
      <c r="GC967" s="18"/>
      <c r="GD967" s="18"/>
      <c r="GE967" s="18"/>
      <c r="GF967" s="18"/>
      <c r="GG967" s="18"/>
      <c r="GH967" s="18"/>
      <c r="GI967" s="18"/>
      <c r="GJ967" s="18"/>
      <c r="GK967" s="18"/>
      <c r="GL967" s="18"/>
      <c r="GM967" s="18"/>
      <c r="GN967" s="18"/>
      <c r="GO967" s="18"/>
      <c r="GP967" s="18"/>
      <c r="GQ967" s="18"/>
      <c r="GR967" s="18"/>
      <c r="GS967" s="18"/>
      <c r="GT967" s="18"/>
      <c r="GU967" s="18"/>
      <c r="GV967" s="18"/>
      <c r="GW967" s="18"/>
      <c r="GX967" s="18"/>
      <c r="GY967" s="18"/>
      <c r="GZ967" s="18"/>
      <c r="HA967" s="18"/>
      <c r="HB967" s="18"/>
      <c r="HC967" s="18"/>
      <c r="HD967" s="18"/>
      <c r="HE967" s="18"/>
      <c r="HF967" s="18"/>
      <c r="HG967" s="13"/>
      <c r="HH967" s="13"/>
      <c r="HI967" s="13"/>
      <c r="HJ967" s="13"/>
      <c r="HK967" s="13"/>
      <c r="HL967" s="13"/>
      <c r="HM967" s="13"/>
      <c r="HN967" s="13"/>
      <c r="HO967" s="13"/>
      <c r="HP967" s="13"/>
      <c r="HQ967" s="13"/>
      <c r="HR967" s="13"/>
      <c r="HS967" s="13"/>
      <c r="HT967" s="13"/>
      <c r="HU967" s="18"/>
      <c r="HV967" s="18"/>
      <c r="HW967" s="18"/>
      <c r="HX967" s="18"/>
      <c r="HY967" s="18"/>
      <c r="HZ967" s="18"/>
      <c r="IA967" s="18"/>
      <c r="IB967" s="18"/>
      <c r="IC967" s="18"/>
      <c r="ID967" s="18"/>
      <c r="IE967" s="18"/>
      <c r="IF967" s="18"/>
      <c r="IG967" s="18"/>
      <c r="IH967" s="18"/>
      <c r="II967" s="18"/>
      <c r="IJ967" s="18"/>
      <c r="IK967" s="18"/>
      <c r="IL967" s="18"/>
      <c r="IM967" s="18"/>
      <c r="IN967" s="18"/>
      <c r="IO967" s="18"/>
      <c r="IP967" s="18"/>
      <c r="IQ967" s="18"/>
      <c r="IR967" s="18"/>
      <c r="IS967" s="18"/>
      <c r="IT967" s="18"/>
      <c r="IU967" s="18"/>
      <c r="IV967" s="18"/>
      <c r="IW967" s="18"/>
      <c r="IX967" s="18"/>
      <c r="IY967" s="18"/>
      <c r="IZ967" s="18"/>
      <c r="JA967" s="18"/>
      <c r="JB967" s="18"/>
      <c r="JC967" s="18"/>
      <c r="JD967" s="18"/>
      <c r="JE967" s="18"/>
      <c r="JF967" s="18"/>
      <c r="JG967" s="18"/>
      <c r="JH967" s="18"/>
      <c r="JI967" s="18"/>
      <c r="JJ967" s="18"/>
      <c r="JK967" s="18"/>
      <c r="JL967" s="18"/>
      <c r="JM967" s="18"/>
      <c r="JN967" s="18"/>
      <c r="JO967" s="18"/>
      <c r="JP967" s="18"/>
      <c r="JQ967" s="18"/>
      <c r="JR967" s="18"/>
      <c r="JS967" s="18"/>
      <c r="JT967" s="18"/>
      <c r="JU967" s="18"/>
      <c r="JV967" s="18"/>
      <c r="JW967" s="18"/>
      <c r="JX967" s="18"/>
      <c r="JY967" s="18"/>
      <c r="JZ967" s="18"/>
      <c r="KA967" s="18"/>
      <c r="KB967" s="18"/>
      <c r="KC967" s="18"/>
      <c r="KD967" s="18"/>
      <c r="KE967" s="18"/>
      <c r="KF967" s="18"/>
      <c r="KG967" s="18"/>
      <c r="KH967" s="18"/>
      <c r="KI967" s="18"/>
      <c r="KJ967" s="18"/>
      <c r="KK967" s="18"/>
      <c r="KL967" s="18"/>
      <c r="KM967" s="18"/>
      <c r="KN967" s="18"/>
      <c r="KO967" s="18"/>
      <c r="KP967" s="18"/>
    </row>
    <row r="968" spans="1:302">
      <c r="A968" s="14"/>
      <c r="B968" s="14"/>
      <c r="F968" s="14"/>
      <c r="G968" s="23"/>
      <c r="H968" s="23"/>
      <c r="I968" s="23"/>
      <c r="J968" s="23"/>
      <c r="K968" s="14"/>
      <c r="L968" s="14"/>
      <c r="P968" s="14"/>
      <c r="AG968" s="44"/>
      <c r="AH968" s="44"/>
      <c r="AI968" s="45"/>
      <c r="AJ968" s="44"/>
      <c r="AK968" s="43"/>
      <c r="AS968" s="14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  <c r="EW968" s="18"/>
      <c r="EX968" s="18"/>
      <c r="EY968" s="18"/>
      <c r="EZ968" s="18"/>
      <c r="FA968" s="18"/>
      <c r="FB968" s="18"/>
      <c r="FC968" s="18"/>
      <c r="FD968" s="18"/>
      <c r="FE968" s="18"/>
      <c r="FF968" s="18"/>
      <c r="FG968" s="18"/>
      <c r="FH968" s="18"/>
      <c r="FI968" s="18"/>
      <c r="FJ968" s="18"/>
      <c r="FK968" s="18"/>
      <c r="FL968" s="18"/>
      <c r="FM968" s="18"/>
      <c r="FN968" s="18"/>
      <c r="FO968" s="18"/>
      <c r="FP968" s="18"/>
      <c r="FQ968" s="18"/>
      <c r="FR968" s="18"/>
      <c r="FS968" s="18"/>
      <c r="FT968" s="18"/>
      <c r="FU968" s="18"/>
      <c r="FV968" s="18"/>
      <c r="FW968" s="18"/>
      <c r="FX968" s="18"/>
      <c r="FY968" s="18"/>
      <c r="FZ968" s="18"/>
      <c r="GA968" s="18"/>
      <c r="GB968" s="18"/>
      <c r="GC968" s="18"/>
      <c r="GD968" s="18"/>
      <c r="GE968" s="18"/>
      <c r="GF968" s="18"/>
      <c r="GG968" s="18"/>
      <c r="GH968" s="18"/>
      <c r="GI968" s="18"/>
      <c r="GJ968" s="18"/>
      <c r="GK968" s="18"/>
      <c r="GL968" s="18"/>
      <c r="GM968" s="18"/>
      <c r="GN968" s="18"/>
      <c r="GO968" s="18"/>
      <c r="GP968" s="18"/>
      <c r="GQ968" s="18"/>
      <c r="GR968" s="18"/>
      <c r="GS968" s="18"/>
      <c r="GT968" s="18"/>
      <c r="GU968" s="18"/>
      <c r="GV968" s="18"/>
      <c r="GW968" s="18"/>
      <c r="GX968" s="18"/>
      <c r="GY968" s="18"/>
      <c r="GZ968" s="18"/>
      <c r="HA968" s="18"/>
      <c r="HB968" s="18"/>
      <c r="HC968" s="18"/>
      <c r="HD968" s="18"/>
      <c r="HE968" s="18"/>
      <c r="HF968" s="18"/>
      <c r="HG968" s="13"/>
      <c r="HH968" s="13"/>
      <c r="HI968" s="13"/>
      <c r="HJ968" s="13"/>
      <c r="HK968" s="13"/>
      <c r="HL968" s="13"/>
      <c r="HM968" s="13"/>
      <c r="HN968" s="13"/>
      <c r="HO968" s="13"/>
      <c r="HP968" s="13"/>
      <c r="HQ968" s="13"/>
      <c r="HR968" s="13"/>
      <c r="HS968" s="13"/>
      <c r="HT968" s="13"/>
      <c r="HU968" s="18"/>
      <c r="HV968" s="18"/>
      <c r="HW968" s="18"/>
      <c r="HX968" s="18"/>
      <c r="HY968" s="18"/>
      <c r="HZ968" s="18"/>
      <c r="IA968" s="18"/>
      <c r="IB968" s="18"/>
      <c r="IC968" s="18"/>
      <c r="ID968" s="18"/>
      <c r="IE968" s="18"/>
      <c r="IF968" s="18"/>
      <c r="IG968" s="18"/>
      <c r="IH968" s="18"/>
      <c r="II968" s="18"/>
      <c r="IJ968" s="18"/>
      <c r="IK968" s="18"/>
      <c r="IL968" s="18"/>
      <c r="IM968" s="18"/>
      <c r="IN968" s="18"/>
      <c r="IO968" s="18"/>
      <c r="IP968" s="18"/>
      <c r="IQ968" s="18"/>
      <c r="IR968" s="18"/>
      <c r="IS968" s="18"/>
      <c r="IT968" s="18"/>
      <c r="IU968" s="18"/>
      <c r="IV968" s="18"/>
      <c r="IW968" s="18"/>
      <c r="IX968" s="18"/>
      <c r="IY968" s="18"/>
      <c r="IZ968" s="18"/>
      <c r="JA968" s="18"/>
      <c r="JB968" s="18"/>
      <c r="JC968" s="18"/>
      <c r="JD968" s="18"/>
      <c r="JE968" s="18"/>
      <c r="JF968" s="18"/>
      <c r="JG968" s="18"/>
      <c r="JH968" s="18"/>
      <c r="JI968" s="18"/>
      <c r="JJ968" s="18"/>
      <c r="JK968" s="18"/>
      <c r="JL968" s="18"/>
      <c r="JM968" s="18"/>
      <c r="JN968" s="18"/>
      <c r="JO968" s="18"/>
      <c r="JP968" s="18"/>
      <c r="JQ968" s="18"/>
      <c r="JR968" s="18"/>
      <c r="JS968" s="18"/>
      <c r="JT968" s="18"/>
      <c r="JU968" s="18"/>
      <c r="JV968" s="18"/>
      <c r="JW968" s="18"/>
      <c r="JX968" s="18"/>
      <c r="JY968" s="18"/>
      <c r="JZ968" s="18"/>
      <c r="KA968" s="18"/>
      <c r="KB968" s="18"/>
      <c r="KC968" s="18"/>
      <c r="KD968" s="18"/>
      <c r="KE968" s="18"/>
      <c r="KF968" s="18"/>
      <c r="KG968" s="18"/>
      <c r="KH968" s="18"/>
      <c r="KI968" s="18"/>
      <c r="KJ968" s="18"/>
      <c r="KK968" s="18"/>
      <c r="KL968" s="18"/>
      <c r="KM968" s="18"/>
      <c r="KN968" s="18"/>
      <c r="KO968" s="18"/>
      <c r="KP968" s="18"/>
    </row>
    <row r="969" spans="1:302">
      <c r="A969" s="14"/>
      <c r="B969" s="14"/>
      <c r="F969" s="14"/>
      <c r="G969" s="23"/>
      <c r="H969" s="23"/>
      <c r="I969" s="23"/>
      <c r="J969" s="23"/>
      <c r="K969" s="14"/>
      <c r="L969" s="14"/>
      <c r="P969" s="14"/>
      <c r="AG969" s="44"/>
      <c r="AH969" s="44"/>
      <c r="AI969" s="45"/>
      <c r="AJ969" s="44"/>
      <c r="AK969" s="43"/>
      <c r="AS969" s="14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  <c r="EW969" s="18"/>
      <c r="EX969" s="18"/>
      <c r="EY969" s="18"/>
      <c r="EZ969" s="18"/>
      <c r="FA969" s="18"/>
      <c r="FB969" s="18"/>
      <c r="FC969" s="18"/>
      <c r="FD969" s="18"/>
      <c r="FE969" s="18"/>
      <c r="FF969" s="18"/>
      <c r="FG969" s="18"/>
      <c r="FH969" s="18"/>
      <c r="FI969" s="18"/>
      <c r="FJ969" s="18"/>
      <c r="FK969" s="18"/>
      <c r="FL969" s="18"/>
      <c r="FM969" s="18"/>
      <c r="FN969" s="18"/>
      <c r="FO969" s="18"/>
      <c r="FP969" s="18"/>
      <c r="FQ969" s="18"/>
      <c r="FR969" s="18"/>
      <c r="FS969" s="18"/>
      <c r="FT969" s="18"/>
      <c r="FU969" s="18"/>
      <c r="FV969" s="18"/>
      <c r="FW969" s="18"/>
      <c r="FX969" s="18"/>
      <c r="FY969" s="18"/>
      <c r="FZ969" s="18"/>
      <c r="GA969" s="18"/>
      <c r="GB969" s="18"/>
      <c r="GC969" s="18"/>
      <c r="GD969" s="18"/>
      <c r="GE969" s="18"/>
      <c r="GF969" s="18"/>
      <c r="GG969" s="18"/>
      <c r="GH969" s="18"/>
      <c r="GI969" s="18"/>
      <c r="GJ969" s="18"/>
      <c r="GK969" s="18"/>
      <c r="GL969" s="18"/>
      <c r="GM969" s="18"/>
      <c r="GN969" s="18"/>
      <c r="GO969" s="18"/>
      <c r="GP969" s="18"/>
      <c r="GQ969" s="18"/>
      <c r="GR969" s="18"/>
      <c r="GS969" s="18"/>
      <c r="GT969" s="18"/>
      <c r="GU969" s="18"/>
      <c r="GV969" s="18"/>
      <c r="GW969" s="18"/>
      <c r="GX969" s="18"/>
      <c r="GY969" s="18"/>
      <c r="GZ969" s="18"/>
      <c r="HA969" s="18"/>
      <c r="HB969" s="18"/>
      <c r="HC969" s="18"/>
      <c r="HD969" s="18"/>
      <c r="HE969" s="18"/>
      <c r="HF969" s="18"/>
      <c r="HG969" s="13"/>
      <c r="HH969" s="13"/>
      <c r="HI969" s="13"/>
      <c r="HJ969" s="13"/>
      <c r="HK969" s="13"/>
      <c r="HL969" s="13"/>
      <c r="HM969" s="13"/>
      <c r="HN969" s="13"/>
      <c r="HO969" s="13"/>
      <c r="HP969" s="13"/>
      <c r="HQ969" s="13"/>
      <c r="HR969" s="13"/>
      <c r="HS969" s="13"/>
      <c r="HT969" s="13"/>
      <c r="HU969" s="18"/>
      <c r="HV969" s="18"/>
      <c r="HW969" s="18"/>
      <c r="HX969" s="18"/>
      <c r="HY969" s="18"/>
      <c r="HZ969" s="18"/>
      <c r="IA969" s="18"/>
      <c r="IB969" s="18"/>
      <c r="IC969" s="18"/>
      <c r="ID969" s="18"/>
      <c r="IE969" s="18"/>
      <c r="IF969" s="18"/>
      <c r="IG969" s="18"/>
      <c r="IH969" s="18"/>
      <c r="II969" s="18"/>
      <c r="IJ969" s="18"/>
      <c r="IK969" s="18"/>
      <c r="IL969" s="18"/>
      <c r="IM969" s="18"/>
      <c r="IN969" s="18"/>
      <c r="IO969" s="18"/>
      <c r="IP969" s="18"/>
      <c r="IQ969" s="18"/>
      <c r="IR969" s="18"/>
      <c r="IS969" s="18"/>
      <c r="IT969" s="18"/>
      <c r="IU969" s="18"/>
      <c r="IV969" s="18"/>
      <c r="IW969" s="18"/>
      <c r="IX969" s="18"/>
      <c r="IY969" s="18"/>
      <c r="IZ969" s="18"/>
      <c r="JA969" s="18"/>
      <c r="JB969" s="18"/>
      <c r="JC969" s="18"/>
      <c r="JD969" s="18"/>
      <c r="JE969" s="18"/>
      <c r="JF969" s="18"/>
      <c r="JG969" s="18"/>
      <c r="JH969" s="18"/>
      <c r="JI969" s="18"/>
      <c r="JJ969" s="18"/>
      <c r="JK969" s="18"/>
      <c r="JL969" s="18"/>
      <c r="JM969" s="18"/>
      <c r="JN969" s="18"/>
      <c r="JO969" s="18"/>
      <c r="JP969" s="18"/>
      <c r="JQ969" s="18"/>
      <c r="JR969" s="18"/>
      <c r="JS969" s="18"/>
      <c r="JT969" s="18"/>
      <c r="JU969" s="18"/>
      <c r="JV969" s="18"/>
      <c r="JW969" s="18"/>
      <c r="JX969" s="18"/>
      <c r="JY969" s="18"/>
      <c r="JZ969" s="18"/>
      <c r="KA969" s="18"/>
      <c r="KB969" s="18"/>
      <c r="KC969" s="18"/>
      <c r="KD969" s="18"/>
      <c r="KE969" s="18"/>
      <c r="KF969" s="18"/>
      <c r="KG969" s="18"/>
      <c r="KH969" s="18"/>
      <c r="KI969" s="18"/>
      <c r="KJ969" s="18"/>
      <c r="KK969" s="18"/>
      <c r="KL969" s="18"/>
      <c r="KM969" s="18"/>
      <c r="KN969" s="18"/>
      <c r="KO969" s="18"/>
      <c r="KP969" s="18"/>
    </row>
    <row r="970" spans="1:302">
      <c r="A970" s="14"/>
      <c r="B970" s="14"/>
      <c r="F970" s="14"/>
      <c r="G970" s="23"/>
      <c r="H970" s="23"/>
      <c r="I970" s="23"/>
      <c r="J970" s="23"/>
      <c r="K970" s="14"/>
      <c r="L970" s="14"/>
      <c r="P970" s="14"/>
      <c r="AG970" s="44"/>
      <c r="AH970" s="44"/>
      <c r="AI970" s="45"/>
      <c r="AJ970" s="44"/>
      <c r="AK970" s="43"/>
      <c r="AS970" s="14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  <c r="EW970" s="18"/>
      <c r="EX970" s="18"/>
      <c r="EY970" s="18"/>
      <c r="EZ970" s="18"/>
      <c r="FA970" s="18"/>
      <c r="FB970" s="18"/>
      <c r="FC970" s="18"/>
      <c r="FD970" s="18"/>
      <c r="FE970" s="18"/>
      <c r="FF970" s="18"/>
      <c r="FG970" s="18"/>
      <c r="FH970" s="18"/>
      <c r="FI970" s="18"/>
      <c r="FJ970" s="18"/>
      <c r="FK970" s="18"/>
      <c r="FL970" s="18"/>
      <c r="FM970" s="18"/>
      <c r="FN970" s="18"/>
      <c r="FO970" s="18"/>
      <c r="FP970" s="18"/>
      <c r="FQ970" s="18"/>
      <c r="FR970" s="18"/>
      <c r="FS970" s="18"/>
      <c r="FT970" s="18"/>
      <c r="FU970" s="18"/>
      <c r="FV970" s="18"/>
      <c r="FW970" s="18"/>
      <c r="FX970" s="18"/>
      <c r="FY970" s="18"/>
      <c r="FZ970" s="18"/>
      <c r="GA970" s="18"/>
      <c r="GB970" s="18"/>
      <c r="GC970" s="18"/>
      <c r="GD970" s="18"/>
      <c r="GE970" s="18"/>
      <c r="GF970" s="18"/>
      <c r="GG970" s="18"/>
      <c r="GH970" s="18"/>
      <c r="GI970" s="18"/>
      <c r="GJ970" s="18"/>
      <c r="GK970" s="18"/>
      <c r="GL970" s="18"/>
      <c r="GM970" s="18"/>
      <c r="GN970" s="18"/>
      <c r="GO970" s="18"/>
      <c r="GP970" s="18"/>
      <c r="GQ970" s="18"/>
      <c r="GR970" s="18"/>
      <c r="GS970" s="18"/>
      <c r="GT970" s="18"/>
      <c r="GU970" s="18"/>
      <c r="GV970" s="18"/>
      <c r="GW970" s="18"/>
      <c r="GX970" s="18"/>
      <c r="GY970" s="18"/>
      <c r="GZ970" s="18"/>
      <c r="HA970" s="18"/>
      <c r="HB970" s="18"/>
      <c r="HC970" s="18"/>
      <c r="HD970" s="18"/>
      <c r="HE970" s="18"/>
      <c r="HF970" s="18"/>
      <c r="HG970" s="13"/>
      <c r="HH970" s="13"/>
      <c r="HI970" s="13"/>
      <c r="HJ970" s="13"/>
      <c r="HK970" s="13"/>
      <c r="HL970" s="13"/>
      <c r="HM970" s="13"/>
      <c r="HN970" s="13"/>
      <c r="HO970" s="13"/>
      <c r="HP970" s="13"/>
      <c r="HQ970" s="13"/>
      <c r="HR970" s="13"/>
      <c r="HS970" s="13"/>
      <c r="HT970" s="13"/>
      <c r="HU970" s="18"/>
      <c r="HV970" s="18"/>
      <c r="HW970" s="18"/>
      <c r="HX970" s="18"/>
      <c r="HY970" s="18"/>
      <c r="HZ970" s="18"/>
      <c r="IA970" s="18"/>
      <c r="IB970" s="18"/>
      <c r="IC970" s="18"/>
      <c r="ID970" s="18"/>
      <c r="IE970" s="18"/>
      <c r="IF970" s="18"/>
      <c r="IG970" s="18"/>
      <c r="IH970" s="18"/>
      <c r="II970" s="18"/>
      <c r="IJ970" s="18"/>
      <c r="IK970" s="18"/>
      <c r="IL970" s="18"/>
      <c r="IM970" s="18"/>
      <c r="IN970" s="18"/>
      <c r="IO970" s="18"/>
      <c r="IP970" s="18"/>
      <c r="IQ970" s="18"/>
      <c r="IR970" s="18"/>
      <c r="IS970" s="18"/>
      <c r="IT970" s="18"/>
      <c r="IU970" s="18"/>
      <c r="IV970" s="18"/>
      <c r="IW970" s="18"/>
      <c r="IX970" s="18"/>
      <c r="IY970" s="18"/>
      <c r="IZ970" s="18"/>
      <c r="JA970" s="18"/>
      <c r="JB970" s="18"/>
      <c r="JC970" s="18"/>
      <c r="JD970" s="18"/>
      <c r="JE970" s="18"/>
      <c r="JF970" s="18"/>
      <c r="JG970" s="18"/>
      <c r="JH970" s="18"/>
      <c r="JI970" s="18"/>
      <c r="JJ970" s="18"/>
      <c r="JK970" s="18"/>
      <c r="JL970" s="18"/>
      <c r="JM970" s="18"/>
      <c r="JN970" s="18"/>
      <c r="JO970" s="18"/>
      <c r="JP970" s="18"/>
      <c r="JQ970" s="18"/>
      <c r="JR970" s="18"/>
      <c r="JS970" s="18"/>
      <c r="JT970" s="18"/>
      <c r="JU970" s="18"/>
      <c r="JV970" s="18"/>
      <c r="JW970" s="18"/>
      <c r="JX970" s="18"/>
      <c r="JY970" s="18"/>
      <c r="JZ970" s="18"/>
      <c r="KA970" s="18"/>
      <c r="KB970" s="18"/>
      <c r="KC970" s="18"/>
      <c r="KD970" s="18"/>
      <c r="KE970" s="18"/>
      <c r="KF970" s="18"/>
      <c r="KG970" s="18"/>
      <c r="KH970" s="18"/>
      <c r="KI970" s="18"/>
      <c r="KJ970" s="18"/>
      <c r="KK970" s="18"/>
      <c r="KL970" s="18"/>
      <c r="KM970" s="18"/>
      <c r="KN970" s="18"/>
      <c r="KO970" s="18"/>
      <c r="KP970" s="18"/>
    </row>
    <row r="971" spans="1:302">
      <c r="A971" s="14"/>
      <c r="B971" s="14"/>
      <c r="F971" s="14"/>
      <c r="G971" s="23"/>
      <c r="H971" s="23"/>
      <c r="I971" s="23"/>
      <c r="J971" s="23"/>
      <c r="K971" s="14"/>
      <c r="L971" s="14"/>
      <c r="P971" s="14"/>
      <c r="AG971" s="44"/>
      <c r="AH971" s="44"/>
      <c r="AI971" s="45"/>
      <c r="AJ971" s="44"/>
      <c r="AK971" s="43"/>
      <c r="AS971" s="14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  <c r="EW971" s="18"/>
      <c r="EX971" s="18"/>
      <c r="EY971" s="18"/>
      <c r="EZ971" s="18"/>
      <c r="FA971" s="18"/>
      <c r="FB971" s="18"/>
      <c r="FC971" s="18"/>
      <c r="FD971" s="18"/>
      <c r="FE971" s="18"/>
      <c r="FF971" s="18"/>
      <c r="FG971" s="18"/>
      <c r="FH971" s="18"/>
      <c r="FI971" s="18"/>
      <c r="FJ971" s="18"/>
      <c r="FK971" s="18"/>
      <c r="FL971" s="18"/>
      <c r="FM971" s="18"/>
      <c r="FN971" s="18"/>
      <c r="FO971" s="18"/>
      <c r="FP971" s="18"/>
      <c r="FQ971" s="18"/>
      <c r="FR971" s="18"/>
      <c r="FS971" s="18"/>
      <c r="FT971" s="18"/>
      <c r="FU971" s="18"/>
      <c r="FV971" s="18"/>
      <c r="FW971" s="18"/>
      <c r="FX971" s="18"/>
      <c r="FY971" s="18"/>
      <c r="FZ971" s="18"/>
      <c r="GA971" s="18"/>
      <c r="GB971" s="18"/>
      <c r="GC971" s="18"/>
      <c r="GD971" s="18"/>
      <c r="GE971" s="18"/>
      <c r="GF971" s="18"/>
      <c r="GG971" s="18"/>
      <c r="GH971" s="18"/>
      <c r="GI971" s="18"/>
      <c r="GJ971" s="18"/>
      <c r="GK971" s="18"/>
      <c r="GL971" s="18"/>
      <c r="GM971" s="18"/>
      <c r="GN971" s="18"/>
      <c r="GO971" s="18"/>
      <c r="GP971" s="18"/>
      <c r="GQ971" s="18"/>
      <c r="GR971" s="18"/>
      <c r="GS971" s="18"/>
      <c r="GT971" s="18"/>
      <c r="GU971" s="18"/>
      <c r="GV971" s="18"/>
      <c r="GW971" s="18"/>
      <c r="GX971" s="18"/>
      <c r="GY971" s="18"/>
      <c r="GZ971" s="18"/>
      <c r="HA971" s="18"/>
      <c r="HB971" s="18"/>
      <c r="HC971" s="18"/>
      <c r="HD971" s="18"/>
      <c r="HE971" s="18"/>
      <c r="HF971" s="18"/>
      <c r="HG971" s="13"/>
      <c r="HH971" s="13"/>
      <c r="HI971" s="13"/>
      <c r="HJ971" s="13"/>
      <c r="HK971" s="13"/>
      <c r="HL971" s="13"/>
      <c r="HM971" s="13"/>
      <c r="HN971" s="13"/>
      <c r="HO971" s="13"/>
      <c r="HP971" s="13"/>
      <c r="HQ971" s="13"/>
      <c r="HR971" s="13"/>
      <c r="HS971" s="13"/>
      <c r="HT971" s="13"/>
      <c r="HU971" s="18"/>
      <c r="HV971" s="18"/>
      <c r="HW971" s="18"/>
      <c r="HX971" s="18"/>
      <c r="HY971" s="18"/>
      <c r="HZ971" s="18"/>
      <c r="IA971" s="18"/>
      <c r="IB971" s="18"/>
      <c r="IC971" s="18"/>
      <c r="ID971" s="18"/>
      <c r="IE971" s="18"/>
      <c r="IF971" s="18"/>
      <c r="IG971" s="18"/>
      <c r="IH971" s="18"/>
      <c r="II971" s="18"/>
      <c r="IJ971" s="18"/>
      <c r="IK971" s="18"/>
      <c r="IL971" s="18"/>
      <c r="IM971" s="18"/>
      <c r="IN971" s="18"/>
      <c r="IO971" s="18"/>
      <c r="IP971" s="18"/>
      <c r="IQ971" s="18"/>
      <c r="IR971" s="18"/>
      <c r="IS971" s="18"/>
      <c r="IT971" s="18"/>
      <c r="IU971" s="18"/>
      <c r="IV971" s="18"/>
      <c r="IW971" s="18"/>
      <c r="IX971" s="18"/>
      <c r="IY971" s="18"/>
      <c r="IZ971" s="18"/>
      <c r="JA971" s="18"/>
      <c r="JB971" s="18"/>
      <c r="JC971" s="18"/>
      <c r="JD971" s="18"/>
      <c r="JE971" s="18"/>
      <c r="JF971" s="18"/>
      <c r="JG971" s="18"/>
      <c r="JH971" s="18"/>
      <c r="JI971" s="18"/>
      <c r="JJ971" s="18"/>
      <c r="JK971" s="18"/>
      <c r="JL971" s="18"/>
      <c r="JM971" s="18"/>
      <c r="JN971" s="18"/>
      <c r="JO971" s="18"/>
      <c r="JP971" s="18"/>
      <c r="JQ971" s="18"/>
      <c r="JR971" s="18"/>
      <c r="JS971" s="18"/>
      <c r="JT971" s="18"/>
      <c r="JU971" s="18"/>
      <c r="JV971" s="18"/>
      <c r="JW971" s="18"/>
      <c r="JX971" s="18"/>
      <c r="JY971" s="18"/>
      <c r="JZ971" s="18"/>
      <c r="KA971" s="18"/>
      <c r="KB971" s="18"/>
      <c r="KC971" s="18"/>
      <c r="KD971" s="18"/>
      <c r="KE971" s="18"/>
      <c r="KF971" s="18"/>
      <c r="KG971" s="18"/>
      <c r="KH971" s="18"/>
      <c r="KI971" s="18"/>
      <c r="KJ971" s="18"/>
      <c r="KK971" s="18"/>
      <c r="KL971" s="18"/>
      <c r="KM971" s="18"/>
      <c r="KN971" s="18"/>
      <c r="KO971" s="18"/>
      <c r="KP971" s="18"/>
    </row>
    <row r="972" spans="1:302">
      <c r="A972" s="14"/>
      <c r="B972" s="14"/>
      <c r="F972" s="14"/>
      <c r="G972" s="23"/>
      <c r="H972" s="23"/>
      <c r="I972" s="23"/>
      <c r="J972" s="23"/>
      <c r="K972" s="14"/>
      <c r="L972" s="14"/>
      <c r="P972" s="14"/>
      <c r="AG972" s="44"/>
      <c r="AH972" s="44"/>
      <c r="AI972" s="45"/>
      <c r="AJ972" s="44"/>
      <c r="AK972" s="43"/>
      <c r="AS972" s="14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  <c r="EW972" s="18"/>
      <c r="EX972" s="18"/>
      <c r="EY972" s="18"/>
      <c r="EZ972" s="18"/>
      <c r="FA972" s="18"/>
      <c r="FB972" s="18"/>
      <c r="FC972" s="18"/>
      <c r="FD972" s="18"/>
      <c r="FE972" s="18"/>
      <c r="FF972" s="18"/>
      <c r="FG972" s="18"/>
      <c r="FH972" s="18"/>
      <c r="FI972" s="18"/>
      <c r="FJ972" s="18"/>
      <c r="FK972" s="18"/>
      <c r="FL972" s="18"/>
      <c r="FM972" s="18"/>
      <c r="FN972" s="18"/>
      <c r="FO972" s="18"/>
      <c r="FP972" s="18"/>
      <c r="FQ972" s="18"/>
      <c r="FR972" s="18"/>
      <c r="FS972" s="18"/>
      <c r="FT972" s="18"/>
      <c r="FU972" s="18"/>
      <c r="FV972" s="18"/>
      <c r="FW972" s="18"/>
      <c r="FX972" s="18"/>
      <c r="FY972" s="18"/>
      <c r="FZ972" s="18"/>
      <c r="GA972" s="18"/>
      <c r="GB972" s="18"/>
      <c r="GC972" s="18"/>
      <c r="GD972" s="18"/>
      <c r="GE972" s="18"/>
      <c r="GF972" s="18"/>
      <c r="GG972" s="18"/>
      <c r="GH972" s="18"/>
      <c r="GI972" s="18"/>
      <c r="GJ972" s="18"/>
      <c r="GK972" s="18"/>
      <c r="GL972" s="18"/>
      <c r="GM972" s="18"/>
      <c r="GN972" s="18"/>
      <c r="GO972" s="18"/>
      <c r="GP972" s="18"/>
      <c r="GQ972" s="18"/>
      <c r="GR972" s="18"/>
      <c r="GS972" s="18"/>
      <c r="GT972" s="18"/>
      <c r="GU972" s="18"/>
      <c r="GV972" s="18"/>
      <c r="GW972" s="18"/>
      <c r="GX972" s="18"/>
      <c r="GY972" s="18"/>
      <c r="GZ972" s="18"/>
      <c r="HA972" s="18"/>
      <c r="HB972" s="18"/>
      <c r="HC972" s="18"/>
      <c r="HD972" s="18"/>
      <c r="HE972" s="18"/>
      <c r="HF972" s="18"/>
      <c r="HG972" s="13"/>
      <c r="HH972" s="13"/>
      <c r="HI972" s="13"/>
      <c r="HJ972" s="13"/>
      <c r="HK972" s="13"/>
      <c r="HL972" s="13"/>
      <c r="HM972" s="13"/>
      <c r="HN972" s="13"/>
      <c r="HO972" s="13"/>
      <c r="HP972" s="13"/>
      <c r="HQ972" s="13"/>
      <c r="HR972" s="13"/>
      <c r="HS972" s="13"/>
      <c r="HT972" s="13"/>
      <c r="HU972" s="18"/>
      <c r="HV972" s="18"/>
      <c r="HW972" s="18"/>
      <c r="HX972" s="18"/>
      <c r="HY972" s="18"/>
      <c r="HZ972" s="18"/>
      <c r="IA972" s="18"/>
      <c r="IB972" s="18"/>
      <c r="IC972" s="18"/>
      <c r="ID972" s="18"/>
      <c r="IE972" s="18"/>
      <c r="IF972" s="18"/>
      <c r="IG972" s="18"/>
      <c r="IH972" s="18"/>
      <c r="II972" s="18"/>
      <c r="IJ972" s="18"/>
      <c r="IK972" s="18"/>
      <c r="IL972" s="18"/>
      <c r="IM972" s="18"/>
      <c r="IN972" s="18"/>
      <c r="IO972" s="18"/>
      <c r="IP972" s="18"/>
      <c r="IQ972" s="18"/>
      <c r="IR972" s="18"/>
      <c r="IS972" s="18"/>
      <c r="IT972" s="18"/>
      <c r="IU972" s="18"/>
      <c r="IV972" s="18"/>
      <c r="IW972" s="18"/>
      <c r="IX972" s="18"/>
      <c r="IY972" s="18"/>
      <c r="IZ972" s="18"/>
      <c r="JA972" s="18"/>
      <c r="JB972" s="18"/>
      <c r="JC972" s="18"/>
      <c r="JD972" s="18"/>
      <c r="JE972" s="18"/>
      <c r="JF972" s="18"/>
      <c r="JG972" s="18"/>
      <c r="JH972" s="18"/>
      <c r="JI972" s="18"/>
      <c r="JJ972" s="18"/>
      <c r="JK972" s="18"/>
      <c r="JL972" s="18"/>
      <c r="JM972" s="18"/>
      <c r="JN972" s="18"/>
      <c r="JO972" s="18"/>
      <c r="JP972" s="18"/>
      <c r="JQ972" s="18"/>
      <c r="JR972" s="18"/>
      <c r="JS972" s="18"/>
      <c r="JT972" s="18"/>
      <c r="JU972" s="18"/>
      <c r="JV972" s="18"/>
      <c r="JW972" s="18"/>
      <c r="JX972" s="18"/>
      <c r="JY972" s="18"/>
      <c r="JZ972" s="18"/>
      <c r="KA972" s="18"/>
      <c r="KB972" s="18"/>
      <c r="KC972" s="18"/>
      <c r="KD972" s="18"/>
      <c r="KE972" s="18"/>
      <c r="KF972" s="18"/>
      <c r="KG972" s="18"/>
      <c r="KH972" s="18"/>
      <c r="KI972" s="18"/>
      <c r="KJ972" s="18"/>
      <c r="KK972" s="18"/>
      <c r="KL972" s="18"/>
      <c r="KM972" s="18"/>
      <c r="KN972" s="18"/>
      <c r="KO972" s="18"/>
      <c r="KP972" s="18"/>
    </row>
    <row r="973" spans="1:302">
      <c r="A973" s="14"/>
      <c r="B973" s="14"/>
      <c r="F973" s="14"/>
      <c r="G973" s="23"/>
      <c r="H973" s="23"/>
      <c r="I973" s="23"/>
      <c r="J973" s="23"/>
      <c r="K973" s="14"/>
      <c r="L973" s="14"/>
      <c r="P973" s="14"/>
      <c r="AG973" s="44"/>
      <c r="AH973" s="44"/>
      <c r="AI973" s="45"/>
      <c r="AJ973" s="44"/>
      <c r="AK973" s="43"/>
      <c r="AS973" s="14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  <c r="EW973" s="18"/>
      <c r="EX973" s="18"/>
      <c r="EY973" s="18"/>
      <c r="EZ973" s="18"/>
      <c r="FA973" s="18"/>
      <c r="FB973" s="18"/>
      <c r="FC973" s="18"/>
      <c r="FD973" s="18"/>
      <c r="FE973" s="18"/>
      <c r="FF973" s="18"/>
      <c r="FG973" s="18"/>
      <c r="FH973" s="18"/>
      <c r="FI973" s="18"/>
      <c r="FJ973" s="18"/>
      <c r="FK973" s="18"/>
      <c r="FL973" s="18"/>
      <c r="FM973" s="18"/>
      <c r="FN973" s="18"/>
      <c r="FO973" s="18"/>
      <c r="FP973" s="18"/>
      <c r="FQ973" s="18"/>
      <c r="FR973" s="18"/>
      <c r="FS973" s="18"/>
      <c r="FT973" s="18"/>
      <c r="FU973" s="18"/>
      <c r="FV973" s="18"/>
      <c r="FW973" s="18"/>
      <c r="FX973" s="18"/>
      <c r="FY973" s="18"/>
      <c r="FZ973" s="18"/>
      <c r="GA973" s="18"/>
      <c r="GB973" s="18"/>
      <c r="GC973" s="18"/>
      <c r="GD973" s="18"/>
      <c r="GE973" s="18"/>
      <c r="GF973" s="18"/>
      <c r="GG973" s="18"/>
      <c r="GH973" s="18"/>
      <c r="GI973" s="18"/>
      <c r="GJ973" s="18"/>
      <c r="GK973" s="18"/>
      <c r="GL973" s="18"/>
      <c r="GM973" s="18"/>
      <c r="GN973" s="18"/>
      <c r="GO973" s="18"/>
      <c r="GP973" s="18"/>
      <c r="GQ973" s="18"/>
      <c r="GR973" s="18"/>
      <c r="GS973" s="18"/>
      <c r="GT973" s="18"/>
      <c r="GU973" s="18"/>
      <c r="GV973" s="18"/>
      <c r="GW973" s="18"/>
      <c r="GX973" s="18"/>
      <c r="GY973" s="18"/>
      <c r="GZ973" s="18"/>
      <c r="HA973" s="18"/>
      <c r="HB973" s="18"/>
      <c r="HC973" s="18"/>
      <c r="HD973" s="18"/>
      <c r="HE973" s="18"/>
      <c r="HF973" s="18"/>
      <c r="HG973" s="13"/>
      <c r="HH973" s="13"/>
      <c r="HI973" s="13"/>
      <c r="HJ973" s="13"/>
      <c r="HK973" s="13"/>
      <c r="HL973" s="13"/>
      <c r="HM973" s="13"/>
      <c r="HN973" s="13"/>
      <c r="HO973" s="13"/>
      <c r="HP973" s="13"/>
      <c r="HQ973" s="13"/>
      <c r="HR973" s="13"/>
      <c r="HS973" s="13"/>
      <c r="HT973" s="13"/>
      <c r="HU973" s="18"/>
      <c r="HV973" s="18"/>
      <c r="HW973" s="18"/>
      <c r="HX973" s="18"/>
      <c r="HY973" s="18"/>
      <c r="HZ973" s="18"/>
      <c r="IA973" s="18"/>
      <c r="IB973" s="18"/>
      <c r="IC973" s="18"/>
      <c r="ID973" s="18"/>
      <c r="IE973" s="18"/>
      <c r="IF973" s="18"/>
      <c r="IG973" s="18"/>
      <c r="IH973" s="18"/>
      <c r="II973" s="18"/>
      <c r="IJ973" s="18"/>
      <c r="IK973" s="18"/>
      <c r="IL973" s="18"/>
      <c r="IM973" s="18"/>
      <c r="IN973" s="18"/>
      <c r="IO973" s="18"/>
      <c r="IP973" s="18"/>
      <c r="IQ973" s="18"/>
      <c r="IR973" s="18"/>
      <c r="IS973" s="18"/>
      <c r="IT973" s="18"/>
      <c r="IU973" s="18"/>
      <c r="IV973" s="18"/>
      <c r="IW973" s="18"/>
      <c r="IX973" s="18"/>
      <c r="IY973" s="18"/>
      <c r="IZ973" s="18"/>
      <c r="JA973" s="18"/>
      <c r="JB973" s="18"/>
      <c r="JC973" s="18"/>
      <c r="JD973" s="18"/>
      <c r="JE973" s="18"/>
      <c r="JF973" s="18"/>
      <c r="JG973" s="18"/>
      <c r="JH973" s="18"/>
      <c r="JI973" s="18"/>
      <c r="JJ973" s="18"/>
      <c r="JK973" s="18"/>
      <c r="JL973" s="18"/>
      <c r="JM973" s="18"/>
      <c r="JN973" s="18"/>
      <c r="JO973" s="18"/>
      <c r="JP973" s="18"/>
      <c r="JQ973" s="18"/>
      <c r="JR973" s="18"/>
      <c r="JS973" s="18"/>
      <c r="JT973" s="18"/>
      <c r="JU973" s="18"/>
      <c r="JV973" s="18"/>
      <c r="JW973" s="18"/>
      <c r="JX973" s="18"/>
      <c r="JY973" s="18"/>
      <c r="JZ973" s="18"/>
      <c r="KA973" s="18"/>
      <c r="KB973" s="18"/>
      <c r="KC973" s="18"/>
      <c r="KD973" s="18"/>
      <c r="KE973" s="18"/>
      <c r="KF973" s="18"/>
      <c r="KG973" s="18"/>
      <c r="KH973" s="18"/>
      <c r="KI973" s="18"/>
      <c r="KJ973" s="18"/>
      <c r="KK973" s="18"/>
      <c r="KL973" s="18"/>
      <c r="KM973" s="18"/>
      <c r="KN973" s="18"/>
      <c r="KO973" s="18"/>
      <c r="KP973" s="18"/>
    </row>
    <row r="974" spans="1:302">
      <c r="A974" s="14"/>
      <c r="B974" s="14"/>
      <c r="F974" s="14"/>
      <c r="G974" s="23"/>
      <c r="H974" s="23"/>
      <c r="I974" s="23"/>
      <c r="J974" s="23"/>
      <c r="K974" s="14"/>
      <c r="L974" s="14"/>
      <c r="P974" s="14"/>
      <c r="AG974" s="44"/>
      <c r="AH974" s="44"/>
      <c r="AI974" s="45"/>
      <c r="AJ974" s="44"/>
      <c r="AK974" s="43"/>
      <c r="AS974" s="14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  <c r="FC974" s="18"/>
      <c r="FD974" s="18"/>
      <c r="FE974" s="18"/>
      <c r="FF974" s="18"/>
      <c r="FG974" s="18"/>
      <c r="FH974" s="18"/>
      <c r="FI974" s="18"/>
      <c r="FJ974" s="18"/>
      <c r="FK974" s="18"/>
      <c r="FL974" s="18"/>
      <c r="FM974" s="18"/>
      <c r="FN974" s="18"/>
      <c r="FO974" s="18"/>
      <c r="FP974" s="18"/>
      <c r="FQ974" s="18"/>
      <c r="FR974" s="18"/>
      <c r="FS974" s="18"/>
      <c r="FT974" s="18"/>
      <c r="FU974" s="18"/>
      <c r="FV974" s="18"/>
      <c r="FW974" s="18"/>
      <c r="FX974" s="18"/>
      <c r="FY974" s="18"/>
      <c r="FZ974" s="18"/>
      <c r="GA974" s="18"/>
      <c r="GB974" s="18"/>
      <c r="GC974" s="18"/>
      <c r="GD974" s="18"/>
      <c r="GE974" s="18"/>
      <c r="GF974" s="18"/>
      <c r="GG974" s="18"/>
      <c r="GH974" s="18"/>
      <c r="GI974" s="18"/>
      <c r="GJ974" s="18"/>
      <c r="GK974" s="18"/>
      <c r="GL974" s="18"/>
      <c r="GM974" s="18"/>
      <c r="GN974" s="18"/>
      <c r="GO974" s="18"/>
      <c r="GP974" s="18"/>
      <c r="GQ974" s="18"/>
      <c r="GR974" s="18"/>
      <c r="GS974" s="18"/>
      <c r="GT974" s="18"/>
      <c r="GU974" s="18"/>
      <c r="GV974" s="18"/>
      <c r="GW974" s="18"/>
      <c r="GX974" s="18"/>
      <c r="GY974" s="18"/>
      <c r="GZ974" s="18"/>
      <c r="HA974" s="18"/>
      <c r="HB974" s="18"/>
      <c r="HC974" s="18"/>
      <c r="HD974" s="18"/>
      <c r="HE974" s="18"/>
      <c r="HF974" s="18"/>
      <c r="HG974" s="13"/>
      <c r="HH974" s="13"/>
      <c r="HI974" s="13"/>
      <c r="HJ974" s="13"/>
      <c r="HK974" s="13"/>
      <c r="HL974" s="13"/>
      <c r="HM974" s="13"/>
      <c r="HN974" s="13"/>
      <c r="HO974" s="13"/>
      <c r="HP974" s="13"/>
      <c r="HQ974" s="13"/>
      <c r="HR974" s="13"/>
      <c r="HS974" s="13"/>
      <c r="HT974" s="13"/>
      <c r="HU974" s="18"/>
      <c r="HV974" s="18"/>
      <c r="HW974" s="18"/>
      <c r="HX974" s="18"/>
      <c r="HY974" s="18"/>
      <c r="HZ974" s="18"/>
      <c r="IA974" s="18"/>
      <c r="IB974" s="18"/>
      <c r="IC974" s="18"/>
      <c r="ID974" s="18"/>
      <c r="IE974" s="18"/>
      <c r="IF974" s="18"/>
      <c r="IG974" s="18"/>
      <c r="IH974" s="18"/>
      <c r="II974" s="18"/>
      <c r="IJ974" s="18"/>
      <c r="IK974" s="18"/>
      <c r="IL974" s="18"/>
      <c r="IM974" s="18"/>
      <c r="IN974" s="18"/>
      <c r="IO974" s="18"/>
      <c r="IP974" s="18"/>
      <c r="IQ974" s="18"/>
      <c r="IR974" s="18"/>
      <c r="IS974" s="18"/>
      <c r="IT974" s="18"/>
      <c r="IU974" s="18"/>
      <c r="IV974" s="18"/>
      <c r="IW974" s="18"/>
      <c r="IX974" s="18"/>
      <c r="IY974" s="18"/>
      <c r="IZ974" s="18"/>
      <c r="JA974" s="18"/>
      <c r="JB974" s="18"/>
      <c r="JC974" s="18"/>
      <c r="JD974" s="18"/>
      <c r="JE974" s="18"/>
      <c r="JF974" s="18"/>
      <c r="JG974" s="18"/>
      <c r="JH974" s="18"/>
      <c r="JI974" s="18"/>
      <c r="JJ974" s="18"/>
      <c r="JK974" s="18"/>
      <c r="JL974" s="18"/>
      <c r="JM974" s="18"/>
      <c r="JN974" s="18"/>
      <c r="JO974" s="18"/>
      <c r="JP974" s="18"/>
      <c r="JQ974" s="18"/>
      <c r="JR974" s="18"/>
      <c r="JS974" s="18"/>
      <c r="JT974" s="18"/>
      <c r="JU974" s="18"/>
      <c r="JV974" s="18"/>
      <c r="JW974" s="18"/>
      <c r="JX974" s="18"/>
      <c r="JY974" s="18"/>
      <c r="JZ974" s="18"/>
      <c r="KA974" s="18"/>
      <c r="KB974" s="18"/>
      <c r="KC974" s="18"/>
      <c r="KD974" s="18"/>
      <c r="KE974" s="18"/>
      <c r="KF974" s="18"/>
      <c r="KG974" s="18"/>
      <c r="KH974" s="18"/>
      <c r="KI974" s="18"/>
      <c r="KJ974" s="18"/>
      <c r="KK974" s="18"/>
      <c r="KL974" s="18"/>
      <c r="KM974" s="18"/>
      <c r="KN974" s="18"/>
      <c r="KO974" s="18"/>
      <c r="KP974" s="18"/>
    </row>
    <row r="975" spans="1:302">
      <c r="A975" s="14"/>
      <c r="B975" s="14"/>
      <c r="F975" s="14"/>
      <c r="G975" s="23"/>
      <c r="H975" s="23"/>
      <c r="I975" s="23"/>
      <c r="J975" s="23"/>
      <c r="K975" s="14"/>
      <c r="L975" s="14"/>
      <c r="P975" s="14"/>
      <c r="AG975" s="44"/>
      <c r="AH975" s="44"/>
      <c r="AI975" s="45"/>
      <c r="AJ975" s="44"/>
      <c r="AK975" s="43"/>
      <c r="AS975" s="14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  <c r="EW975" s="18"/>
      <c r="EX975" s="18"/>
      <c r="EY975" s="18"/>
      <c r="EZ975" s="18"/>
      <c r="FA975" s="18"/>
      <c r="FB975" s="18"/>
      <c r="FC975" s="18"/>
      <c r="FD975" s="18"/>
      <c r="FE975" s="18"/>
      <c r="FF975" s="18"/>
      <c r="FG975" s="18"/>
      <c r="FH975" s="18"/>
      <c r="FI975" s="18"/>
      <c r="FJ975" s="18"/>
      <c r="FK975" s="18"/>
      <c r="FL975" s="18"/>
      <c r="FM975" s="18"/>
      <c r="FN975" s="18"/>
      <c r="FO975" s="18"/>
      <c r="FP975" s="18"/>
      <c r="FQ975" s="18"/>
      <c r="FR975" s="18"/>
      <c r="FS975" s="18"/>
      <c r="FT975" s="18"/>
      <c r="FU975" s="18"/>
      <c r="FV975" s="18"/>
      <c r="FW975" s="18"/>
      <c r="FX975" s="18"/>
      <c r="FY975" s="18"/>
      <c r="FZ975" s="18"/>
      <c r="GA975" s="18"/>
      <c r="GB975" s="18"/>
      <c r="GC975" s="18"/>
      <c r="GD975" s="18"/>
      <c r="GE975" s="18"/>
      <c r="GF975" s="18"/>
      <c r="GG975" s="18"/>
      <c r="GH975" s="18"/>
      <c r="GI975" s="18"/>
      <c r="GJ975" s="18"/>
      <c r="GK975" s="18"/>
      <c r="GL975" s="18"/>
      <c r="GM975" s="18"/>
      <c r="GN975" s="18"/>
      <c r="GO975" s="18"/>
      <c r="GP975" s="18"/>
      <c r="GQ975" s="18"/>
      <c r="GR975" s="18"/>
      <c r="GS975" s="18"/>
      <c r="GT975" s="18"/>
      <c r="GU975" s="18"/>
      <c r="GV975" s="18"/>
      <c r="GW975" s="18"/>
      <c r="GX975" s="18"/>
      <c r="GY975" s="18"/>
      <c r="GZ975" s="18"/>
      <c r="HA975" s="18"/>
      <c r="HB975" s="18"/>
      <c r="HC975" s="18"/>
      <c r="HD975" s="18"/>
      <c r="HE975" s="18"/>
      <c r="HF975" s="18"/>
      <c r="HG975" s="13"/>
      <c r="HH975" s="13"/>
      <c r="HI975" s="13"/>
      <c r="HJ975" s="13"/>
      <c r="HK975" s="13"/>
      <c r="HL975" s="13"/>
      <c r="HM975" s="13"/>
      <c r="HN975" s="13"/>
      <c r="HO975" s="13"/>
      <c r="HP975" s="13"/>
      <c r="HQ975" s="13"/>
      <c r="HR975" s="13"/>
      <c r="HS975" s="13"/>
      <c r="HT975" s="13"/>
      <c r="HU975" s="18"/>
      <c r="HV975" s="18"/>
      <c r="HW975" s="18"/>
      <c r="HX975" s="18"/>
      <c r="HY975" s="18"/>
      <c r="HZ975" s="18"/>
      <c r="IA975" s="18"/>
      <c r="IB975" s="18"/>
      <c r="IC975" s="18"/>
      <c r="ID975" s="18"/>
      <c r="IE975" s="18"/>
      <c r="IF975" s="18"/>
      <c r="IG975" s="18"/>
      <c r="IH975" s="18"/>
      <c r="II975" s="18"/>
      <c r="IJ975" s="18"/>
      <c r="IK975" s="18"/>
      <c r="IL975" s="18"/>
      <c r="IM975" s="18"/>
      <c r="IN975" s="18"/>
      <c r="IO975" s="18"/>
      <c r="IP975" s="18"/>
      <c r="IQ975" s="18"/>
      <c r="IR975" s="18"/>
      <c r="IS975" s="18"/>
      <c r="IT975" s="18"/>
      <c r="IU975" s="18"/>
      <c r="IV975" s="18"/>
      <c r="IW975" s="18"/>
      <c r="IX975" s="18"/>
      <c r="IY975" s="18"/>
      <c r="IZ975" s="18"/>
      <c r="JA975" s="18"/>
      <c r="JB975" s="18"/>
      <c r="JC975" s="18"/>
      <c r="JD975" s="18"/>
      <c r="JE975" s="18"/>
      <c r="JF975" s="18"/>
      <c r="JG975" s="18"/>
      <c r="JH975" s="18"/>
      <c r="JI975" s="18"/>
      <c r="JJ975" s="18"/>
      <c r="JK975" s="18"/>
      <c r="JL975" s="18"/>
      <c r="JM975" s="18"/>
      <c r="JN975" s="18"/>
      <c r="JO975" s="18"/>
      <c r="JP975" s="18"/>
      <c r="JQ975" s="18"/>
      <c r="JR975" s="18"/>
      <c r="JS975" s="18"/>
      <c r="JT975" s="18"/>
      <c r="JU975" s="18"/>
      <c r="JV975" s="18"/>
      <c r="JW975" s="18"/>
      <c r="JX975" s="18"/>
      <c r="JY975" s="18"/>
      <c r="JZ975" s="18"/>
      <c r="KA975" s="18"/>
      <c r="KB975" s="18"/>
      <c r="KC975" s="18"/>
      <c r="KD975" s="18"/>
      <c r="KE975" s="18"/>
      <c r="KF975" s="18"/>
      <c r="KG975" s="18"/>
      <c r="KH975" s="18"/>
      <c r="KI975" s="18"/>
      <c r="KJ975" s="18"/>
      <c r="KK975" s="18"/>
      <c r="KL975" s="18"/>
      <c r="KM975" s="18"/>
      <c r="KN975" s="18"/>
      <c r="KO975" s="18"/>
      <c r="KP975" s="18"/>
    </row>
    <row r="976" spans="1:302">
      <c r="A976" s="14"/>
      <c r="B976" s="14"/>
      <c r="F976" s="14"/>
      <c r="G976" s="23"/>
      <c r="H976" s="23"/>
      <c r="I976" s="23"/>
      <c r="J976" s="23"/>
      <c r="K976" s="14"/>
      <c r="L976" s="14"/>
      <c r="P976" s="14"/>
      <c r="AG976" s="44"/>
      <c r="AH976" s="44"/>
      <c r="AI976" s="45"/>
      <c r="AJ976" s="44"/>
      <c r="AK976" s="43"/>
      <c r="AS976" s="14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  <c r="EW976" s="18"/>
      <c r="EX976" s="18"/>
      <c r="EY976" s="18"/>
      <c r="EZ976" s="18"/>
      <c r="FA976" s="18"/>
      <c r="FB976" s="18"/>
      <c r="FC976" s="18"/>
      <c r="FD976" s="18"/>
      <c r="FE976" s="18"/>
      <c r="FF976" s="18"/>
      <c r="FG976" s="18"/>
      <c r="FH976" s="18"/>
      <c r="FI976" s="18"/>
      <c r="FJ976" s="18"/>
      <c r="FK976" s="18"/>
      <c r="FL976" s="18"/>
      <c r="FM976" s="18"/>
      <c r="FN976" s="18"/>
      <c r="FO976" s="18"/>
      <c r="FP976" s="18"/>
      <c r="FQ976" s="18"/>
      <c r="FR976" s="18"/>
      <c r="FS976" s="18"/>
      <c r="FT976" s="18"/>
      <c r="FU976" s="18"/>
      <c r="FV976" s="18"/>
      <c r="FW976" s="18"/>
      <c r="FX976" s="18"/>
      <c r="FY976" s="18"/>
      <c r="FZ976" s="18"/>
      <c r="GA976" s="18"/>
      <c r="GB976" s="18"/>
      <c r="GC976" s="18"/>
      <c r="GD976" s="18"/>
      <c r="GE976" s="18"/>
      <c r="GF976" s="18"/>
      <c r="GG976" s="18"/>
      <c r="GH976" s="18"/>
      <c r="GI976" s="18"/>
      <c r="GJ976" s="18"/>
      <c r="GK976" s="18"/>
      <c r="GL976" s="18"/>
      <c r="GM976" s="18"/>
      <c r="GN976" s="18"/>
      <c r="GO976" s="18"/>
      <c r="GP976" s="18"/>
      <c r="GQ976" s="18"/>
      <c r="GR976" s="18"/>
      <c r="GS976" s="18"/>
      <c r="GT976" s="18"/>
      <c r="GU976" s="18"/>
      <c r="GV976" s="18"/>
      <c r="GW976" s="18"/>
      <c r="GX976" s="18"/>
      <c r="GY976" s="18"/>
      <c r="GZ976" s="18"/>
      <c r="HA976" s="18"/>
      <c r="HB976" s="18"/>
      <c r="HC976" s="18"/>
      <c r="HD976" s="18"/>
      <c r="HE976" s="18"/>
      <c r="HF976" s="18"/>
      <c r="HG976" s="13"/>
      <c r="HH976" s="13"/>
      <c r="HI976" s="13"/>
      <c r="HJ976" s="13"/>
      <c r="HK976" s="13"/>
      <c r="HL976" s="13"/>
      <c r="HM976" s="13"/>
      <c r="HN976" s="13"/>
      <c r="HO976" s="13"/>
      <c r="HP976" s="13"/>
      <c r="HQ976" s="13"/>
      <c r="HR976" s="13"/>
      <c r="HS976" s="13"/>
      <c r="HT976" s="13"/>
      <c r="HU976" s="18"/>
      <c r="HV976" s="18"/>
      <c r="HW976" s="18"/>
      <c r="HX976" s="18"/>
      <c r="HY976" s="18"/>
      <c r="HZ976" s="18"/>
      <c r="IA976" s="18"/>
      <c r="IB976" s="18"/>
      <c r="IC976" s="18"/>
      <c r="ID976" s="18"/>
      <c r="IE976" s="18"/>
      <c r="IF976" s="18"/>
      <c r="IG976" s="18"/>
      <c r="IH976" s="18"/>
      <c r="II976" s="18"/>
      <c r="IJ976" s="18"/>
      <c r="IK976" s="18"/>
      <c r="IL976" s="18"/>
      <c r="IM976" s="18"/>
      <c r="IN976" s="18"/>
      <c r="IO976" s="18"/>
      <c r="IP976" s="18"/>
      <c r="IQ976" s="18"/>
      <c r="IR976" s="18"/>
      <c r="IS976" s="18"/>
      <c r="IT976" s="18"/>
      <c r="IU976" s="18"/>
      <c r="IV976" s="18"/>
      <c r="IW976" s="18"/>
      <c r="IX976" s="18"/>
      <c r="IY976" s="18"/>
      <c r="IZ976" s="18"/>
      <c r="JA976" s="18"/>
      <c r="JB976" s="18"/>
      <c r="JC976" s="18"/>
      <c r="JD976" s="18"/>
      <c r="JE976" s="18"/>
      <c r="JF976" s="18"/>
      <c r="JG976" s="18"/>
      <c r="JH976" s="18"/>
      <c r="JI976" s="18"/>
      <c r="JJ976" s="18"/>
      <c r="JK976" s="18"/>
      <c r="JL976" s="18"/>
      <c r="JM976" s="18"/>
      <c r="JN976" s="18"/>
      <c r="JO976" s="18"/>
      <c r="JP976" s="18"/>
      <c r="JQ976" s="18"/>
      <c r="JR976" s="18"/>
      <c r="JS976" s="18"/>
      <c r="JT976" s="18"/>
      <c r="JU976" s="18"/>
      <c r="JV976" s="18"/>
      <c r="JW976" s="18"/>
      <c r="JX976" s="18"/>
      <c r="JY976" s="18"/>
      <c r="JZ976" s="18"/>
      <c r="KA976" s="18"/>
      <c r="KB976" s="18"/>
      <c r="KC976" s="18"/>
      <c r="KD976" s="18"/>
      <c r="KE976" s="18"/>
      <c r="KF976" s="18"/>
      <c r="KG976" s="18"/>
      <c r="KH976" s="18"/>
      <c r="KI976" s="18"/>
      <c r="KJ976" s="18"/>
      <c r="KK976" s="18"/>
      <c r="KL976" s="18"/>
      <c r="KM976" s="18"/>
      <c r="KN976" s="18"/>
      <c r="KO976" s="18"/>
      <c r="KP976" s="18"/>
    </row>
    <row r="977" spans="1:302">
      <c r="A977" s="14"/>
      <c r="B977" s="14"/>
      <c r="F977" s="14"/>
      <c r="G977" s="23"/>
      <c r="H977" s="23"/>
      <c r="I977" s="23"/>
      <c r="J977" s="23"/>
      <c r="K977" s="14"/>
      <c r="L977" s="14"/>
      <c r="P977" s="14"/>
      <c r="AG977" s="44"/>
      <c r="AH977" s="44"/>
      <c r="AI977" s="45"/>
      <c r="AJ977" s="44"/>
      <c r="AK977" s="43"/>
      <c r="AS977" s="14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  <c r="EW977" s="18"/>
      <c r="EX977" s="18"/>
      <c r="EY977" s="18"/>
      <c r="EZ977" s="18"/>
      <c r="FA977" s="18"/>
      <c r="FB977" s="18"/>
      <c r="FC977" s="18"/>
      <c r="FD977" s="18"/>
      <c r="FE977" s="18"/>
      <c r="FF977" s="18"/>
      <c r="FG977" s="18"/>
      <c r="FH977" s="18"/>
      <c r="FI977" s="18"/>
      <c r="FJ977" s="18"/>
      <c r="FK977" s="18"/>
      <c r="FL977" s="18"/>
      <c r="FM977" s="18"/>
      <c r="FN977" s="18"/>
      <c r="FO977" s="18"/>
      <c r="FP977" s="18"/>
      <c r="FQ977" s="18"/>
      <c r="FR977" s="18"/>
      <c r="FS977" s="18"/>
      <c r="FT977" s="18"/>
      <c r="FU977" s="18"/>
      <c r="FV977" s="18"/>
      <c r="FW977" s="18"/>
      <c r="FX977" s="18"/>
      <c r="FY977" s="18"/>
      <c r="FZ977" s="18"/>
      <c r="GA977" s="18"/>
      <c r="GB977" s="18"/>
      <c r="GC977" s="18"/>
      <c r="GD977" s="18"/>
      <c r="GE977" s="18"/>
      <c r="GF977" s="18"/>
      <c r="GG977" s="18"/>
      <c r="GH977" s="18"/>
      <c r="GI977" s="18"/>
      <c r="GJ977" s="18"/>
      <c r="GK977" s="18"/>
      <c r="GL977" s="18"/>
      <c r="GM977" s="18"/>
      <c r="GN977" s="18"/>
      <c r="GO977" s="18"/>
      <c r="GP977" s="18"/>
      <c r="GQ977" s="18"/>
      <c r="GR977" s="18"/>
      <c r="GS977" s="18"/>
      <c r="GT977" s="18"/>
      <c r="GU977" s="18"/>
      <c r="GV977" s="18"/>
      <c r="GW977" s="18"/>
      <c r="GX977" s="18"/>
      <c r="GY977" s="18"/>
      <c r="GZ977" s="18"/>
      <c r="HA977" s="18"/>
      <c r="HB977" s="18"/>
      <c r="HC977" s="18"/>
      <c r="HD977" s="18"/>
      <c r="HE977" s="18"/>
      <c r="HF977" s="18"/>
      <c r="HG977" s="13"/>
      <c r="HH977" s="13"/>
      <c r="HI977" s="13"/>
      <c r="HJ977" s="13"/>
      <c r="HK977" s="13"/>
      <c r="HL977" s="13"/>
      <c r="HM977" s="13"/>
      <c r="HN977" s="13"/>
      <c r="HO977" s="13"/>
      <c r="HP977" s="13"/>
      <c r="HQ977" s="13"/>
      <c r="HR977" s="13"/>
      <c r="HS977" s="13"/>
      <c r="HT977" s="13"/>
      <c r="HU977" s="18"/>
      <c r="HV977" s="18"/>
      <c r="HW977" s="18"/>
      <c r="HX977" s="18"/>
      <c r="HY977" s="18"/>
      <c r="HZ977" s="18"/>
      <c r="IA977" s="18"/>
      <c r="IB977" s="18"/>
      <c r="IC977" s="18"/>
      <c r="ID977" s="18"/>
      <c r="IE977" s="18"/>
      <c r="IF977" s="18"/>
      <c r="IG977" s="18"/>
      <c r="IH977" s="18"/>
      <c r="II977" s="18"/>
      <c r="IJ977" s="18"/>
      <c r="IK977" s="18"/>
      <c r="IL977" s="18"/>
      <c r="IM977" s="18"/>
      <c r="IN977" s="18"/>
      <c r="IO977" s="18"/>
      <c r="IP977" s="18"/>
      <c r="IQ977" s="18"/>
      <c r="IR977" s="18"/>
      <c r="IS977" s="18"/>
      <c r="IT977" s="18"/>
      <c r="IU977" s="18"/>
      <c r="IV977" s="18"/>
      <c r="IW977" s="18"/>
      <c r="IX977" s="18"/>
      <c r="IY977" s="18"/>
      <c r="IZ977" s="18"/>
      <c r="JA977" s="18"/>
      <c r="JB977" s="18"/>
      <c r="JC977" s="18"/>
      <c r="JD977" s="18"/>
      <c r="JE977" s="18"/>
      <c r="JF977" s="18"/>
      <c r="JG977" s="18"/>
      <c r="JH977" s="18"/>
      <c r="JI977" s="18"/>
      <c r="JJ977" s="18"/>
      <c r="JK977" s="18"/>
      <c r="JL977" s="18"/>
      <c r="JM977" s="18"/>
      <c r="JN977" s="18"/>
      <c r="JO977" s="18"/>
      <c r="JP977" s="18"/>
      <c r="JQ977" s="18"/>
      <c r="JR977" s="18"/>
      <c r="JS977" s="18"/>
      <c r="JT977" s="18"/>
      <c r="JU977" s="18"/>
      <c r="JV977" s="18"/>
      <c r="JW977" s="18"/>
      <c r="JX977" s="18"/>
      <c r="JY977" s="18"/>
      <c r="JZ977" s="18"/>
      <c r="KA977" s="18"/>
      <c r="KB977" s="18"/>
      <c r="KC977" s="18"/>
      <c r="KD977" s="18"/>
      <c r="KE977" s="18"/>
      <c r="KF977" s="18"/>
      <c r="KG977" s="18"/>
      <c r="KH977" s="18"/>
      <c r="KI977" s="18"/>
      <c r="KJ977" s="18"/>
      <c r="KK977" s="18"/>
      <c r="KL977" s="18"/>
      <c r="KM977" s="18"/>
      <c r="KN977" s="18"/>
      <c r="KO977" s="18"/>
      <c r="KP977" s="18"/>
    </row>
    <row r="978" spans="1:302">
      <c r="A978" s="14"/>
      <c r="B978" s="14"/>
      <c r="F978" s="14"/>
      <c r="G978" s="23"/>
      <c r="H978" s="23"/>
      <c r="I978" s="23"/>
      <c r="J978" s="23"/>
      <c r="K978" s="14"/>
      <c r="L978" s="14"/>
      <c r="P978" s="14"/>
      <c r="AG978" s="44"/>
      <c r="AH978" s="44"/>
      <c r="AI978" s="45"/>
      <c r="AJ978" s="44"/>
      <c r="AK978" s="43"/>
      <c r="AS978" s="14"/>
      <c r="AT978" s="18"/>
      <c r="AU978" s="18"/>
      <c r="AV978" s="18"/>
      <c r="AW978" s="18"/>
      <c r="AX978" s="18"/>
      <c r="AY978" s="18"/>
      <c r="AZ978" s="18"/>
      <c r="BA978" s="18"/>
      <c r="BB978" s="18"/>
      <c r="BC978" s="18"/>
      <c r="BD978" s="18"/>
      <c r="BE978" s="18"/>
      <c r="BF978" s="18"/>
      <c r="BG978" s="18"/>
      <c r="BH978" s="18"/>
      <c r="BI978" s="18"/>
      <c r="BJ978" s="18"/>
      <c r="BK978" s="18"/>
      <c r="BL978" s="18"/>
      <c r="BM978" s="18"/>
      <c r="BN978" s="18"/>
      <c r="BO978" s="18"/>
      <c r="BP978" s="18"/>
      <c r="BQ978" s="18"/>
      <c r="BR978" s="18"/>
      <c r="BS978" s="18"/>
      <c r="BT978" s="18"/>
      <c r="BU978" s="18"/>
      <c r="BV978" s="18"/>
      <c r="BW978" s="18"/>
      <c r="BX978" s="18"/>
      <c r="BY978" s="18"/>
      <c r="BZ978" s="18"/>
      <c r="CA978" s="18"/>
      <c r="CB978" s="18"/>
      <c r="CC978" s="18"/>
      <c r="CD978" s="18"/>
      <c r="CE978" s="18"/>
      <c r="CF978" s="18"/>
      <c r="CG978" s="18"/>
      <c r="CH978" s="18"/>
      <c r="CI978" s="18"/>
      <c r="CJ978" s="18"/>
      <c r="CK978" s="18"/>
      <c r="CL978" s="18"/>
      <c r="CM978" s="18"/>
      <c r="CN978" s="18"/>
      <c r="CO978" s="18"/>
      <c r="CP978" s="18"/>
      <c r="CQ978" s="18"/>
      <c r="CR978" s="18"/>
      <c r="CS978" s="18"/>
      <c r="CT978" s="18"/>
      <c r="CU978" s="18"/>
      <c r="CV978" s="18"/>
      <c r="CW978" s="18"/>
      <c r="CX978" s="18"/>
      <c r="CY978" s="18"/>
      <c r="CZ978" s="18"/>
      <c r="DA978" s="18"/>
      <c r="DB978" s="18"/>
      <c r="DC978" s="18"/>
      <c r="DD978" s="18"/>
      <c r="DE978" s="18"/>
      <c r="DF978" s="18"/>
      <c r="DG978" s="18"/>
      <c r="DH978" s="18"/>
      <c r="DI978" s="18"/>
      <c r="DJ978" s="18"/>
      <c r="DK978" s="18"/>
      <c r="DL978" s="18"/>
      <c r="DM978" s="18"/>
      <c r="DN978" s="18"/>
      <c r="DO978" s="18"/>
      <c r="DP978" s="18"/>
      <c r="DQ978" s="18"/>
      <c r="DR978" s="18"/>
      <c r="DS978" s="18"/>
      <c r="DT978" s="18"/>
      <c r="DU978" s="18"/>
      <c r="DV978" s="18"/>
      <c r="DW978" s="18"/>
      <c r="DX978" s="18"/>
      <c r="DY978" s="18"/>
      <c r="DZ978" s="18"/>
      <c r="EA978" s="18"/>
      <c r="EB978" s="18"/>
      <c r="EC978" s="18"/>
      <c r="ED978" s="18"/>
      <c r="EE978" s="18"/>
      <c r="EF978" s="18"/>
      <c r="EG978" s="18"/>
      <c r="EH978" s="18"/>
      <c r="EI978" s="18"/>
      <c r="EJ978" s="18"/>
      <c r="EK978" s="18"/>
      <c r="EL978" s="18"/>
      <c r="EM978" s="18"/>
      <c r="EN978" s="18"/>
      <c r="EO978" s="18"/>
      <c r="EP978" s="18"/>
      <c r="EQ978" s="18"/>
      <c r="ER978" s="18"/>
      <c r="ES978" s="18"/>
      <c r="ET978" s="18"/>
      <c r="EU978" s="18"/>
      <c r="EV978" s="18"/>
      <c r="EW978" s="18"/>
      <c r="EX978" s="18"/>
      <c r="EY978" s="18"/>
      <c r="EZ978" s="18"/>
      <c r="FA978" s="18"/>
      <c r="FB978" s="18"/>
      <c r="FC978" s="18"/>
      <c r="FD978" s="18"/>
      <c r="FE978" s="18"/>
      <c r="FF978" s="18"/>
      <c r="FG978" s="18"/>
      <c r="FH978" s="18"/>
      <c r="FI978" s="18"/>
      <c r="FJ978" s="18"/>
      <c r="FK978" s="18"/>
      <c r="FL978" s="18"/>
      <c r="FM978" s="18"/>
      <c r="FN978" s="18"/>
      <c r="FO978" s="18"/>
      <c r="FP978" s="18"/>
      <c r="FQ978" s="18"/>
      <c r="FR978" s="18"/>
      <c r="FS978" s="18"/>
      <c r="FT978" s="18"/>
      <c r="FU978" s="18"/>
      <c r="FV978" s="18"/>
      <c r="FW978" s="18"/>
      <c r="FX978" s="18"/>
      <c r="FY978" s="18"/>
      <c r="FZ978" s="18"/>
      <c r="GA978" s="18"/>
      <c r="GB978" s="18"/>
      <c r="GC978" s="18"/>
      <c r="GD978" s="18"/>
      <c r="GE978" s="18"/>
      <c r="GF978" s="18"/>
      <c r="GG978" s="18"/>
      <c r="GH978" s="18"/>
      <c r="GI978" s="18"/>
      <c r="GJ978" s="18"/>
      <c r="GK978" s="18"/>
      <c r="GL978" s="18"/>
      <c r="GM978" s="18"/>
      <c r="GN978" s="18"/>
      <c r="GO978" s="18"/>
      <c r="GP978" s="18"/>
      <c r="GQ978" s="18"/>
      <c r="GR978" s="18"/>
      <c r="GS978" s="18"/>
      <c r="GT978" s="18"/>
      <c r="GU978" s="18"/>
      <c r="GV978" s="18"/>
      <c r="GW978" s="18"/>
      <c r="GX978" s="18"/>
      <c r="GY978" s="18"/>
      <c r="GZ978" s="18"/>
      <c r="HA978" s="18"/>
      <c r="HB978" s="18"/>
      <c r="HC978" s="18"/>
      <c r="HD978" s="18"/>
      <c r="HE978" s="18"/>
      <c r="HF978" s="18"/>
      <c r="HG978" s="13"/>
      <c r="HH978" s="13"/>
      <c r="HI978" s="13"/>
      <c r="HJ978" s="13"/>
      <c r="HK978" s="13"/>
      <c r="HL978" s="13"/>
      <c r="HM978" s="13"/>
      <c r="HN978" s="13"/>
      <c r="HO978" s="13"/>
      <c r="HP978" s="13"/>
      <c r="HQ978" s="13"/>
      <c r="HR978" s="13"/>
      <c r="HS978" s="13"/>
      <c r="HT978" s="13"/>
      <c r="HU978" s="18"/>
      <c r="HV978" s="18"/>
      <c r="HW978" s="18"/>
      <c r="HX978" s="18"/>
      <c r="HY978" s="18"/>
      <c r="HZ978" s="18"/>
      <c r="IA978" s="18"/>
      <c r="IB978" s="18"/>
      <c r="IC978" s="18"/>
      <c r="ID978" s="18"/>
      <c r="IE978" s="18"/>
      <c r="IF978" s="18"/>
      <c r="IG978" s="18"/>
      <c r="IH978" s="18"/>
      <c r="II978" s="18"/>
      <c r="IJ978" s="18"/>
      <c r="IK978" s="18"/>
      <c r="IL978" s="18"/>
      <c r="IM978" s="18"/>
      <c r="IN978" s="18"/>
      <c r="IO978" s="18"/>
      <c r="IP978" s="18"/>
      <c r="IQ978" s="18"/>
      <c r="IR978" s="18"/>
      <c r="IS978" s="18"/>
      <c r="IT978" s="18"/>
      <c r="IU978" s="18"/>
      <c r="IV978" s="18"/>
      <c r="IW978" s="18"/>
      <c r="IX978" s="18"/>
      <c r="IY978" s="18"/>
      <c r="IZ978" s="18"/>
      <c r="JA978" s="18"/>
      <c r="JB978" s="18"/>
      <c r="JC978" s="18"/>
      <c r="JD978" s="18"/>
      <c r="JE978" s="18"/>
      <c r="JF978" s="18"/>
      <c r="JG978" s="18"/>
      <c r="JH978" s="18"/>
      <c r="JI978" s="18"/>
      <c r="JJ978" s="18"/>
      <c r="JK978" s="18"/>
      <c r="JL978" s="18"/>
      <c r="JM978" s="18"/>
      <c r="JN978" s="18"/>
      <c r="JO978" s="18"/>
      <c r="JP978" s="18"/>
      <c r="JQ978" s="18"/>
      <c r="JR978" s="18"/>
      <c r="JS978" s="18"/>
      <c r="JT978" s="18"/>
      <c r="JU978" s="18"/>
      <c r="JV978" s="18"/>
      <c r="JW978" s="18"/>
      <c r="JX978" s="18"/>
      <c r="JY978" s="18"/>
      <c r="JZ978" s="18"/>
      <c r="KA978" s="18"/>
      <c r="KB978" s="18"/>
      <c r="KC978" s="18"/>
      <c r="KD978" s="18"/>
      <c r="KE978" s="18"/>
      <c r="KF978" s="18"/>
      <c r="KG978" s="18"/>
      <c r="KH978" s="18"/>
      <c r="KI978" s="18"/>
      <c r="KJ978" s="18"/>
      <c r="KK978" s="18"/>
      <c r="KL978" s="18"/>
      <c r="KM978" s="18"/>
      <c r="KN978" s="18"/>
      <c r="KO978" s="18"/>
      <c r="KP978" s="18"/>
    </row>
    <row r="979" spans="1:302">
      <c r="A979" s="14"/>
      <c r="B979" s="14"/>
      <c r="F979" s="14"/>
      <c r="G979" s="23"/>
      <c r="H979" s="23"/>
      <c r="I979" s="23"/>
      <c r="J979" s="23"/>
      <c r="K979" s="14"/>
      <c r="L979" s="14"/>
      <c r="P979" s="14"/>
      <c r="AG979" s="44"/>
      <c r="AH979" s="44"/>
      <c r="AI979" s="45"/>
      <c r="AJ979" s="44"/>
      <c r="AK979" s="43"/>
      <c r="AS979" s="14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  <c r="EW979" s="18"/>
      <c r="EX979" s="18"/>
      <c r="EY979" s="18"/>
      <c r="EZ979" s="18"/>
      <c r="FA979" s="18"/>
      <c r="FB979" s="18"/>
      <c r="FC979" s="18"/>
      <c r="FD979" s="18"/>
      <c r="FE979" s="18"/>
      <c r="FF979" s="18"/>
      <c r="FG979" s="18"/>
      <c r="FH979" s="18"/>
      <c r="FI979" s="18"/>
      <c r="FJ979" s="18"/>
      <c r="FK979" s="18"/>
      <c r="FL979" s="18"/>
      <c r="FM979" s="18"/>
      <c r="FN979" s="18"/>
      <c r="FO979" s="18"/>
      <c r="FP979" s="18"/>
      <c r="FQ979" s="18"/>
      <c r="FR979" s="18"/>
      <c r="FS979" s="18"/>
      <c r="FT979" s="18"/>
      <c r="FU979" s="18"/>
      <c r="FV979" s="18"/>
      <c r="FW979" s="18"/>
      <c r="FX979" s="18"/>
      <c r="FY979" s="18"/>
      <c r="FZ979" s="18"/>
      <c r="GA979" s="18"/>
      <c r="GB979" s="18"/>
      <c r="GC979" s="18"/>
      <c r="GD979" s="18"/>
      <c r="GE979" s="18"/>
      <c r="GF979" s="18"/>
      <c r="GG979" s="18"/>
      <c r="GH979" s="18"/>
      <c r="GI979" s="18"/>
      <c r="GJ979" s="18"/>
      <c r="GK979" s="18"/>
      <c r="GL979" s="18"/>
      <c r="GM979" s="18"/>
      <c r="GN979" s="18"/>
      <c r="GO979" s="18"/>
      <c r="GP979" s="18"/>
      <c r="GQ979" s="18"/>
      <c r="GR979" s="18"/>
      <c r="GS979" s="18"/>
      <c r="GT979" s="18"/>
      <c r="GU979" s="18"/>
      <c r="GV979" s="18"/>
      <c r="GW979" s="18"/>
      <c r="GX979" s="18"/>
      <c r="GY979" s="18"/>
      <c r="GZ979" s="18"/>
      <c r="HA979" s="18"/>
      <c r="HB979" s="18"/>
      <c r="HC979" s="18"/>
      <c r="HD979" s="18"/>
      <c r="HE979" s="18"/>
      <c r="HF979" s="18"/>
      <c r="HG979" s="13"/>
      <c r="HH979" s="13"/>
      <c r="HI979" s="13"/>
      <c r="HJ979" s="13"/>
      <c r="HK979" s="13"/>
      <c r="HL979" s="13"/>
      <c r="HM979" s="13"/>
      <c r="HN979" s="13"/>
      <c r="HO979" s="13"/>
      <c r="HP979" s="13"/>
      <c r="HQ979" s="13"/>
      <c r="HR979" s="13"/>
      <c r="HS979" s="13"/>
      <c r="HT979" s="13"/>
      <c r="HU979" s="18"/>
      <c r="HV979" s="18"/>
      <c r="HW979" s="18"/>
      <c r="HX979" s="18"/>
      <c r="HY979" s="18"/>
      <c r="HZ979" s="18"/>
      <c r="IA979" s="18"/>
      <c r="IB979" s="18"/>
      <c r="IC979" s="18"/>
      <c r="ID979" s="18"/>
      <c r="IE979" s="18"/>
      <c r="IF979" s="18"/>
      <c r="IG979" s="18"/>
      <c r="IH979" s="18"/>
      <c r="II979" s="18"/>
      <c r="IJ979" s="18"/>
      <c r="IK979" s="18"/>
      <c r="IL979" s="18"/>
      <c r="IM979" s="18"/>
      <c r="IN979" s="18"/>
      <c r="IO979" s="18"/>
      <c r="IP979" s="18"/>
      <c r="IQ979" s="18"/>
      <c r="IR979" s="18"/>
      <c r="IS979" s="18"/>
      <c r="IT979" s="18"/>
      <c r="IU979" s="18"/>
      <c r="IV979" s="18"/>
      <c r="IW979" s="18"/>
      <c r="IX979" s="18"/>
      <c r="IY979" s="18"/>
      <c r="IZ979" s="18"/>
      <c r="JA979" s="18"/>
      <c r="JB979" s="18"/>
      <c r="JC979" s="18"/>
      <c r="JD979" s="18"/>
      <c r="JE979" s="18"/>
      <c r="JF979" s="18"/>
      <c r="JG979" s="18"/>
      <c r="JH979" s="18"/>
      <c r="JI979" s="18"/>
      <c r="JJ979" s="18"/>
      <c r="JK979" s="18"/>
      <c r="JL979" s="18"/>
      <c r="JM979" s="18"/>
      <c r="JN979" s="18"/>
      <c r="JO979" s="18"/>
      <c r="JP979" s="18"/>
      <c r="JQ979" s="18"/>
      <c r="JR979" s="18"/>
      <c r="JS979" s="18"/>
      <c r="JT979" s="18"/>
      <c r="JU979" s="18"/>
      <c r="JV979" s="18"/>
      <c r="JW979" s="18"/>
      <c r="JX979" s="18"/>
      <c r="JY979" s="18"/>
      <c r="JZ979" s="18"/>
      <c r="KA979" s="18"/>
      <c r="KB979" s="18"/>
      <c r="KC979" s="18"/>
      <c r="KD979" s="18"/>
      <c r="KE979" s="18"/>
      <c r="KF979" s="18"/>
      <c r="KG979" s="18"/>
      <c r="KH979" s="18"/>
      <c r="KI979" s="18"/>
      <c r="KJ979" s="18"/>
      <c r="KK979" s="18"/>
      <c r="KL979" s="18"/>
      <c r="KM979" s="18"/>
      <c r="KN979" s="18"/>
      <c r="KO979" s="18"/>
      <c r="KP979" s="18"/>
    </row>
    <row r="980" spans="1:302">
      <c r="A980" s="14"/>
      <c r="B980" s="14"/>
      <c r="F980" s="14"/>
      <c r="G980" s="23"/>
      <c r="H980" s="23"/>
      <c r="I980" s="23"/>
      <c r="J980" s="23"/>
      <c r="K980" s="14"/>
      <c r="L980" s="14"/>
      <c r="P980" s="14"/>
      <c r="AG980" s="44"/>
      <c r="AH980" s="44"/>
      <c r="AI980" s="45"/>
      <c r="AJ980" s="44"/>
      <c r="AK980" s="43"/>
      <c r="AS980" s="14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  <c r="EW980" s="18"/>
      <c r="EX980" s="18"/>
      <c r="EY980" s="18"/>
      <c r="EZ980" s="18"/>
      <c r="FA980" s="18"/>
      <c r="FB980" s="18"/>
      <c r="FC980" s="18"/>
      <c r="FD980" s="18"/>
      <c r="FE980" s="18"/>
      <c r="FF980" s="18"/>
      <c r="FG980" s="18"/>
      <c r="FH980" s="18"/>
      <c r="FI980" s="18"/>
      <c r="FJ980" s="18"/>
      <c r="FK980" s="18"/>
      <c r="FL980" s="18"/>
      <c r="FM980" s="18"/>
      <c r="FN980" s="18"/>
      <c r="FO980" s="18"/>
      <c r="FP980" s="18"/>
      <c r="FQ980" s="18"/>
      <c r="FR980" s="18"/>
      <c r="FS980" s="18"/>
      <c r="FT980" s="18"/>
      <c r="FU980" s="18"/>
      <c r="FV980" s="18"/>
      <c r="FW980" s="18"/>
      <c r="FX980" s="18"/>
      <c r="FY980" s="18"/>
      <c r="FZ980" s="18"/>
      <c r="GA980" s="18"/>
      <c r="GB980" s="18"/>
      <c r="GC980" s="18"/>
      <c r="GD980" s="18"/>
      <c r="GE980" s="18"/>
      <c r="GF980" s="18"/>
      <c r="GG980" s="18"/>
      <c r="GH980" s="18"/>
      <c r="GI980" s="18"/>
      <c r="GJ980" s="18"/>
      <c r="GK980" s="18"/>
      <c r="GL980" s="18"/>
      <c r="GM980" s="18"/>
      <c r="GN980" s="18"/>
      <c r="GO980" s="18"/>
      <c r="GP980" s="18"/>
      <c r="GQ980" s="18"/>
      <c r="GR980" s="18"/>
      <c r="GS980" s="18"/>
      <c r="GT980" s="18"/>
      <c r="GU980" s="18"/>
      <c r="GV980" s="18"/>
      <c r="GW980" s="18"/>
      <c r="GX980" s="18"/>
      <c r="GY980" s="18"/>
      <c r="GZ980" s="18"/>
      <c r="HA980" s="18"/>
      <c r="HB980" s="18"/>
      <c r="HC980" s="18"/>
      <c r="HD980" s="18"/>
      <c r="HE980" s="18"/>
      <c r="HF980" s="18"/>
      <c r="HG980" s="13"/>
      <c r="HH980" s="13"/>
      <c r="HI980" s="13"/>
      <c r="HJ980" s="13"/>
      <c r="HK980" s="13"/>
      <c r="HL980" s="13"/>
      <c r="HM980" s="13"/>
      <c r="HN980" s="13"/>
      <c r="HO980" s="13"/>
      <c r="HP980" s="13"/>
      <c r="HQ980" s="13"/>
      <c r="HR980" s="13"/>
      <c r="HS980" s="13"/>
      <c r="HT980" s="13"/>
      <c r="HU980" s="18"/>
      <c r="HV980" s="18"/>
      <c r="HW980" s="18"/>
      <c r="HX980" s="18"/>
      <c r="HY980" s="18"/>
      <c r="HZ980" s="18"/>
      <c r="IA980" s="18"/>
      <c r="IB980" s="18"/>
      <c r="IC980" s="18"/>
      <c r="ID980" s="18"/>
      <c r="IE980" s="18"/>
      <c r="IF980" s="18"/>
      <c r="IG980" s="18"/>
      <c r="IH980" s="18"/>
      <c r="II980" s="18"/>
      <c r="IJ980" s="18"/>
      <c r="IK980" s="18"/>
      <c r="IL980" s="18"/>
      <c r="IM980" s="18"/>
      <c r="IN980" s="18"/>
      <c r="IO980" s="18"/>
      <c r="IP980" s="18"/>
      <c r="IQ980" s="18"/>
      <c r="IR980" s="18"/>
      <c r="IS980" s="18"/>
      <c r="IT980" s="18"/>
      <c r="IU980" s="18"/>
      <c r="IV980" s="18"/>
      <c r="IW980" s="18"/>
      <c r="IX980" s="18"/>
      <c r="IY980" s="18"/>
      <c r="IZ980" s="18"/>
      <c r="JA980" s="18"/>
      <c r="JB980" s="18"/>
      <c r="JC980" s="18"/>
      <c r="JD980" s="18"/>
      <c r="JE980" s="18"/>
      <c r="JF980" s="18"/>
      <c r="JG980" s="18"/>
      <c r="JH980" s="18"/>
      <c r="JI980" s="18"/>
      <c r="JJ980" s="18"/>
      <c r="JK980" s="18"/>
      <c r="JL980" s="18"/>
      <c r="JM980" s="18"/>
      <c r="JN980" s="18"/>
      <c r="JO980" s="18"/>
      <c r="JP980" s="18"/>
      <c r="JQ980" s="18"/>
      <c r="JR980" s="18"/>
      <c r="JS980" s="18"/>
      <c r="JT980" s="18"/>
      <c r="JU980" s="18"/>
      <c r="JV980" s="18"/>
      <c r="JW980" s="18"/>
      <c r="JX980" s="18"/>
      <c r="JY980" s="18"/>
      <c r="JZ980" s="18"/>
      <c r="KA980" s="18"/>
      <c r="KB980" s="18"/>
      <c r="KC980" s="18"/>
      <c r="KD980" s="18"/>
      <c r="KE980" s="18"/>
      <c r="KF980" s="18"/>
      <c r="KG980" s="18"/>
      <c r="KH980" s="18"/>
      <c r="KI980" s="18"/>
      <c r="KJ980" s="18"/>
      <c r="KK980" s="18"/>
      <c r="KL980" s="18"/>
      <c r="KM980" s="18"/>
      <c r="KN980" s="18"/>
      <c r="KO980" s="18"/>
      <c r="KP980" s="18"/>
    </row>
    <row r="981" spans="1:302">
      <c r="A981" s="14"/>
      <c r="B981" s="14"/>
      <c r="F981" s="14"/>
      <c r="G981" s="23"/>
      <c r="H981" s="23"/>
      <c r="I981" s="23"/>
      <c r="J981" s="23"/>
      <c r="K981" s="14"/>
      <c r="L981" s="14"/>
      <c r="P981" s="14"/>
      <c r="AG981" s="44"/>
      <c r="AH981" s="44"/>
      <c r="AI981" s="45"/>
      <c r="AJ981" s="44"/>
      <c r="AK981" s="43"/>
      <c r="AS981" s="14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  <c r="EW981" s="18"/>
      <c r="EX981" s="18"/>
      <c r="EY981" s="18"/>
      <c r="EZ981" s="18"/>
      <c r="FA981" s="18"/>
      <c r="FB981" s="18"/>
      <c r="FC981" s="18"/>
      <c r="FD981" s="18"/>
      <c r="FE981" s="18"/>
      <c r="FF981" s="18"/>
      <c r="FG981" s="18"/>
      <c r="FH981" s="18"/>
      <c r="FI981" s="18"/>
      <c r="FJ981" s="18"/>
      <c r="FK981" s="18"/>
      <c r="FL981" s="18"/>
      <c r="FM981" s="18"/>
      <c r="FN981" s="18"/>
      <c r="FO981" s="18"/>
      <c r="FP981" s="18"/>
      <c r="FQ981" s="18"/>
      <c r="FR981" s="18"/>
      <c r="FS981" s="18"/>
      <c r="FT981" s="18"/>
      <c r="FU981" s="18"/>
      <c r="FV981" s="18"/>
      <c r="FW981" s="18"/>
      <c r="FX981" s="18"/>
      <c r="FY981" s="18"/>
      <c r="FZ981" s="18"/>
      <c r="GA981" s="18"/>
      <c r="GB981" s="18"/>
      <c r="GC981" s="18"/>
      <c r="GD981" s="18"/>
      <c r="GE981" s="18"/>
      <c r="GF981" s="18"/>
      <c r="GG981" s="18"/>
      <c r="GH981" s="18"/>
      <c r="GI981" s="18"/>
      <c r="GJ981" s="18"/>
      <c r="GK981" s="18"/>
      <c r="GL981" s="18"/>
      <c r="GM981" s="18"/>
      <c r="GN981" s="18"/>
      <c r="GO981" s="18"/>
      <c r="GP981" s="18"/>
      <c r="GQ981" s="18"/>
      <c r="GR981" s="18"/>
      <c r="GS981" s="18"/>
      <c r="GT981" s="18"/>
      <c r="GU981" s="18"/>
      <c r="GV981" s="18"/>
      <c r="GW981" s="18"/>
      <c r="GX981" s="18"/>
      <c r="GY981" s="18"/>
      <c r="GZ981" s="18"/>
      <c r="HA981" s="18"/>
      <c r="HB981" s="18"/>
      <c r="HC981" s="18"/>
      <c r="HD981" s="18"/>
      <c r="HE981" s="18"/>
      <c r="HF981" s="18"/>
      <c r="HG981" s="13"/>
      <c r="HH981" s="13"/>
      <c r="HI981" s="13"/>
      <c r="HJ981" s="13"/>
      <c r="HK981" s="13"/>
      <c r="HL981" s="13"/>
      <c r="HM981" s="13"/>
      <c r="HN981" s="13"/>
      <c r="HO981" s="13"/>
      <c r="HP981" s="13"/>
      <c r="HQ981" s="13"/>
      <c r="HR981" s="13"/>
      <c r="HS981" s="13"/>
      <c r="HT981" s="13"/>
      <c r="HU981" s="18"/>
      <c r="HV981" s="18"/>
      <c r="HW981" s="18"/>
      <c r="HX981" s="18"/>
      <c r="HY981" s="18"/>
      <c r="HZ981" s="18"/>
      <c r="IA981" s="18"/>
      <c r="IB981" s="18"/>
      <c r="IC981" s="18"/>
      <c r="ID981" s="18"/>
      <c r="IE981" s="18"/>
      <c r="IF981" s="18"/>
      <c r="IG981" s="18"/>
      <c r="IH981" s="18"/>
      <c r="II981" s="18"/>
      <c r="IJ981" s="18"/>
      <c r="IK981" s="18"/>
      <c r="IL981" s="18"/>
      <c r="IM981" s="18"/>
      <c r="IN981" s="18"/>
      <c r="IO981" s="18"/>
      <c r="IP981" s="18"/>
      <c r="IQ981" s="18"/>
      <c r="IR981" s="18"/>
      <c r="IS981" s="18"/>
      <c r="IT981" s="18"/>
      <c r="IU981" s="18"/>
      <c r="IV981" s="18"/>
      <c r="IW981" s="18"/>
      <c r="IX981" s="18"/>
      <c r="IY981" s="18"/>
      <c r="IZ981" s="18"/>
      <c r="JA981" s="18"/>
      <c r="JB981" s="18"/>
      <c r="JC981" s="18"/>
      <c r="JD981" s="18"/>
      <c r="JE981" s="18"/>
      <c r="JF981" s="18"/>
      <c r="JG981" s="18"/>
      <c r="JH981" s="18"/>
      <c r="JI981" s="18"/>
      <c r="JJ981" s="18"/>
      <c r="JK981" s="18"/>
      <c r="JL981" s="18"/>
      <c r="JM981" s="18"/>
      <c r="JN981" s="18"/>
      <c r="JO981" s="18"/>
      <c r="JP981" s="18"/>
      <c r="JQ981" s="18"/>
      <c r="JR981" s="18"/>
      <c r="JS981" s="18"/>
      <c r="JT981" s="18"/>
      <c r="JU981" s="18"/>
      <c r="JV981" s="18"/>
      <c r="JW981" s="18"/>
      <c r="JX981" s="18"/>
      <c r="JY981" s="18"/>
      <c r="JZ981" s="18"/>
      <c r="KA981" s="18"/>
      <c r="KB981" s="18"/>
      <c r="KC981" s="18"/>
      <c r="KD981" s="18"/>
      <c r="KE981" s="18"/>
      <c r="KF981" s="18"/>
      <c r="KG981" s="18"/>
      <c r="KH981" s="18"/>
      <c r="KI981" s="18"/>
      <c r="KJ981" s="18"/>
      <c r="KK981" s="18"/>
      <c r="KL981" s="18"/>
      <c r="KM981" s="18"/>
      <c r="KN981" s="18"/>
      <c r="KO981" s="18"/>
      <c r="KP981" s="18"/>
    </row>
    <row r="982" spans="1:302">
      <c r="A982" s="14"/>
      <c r="B982" s="14"/>
      <c r="F982" s="14"/>
      <c r="G982" s="23"/>
      <c r="H982" s="23"/>
      <c r="I982" s="23"/>
      <c r="J982" s="23"/>
      <c r="K982" s="14"/>
      <c r="L982" s="14"/>
      <c r="P982" s="14"/>
      <c r="AG982" s="44"/>
      <c r="AH982" s="44"/>
      <c r="AI982" s="45"/>
      <c r="AJ982" s="44"/>
      <c r="AK982" s="43"/>
      <c r="AS982" s="14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  <c r="EW982" s="18"/>
      <c r="EX982" s="18"/>
      <c r="EY982" s="18"/>
      <c r="EZ982" s="18"/>
      <c r="FA982" s="18"/>
      <c r="FB982" s="18"/>
      <c r="FC982" s="18"/>
      <c r="FD982" s="18"/>
      <c r="FE982" s="18"/>
      <c r="FF982" s="18"/>
      <c r="FG982" s="18"/>
      <c r="FH982" s="18"/>
      <c r="FI982" s="18"/>
      <c r="FJ982" s="18"/>
      <c r="FK982" s="18"/>
      <c r="FL982" s="18"/>
      <c r="FM982" s="18"/>
      <c r="FN982" s="18"/>
      <c r="FO982" s="18"/>
      <c r="FP982" s="18"/>
      <c r="FQ982" s="18"/>
      <c r="FR982" s="18"/>
      <c r="FS982" s="18"/>
      <c r="FT982" s="18"/>
      <c r="FU982" s="18"/>
      <c r="FV982" s="18"/>
      <c r="FW982" s="18"/>
      <c r="FX982" s="18"/>
      <c r="FY982" s="18"/>
      <c r="FZ982" s="18"/>
      <c r="GA982" s="18"/>
      <c r="GB982" s="18"/>
      <c r="GC982" s="18"/>
      <c r="GD982" s="18"/>
      <c r="GE982" s="18"/>
      <c r="GF982" s="18"/>
      <c r="GG982" s="18"/>
      <c r="GH982" s="18"/>
      <c r="GI982" s="18"/>
      <c r="GJ982" s="18"/>
      <c r="GK982" s="18"/>
      <c r="GL982" s="18"/>
      <c r="GM982" s="18"/>
      <c r="GN982" s="18"/>
      <c r="GO982" s="18"/>
      <c r="GP982" s="18"/>
      <c r="GQ982" s="18"/>
      <c r="GR982" s="18"/>
      <c r="GS982" s="18"/>
      <c r="GT982" s="18"/>
      <c r="GU982" s="18"/>
      <c r="GV982" s="18"/>
      <c r="GW982" s="18"/>
      <c r="GX982" s="18"/>
      <c r="GY982" s="18"/>
      <c r="GZ982" s="18"/>
      <c r="HA982" s="18"/>
      <c r="HB982" s="18"/>
      <c r="HC982" s="18"/>
      <c r="HD982" s="18"/>
      <c r="HE982" s="18"/>
      <c r="HF982" s="18"/>
      <c r="HG982" s="13"/>
      <c r="HH982" s="13"/>
      <c r="HI982" s="13"/>
      <c r="HJ982" s="13"/>
      <c r="HK982" s="13"/>
      <c r="HL982" s="13"/>
      <c r="HM982" s="13"/>
      <c r="HN982" s="13"/>
      <c r="HO982" s="13"/>
      <c r="HP982" s="13"/>
      <c r="HQ982" s="13"/>
      <c r="HR982" s="13"/>
      <c r="HS982" s="13"/>
      <c r="HT982" s="13"/>
      <c r="HU982" s="18"/>
      <c r="HV982" s="18"/>
      <c r="HW982" s="18"/>
      <c r="HX982" s="18"/>
      <c r="HY982" s="18"/>
      <c r="HZ982" s="18"/>
      <c r="IA982" s="18"/>
      <c r="IB982" s="18"/>
      <c r="IC982" s="18"/>
      <c r="ID982" s="18"/>
      <c r="IE982" s="18"/>
      <c r="IF982" s="18"/>
      <c r="IG982" s="18"/>
      <c r="IH982" s="18"/>
      <c r="II982" s="18"/>
      <c r="IJ982" s="18"/>
      <c r="IK982" s="18"/>
      <c r="IL982" s="18"/>
      <c r="IM982" s="18"/>
      <c r="IN982" s="18"/>
      <c r="IO982" s="18"/>
      <c r="IP982" s="18"/>
      <c r="IQ982" s="18"/>
      <c r="IR982" s="18"/>
      <c r="IS982" s="18"/>
      <c r="IT982" s="18"/>
      <c r="IU982" s="18"/>
      <c r="IV982" s="18"/>
      <c r="IW982" s="18"/>
      <c r="IX982" s="18"/>
      <c r="IY982" s="18"/>
      <c r="IZ982" s="18"/>
      <c r="JA982" s="18"/>
      <c r="JB982" s="18"/>
      <c r="JC982" s="18"/>
      <c r="JD982" s="18"/>
      <c r="JE982" s="18"/>
      <c r="JF982" s="18"/>
      <c r="JG982" s="18"/>
      <c r="JH982" s="18"/>
      <c r="JI982" s="18"/>
      <c r="JJ982" s="18"/>
      <c r="JK982" s="18"/>
      <c r="JL982" s="18"/>
      <c r="JM982" s="18"/>
      <c r="JN982" s="18"/>
      <c r="JO982" s="18"/>
      <c r="JP982" s="18"/>
      <c r="JQ982" s="18"/>
      <c r="JR982" s="18"/>
      <c r="JS982" s="18"/>
      <c r="JT982" s="18"/>
      <c r="JU982" s="18"/>
      <c r="JV982" s="18"/>
      <c r="JW982" s="18"/>
      <c r="JX982" s="18"/>
      <c r="JY982" s="18"/>
      <c r="JZ982" s="18"/>
      <c r="KA982" s="18"/>
      <c r="KB982" s="18"/>
      <c r="KC982" s="18"/>
      <c r="KD982" s="18"/>
      <c r="KE982" s="18"/>
      <c r="KF982" s="18"/>
      <c r="KG982" s="18"/>
      <c r="KH982" s="18"/>
      <c r="KI982" s="18"/>
      <c r="KJ982" s="18"/>
      <c r="KK982" s="18"/>
      <c r="KL982" s="18"/>
      <c r="KM982" s="18"/>
      <c r="KN982" s="18"/>
      <c r="KO982" s="18"/>
      <c r="KP982" s="18"/>
    </row>
    <row r="983" spans="1:302">
      <c r="A983" s="14"/>
      <c r="B983" s="14"/>
      <c r="F983" s="14"/>
      <c r="G983" s="23"/>
      <c r="H983" s="23"/>
      <c r="I983" s="23"/>
      <c r="J983" s="23"/>
      <c r="K983" s="14"/>
      <c r="L983" s="14"/>
      <c r="P983" s="14"/>
      <c r="AG983" s="44"/>
      <c r="AH983" s="44"/>
      <c r="AI983" s="45"/>
      <c r="AJ983" s="44"/>
      <c r="AK983" s="43"/>
      <c r="AS983" s="14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  <c r="EW983" s="18"/>
      <c r="EX983" s="18"/>
      <c r="EY983" s="18"/>
      <c r="EZ983" s="18"/>
      <c r="FA983" s="18"/>
      <c r="FB983" s="18"/>
      <c r="FC983" s="18"/>
      <c r="FD983" s="18"/>
      <c r="FE983" s="18"/>
      <c r="FF983" s="18"/>
      <c r="FG983" s="18"/>
      <c r="FH983" s="18"/>
      <c r="FI983" s="18"/>
      <c r="FJ983" s="18"/>
      <c r="FK983" s="18"/>
      <c r="FL983" s="18"/>
      <c r="FM983" s="18"/>
      <c r="FN983" s="18"/>
      <c r="FO983" s="18"/>
      <c r="FP983" s="18"/>
      <c r="FQ983" s="18"/>
      <c r="FR983" s="18"/>
      <c r="FS983" s="18"/>
      <c r="FT983" s="18"/>
      <c r="FU983" s="18"/>
      <c r="FV983" s="18"/>
      <c r="FW983" s="18"/>
      <c r="FX983" s="18"/>
      <c r="FY983" s="18"/>
      <c r="FZ983" s="18"/>
      <c r="GA983" s="18"/>
      <c r="GB983" s="18"/>
      <c r="GC983" s="18"/>
      <c r="GD983" s="18"/>
      <c r="GE983" s="18"/>
      <c r="GF983" s="18"/>
      <c r="GG983" s="18"/>
      <c r="GH983" s="18"/>
      <c r="GI983" s="18"/>
      <c r="GJ983" s="18"/>
      <c r="GK983" s="18"/>
      <c r="GL983" s="18"/>
      <c r="GM983" s="18"/>
      <c r="GN983" s="18"/>
      <c r="GO983" s="18"/>
      <c r="GP983" s="18"/>
      <c r="GQ983" s="18"/>
      <c r="GR983" s="18"/>
      <c r="GS983" s="18"/>
      <c r="GT983" s="18"/>
      <c r="GU983" s="18"/>
      <c r="GV983" s="18"/>
      <c r="GW983" s="18"/>
      <c r="GX983" s="18"/>
      <c r="GY983" s="18"/>
      <c r="GZ983" s="18"/>
      <c r="HA983" s="18"/>
      <c r="HB983" s="18"/>
      <c r="HC983" s="18"/>
      <c r="HD983" s="18"/>
      <c r="HE983" s="18"/>
      <c r="HF983" s="18"/>
      <c r="HG983" s="13"/>
      <c r="HH983" s="13"/>
      <c r="HI983" s="13"/>
      <c r="HJ983" s="13"/>
      <c r="HK983" s="13"/>
      <c r="HL983" s="13"/>
      <c r="HM983" s="13"/>
      <c r="HN983" s="13"/>
      <c r="HO983" s="13"/>
      <c r="HP983" s="13"/>
      <c r="HQ983" s="13"/>
      <c r="HR983" s="13"/>
      <c r="HS983" s="13"/>
      <c r="HT983" s="13"/>
      <c r="HU983" s="18"/>
      <c r="HV983" s="18"/>
      <c r="HW983" s="18"/>
      <c r="HX983" s="18"/>
      <c r="HY983" s="18"/>
      <c r="HZ983" s="18"/>
      <c r="IA983" s="18"/>
      <c r="IB983" s="18"/>
      <c r="IC983" s="18"/>
      <c r="ID983" s="18"/>
      <c r="IE983" s="18"/>
      <c r="IF983" s="18"/>
      <c r="IG983" s="18"/>
      <c r="IH983" s="18"/>
      <c r="II983" s="18"/>
      <c r="IJ983" s="18"/>
      <c r="IK983" s="18"/>
      <c r="IL983" s="18"/>
      <c r="IM983" s="18"/>
      <c r="IN983" s="18"/>
      <c r="IO983" s="18"/>
      <c r="IP983" s="18"/>
      <c r="IQ983" s="18"/>
      <c r="IR983" s="18"/>
      <c r="IS983" s="18"/>
      <c r="IT983" s="18"/>
      <c r="IU983" s="18"/>
      <c r="IV983" s="18"/>
      <c r="IW983" s="18"/>
      <c r="IX983" s="18"/>
      <c r="IY983" s="18"/>
      <c r="IZ983" s="18"/>
      <c r="JA983" s="18"/>
      <c r="JB983" s="18"/>
      <c r="JC983" s="18"/>
      <c r="JD983" s="18"/>
      <c r="JE983" s="18"/>
      <c r="JF983" s="18"/>
      <c r="JG983" s="18"/>
      <c r="JH983" s="18"/>
      <c r="JI983" s="18"/>
      <c r="JJ983" s="18"/>
      <c r="JK983" s="18"/>
      <c r="JL983" s="18"/>
      <c r="JM983" s="18"/>
      <c r="JN983" s="18"/>
      <c r="JO983" s="18"/>
      <c r="JP983" s="18"/>
      <c r="JQ983" s="18"/>
      <c r="JR983" s="18"/>
      <c r="JS983" s="18"/>
      <c r="JT983" s="18"/>
      <c r="JU983" s="18"/>
      <c r="JV983" s="18"/>
      <c r="JW983" s="18"/>
      <c r="JX983" s="18"/>
      <c r="JY983" s="18"/>
      <c r="JZ983" s="18"/>
      <c r="KA983" s="18"/>
      <c r="KB983" s="18"/>
      <c r="KC983" s="18"/>
      <c r="KD983" s="18"/>
      <c r="KE983" s="18"/>
      <c r="KF983" s="18"/>
      <c r="KG983" s="18"/>
      <c r="KH983" s="18"/>
      <c r="KI983" s="18"/>
      <c r="KJ983" s="18"/>
      <c r="KK983" s="18"/>
      <c r="KL983" s="18"/>
      <c r="KM983" s="18"/>
      <c r="KN983" s="18"/>
      <c r="KO983" s="18"/>
      <c r="KP983" s="18"/>
    </row>
    <row r="984" spans="1:302">
      <c r="A984" s="14"/>
      <c r="B984" s="14"/>
      <c r="F984" s="14"/>
      <c r="G984" s="23"/>
      <c r="H984" s="23"/>
      <c r="I984" s="23"/>
      <c r="J984" s="23"/>
      <c r="K984" s="14"/>
      <c r="L984" s="14"/>
      <c r="P984" s="14"/>
      <c r="AG984" s="44"/>
      <c r="AH984" s="44"/>
      <c r="AI984" s="45"/>
      <c r="AJ984" s="44"/>
      <c r="AK984" s="43"/>
      <c r="AS984" s="14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  <c r="EW984" s="18"/>
      <c r="EX984" s="18"/>
      <c r="EY984" s="18"/>
      <c r="EZ984" s="18"/>
      <c r="FA984" s="18"/>
      <c r="FB984" s="18"/>
      <c r="FC984" s="18"/>
      <c r="FD984" s="18"/>
      <c r="FE984" s="18"/>
      <c r="FF984" s="18"/>
      <c r="FG984" s="18"/>
      <c r="FH984" s="18"/>
      <c r="FI984" s="18"/>
      <c r="FJ984" s="18"/>
      <c r="FK984" s="18"/>
      <c r="FL984" s="18"/>
      <c r="FM984" s="18"/>
      <c r="FN984" s="18"/>
      <c r="FO984" s="18"/>
      <c r="FP984" s="18"/>
      <c r="FQ984" s="18"/>
      <c r="FR984" s="18"/>
      <c r="FS984" s="18"/>
      <c r="FT984" s="18"/>
      <c r="FU984" s="18"/>
      <c r="FV984" s="18"/>
      <c r="FW984" s="18"/>
      <c r="FX984" s="18"/>
      <c r="FY984" s="18"/>
      <c r="FZ984" s="18"/>
      <c r="GA984" s="18"/>
      <c r="GB984" s="18"/>
      <c r="GC984" s="18"/>
      <c r="GD984" s="18"/>
      <c r="GE984" s="18"/>
      <c r="GF984" s="18"/>
      <c r="GG984" s="18"/>
      <c r="GH984" s="18"/>
      <c r="GI984" s="18"/>
      <c r="GJ984" s="18"/>
      <c r="GK984" s="18"/>
      <c r="GL984" s="18"/>
      <c r="GM984" s="18"/>
      <c r="GN984" s="18"/>
      <c r="GO984" s="18"/>
      <c r="GP984" s="18"/>
      <c r="GQ984" s="18"/>
      <c r="GR984" s="18"/>
      <c r="GS984" s="18"/>
      <c r="GT984" s="18"/>
      <c r="GU984" s="18"/>
      <c r="GV984" s="18"/>
      <c r="GW984" s="18"/>
      <c r="GX984" s="18"/>
      <c r="GY984" s="18"/>
      <c r="GZ984" s="18"/>
      <c r="HA984" s="18"/>
      <c r="HB984" s="18"/>
      <c r="HC984" s="18"/>
      <c r="HD984" s="18"/>
      <c r="HE984" s="18"/>
      <c r="HF984" s="18"/>
      <c r="HG984" s="13"/>
      <c r="HH984" s="13"/>
      <c r="HI984" s="13"/>
      <c r="HJ984" s="13"/>
      <c r="HK984" s="13"/>
      <c r="HL984" s="13"/>
      <c r="HM984" s="13"/>
      <c r="HN984" s="13"/>
      <c r="HO984" s="13"/>
      <c r="HP984" s="13"/>
      <c r="HQ984" s="13"/>
      <c r="HR984" s="13"/>
      <c r="HS984" s="13"/>
      <c r="HT984" s="13"/>
      <c r="HU984" s="18"/>
      <c r="HV984" s="18"/>
      <c r="HW984" s="18"/>
      <c r="HX984" s="18"/>
      <c r="HY984" s="18"/>
      <c r="HZ984" s="18"/>
      <c r="IA984" s="18"/>
      <c r="IB984" s="18"/>
      <c r="IC984" s="18"/>
      <c r="ID984" s="18"/>
      <c r="IE984" s="18"/>
      <c r="IF984" s="18"/>
      <c r="IG984" s="18"/>
      <c r="IH984" s="18"/>
      <c r="II984" s="18"/>
      <c r="IJ984" s="18"/>
      <c r="IK984" s="18"/>
      <c r="IL984" s="18"/>
      <c r="IM984" s="18"/>
      <c r="IN984" s="18"/>
      <c r="IO984" s="18"/>
      <c r="IP984" s="18"/>
      <c r="IQ984" s="18"/>
      <c r="IR984" s="18"/>
      <c r="IS984" s="18"/>
      <c r="IT984" s="18"/>
      <c r="IU984" s="18"/>
      <c r="IV984" s="18"/>
      <c r="IW984" s="18"/>
      <c r="IX984" s="18"/>
      <c r="IY984" s="18"/>
      <c r="IZ984" s="18"/>
      <c r="JA984" s="18"/>
      <c r="JB984" s="18"/>
      <c r="JC984" s="18"/>
      <c r="JD984" s="18"/>
      <c r="JE984" s="18"/>
      <c r="JF984" s="18"/>
      <c r="JG984" s="18"/>
      <c r="JH984" s="18"/>
      <c r="JI984" s="18"/>
      <c r="JJ984" s="18"/>
      <c r="JK984" s="18"/>
      <c r="JL984" s="18"/>
      <c r="JM984" s="18"/>
      <c r="JN984" s="18"/>
      <c r="JO984" s="18"/>
      <c r="JP984" s="18"/>
      <c r="JQ984" s="18"/>
      <c r="JR984" s="18"/>
      <c r="JS984" s="18"/>
      <c r="JT984" s="18"/>
      <c r="JU984" s="18"/>
      <c r="JV984" s="18"/>
      <c r="JW984" s="18"/>
      <c r="JX984" s="18"/>
      <c r="JY984" s="18"/>
      <c r="JZ984" s="18"/>
      <c r="KA984" s="18"/>
      <c r="KB984" s="18"/>
      <c r="KC984" s="18"/>
      <c r="KD984" s="18"/>
      <c r="KE984" s="18"/>
      <c r="KF984" s="18"/>
      <c r="KG984" s="18"/>
      <c r="KH984" s="18"/>
      <c r="KI984" s="18"/>
      <c r="KJ984" s="18"/>
      <c r="KK984" s="18"/>
      <c r="KL984" s="18"/>
      <c r="KM984" s="18"/>
      <c r="KN984" s="18"/>
      <c r="KO984" s="18"/>
      <c r="KP984" s="18"/>
    </row>
    <row r="985" spans="1:302">
      <c r="A985" s="14"/>
      <c r="B985" s="14"/>
      <c r="F985" s="14"/>
      <c r="G985" s="23"/>
      <c r="H985" s="23"/>
      <c r="I985" s="23"/>
      <c r="J985" s="23"/>
      <c r="K985" s="14"/>
      <c r="L985" s="14"/>
      <c r="P985" s="14"/>
      <c r="AG985" s="44"/>
      <c r="AH985" s="44"/>
      <c r="AI985" s="45"/>
      <c r="AJ985" s="44"/>
      <c r="AK985" s="43"/>
      <c r="AS985" s="14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  <c r="EW985" s="18"/>
      <c r="EX985" s="18"/>
      <c r="EY985" s="18"/>
      <c r="EZ985" s="18"/>
      <c r="FA985" s="18"/>
      <c r="FB985" s="18"/>
      <c r="FC985" s="18"/>
      <c r="FD985" s="18"/>
      <c r="FE985" s="18"/>
      <c r="FF985" s="18"/>
      <c r="FG985" s="18"/>
      <c r="FH985" s="18"/>
      <c r="FI985" s="18"/>
      <c r="FJ985" s="18"/>
      <c r="FK985" s="18"/>
      <c r="FL985" s="18"/>
      <c r="FM985" s="18"/>
      <c r="FN985" s="18"/>
      <c r="FO985" s="18"/>
      <c r="FP985" s="18"/>
      <c r="FQ985" s="18"/>
      <c r="FR985" s="18"/>
      <c r="FS985" s="18"/>
      <c r="FT985" s="18"/>
      <c r="FU985" s="18"/>
      <c r="FV985" s="18"/>
      <c r="FW985" s="18"/>
      <c r="FX985" s="18"/>
      <c r="FY985" s="18"/>
      <c r="FZ985" s="18"/>
      <c r="GA985" s="18"/>
      <c r="GB985" s="18"/>
      <c r="GC985" s="18"/>
      <c r="GD985" s="18"/>
      <c r="GE985" s="18"/>
      <c r="GF985" s="18"/>
      <c r="GG985" s="18"/>
      <c r="GH985" s="18"/>
      <c r="GI985" s="18"/>
      <c r="GJ985" s="18"/>
      <c r="GK985" s="18"/>
      <c r="GL985" s="18"/>
      <c r="GM985" s="18"/>
      <c r="GN985" s="18"/>
      <c r="GO985" s="18"/>
      <c r="GP985" s="18"/>
      <c r="GQ985" s="18"/>
      <c r="GR985" s="18"/>
      <c r="GS985" s="18"/>
      <c r="GT985" s="18"/>
      <c r="GU985" s="18"/>
      <c r="GV985" s="18"/>
      <c r="GW985" s="18"/>
      <c r="GX985" s="18"/>
      <c r="GY985" s="18"/>
      <c r="GZ985" s="18"/>
      <c r="HA985" s="18"/>
      <c r="HB985" s="18"/>
      <c r="HC985" s="18"/>
      <c r="HD985" s="18"/>
      <c r="HE985" s="18"/>
      <c r="HF985" s="18"/>
      <c r="HG985" s="13"/>
      <c r="HH985" s="13"/>
      <c r="HI985" s="13"/>
      <c r="HJ985" s="13"/>
      <c r="HK985" s="13"/>
      <c r="HL985" s="13"/>
      <c r="HM985" s="13"/>
      <c r="HN985" s="13"/>
      <c r="HO985" s="13"/>
      <c r="HP985" s="13"/>
      <c r="HQ985" s="13"/>
      <c r="HR985" s="13"/>
      <c r="HS985" s="13"/>
      <c r="HT985" s="13"/>
      <c r="HU985" s="18"/>
      <c r="HV985" s="18"/>
      <c r="HW985" s="18"/>
      <c r="HX985" s="18"/>
      <c r="HY985" s="18"/>
      <c r="HZ985" s="18"/>
      <c r="IA985" s="18"/>
      <c r="IB985" s="18"/>
      <c r="IC985" s="18"/>
      <c r="ID985" s="18"/>
      <c r="IE985" s="18"/>
      <c r="IF985" s="18"/>
      <c r="IG985" s="18"/>
      <c r="IH985" s="18"/>
      <c r="II985" s="18"/>
      <c r="IJ985" s="18"/>
      <c r="IK985" s="18"/>
      <c r="IL985" s="18"/>
      <c r="IM985" s="18"/>
      <c r="IN985" s="18"/>
      <c r="IO985" s="18"/>
      <c r="IP985" s="18"/>
      <c r="IQ985" s="18"/>
      <c r="IR985" s="18"/>
      <c r="IS985" s="18"/>
      <c r="IT985" s="18"/>
      <c r="IU985" s="18"/>
      <c r="IV985" s="18"/>
      <c r="IW985" s="18"/>
      <c r="IX985" s="18"/>
      <c r="IY985" s="18"/>
      <c r="IZ985" s="18"/>
      <c r="JA985" s="18"/>
      <c r="JB985" s="18"/>
      <c r="JC985" s="18"/>
      <c r="JD985" s="18"/>
      <c r="JE985" s="18"/>
      <c r="JF985" s="18"/>
      <c r="JG985" s="18"/>
      <c r="JH985" s="18"/>
      <c r="JI985" s="18"/>
      <c r="JJ985" s="18"/>
      <c r="JK985" s="18"/>
      <c r="JL985" s="18"/>
      <c r="JM985" s="18"/>
      <c r="JN985" s="18"/>
      <c r="JO985" s="18"/>
      <c r="JP985" s="18"/>
      <c r="JQ985" s="18"/>
      <c r="JR985" s="18"/>
      <c r="JS985" s="18"/>
      <c r="JT985" s="18"/>
      <c r="JU985" s="18"/>
      <c r="JV985" s="18"/>
      <c r="JW985" s="18"/>
      <c r="JX985" s="18"/>
      <c r="JY985" s="18"/>
      <c r="JZ985" s="18"/>
      <c r="KA985" s="18"/>
      <c r="KB985" s="18"/>
      <c r="KC985" s="18"/>
      <c r="KD985" s="18"/>
      <c r="KE985" s="18"/>
      <c r="KF985" s="18"/>
      <c r="KG985" s="18"/>
      <c r="KH985" s="18"/>
      <c r="KI985" s="18"/>
      <c r="KJ985" s="18"/>
      <c r="KK985" s="18"/>
      <c r="KL985" s="18"/>
      <c r="KM985" s="18"/>
      <c r="KN985" s="18"/>
      <c r="KO985" s="18"/>
      <c r="KP985" s="18"/>
    </row>
    <row r="986" spans="1:302">
      <c r="A986" s="14"/>
      <c r="B986" s="14"/>
      <c r="F986" s="14"/>
      <c r="G986" s="23"/>
      <c r="H986" s="23"/>
      <c r="I986" s="23"/>
      <c r="J986" s="23"/>
      <c r="K986" s="14"/>
      <c r="L986" s="14"/>
      <c r="P986" s="14"/>
      <c r="AG986" s="44"/>
      <c r="AH986" s="44"/>
      <c r="AI986" s="45"/>
      <c r="AJ986" s="44"/>
      <c r="AK986" s="43"/>
      <c r="AS986" s="14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  <c r="EW986" s="18"/>
      <c r="EX986" s="18"/>
      <c r="EY986" s="18"/>
      <c r="EZ986" s="18"/>
      <c r="FA986" s="18"/>
      <c r="FB986" s="18"/>
      <c r="FC986" s="18"/>
      <c r="FD986" s="18"/>
      <c r="FE986" s="18"/>
      <c r="FF986" s="18"/>
      <c r="FG986" s="18"/>
      <c r="FH986" s="18"/>
      <c r="FI986" s="18"/>
      <c r="FJ986" s="18"/>
      <c r="FK986" s="18"/>
      <c r="FL986" s="18"/>
      <c r="FM986" s="18"/>
      <c r="FN986" s="18"/>
      <c r="FO986" s="18"/>
      <c r="FP986" s="18"/>
      <c r="FQ986" s="18"/>
      <c r="FR986" s="18"/>
      <c r="FS986" s="18"/>
      <c r="FT986" s="18"/>
      <c r="FU986" s="18"/>
      <c r="FV986" s="18"/>
      <c r="FW986" s="18"/>
      <c r="FX986" s="18"/>
      <c r="FY986" s="18"/>
      <c r="FZ986" s="18"/>
      <c r="GA986" s="18"/>
      <c r="GB986" s="18"/>
      <c r="GC986" s="18"/>
      <c r="GD986" s="18"/>
      <c r="GE986" s="18"/>
      <c r="GF986" s="18"/>
      <c r="GG986" s="18"/>
      <c r="GH986" s="18"/>
      <c r="GI986" s="18"/>
      <c r="GJ986" s="18"/>
      <c r="GK986" s="18"/>
      <c r="GL986" s="18"/>
      <c r="GM986" s="18"/>
      <c r="GN986" s="18"/>
      <c r="GO986" s="18"/>
      <c r="GP986" s="18"/>
      <c r="GQ986" s="18"/>
      <c r="GR986" s="18"/>
      <c r="GS986" s="18"/>
      <c r="GT986" s="18"/>
      <c r="GU986" s="18"/>
      <c r="GV986" s="18"/>
      <c r="GW986" s="18"/>
      <c r="GX986" s="18"/>
      <c r="GY986" s="18"/>
      <c r="GZ986" s="18"/>
      <c r="HA986" s="18"/>
      <c r="HB986" s="18"/>
      <c r="HC986" s="18"/>
      <c r="HD986" s="18"/>
      <c r="HE986" s="18"/>
      <c r="HF986" s="18"/>
      <c r="HG986" s="13"/>
      <c r="HH986" s="13"/>
      <c r="HI986" s="13"/>
      <c r="HJ986" s="13"/>
      <c r="HK986" s="13"/>
      <c r="HL986" s="13"/>
      <c r="HM986" s="13"/>
      <c r="HN986" s="13"/>
      <c r="HO986" s="13"/>
      <c r="HP986" s="13"/>
      <c r="HQ986" s="13"/>
      <c r="HR986" s="13"/>
      <c r="HS986" s="13"/>
      <c r="HT986" s="13"/>
      <c r="HU986" s="18"/>
      <c r="HV986" s="18"/>
      <c r="HW986" s="18"/>
      <c r="HX986" s="18"/>
      <c r="HY986" s="18"/>
      <c r="HZ986" s="18"/>
      <c r="IA986" s="18"/>
      <c r="IB986" s="18"/>
      <c r="IC986" s="18"/>
      <c r="ID986" s="18"/>
      <c r="IE986" s="18"/>
      <c r="IF986" s="18"/>
      <c r="IG986" s="18"/>
      <c r="IH986" s="18"/>
      <c r="II986" s="18"/>
      <c r="IJ986" s="18"/>
      <c r="IK986" s="18"/>
      <c r="IL986" s="18"/>
      <c r="IM986" s="18"/>
      <c r="IN986" s="18"/>
      <c r="IO986" s="18"/>
      <c r="IP986" s="18"/>
      <c r="IQ986" s="18"/>
      <c r="IR986" s="18"/>
      <c r="IS986" s="18"/>
      <c r="IT986" s="18"/>
      <c r="IU986" s="18"/>
      <c r="IV986" s="18"/>
      <c r="IW986" s="18"/>
      <c r="IX986" s="18"/>
      <c r="IY986" s="18"/>
      <c r="IZ986" s="18"/>
      <c r="JA986" s="18"/>
      <c r="JB986" s="18"/>
      <c r="JC986" s="18"/>
      <c r="JD986" s="18"/>
      <c r="JE986" s="18"/>
      <c r="JF986" s="18"/>
      <c r="JG986" s="18"/>
      <c r="JH986" s="18"/>
      <c r="JI986" s="18"/>
      <c r="JJ986" s="18"/>
      <c r="JK986" s="18"/>
      <c r="JL986" s="18"/>
      <c r="JM986" s="18"/>
      <c r="JN986" s="18"/>
      <c r="JO986" s="18"/>
      <c r="JP986" s="18"/>
      <c r="JQ986" s="18"/>
      <c r="JR986" s="18"/>
      <c r="JS986" s="18"/>
      <c r="JT986" s="18"/>
      <c r="JU986" s="18"/>
      <c r="JV986" s="18"/>
      <c r="JW986" s="18"/>
      <c r="JX986" s="18"/>
      <c r="JY986" s="18"/>
      <c r="JZ986" s="18"/>
      <c r="KA986" s="18"/>
      <c r="KB986" s="18"/>
      <c r="KC986" s="18"/>
      <c r="KD986" s="18"/>
      <c r="KE986" s="18"/>
      <c r="KF986" s="18"/>
      <c r="KG986" s="18"/>
      <c r="KH986" s="18"/>
      <c r="KI986" s="18"/>
      <c r="KJ986" s="18"/>
      <c r="KK986" s="18"/>
      <c r="KL986" s="18"/>
      <c r="KM986" s="18"/>
      <c r="KN986" s="18"/>
      <c r="KO986" s="18"/>
      <c r="KP986" s="18"/>
    </row>
    <row r="987" spans="1:302">
      <c r="A987" s="14"/>
      <c r="B987" s="14"/>
      <c r="F987" s="14"/>
      <c r="G987" s="23"/>
      <c r="H987" s="23"/>
      <c r="I987" s="23"/>
      <c r="J987" s="23"/>
      <c r="K987" s="14"/>
      <c r="L987" s="14"/>
      <c r="P987" s="14"/>
      <c r="AG987" s="44"/>
      <c r="AH987" s="44"/>
      <c r="AI987" s="45"/>
      <c r="AJ987" s="44"/>
      <c r="AK987" s="43"/>
      <c r="AS987" s="14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  <c r="EW987" s="18"/>
      <c r="EX987" s="18"/>
      <c r="EY987" s="18"/>
      <c r="EZ987" s="18"/>
      <c r="FA987" s="18"/>
      <c r="FB987" s="18"/>
      <c r="FC987" s="18"/>
      <c r="FD987" s="18"/>
      <c r="FE987" s="18"/>
      <c r="FF987" s="18"/>
      <c r="FG987" s="18"/>
      <c r="FH987" s="18"/>
      <c r="FI987" s="18"/>
      <c r="FJ987" s="18"/>
      <c r="FK987" s="18"/>
      <c r="FL987" s="18"/>
      <c r="FM987" s="18"/>
      <c r="FN987" s="18"/>
      <c r="FO987" s="18"/>
      <c r="FP987" s="18"/>
      <c r="FQ987" s="18"/>
      <c r="FR987" s="18"/>
      <c r="FS987" s="18"/>
      <c r="FT987" s="18"/>
      <c r="FU987" s="18"/>
      <c r="FV987" s="18"/>
      <c r="FW987" s="18"/>
      <c r="FX987" s="18"/>
      <c r="FY987" s="18"/>
      <c r="FZ987" s="18"/>
      <c r="GA987" s="18"/>
      <c r="GB987" s="18"/>
      <c r="GC987" s="18"/>
      <c r="GD987" s="18"/>
      <c r="GE987" s="18"/>
      <c r="GF987" s="18"/>
      <c r="GG987" s="18"/>
      <c r="GH987" s="18"/>
      <c r="GI987" s="18"/>
      <c r="GJ987" s="18"/>
      <c r="GK987" s="18"/>
      <c r="GL987" s="18"/>
      <c r="GM987" s="18"/>
      <c r="GN987" s="18"/>
      <c r="GO987" s="18"/>
      <c r="GP987" s="18"/>
      <c r="GQ987" s="18"/>
      <c r="GR987" s="18"/>
      <c r="GS987" s="18"/>
      <c r="GT987" s="18"/>
      <c r="GU987" s="18"/>
      <c r="GV987" s="18"/>
      <c r="GW987" s="18"/>
      <c r="GX987" s="18"/>
      <c r="GY987" s="18"/>
      <c r="GZ987" s="18"/>
      <c r="HA987" s="18"/>
      <c r="HB987" s="18"/>
      <c r="HC987" s="18"/>
      <c r="HD987" s="18"/>
      <c r="HE987" s="18"/>
      <c r="HF987" s="18"/>
      <c r="HG987" s="13"/>
      <c r="HH987" s="13"/>
      <c r="HI987" s="13"/>
      <c r="HJ987" s="13"/>
      <c r="HK987" s="13"/>
      <c r="HL987" s="13"/>
      <c r="HM987" s="13"/>
      <c r="HN987" s="13"/>
      <c r="HO987" s="13"/>
      <c r="HP987" s="13"/>
      <c r="HQ987" s="13"/>
      <c r="HR987" s="13"/>
      <c r="HS987" s="13"/>
      <c r="HT987" s="13"/>
      <c r="HU987" s="18"/>
      <c r="HV987" s="18"/>
      <c r="HW987" s="18"/>
      <c r="HX987" s="18"/>
      <c r="HY987" s="18"/>
      <c r="HZ987" s="18"/>
      <c r="IA987" s="18"/>
      <c r="IB987" s="18"/>
      <c r="IC987" s="18"/>
      <c r="ID987" s="18"/>
      <c r="IE987" s="18"/>
      <c r="IF987" s="18"/>
      <c r="IG987" s="18"/>
      <c r="IH987" s="18"/>
      <c r="II987" s="18"/>
      <c r="IJ987" s="18"/>
      <c r="IK987" s="18"/>
      <c r="IL987" s="18"/>
      <c r="IM987" s="18"/>
      <c r="IN987" s="18"/>
      <c r="IO987" s="18"/>
      <c r="IP987" s="18"/>
      <c r="IQ987" s="18"/>
      <c r="IR987" s="18"/>
      <c r="IS987" s="18"/>
      <c r="IT987" s="18"/>
      <c r="IU987" s="18"/>
      <c r="IV987" s="18"/>
      <c r="IW987" s="18"/>
      <c r="IX987" s="18"/>
      <c r="IY987" s="18"/>
      <c r="IZ987" s="18"/>
      <c r="JA987" s="18"/>
      <c r="JB987" s="18"/>
      <c r="JC987" s="18"/>
      <c r="JD987" s="18"/>
      <c r="JE987" s="18"/>
      <c r="JF987" s="18"/>
      <c r="JG987" s="18"/>
      <c r="JH987" s="18"/>
      <c r="JI987" s="18"/>
      <c r="JJ987" s="18"/>
      <c r="JK987" s="18"/>
      <c r="JL987" s="18"/>
      <c r="JM987" s="18"/>
      <c r="JN987" s="18"/>
      <c r="JO987" s="18"/>
      <c r="JP987" s="18"/>
      <c r="JQ987" s="18"/>
      <c r="JR987" s="18"/>
      <c r="JS987" s="18"/>
      <c r="JT987" s="18"/>
      <c r="JU987" s="18"/>
      <c r="JV987" s="18"/>
      <c r="JW987" s="18"/>
      <c r="JX987" s="18"/>
      <c r="JY987" s="18"/>
      <c r="JZ987" s="18"/>
      <c r="KA987" s="18"/>
      <c r="KB987" s="18"/>
      <c r="KC987" s="18"/>
      <c r="KD987" s="18"/>
      <c r="KE987" s="18"/>
      <c r="KF987" s="18"/>
      <c r="KG987" s="18"/>
      <c r="KH987" s="18"/>
      <c r="KI987" s="18"/>
      <c r="KJ987" s="18"/>
      <c r="KK987" s="18"/>
      <c r="KL987" s="18"/>
      <c r="KM987" s="18"/>
      <c r="KN987" s="18"/>
      <c r="KO987" s="18"/>
      <c r="KP987" s="18"/>
    </row>
    <row r="988" spans="1:302">
      <c r="A988" s="14"/>
      <c r="B988" s="14"/>
      <c r="F988" s="14"/>
      <c r="G988" s="23"/>
      <c r="H988" s="23"/>
      <c r="I988" s="23"/>
      <c r="J988" s="23"/>
      <c r="K988" s="14"/>
      <c r="L988" s="14"/>
      <c r="P988" s="14"/>
      <c r="AG988" s="44"/>
      <c r="AH988" s="44"/>
      <c r="AI988" s="45"/>
      <c r="AJ988" s="44"/>
      <c r="AK988" s="43"/>
      <c r="AS988" s="14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  <c r="EW988" s="18"/>
      <c r="EX988" s="18"/>
      <c r="EY988" s="18"/>
      <c r="EZ988" s="18"/>
      <c r="FA988" s="18"/>
      <c r="FB988" s="18"/>
      <c r="FC988" s="18"/>
      <c r="FD988" s="18"/>
      <c r="FE988" s="18"/>
      <c r="FF988" s="18"/>
      <c r="FG988" s="18"/>
      <c r="FH988" s="18"/>
      <c r="FI988" s="18"/>
      <c r="FJ988" s="18"/>
      <c r="FK988" s="18"/>
      <c r="FL988" s="18"/>
      <c r="FM988" s="18"/>
      <c r="FN988" s="18"/>
      <c r="FO988" s="18"/>
      <c r="FP988" s="18"/>
      <c r="FQ988" s="18"/>
      <c r="FR988" s="18"/>
      <c r="FS988" s="18"/>
      <c r="FT988" s="18"/>
      <c r="FU988" s="18"/>
      <c r="FV988" s="18"/>
      <c r="FW988" s="18"/>
      <c r="FX988" s="18"/>
      <c r="FY988" s="18"/>
      <c r="FZ988" s="18"/>
      <c r="GA988" s="18"/>
      <c r="GB988" s="18"/>
      <c r="GC988" s="18"/>
      <c r="GD988" s="18"/>
      <c r="GE988" s="18"/>
      <c r="GF988" s="18"/>
      <c r="GG988" s="18"/>
      <c r="GH988" s="18"/>
      <c r="GI988" s="18"/>
      <c r="GJ988" s="18"/>
      <c r="GK988" s="18"/>
      <c r="GL988" s="18"/>
      <c r="GM988" s="18"/>
      <c r="GN988" s="18"/>
      <c r="GO988" s="18"/>
      <c r="GP988" s="18"/>
      <c r="GQ988" s="18"/>
      <c r="GR988" s="18"/>
      <c r="GS988" s="18"/>
      <c r="GT988" s="18"/>
      <c r="GU988" s="18"/>
      <c r="GV988" s="18"/>
      <c r="GW988" s="18"/>
      <c r="GX988" s="18"/>
      <c r="GY988" s="18"/>
      <c r="GZ988" s="18"/>
      <c r="HA988" s="18"/>
      <c r="HB988" s="18"/>
      <c r="HC988" s="18"/>
      <c r="HD988" s="18"/>
      <c r="HE988" s="18"/>
      <c r="HF988" s="18"/>
      <c r="HG988" s="13"/>
      <c r="HH988" s="13"/>
      <c r="HI988" s="13"/>
      <c r="HJ988" s="13"/>
      <c r="HK988" s="13"/>
      <c r="HL988" s="13"/>
      <c r="HM988" s="13"/>
      <c r="HN988" s="13"/>
      <c r="HO988" s="13"/>
      <c r="HP988" s="13"/>
      <c r="HQ988" s="13"/>
      <c r="HR988" s="13"/>
      <c r="HS988" s="13"/>
      <c r="HT988" s="13"/>
      <c r="HU988" s="18"/>
      <c r="HV988" s="18"/>
      <c r="HW988" s="18"/>
      <c r="HX988" s="18"/>
      <c r="HY988" s="18"/>
      <c r="HZ988" s="18"/>
      <c r="IA988" s="18"/>
      <c r="IB988" s="18"/>
      <c r="IC988" s="18"/>
      <c r="ID988" s="18"/>
      <c r="IE988" s="18"/>
      <c r="IF988" s="18"/>
      <c r="IG988" s="18"/>
      <c r="IH988" s="18"/>
      <c r="II988" s="18"/>
      <c r="IJ988" s="18"/>
      <c r="IK988" s="18"/>
      <c r="IL988" s="18"/>
      <c r="IM988" s="18"/>
      <c r="IN988" s="18"/>
      <c r="IO988" s="18"/>
      <c r="IP988" s="18"/>
      <c r="IQ988" s="18"/>
      <c r="IR988" s="18"/>
      <c r="IS988" s="18"/>
      <c r="IT988" s="18"/>
      <c r="IU988" s="18"/>
      <c r="IV988" s="18"/>
      <c r="IW988" s="18"/>
      <c r="IX988" s="18"/>
      <c r="IY988" s="18"/>
      <c r="IZ988" s="18"/>
      <c r="JA988" s="18"/>
      <c r="JB988" s="18"/>
      <c r="JC988" s="18"/>
      <c r="JD988" s="18"/>
      <c r="JE988" s="18"/>
      <c r="JF988" s="18"/>
      <c r="JG988" s="18"/>
      <c r="JH988" s="18"/>
      <c r="JI988" s="18"/>
      <c r="JJ988" s="18"/>
      <c r="JK988" s="18"/>
      <c r="JL988" s="18"/>
      <c r="JM988" s="18"/>
      <c r="JN988" s="18"/>
      <c r="JO988" s="18"/>
      <c r="JP988" s="18"/>
      <c r="JQ988" s="18"/>
      <c r="JR988" s="18"/>
      <c r="JS988" s="18"/>
      <c r="JT988" s="18"/>
      <c r="JU988" s="18"/>
      <c r="JV988" s="18"/>
      <c r="JW988" s="18"/>
      <c r="JX988" s="18"/>
      <c r="JY988" s="18"/>
      <c r="JZ988" s="18"/>
      <c r="KA988" s="18"/>
      <c r="KB988" s="18"/>
      <c r="KC988" s="18"/>
      <c r="KD988" s="18"/>
      <c r="KE988" s="18"/>
      <c r="KF988" s="18"/>
      <c r="KG988" s="18"/>
      <c r="KH988" s="18"/>
      <c r="KI988" s="18"/>
      <c r="KJ988" s="18"/>
      <c r="KK988" s="18"/>
      <c r="KL988" s="18"/>
      <c r="KM988" s="18"/>
      <c r="KN988" s="18"/>
      <c r="KO988" s="18"/>
      <c r="KP988" s="18"/>
    </row>
    <row r="989" spans="1:302">
      <c r="A989" s="14"/>
      <c r="B989" s="14"/>
      <c r="F989" s="14"/>
      <c r="G989" s="23"/>
      <c r="H989" s="23"/>
      <c r="I989" s="23"/>
      <c r="J989" s="23"/>
      <c r="K989" s="14"/>
      <c r="L989" s="14"/>
      <c r="P989" s="14"/>
      <c r="AG989" s="44"/>
      <c r="AH989" s="44"/>
      <c r="AI989" s="45"/>
      <c r="AJ989" s="44"/>
      <c r="AK989" s="43"/>
      <c r="AS989" s="14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  <c r="EW989" s="18"/>
      <c r="EX989" s="18"/>
      <c r="EY989" s="18"/>
      <c r="EZ989" s="18"/>
      <c r="FA989" s="18"/>
      <c r="FB989" s="18"/>
      <c r="FC989" s="18"/>
      <c r="FD989" s="18"/>
      <c r="FE989" s="18"/>
      <c r="FF989" s="18"/>
      <c r="FG989" s="18"/>
      <c r="FH989" s="18"/>
      <c r="FI989" s="18"/>
      <c r="FJ989" s="18"/>
      <c r="FK989" s="18"/>
      <c r="FL989" s="18"/>
      <c r="FM989" s="18"/>
      <c r="FN989" s="18"/>
      <c r="FO989" s="18"/>
      <c r="FP989" s="18"/>
      <c r="FQ989" s="18"/>
      <c r="FR989" s="18"/>
      <c r="FS989" s="18"/>
      <c r="FT989" s="18"/>
      <c r="FU989" s="18"/>
      <c r="FV989" s="18"/>
      <c r="FW989" s="18"/>
      <c r="FX989" s="18"/>
      <c r="FY989" s="18"/>
      <c r="FZ989" s="18"/>
      <c r="GA989" s="18"/>
      <c r="GB989" s="18"/>
      <c r="GC989" s="18"/>
      <c r="GD989" s="18"/>
      <c r="GE989" s="18"/>
      <c r="GF989" s="18"/>
      <c r="GG989" s="18"/>
      <c r="GH989" s="18"/>
      <c r="GI989" s="18"/>
      <c r="GJ989" s="18"/>
      <c r="GK989" s="18"/>
      <c r="GL989" s="18"/>
      <c r="GM989" s="18"/>
      <c r="GN989" s="18"/>
      <c r="GO989" s="18"/>
      <c r="GP989" s="18"/>
      <c r="GQ989" s="18"/>
      <c r="GR989" s="18"/>
      <c r="GS989" s="18"/>
      <c r="GT989" s="18"/>
      <c r="GU989" s="18"/>
      <c r="GV989" s="18"/>
      <c r="GW989" s="18"/>
      <c r="GX989" s="18"/>
      <c r="GY989" s="18"/>
      <c r="GZ989" s="18"/>
      <c r="HA989" s="18"/>
      <c r="HB989" s="18"/>
      <c r="HC989" s="18"/>
      <c r="HD989" s="18"/>
      <c r="HE989" s="18"/>
      <c r="HF989" s="18"/>
      <c r="HG989" s="13"/>
      <c r="HH989" s="13"/>
      <c r="HI989" s="13"/>
      <c r="HJ989" s="13"/>
      <c r="HK989" s="13"/>
      <c r="HL989" s="13"/>
      <c r="HM989" s="13"/>
      <c r="HN989" s="13"/>
      <c r="HO989" s="13"/>
      <c r="HP989" s="13"/>
      <c r="HQ989" s="13"/>
      <c r="HR989" s="13"/>
      <c r="HS989" s="13"/>
      <c r="HT989" s="13"/>
      <c r="HU989" s="18"/>
      <c r="HV989" s="18"/>
      <c r="HW989" s="18"/>
      <c r="HX989" s="18"/>
      <c r="HY989" s="18"/>
      <c r="HZ989" s="18"/>
      <c r="IA989" s="18"/>
      <c r="IB989" s="18"/>
      <c r="IC989" s="18"/>
      <c r="ID989" s="18"/>
      <c r="IE989" s="18"/>
      <c r="IF989" s="18"/>
      <c r="IG989" s="18"/>
      <c r="IH989" s="18"/>
      <c r="II989" s="18"/>
      <c r="IJ989" s="18"/>
      <c r="IK989" s="18"/>
      <c r="IL989" s="18"/>
      <c r="IM989" s="18"/>
      <c r="IN989" s="18"/>
      <c r="IO989" s="18"/>
      <c r="IP989" s="18"/>
      <c r="IQ989" s="18"/>
      <c r="IR989" s="18"/>
      <c r="IS989" s="18"/>
      <c r="IT989" s="18"/>
      <c r="IU989" s="18"/>
      <c r="IV989" s="18"/>
      <c r="IW989" s="18"/>
      <c r="IX989" s="18"/>
      <c r="IY989" s="18"/>
      <c r="IZ989" s="18"/>
      <c r="JA989" s="18"/>
      <c r="JB989" s="18"/>
      <c r="JC989" s="18"/>
      <c r="JD989" s="18"/>
      <c r="JE989" s="18"/>
      <c r="JF989" s="18"/>
      <c r="JG989" s="18"/>
      <c r="JH989" s="18"/>
      <c r="JI989" s="18"/>
      <c r="JJ989" s="18"/>
      <c r="JK989" s="18"/>
      <c r="JL989" s="18"/>
      <c r="JM989" s="18"/>
      <c r="JN989" s="18"/>
      <c r="JO989" s="18"/>
      <c r="JP989" s="18"/>
      <c r="JQ989" s="18"/>
      <c r="JR989" s="18"/>
      <c r="JS989" s="18"/>
      <c r="JT989" s="18"/>
      <c r="JU989" s="18"/>
      <c r="JV989" s="18"/>
      <c r="JW989" s="18"/>
      <c r="JX989" s="18"/>
      <c r="JY989" s="18"/>
      <c r="JZ989" s="18"/>
      <c r="KA989" s="18"/>
      <c r="KB989" s="18"/>
      <c r="KC989" s="18"/>
      <c r="KD989" s="18"/>
      <c r="KE989" s="18"/>
      <c r="KF989" s="18"/>
      <c r="KG989" s="18"/>
      <c r="KH989" s="18"/>
      <c r="KI989" s="18"/>
      <c r="KJ989" s="18"/>
      <c r="KK989" s="18"/>
      <c r="KL989" s="18"/>
      <c r="KM989" s="18"/>
      <c r="KN989" s="18"/>
      <c r="KO989" s="18"/>
      <c r="KP989" s="18"/>
    </row>
    <row r="990" spans="1:302">
      <c r="A990" s="14"/>
      <c r="B990" s="14"/>
      <c r="F990" s="14"/>
      <c r="G990" s="23"/>
      <c r="H990" s="23"/>
      <c r="I990" s="23"/>
      <c r="J990" s="23"/>
      <c r="K990" s="14"/>
      <c r="L990" s="14"/>
      <c r="P990" s="14"/>
      <c r="AG990" s="44"/>
      <c r="AH990" s="44"/>
      <c r="AI990" s="45"/>
      <c r="AJ990" s="44"/>
      <c r="AK990" s="43"/>
      <c r="AS990" s="14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  <c r="EW990" s="18"/>
      <c r="EX990" s="18"/>
      <c r="EY990" s="18"/>
      <c r="EZ990" s="18"/>
      <c r="FA990" s="18"/>
      <c r="FB990" s="18"/>
      <c r="FC990" s="18"/>
      <c r="FD990" s="18"/>
      <c r="FE990" s="18"/>
      <c r="FF990" s="18"/>
      <c r="FG990" s="18"/>
      <c r="FH990" s="18"/>
      <c r="FI990" s="18"/>
      <c r="FJ990" s="18"/>
      <c r="FK990" s="18"/>
      <c r="FL990" s="18"/>
      <c r="FM990" s="18"/>
      <c r="FN990" s="18"/>
      <c r="FO990" s="18"/>
      <c r="FP990" s="18"/>
      <c r="FQ990" s="18"/>
      <c r="FR990" s="18"/>
      <c r="FS990" s="18"/>
      <c r="FT990" s="18"/>
      <c r="FU990" s="18"/>
      <c r="FV990" s="18"/>
      <c r="FW990" s="18"/>
      <c r="FX990" s="18"/>
      <c r="FY990" s="18"/>
      <c r="FZ990" s="18"/>
      <c r="GA990" s="18"/>
      <c r="GB990" s="18"/>
      <c r="GC990" s="18"/>
      <c r="GD990" s="18"/>
      <c r="GE990" s="18"/>
      <c r="GF990" s="18"/>
      <c r="GG990" s="18"/>
      <c r="GH990" s="18"/>
      <c r="GI990" s="18"/>
      <c r="GJ990" s="18"/>
      <c r="GK990" s="18"/>
      <c r="GL990" s="18"/>
      <c r="GM990" s="18"/>
      <c r="GN990" s="18"/>
      <c r="GO990" s="18"/>
      <c r="GP990" s="18"/>
      <c r="GQ990" s="18"/>
      <c r="GR990" s="18"/>
      <c r="GS990" s="18"/>
      <c r="GT990" s="18"/>
      <c r="GU990" s="18"/>
      <c r="GV990" s="18"/>
      <c r="GW990" s="18"/>
      <c r="GX990" s="18"/>
      <c r="GY990" s="18"/>
      <c r="GZ990" s="18"/>
      <c r="HA990" s="18"/>
      <c r="HB990" s="18"/>
      <c r="HC990" s="18"/>
      <c r="HD990" s="18"/>
      <c r="HE990" s="18"/>
      <c r="HF990" s="18"/>
      <c r="HG990" s="13"/>
      <c r="HH990" s="13"/>
      <c r="HI990" s="13"/>
      <c r="HJ990" s="13"/>
      <c r="HK990" s="13"/>
      <c r="HL990" s="13"/>
      <c r="HM990" s="13"/>
      <c r="HN990" s="13"/>
      <c r="HO990" s="13"/>
      <c r="HP990" s="13"/>
      <c r="HQ990" s="13"/>
      <c r="HR990" s="13"/>
      <c r="HS990" s="13"/>
      <c r="HT990" s="13"/>
      <c r="HU990" s="18"/>
      <c r="HV990" s="18"/>
      <c r="HW990" s="18"/>
      <c r="HX990" s="18"/>
      <c r="HY990" s="18"/>
      <c r="HZ990" s="18"/>
      <c r="IA990" s="18"/>
      <c r="IB990" s="18"/>
      <c r="IC990" s="18"/>
      <c r="ID990" s="18"/>
      <c r="IE990" s="18"/>
      <c r="IF990" s="18"/>
      <c r="IG990" s="18"/>
      <c r="IH990" s="18"/>
      <c r="II990" s="18"/>
      <c r="IJ990" s="18"/>
      <c r="IK990" s="18"/>
      <c r="IL990" s="18"/>
      <c r="IM990" s="18"/>
      <c r="IN990" s="18"/>
      <c r="IO990" s="18"/>
      <c r="IP990" s="18"/>
      <c r="IQ990" s="18"/>
      <c r="IR990" s="18"/>
      <c r="IS990" s="18"/>
      <c r="IT990" s="18"/>
      <c r="IU990" s="18"/>
      <c r="IV990" s="18"/>
      <c r="IW990" s="18"/>
      <c r="IX990" s="18"/>
      <c r="IY990" s="18"/>
      <c r="IZ990" s="18"/>
      <c r="JA990" s="18"/>
      <c r="JB990" s="18"/>
      <c r="JC990" s="18"/>
      <c r="JD990" s="18"/>
      <c r="JE990" s="18"/>
      <c r="JF990" s="18"/>
      <c r="JG990" s="18"/>
      <c r="JH990" s="18"/>
      <c r="JI990" s="18"/>
      <c r="JJ990" s="18"/>
      <c r="JK990" s="18"/>
      <c r="JL990" s="18"/>
      <c r="JM990" s="18"/>
      <c r="JN990" s="18"/>
      <c r="JO990" s="18"/>
      <c r="JP990" s="18"/>
      <c r="JQ990" s="18"/>
      <c r="JR990" s="18"/>
      <c r="JS990" s="18"/>
      <c r="JT990" s="18"/>
      <c r="JU990" s="18"/>
      <c r="JV990" s="18"/>
      <c r="JW990" s="18"/>
      <c r="JX990" s="18"/>
      <c r="JY990" s="18"/>
      <c r="JZ990" s="18"/>
      <c r="KA990" s="18"/>
      <c r="KB990" s="18"/>
      <c r="KC990" s="18"/>
      <c r="KD990" s="18"/>
      <c r="KE990" s="18"/>
      <c r="KF990" s="18"/>
      <c r="KG990" s="18"/>
      <c r="KH990" s="18"/>
      <c r="KI990" s="18"/>
      <c r="KJ990" s="18"/>
      <c r="KK990" s="18"/>
      <c r="KL990" s="18"/>
      <c r="KM990" s="18"/>
      <c r="KN990" s="18"/>
      <c r="KO990" s="18"/>
      <c r="KP990" s="18"/>
    </row>
    <row r="991" spans="1:302">
      <c r="A991" s="14"/>
      <c r="B991" s="14"/>
      <c r="F991" s="14"/>
      <c r="G991" s="23"/>
      <c r="H991" s="23"/>
      <c r="I991" s="23"/>
      <c r="J991" s="23"/>
      <c r="K991" s="14"/>
      <c r="L991" s="14"/>
      <c r="P991" s="14"/>
      <c r="AG991" s="44"/>
      <c r="AH991" s="44"/>
      <c r="AI991" s="45"/>
      <c r="AJ991" s="44"/>
      <c r="AK991" s="43"/>
      <c r="AS991" s="14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  <c r="EW991" s="18"/>
      <c r="EX991" s="18"/>
      <c r="EY991" s="18"/>
      <c r="EZ991" s="18"/>
      <c r="FA991" s="18"/>
      <c r="FB991" s="18"/>
      <c r="FC991" s="18"/>
      <c r="FD991" s="18"/>
      <c r="FE991" s="18"/>
      <c r="FF991" s="18"/>
      <c r="FG991" s="18"/>
      <c r="FH991" s="18"/>
      <c r="FI991" s="18"/>
      <c r="FJ991" s="18"/>
      <c r="FK991" s="18"/>
      <c r="FL991" s="18"/>
      <c r="FM991" s="18"/>
      <c r="FN991" s="18"/>
      <c r="FO991" s="18"/>
      <c r="FP991" s="18"/>
      <c r="FQ991" s="18"/>
      <c r="FR991" s="18"/>
      <c r="FS991" s="18"/>
      <c r="FT991" s="18"/>
      <c r="FU991" s="18"/>
      <c r="FV991" s="18"/>
      <c r="FW991" s="18"/>
      <c r="FX991" s="18"/>
      <c r="FY991" s="18"/>
      <c r="FZ991" s="18"/>
      <c r="GA991" s="18"/>
      <c r="GB991" s="18"/>
      <c r="GC991" s="18"/>
      <c r="GD991" s="18"/>
      <c r="GE991" s="18"/>
      <c r="GF991" s="18"/>
      <c r="GG991" s="18"/>
      <c r="GH991" s="18"/>
      <c r="GI991" s="18"/>
      <c r="GJ991" s="18"/>
      <c r="GK991" s="18"/>
      <c r="GL991" s="18"/>
      <c r="GM991" s="18"/>
      <c r="GN991" s="18"/>
      <c r="GO991" s="18"/>
      <c r="GP991" s="18"/>
      <c r="GQ991" s="18"/>
      <c r="GR991" s="18"/>
      <c r="GS991" s="18"/>
      <c r="GT991" s="18"/>
      <c r="GU991" s="18"/>
      <c r="GV991" s="18"/>
      <c r="GW991" s="18"/>
      <c r="GX991" s="18"/>
      <c r="GY991" s="18"/>
      <c r="GZ991" s="18"/>
      <c r="HA991" s="18"/>
      <c r="HB991" s="18"/>
      <c r="HC991" s="18"/>
      <c r="HD991" s="18"/>
      <c r="HE991" s="18"/>
      <c r="HF991" s="18"/>
      <c r="HG991" s="13"/>
      <c r="HH991" s="13"/>
      <c r="HI991" s="13"/>
      <c r="HJ991" s="13"/>
      <c r="HK991" s="13"/>
      <c r="HL991" s="13"/>
      <c r="HM991" s="13"/>
      <c r="HN991" s="13"/>
      <c r="HO991" s="13"/>
      <c r="HP991" s="13"/>
      <c r="HQ991" s="13"/>
      <c r="HR991" s="13"/>
      <c r="HS991" s="13"/>
      <c r="HT991" s="13"/>
      <c r="HU991" s="18"/>
      <c r="HV991" s="18"/>
      <c r="HW991" s="18"/>
      <c r="HX991" s="18"/>
      <c r="HY991" s="18"/>
      <c r="HZ991" s="18"/>
      <c r="IA991" s="18"/>
      <c r="IB991" s="18"/>
      <c r="IC991" s="18"/>
      <c r="ID991" s="18"/>
      <c r="IE991" s="18"/>
      <c r="IF991" s="18"/>
      <c r="IG991" s="18"/>
      <c r="IH991" s="18"/>
      <c r="II991" s="18"/>
      <c r="IJ991" s="18"/>
      <c r="IK991" s="18"/>
      <c r="IL991" s="18"/>
      <c r="IM991" s="18"/>
      <c r="IN991" s="18"/>
      <c r="IO991" s="18"/>
      <c r="IP991" s="18"/>
      <c r="IQ991" s="18"/>
      <c r="IR991" s="18"/>
      <c r="IS991" s="18"/>
      <c r="IT991" s="18"/>
      <c r="IU991" s="18"/>
      <c r="IV991" s="18"/>
      <c r="IW991" s="18"/>
      <c r="IX991" s="18"/>
      <c r="IY991" s="18"/>
      <c r="IZ991" s="18"/>
      <c r="JA991" s="18"/>
      <c r="JB991" s="18"/>
      <c r="JC991" s="18"/>
      <c r="JD991" s="18"/>
      <c r="JE991" s="18"/>
      <c r="JF991" s="18"/>
      <c r="JG991" s="18"/>
      <c r="JH991" s="18"/>
      <c r="JI991" s="18"/>
      <c r="JJ991" s="18"/>
      <c r="JK991" s="18"/>
      <c r="JL991" s="18"/>
      <c r="JM991" s="18"/>
      <c r="JN991" s="18"/>
      <c r="JO991" s="18"/>
      <c r="JP991" s="18"/>
      <c r="JQ991" s="18"/>
      <c r="JR991" s="18"/>
      <c r="JS991" s="18"/>
      <c r="JT991" s="18"/>
      <c r="JU991" s="18"/>
      <c r="JV991" s="18"/>
      <c r="JW991" s="18"/>
      <c r="JX991" s="18"/>
      <c r="JY991" s="18"/>
      <c r="JZ991" s="18"/>
      <c r="KA991" s="18"/>
      <c r="KB991" s="18"/>
      <c r="KC991" s="18"/>
      <c r="KD991" s="18"/>
      <c r="KE991" s="18"/>
      <c r="KF991" s="18"/>
      <c r="KG991" s="18"/>
      <c r="KH991" s="18"/>
      <c r="KI991" s="18"/>
      <c r="KJ991" s="18"/>
      <c r="KK991" s="18"/>
      <c r="KL991" s="18"/>
      <c r="KM991" s="18"/>
      <c r="KN991" s="18"/>
      <c r="KO991" s="18"/>
      <c r="KP991" s="18"/>
    </row>
    <row r="992" spans="1:302">
      <c r="A992" s="14"/>
      <c r="B992" s="14"/>
      <c r="F992" s="14"/>
      <c r="G992" s="23"/>
      <c r="H992" s="23"/>
      <c r="I992" s="23"/>
      <c r="J992" s="23"/>
      <c r="K992" s="14"/>
      <c r="L992" s="14"/>
      <c r="P992" s="14"/>
      <c r="AG992" s="44"/>
      <c r="AH992" s="44"/>
      <c r="AI992" s="45"/>
      <c r="AJ992" s="44"/>
      <c r="AK992" s="43"/>
      <c r="AS992" s="14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  <c r="EW992" s="18"/>
      <c r="EX992" s="18"/>
      <c r="EY992" s="18"/>
      <c r="EZ992" s="18"/>
      <c r="FA992" s="18"/>
      <c r="FB992" s="18"/>
      <c r="FC992" s="18"/>
      <c r="FD992" s="18"/>
      <c r="FE992" s="18"/>
      <c r="FF992" s="18"/>
      <c r="FG992" s="18"/>
      <c r="FH992" s="18"/>
      <c r="FI992" s="18"/>
      <c r="FJ992" s="18"/>
      <c r="FK992" s="18"/>
      <c r="FL992" s="18"/>
      <c r="FM992" s="18"/>
      <c r="FN992" s="18"/>
      <c r="FO992" s="18"/>
      <c r="FP992" s="18"/>
      <c r="FQ992" s="18"/>
      <c r="FR992" s="18"/>
      <c r="FS992" s="18"/>
      <c r="FT992" s="18"/>
      <c r="FU992" s="18"/>
      <c r="FV992" s="18"/>
      <c r="FW992" s="18"/>
      <c r="FX992" s="18"/>
      <c r="FY992" s="18"/>
      <c r="FZ992" s="18"/>
      <c r="GA992" s="18"/>
      <c r="GB992" s="18"/>
      <c r="GC992" s="18"/>
      <c r="GD992" s="18"/>
      <c r="GE992" s="18"/>
      <c r="GF992" s="18"/>
      <c r="GG992" s="18"/>
      <c r="GH992" s="18"/>
      <c r="GI992" s="18"/>
      <c r="GJ992" s="18"/>
      <c r="GK992" s="18"/>
      <c r="GL992" s="18"/>
      <c r="GM992" s="18"/>
      <c r="GN992" s="18"/>
      <c r="GO992" s="18"/>
      <c r="GP992" s="18"/>
      <c r="GQ992" s="18"/>
      <c r="GR992" s="18"/>
      <c r="GS992" s="18"/>
      <c r="GT992" s="18"/>
      <c r="GU992" s="18"/>
      <c r="GV992" s="18"/>
      <c r="GW992" s="18"/>
      <c r="GX992" s="18"/>
      <c r="GY992" s="18"/>
      <c r="GZ992" s="18"/>
      <c r="HA992" s="18"/>
      <c r="HB992" s="18"/>
      <c r="HC992" s="18"/>
      <c r="HD992" s="18"/>
      <c r="HE992" s="18"/>
      <c r="HF992" s="18"/>
      <c r="HG992" s="13"/>
      <c r="HH992" s="13"/>
      <c r="HI992" s="13"/>
      <c r="HJ992" s="13"/>
      <c r="HK992" s="13"/>
      <c r="HL992" s="13"/>
      <c r="HM992" s="13"/>
      <c r="HN992" s="13"/>
      <c r="HO992" s="13"/>
      <c r="HP992" s="13"/>
      <c r="HQ992" s="13"/>
      <c r="HR992" s="13"/>
      <c r="HS992" s="13"/>
      <c r="HT992" s="13"/>
      <c r="HU992" s="18"/>
      <c r="HV992" s="18"/>
      <c r="HW992" s="18"/>
      <c r="HX992" s="18"/>
      <c r="HY992" s="18"/>
      <c r="HZ992" s="18"/>
      <c r="IA992" s="18"/>
      <c r="IB992" s="18"/>
      <c r="IC992" s="18"/>
      <c r="ID992" s="18"/>
      <c r="IE992" s="18"/>
      <c r="IF992" s="18"/>
      <c r="IG992" s="18"/>
      <c r="IH992" s="18"/>
      <c r="II992" s="18"/>
      <c r="IJ992" s="18"/>
      <c r="IK992" s="18"/>
      <c r="IL992" s="18"/>
      <c r="IM992" s="18"/>
      <c r="IN992" s="18"/>
      <c r="IO992" s="18"/>
      <c r="IP992" s="18"/>
      <c r="IQ992" s="18"/>
      <c r="IR992" s="18"/>
      <c r="IS992" s="18"/>
      <c r="IT992" s="18"/>
      <c r="IU992" s="18"/>
      <c r="IV992" s="18"/>
      <c r="IW992" s="18"/>
      <c r="IX992" s="18"/>
      <c r="IY992" s="18"/>
      <c r="IZ992" s="18"/>
      <c r="JA992" s="18"/>
      <c r="JB992" s="18"/>
      <c r="JC992" s="18"/>
      <c r="JD992" s="18"/>
      <c r="JE992" s="18"/>
      <c r="JF992" s="18"/>
      <c r="JG992" s="18"/>
      <c r="JH992" s="18"/>
      <c r="JI992" s="18"/>
      <c r="JJ992" s="18"/>
      <c r="JK992" s="18"/>
      <c r="JL992" s="18"/>
      <c r="JM992" s="18"/>
      <c r="JN992" s="18"/>
      <c r="JO992" s="18"/>
      <c r="JP992" s="18"/>
      <c r="JQ992" s="18"/>
      <c r="JR992" s="18"/>
      <c r="JS992" s="18"/>
      <c r="JT992" s="18"/>
      <c r="JU992" s="18"/>
      <c r="JV992" s="18"/>
      <c r="JW992" s="18"/>
      <c r="JX992" s="18"/>
      <c r="JY992" s="18"/>
      <c r="JZ992" s="18"/>
      <c r="KA992" s="18"/>
      <c r="KB992" s="18"/>
      <c r="KC992" s="18"/>
      <c r="KD992" s="18"/>
      <c r="KE992" s="18"/>
      <c r="KF992" s="18"/>
      <c r="KG992" s="18"/>
      <c r="KH992" s="18"/>
      <c r="KI992" s="18"/>
      <c r="KJ992" s="18"/>
      <c r="KK992" s="18"/>
      <c r="KL992" s="18"/>
      <c r="KM992" s="18"/>
      <c r="KN992" s="18"/>
      <c r="KO992" s="18"/>
      <c r="KP992" s="18"/>
    </row>
    <row r="993" spans="1:302">
      <c r="A993" s="14"/>
      <c r="B993" s="14"/>
      <c r="F993" s="14"/>
      <c r="G993" s="23"/>
      <c r="H993" s="23"/>
      <c r="I993" s="23"/>
      <c r="J993" s="23"/>
      <c r="K993" s="14"/>
      <c r="L993" s="14"/>
      <c r="P993" s="14"/>
      <c r="AG993" s="44"/>
      <c r="AH993" s="44"/>
      <c r="AI993" s="45"/>
      <c r="AJ993" s="44"/>
      <c r="AK993" s="43"/>
      <c r="AS993" s="14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  <c r="EW993" s="18"/>
      <c r="EX993" s="18"/>
      <c r="EY993" s="18"/>
      <c r="EZ993" s="18"/>
      <c r="FA993" s="18"/>
      <c r="FB993" s="18"/>
      <c r="FC993" s="18"/>
      <c r="FD993" s="18"/>
      <c r="FE993" s="18"/>
      <c r="FF993" s="18"/>
      <c r="FG993" s="18"/>
      <c r="FH993" s="18"/>
      <c r="FI993" s="18"/>
      <c r="FJ993" s="18"/>
      <c r="FK993" s="18"/>
      <c r="FL993" s="18"/>
      <c r="FM993" s="18"/>
      <c r="FN993" s="18"/>
      <c r="FO993" s="18"/>
      <c r="FP993" s="18"/>
      <c r="FQ993" s="18"/>
      <c r="FR993" s="18"/>
      <c r="FS993" s="18"/>
      <c r="FT993" s="18"/>
      <c r="FU993" s="18"/>
      <c r="FV993" s="18"/>
      <c r="FW993" s="18"/>
      <c r="FX993" s="18"/>
      <c r="FY993" s="18"/>
      <c r="FZ993" s="18"/>
      <c r="GA993" s="18"/>
      <c r="GB993" s="18"/>
      <c r="GC993" s="18"/>
      <c r="GD993" s="18"/>
      <c r="GE993" s="18"/>
      <c r="GF993" s="18"/>
      <c r="GG993" s="18"/>
      <c r="GH993" s="18"/>
      <c r="GI993" s="18"/>
      <c r="GJ993" s="18"/>
      <c r="GK993" s="18"/>
      <c r="GL993" s="18"/>
      <c r="GM993" s="18"/>
      <c r="GN993" s="18"/>
      <c r="GO993" s="18"/>
      <c r="GP993" s="18"/>
      <c r="GQ993" s="18"/>
      <c r="GR993" s="18"/>
      <c r="GS993" s="18"/>
      <c r="GT993" s="18"/>
      <c r="GU993" s="18"/>
      <c r="GV993" s="18"/>
      <c r="GW993" s="18"/>
      <c r="GX993" s="18"/>
      <c r="GY993" s="18"/>
      <c r="GZ993" s="18"/>
      <c r="HA993" s="18"/>
      <c r="HB993" s="18"/>
      <c r="HC993" s="18"/>
      <c r="HD993" s="18"/>
      <c r="HE993" s="18"/>
      <c r="HF993" s="18"/>
      <c r="HG993" s="13"/>
      <c r="HH993" s="13"/>
      <c r="HI993" s="13"/>
      <c r="HJ993" s="13"/>
      <c r="HK993" s="13"/>
      <c r="HL993" s="13"/>
      <c r="HM993" s="13"/>
      <c r="HN993" s="13"/>
      <c r="HO993" s="13"/>
      <c r="HP993" s="13"/>
      <c r="HQ993" s="13"/>
      <c r="HR993" s="13"/>
      <c r="HS993" s="13"/>
      <c r="HT993" s="13"/>
      <c r="HU993" s="18"/>
      <c r="HV993" s="18"/>
      <c r="HW993" s="18"/>
      <c r="HX993" s="18"/>
      <c r="HY993" s="18"/>
      <c r="HZ993" s="18"/>
      <c r="IA993" s="18"/>
      <c r="IB993" s="18"/>
      <c r="IC993" s="18"/>
      <c r="ID993" s="18"/>
      <c r="IE993" s="18"/>
      <c r="IF993" s="18"/>
      <c r="IG993" s="18"/>
      <c r="IH993" s="18"/>
      <c r="II993" s="18"/>
      <c r="IJ993" s="18"/>
      <c r="IK993" s="18"/>
      <c r="IL993" s="18"/>
      <c r="IM993" s="18"/>
      <c r="IN993" s="18"/>
      <c r="IO993" s="18"/>
      <c r="IP993" s="18"/>
      <c r="IQ993" s="18"/>
      <c r="IR993" s="18"/>
      <c r="IS993" s="18"/>
      <c r="IT993" s="18"/>
      <c r="IU993" s="18"/>
      <c r="IV993" s="18"/>
      <c r="IW993" s="18"/>
      <c r="IX993" s="18"/>
      <c r="IY993" s="18"/>
      <c r="IZ993" s="18"/>
      <c r="JA993" s="18"/>
      <c r="JB993" s="18"/>
      <c r="JC993" s="18"/>
      <c r="JD993" s="18"/>
      <c r="JE993" s="18"/>
      <c r="JF993" s="18"/>
      <c r="JG993" s="18"/>
      <c r="JH993" s="18"/>
      <c r="JI993" s="18"/>
      <c r="JJ993" s="18"/>
      <c r="JK993" s="18"/>
      <c r="JL993" s="18"/>
      <c r="JM993" s="18"/>
      <c r="JN993" s="18"/>
      <c r="JO993" s="18"/>
      <c r="JP993" s="18"/>
      <c r="JQ993" s="18"/>
      <c r="JR993" s="18"/>
      <c r="JS993" s="18"/>
      <c r="JT993" s="18"/>
      <c r="JU993" s="18"/>
      <c r="JV993" s="18"/>
      <c r="JW993" s="18"/>
      <c r="JX993" s="18"/>
      <c r="JY993" s="18"/>
      <c r="JZ993" s="18"/>
      <c r="KA993" s="18"/>
      <c r="KB993" s="18"/>
      <c r="KC993" s="18"/>
      <c r="KD993" s="18"/>
      <c r="KE993" s="18"/>
      <c r="KF993" s="18"/>
      <c r="KG993" s="18"/>
      <c r="KH993" s="18"/>
      <c r="KI993" s="18"/>
      <c r="KJ993" s="18"/>
      <c r="KK993" s="18"/>
      <c r="KL993" s="18"/>
      <c r="KM993" s="18"/>
      <c r="KN993" s="18"/>
      <c r="KO993" s="18"/>
      <c r="KP993" s="18"/>
    </row>
    <row r="994" spans="1:302">
      <c r="A994" s="14"/>
      <c r="B994" s="14"/>
      <c r="F994" s="14"/>
      <c r="G994" s="23"/>
      <c r="H994" s="23"/>
      <c r="I994" s="23"/>
      <c r="J994" s="23"/>
      <c r="K994" s="14"/>
      <c r="L994" s="14"/>
      <c r="P994" s="14"/>
      <c r="AG994" s="44"/>
      <c r="AH994" s="44"/>
      <c r="AI994" s="45"/>
      <c r="AJ994" s="44"/>
      <c r="AK994" s="43"/>
      <c r="AS994" s="14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  <c r="EW994" s="18"/>
      <c r="EX994" s="18"/>
      <c r="EY994" s="18"/>
      <c r="EZ994" s="18"/>
      <c r="FA994" s="18"/>
      <c r="FB994" s="18"/>
      <c r="FC994" s="18"/>
      <c r="FD994" s="18"/>
      <c r="FE994" s="18"/>
      <c r="FF994" s="18"/>
      <c r="FG994" s="18"/>
      <c r="FH994" s="18"/>
      <c r="FI994" s="18"/>
      <c r="FJ994" s="18"/>
      <c r="FK994" s="18"/>
      <c r="FL994" s="18"/>
      <c r="FM994" s="18"/>
      <c r="FN994" s="18"/>
      <c r="FO994" s="18"/>
      <c r="FP994" s="18"/>
      <c r="FQ994" s="18"/>
      <c r="FR994" s="18"/>
      <c r="FS994" s="18"/>
      <c r="FT994" s="18"/>
      <c r="FU994" s="18"/>
      <c r="FV994" s="18"/>
      <c r="FW994" s="18"/>
      <c r="FX994" s="18"/>
      <c r="FY994" s="18"/>
      <c r="FZ994" s="18"/>
      <c r="GA994" s="18"/>
      <c r="GB994" s="18"/>
      <c r="GC994" s="18"/>
      <c r="GD994" s="18"/>
      <c r="GE994" s="18"/>
      <c r="GF994" s="18"/>
      <c r="GG994" s="18"/>
      <c r="GH994" s="18"/>
      <c r="GI994" s="18"/>
      <c r="GJ994" s="18"/>
      <c r="GK994" s="18"/>
      <c r="GL994" s="18"/>
      <c r="GM994" s="18"/>
      <c r="GN994" s="18"/>
      <c r="GO994" s="18"/>
      <c r="GP994" s="18"/>
      <c r="GQ994" s="18"/>
      <c r="GR994" s="18"/>
      <c r="GS994" s="18"/>
      <c r="GT994" s="18"/>
      <c r="GU994" s="18"/>
      <c r="GV994" s="18"/>
      <c r="GW994" s="18"/>
      <c r="GX994" s="18"/>
      <c r="GY994" s="18"/>
      <c r="GZ994" s="18"/>
      <c r="HA994" s="18"/>
      <c r="HB994" s="18"/>
      <c r="HC994" s="18"/>
      <c r="HD994" s="18"/>
      <c r="HE994" s="18"/>
      <c r="HF994" s="18"/>
      <c r="HG994" s="13"/>
      <c r="HH994" s="13"/>
      <c r="HI994" s="13"/>
      <c r="HJ994" s="13"/>
      <c r="HK994" s="13"/>
      <c r="HL994" s="13"/>
      <c r="HM994" s="13"/>
      <c r="HN994" s="13"/>
      <c r="HO994" s="13"/>
      <c r="HP994" s="13"/>
      <c r="HQ994" s="13"/>
      <c r="HR994" s="13"/>
      <c r="HS994" s="13"/>
      <c r="HT994" s="13"/>
      <c r="HU994" s="18"/>
      <c r="HV994" s="18"/>
      <c r="HW994" s="18"/>
      <c r="HX994" s="18"/>
      <c r="HY994" s="18"/>
      <c r="HZ994" s="18"/>
      <c r="IA994" s="18"/>
      <c r="IB994" s="18"/>
      <c r="IC994" s="18"/>
      <c r="ID994" s="18"/>
      <c r="IE994" s="18"/>
      <c r="IF994" s="18"/>
      <c r="IG994" s="18"/>
      <c r="IH994" s="18"/>
      <c r="II994" s="18"/>
      <c r="IJ994" s="18"/>
      <c r="IK994" s="18"/>
      <c r="IL994" s="18"/>
      <c r="IM994" s="18"/>
      <c r="IN994" s="18"/>
      <c r="IO994" s="18"/>
      <c r="IP994" s="18"/>
      <c r="IQ994" s="18"/>
      <c r="IR994" s="18"/>
      <c r="IS994" s="18"/>
      <c r="IT994" s="18"/>
      <c r="IU994" s="18"/>
      <c r="IV994" s="18"/>
      <c r="IW994" s="18"/>
      <c r="IX994" s="18"/>
      <c r="IY994" s="18"/>
      <c r="IZ994" s="18"/>
      <c r="JA994" s="18"/>
      <c r="JB994" s="18"/>
      <c r="JC994" s="18"/>
      <c r="JD994" s="18"/>
      <c r="JE994" s="18"/>
      <c r="JF994" s="18"/>
      <c r="JG994" s="18"/>
      <c r="JH994" s="18"/>
      <c r="JI994" s="18"/>
      <c r="JJ994" s="18"/>
      <c r="JK994" s="18"/>
      <c r="JL994" s="18"/>
      <c r="JM994" s="18"/>
      <c r="JN994" s="18"/>
      <c r="JO994" s="18"/>
      <c r="JP994" s="18"/>
      <c r="JQ994" s="18"/>
      <c r="JR994" s="18"/>
      <c r="JS994" s="18"/>
      <c r="JT994" s="18"/>
      <c r="JU994" s="18"/>
      <c r="JV994" s="18"/>
      <c r="JW994" s="18"/>
      <c r="JX994" s="18"/>
      <c r="JY994" s="18"/>
      <c r="JZ994" s="18"/>
      <c r="KA994" s="18"/>
      <c r="KB994" s="18"/>
      <c r="KC994" s="18"/>
      <c r="KD994" s="18"/>
      <c r="KE994" s="18"/>
      <c r="KF994" s="18"/>
      <c r="KG994" s="18"/>
      <c r="KH994" s="18"/>
      <c r="KI994" s="18"/>
      <c r="KJ994" s="18"/>
      <c r="KK994" s="18"/>
      <c r="KL994" s="18"/>
      <c r="KM994" s="18"/>
      <c r="KN994" s="18"/>
      <c r="KO994" s="18"/>
      <c r="KP994" s="18"/>
    </row>
    <row r="995" spans="1:302">
      <c r="A995" s="14"/>
      <c r="B995" s="14"/>
      <c r="F995" s="14"/>
      <c r="G995" s="23"/>
      <c r="H995" s="23"/>
      <c r="I995" s="23"/>
      <c r="J995" s="23"/>
      <c r="K995" s="14"/>
      <c r="L995" s="14"/>
      <c r="P995" s="14"/>
      <c r="AG995" s="44"/>
      <c r="AH995" s="44"/>
      <c r="AI995" s="45"/>
      <c r="AJ995" s="44"/>
      <c r="AK995" s="43"/>
      <c r="AS995" s="14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  <c r="EW995" s="18"/>
      <c r="EX995" s="18"/>
      <c r="EY995" s="18"/>
      <c r="EZ995" s="18"/>
      <c r="FA995" s="18"/>
      <c r="FB995" s="18"/>
      <c r="FC995" s="18"/>
      <c r="FD995" s="18"/>
      <c r="FE995" s="18"/>
      <c r="FF995" s="18"/>
      <c r="FG995" s="18"/>
      <c r="FH995" s="18"/>
      <c r="FI995" s="18"/>
      <c r="FJ995" s="18"/>
      <c r="FK995" s="18"/>
      <c r="FL995" s="18"/>
      <c r="FM995" s="18"/>
      <c r="FN995" s="18"/>
      <c r="FO995" s="18"/>
      <c r="FP995" s="18"/>
      <c r="FQ995" s="18"/>
      <c r="FR995" s="18"/>
      <c r="FS995" s="18"/>
      <c r="FT995" s="18"/>
      <c r="FU995" s="18"/>
      <c r="FV995" s="18"/>
      <c r="FW995" s="18"/>
      <c r="FX995" s="18"/>
      <c r="FY995" s="18"/>
      <c r="FZ995" s="18"/>
      <c r="GA995" s="18"/>
      <c r="GB995" s="18"/>
      <c r="GC995" s="18"/>
      <c r="GD995" s="18"/>
      <c r="GE995" s="18"/>
      <c r="GF995" s="18"/>
      <c r="GG995" s="18"/>
      <c r="GH995" s="18"/>
      <c r="GI995" s="18"/>
      <c r="GJ995" s="18"/>
      <c r="GK995" s="18"/>
      <c r="GL995" s="18"/>
      <c r="GM995" s="18"/>
      <c r="GN995" s="18"/>
      <c r="GO995" s="18"/>
      <c r="GP995" s="18"/>
      <c r="GQ995" s="18"/>
      <c r="GR995" s="18"/>
      <c r="GS995" s="18"/>
      <c r="GT995" s="18"/>
      <c r="GU995" s="18"/>
      <c r="GV995" s="18"/>
      <c r="GW995" s="18"/>
      <c r="GX995" s="18"/>
      <c r="GY995" s="18"/>
      <c r="GZ995" s="18"/>
      <c r="HA995" s="18"/>
      <c r="HB995" s="18"/>
      <c r="HC995" s="18"/>
      <c r="HD995" s="18"/>
      <c r="HE995" s="18"/>
      <c r="HF995" s="18"/>
      <c r="HG995" s="13"/>
      <c r="HH995" s="13"/>
      <c r="HI995" s="13"/>
      <c r="HJ995" s="13"/>
      <c r="HK995" s="13"/>
      <c r="HL995" s="13"/>
      <c r="HM995" s="13"/>
      <c r="HN995" s="13"/>
      <c r="HO995" s="13"/>
      <c r="HP995" s="13"/>
      <c r="HQ995" s="13"/>
      <c r="HR995" s="13"/>
      <c r="HS995" s="13"/>
      <c r="HT995" s="13"/>
      <c r="HU995" s="18"/>
      <c r="HV995" s="18"/>
      <c r="HW995" s="18"/>
      <c r="HX995" s="18"/>
      <c r="HY995" s="18"/>
      <c r="HZ995" s="18"/>
      <c r="IA995" s="18"/>
      <c r="IB995" s="18"/>
      <c r="IC995" s="18"/>
      <c r="ID995" s="18"/>
      <c r="IE995" s="18"/>
      <c r="IF995" s="18"/>
      <c r="IG995" s="18"/>
      <c r="IH995" s="18"/>
      <c r="II995" s="18"/>
      <c r="IJ995" s="18"/>
      <c r="IK995" s="18"/>
      <c r="IL995" s="18"/>
      <c r="IM995" s="18"/>
      <c r="IN995" s="18"/>
      <c r="IO995" s="18"/>
      <c r="IP995" s="18"/>
      <c r="IQ995" s="18"/>
      <c r="IR995" s="18"/>
      <c r="IS995" s="18"/>
      <c r="IT995" s="18"/>
      <c r="IU995" s="18"/>
      <c r="IV995" s="18"/>
      <c r="IW995" s="18"/>
      <c r="IX995" s="18"/>
      <c r="IY995" s="18"/>
      <c r="IZ995" s="18"/>
      <c r="JA995" s="18"/>
      <c r="JB995" s="18"/>
      <c r="JC995" s="18"/>
      <c r="JD995" s="18"/>
      <c r="JE995" s="18"/>
      <c r="JF995" s="18"/>
      <c r="JG995" s="18"/>
      <c r="JH995" s="18"/>
      <c r="JI995" s="18"/>
      <c r="JJ995" s="18"/>
      <c r="JK995" s="18"/>
      <c r="JL995" s="18"/>
      <c r="JM995" s="18"/>
      <c r="JN995" s="18"/>
      <c r="JO995" s="18"/>
      <c r="JP995" s="18"/>
      <c r="JQ995" s="18"/>
      <c r="JR995" s="18"/>
      <c r="JS995" s="18"/>
      <c r="JT995" s="18"/>
      <c r="JU995" s="18"/>
      <c r="JV995" s="18"/>
      <c r="JW995" s="18"/>
      <c r="JX995" s="18"/>
      <c r="JY995" s="18"/>
      <c r="JZ995" s="18"/>
      <c r="KA995" s="18"/>
      <c r="KB995" s="18"/>
      <c r="KC995" s="18"/>
      <c r="KD995" s="18"/>
      <c r="KE995" s="18"/>
      <c r="KF995" s="18"/>
      <c r="KG995" s="18"/>
      <c r="KH995" s="18"/>
      <c r="KI995" s="18"/>
      <c r="KJ995" s="18"/>
      <c r="KK995" s="18"/>
      <c r="KL995" s="18"/>
      <c r="KM995" s="18"/>
      <c r="KN995" s="18"/>
      <c r="KO995" s="18"/>
      <c r="KP995" s="18"/>
    </row>
    <row r="996" spans="1:302">
      <c r="A996" s="14"/>
      <c r="B996" s="14"/>
      <c r="F996" s="14"/>
      <c r="G996" s="23"/>
      <c r="H996" s="23"/>
      <c r="I996" s="23"/>
      <c r="J996" s="23"/>
      <c r="K996" s="14"/>
      <c r="L996" s="14"/>
      <c r="P996" s="14"/>
      <c r="AG996" s="44"/>
      <c r="AH996" s="44"/>
      <c r="AI996" s="45"/>
      <c r="AJ996" s="44"/>
      <c r="AK996" s="43"/>
      <c r="AS996" s="14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  <c r="EW996" s="18"/>
      <c r="EX996" s="18"/>
      <c r="EY996" s="18"/>
      <c r="EZ996" s="18"/>
      <c r="FA996" s="18"/>
      <c r="FB996" s="18"/>
      <c r="FC996" s="18"/>
      <c r="FD996" s="18"/>
      <c r="FE996" s="18"/>
      <c r="FF996" s="18"/>
      <c r="FG996" s="18"/>
      <c r="FH996" s="18"/>
      <c r="FI996" s="18"/>
      <c r="FJ996" s="18"/>
      <c r="FK996" s="18"/>
      <c r="FL996" s="18"/>
      <c r="FM996" s="18"/>
      <c r="FN996" s="18"/>
      <c r="FO996" s="18"/>
      <c r="FP996" s="18"/>
      <c r="FQ996" s="18"/>
      <c r="FR996" s="18"/>
      <c r="FS996" s="18"/>
      <c r="FT996" s="18"/>
      <c r="FU996" s="18"/>
      <c r="FV996" s="18"/>
      <c r="FW996" s="18"/>
      <c r="FX996" s="18"/>
      <c r="FY996" s="18"/>
      <c r="FZ996" s="18"/>
      <c r="GA996" s="18"/>
      <c r="GB996" s="18"/>
      <c r="GC996" s="18"/>
      <c r="GD996" s="18"/>
      <c r="GE996" s="18"/>
      <c r="GF996" s="18"/>
      <c r="GG996" s="18"/>
      <c r="GH996" s="18"/>
      <c r="GI996" s="18"/>
      <c r="GJ996" s="18"/>
      <c r="GK996" s="18"/>
      <c r="GL996" s="18"/>
      <c r="GM996" s="18"/>
      <c r="GN996" s="18"/>
      <c r="GO996" s="18"/>
      <c r="GP996" s="18"/>
      <c r="GQ996" s="18"/>
      <c r="GR996" s="18"/>
      <c r="GS996" s="18"/>
      <c r="GT996" s="18"/>
      <c r="GU996" s="18"/>
      <c r="GV996" s="18"/>
      <c r="GW996" s="18"/>
      <c r="GX996" s="18"/>
      <c r="GY996" s="18"/>
      <c r="GZ996" s="18"/>
      <c r="HA996" s="18"/>
      <c r="HB996" s="18"/>
      <c r="HC996" s="18"/>
      <c r="HD996" s="18"/>
      <c r="HE996" s="18"/>
      <c r="HF996" s="18"/>
      <c r="HG996" s="13"/>
      <c r="HH996" s="13"/>
      <c r="HI996" s="13"/>
      <c r="HJ996" s="13"/>
      <c r="HK996" s="13"/>
      <c r="HL996" s="13"/>
      <c r="HM996" s="13"/>
      <c r="HN996" s="13"/>
      <c r="HO996" s="13"/>
      <c r="HP996" s="13"/>
      <c r="HQ996" s="13"/>
      <c r="HR996" s="13"/>
      <c r="HS996" s="13"/>
      <c r="HT996" s="13"/>
      <c r="HU996" s="18"/>
      <c r="HV996" s="18"/>
      <c r="HW996" s="18"/>
      <c r="HX996" s="18"/>
      <c r="HY996" s="18"/>
      <c r="HZ996" s="18"/>
      <c r="IA996" s="18"/>
      <c r="IB996" s="18"/>
      <c r="IC996" s="18"/>
      <c r="ID996" s="18"/>
      <c r="IE996" s="18"/>
      <c r="IF996" s="18"/>
      <c r="IG996" s="18"/>
      <c r="IH996" s="18"/>
      <c r="II996" s="18"/>
      <c r="IJ996" s="18"/>
      <c r="IK996" s="18"/>
      <c r="IL996" s="18"/>
      <c r="IM996" s="18"/>
      <c r="IN996" s="18"/>
      <c r="IO996" s="18"/>
      <c r="IP996" s="18"/>
      <c r="IQ996" s="18"/>
      <c r="IR996" s="18"/>
      <c r="IS996" s="18"/>
      <c r="IT996" s="18"/>
      <c r="IU996" s="18"/>
      <c r="IV996" s="18"/>
      <c r="IW996" s="18"/>
      <c r="IX996" s="18"/>
      <c r="IY996" s="18"/>
      <c r="IZ996" s="18"/>
      <c r="JA996" s="18"/>
      <c r="JB996" s="18"/>
      <c r="JC996" s="18"/>
      <c r="JD996" s="18"/>
      <c r="JE996" s="18"/>
      <c r="JF996" s="18"/>
      <c r="JG996" s="18"/>
      <c r="JH996" s="18"/>
      <c r="JI996" s="18"/>
      <c r="JJ996" s="18"/>
      <c r="JK996" s="18"/>
      <c r="JL996" s="18"/>
      <c r="JM996" s="18"/>
      <c r="JN996" s="18"/>
      <c r="JO996" s="18"/>
      <c r="JP996" s="18"/>
      <c r="JQ996" s="18"/>
      <c r="JR996" s="18"/>
      <c r="JS996" s="18"/>
      <c r="JT996" s="18"/>
      <c r="JU996" s="18"/>
      <c r="JV996" s="18"/>
      <c r="JW996" s="18"/>
      <c r="JX996" s="18"/>
      <c r="JY996" s="18"/>
      <c r="JZ996" s="18"/>
      <c r="KA996" s="18"/>
      <c r="KB996" s="18"/>
      <c r="KC996" s="18"/>
      <c r="KD996" s="18"/>
      <c r="KE996" s="18"/>
      <c r="KF996" s="18"/>
      <c r="KG996" s="18"/>
      <c r="KH996" s="18"/>
      <c r="KI996" s="18"/>
      <c r="KJ996" s="18"/>
      <c r="KK996" s="18"/>
      <c r="KL996" s="18"/>
      <c r="KM996" s="18"/>
      <c r="KN996" s="18"/>
      <c r="KO996" s="18"/>
      <c r="KP996" s="18"/>
    </row>
    <row r="997" spans="1:302">
      <c r="A997" s="14"/>
      <c r="B997" s="14"/>
      <c r="F997" s="14"/>
      <c r="G997" s="23"/>
      <c r="H997" s="23"/>
      <c r="I997" s="23"/>
      <c r="J997" s="23"/>
      <c r="K997" s="14"/>
      <c r="L997" s="14"/>
      <c r="P997" s="14"/>
      <c r="AG997" s="44"/>
      <c r="AH997" s="44"/>
      <c r="AI997" s="45"/>
      <c r="AJ997" s="44"/>
      <c r="AK997" s="43"/>
      <c r="AS997" s="14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  <c r="EW997" s="18"/>
      <c r="EX997" s="18"/>
      <c r="EY997" s="18"/>
      <c r="EZ997" s="18"/>
      <c r="FA997" s="18"/>
      <c r="FB997" s="18"/>
      <c r="FC997" s="18"/>
      <c r="FD997" s="18"/>
      <c r="FE997" s="18"/>
      <c r="FF997" s="18"/>
      <c r="FG997" s="18"/>
      <c r="FH997" s="18"/>
      <c r="FI997" s="18"/>
      <c r="FJ997" s="18"/>
      <c r="FK997" s="18"/>
      <c r="FL997" s="18"/>
      <c r="FM997" s="18"/>
      <c r="FN997" s="18"/>
      <c r="FO997" s="18"/>
      <c r="FP997" s="18"/>
      <c r="FQ997" s="18"/>
      <c r="FR997" s="18"/>
      <c r="FS997" s="18"/>
      <c r="FT997" s="18"/>
      <c r="FU997" s="18"/>
      <c r="FV997" s="18"/>
      <c r="FW997" s="18"/>
      <c r="FX997" s="18"/>
      <c r="FY997" s="18"/>
      <c r="FZ997" s="18"/>
      <c r="GA997" s="18"/>
      <c r="GB997" s="18"/>
      <c r="GC997" s="18"/>
      <c r="GD997" s="18"/>
      <c r="GE997" s="18"/>
      <c r="GF997" s="18"/>
      <c r="GG997" s="18"/>
      <c r="GH997" s="18"/>
      <c r="GI997" s="18"/>
      <c r="GJ997" s="18"/>
      <c r="GK997" s="18"/>
      <c r="GL997" s="18"/>
      <c r="GM997" s="18"/>
      <c r="GN997" s="18"/>
      <c r="GO997" s="18"/>
      <c r="GP997" s="18"/>
      <c r="GQ997" s="18"/>
      <c r="GR997" s="18"/>
      <c r="GS997" s="18"/>
      <c r="GT997" s="18"/>
      <c r="GU997" s="18"/>
      <c r="GV997" s="18"/>
      <c r="GW997" s="18"/>
      <c r="GX997" s="18"/>
      <c r="GY997" s="18"/>
      <c r="GZ997" s="18"/>
      <c r="HA997" s="18"/>
      <c r="HB997" s="18"/>
      <c r="HC997" s="18"/>
      <c r="HD997" s="18"/>
      <c r="HE997" s="18"/>
      <c r="HF997" s="18"/>
      <c r="HG997" s="13"/>
      <c r="HH997" s="13"/>
      <c r="HI997" s="13"/>
      <c r="HJ997" s="13"/>
      <c r="HK997" s="13"/>
      <c r="HL997" s="13"/>
      <c r="HM997" s="13"/>
      <c r="HN997" s="13"/>
      <c r="HO997" s="13"/>
      <c r="HP997" s="13"/>
      <c r="HQ997" s="13"/>
      <c r="HR997" s="13"/>
      <c r="HS997" s="13"/>
      <c r="HT997" s="13"/>
      <c r="HU997" s="18"/>
      <c r="HV997" s="18"/>
      <c r="HW997" s="18"/>
      <c r="HX997" s="18"/>
      <c r="HY997" s="18"/>
      <c r="HZ997" s="18"/>
      <c r="IA997" s="18"/>
      <c r="IB997" s="18"/>
      <c r="IC997" s="18"/>
      <c r="ID997" s="18"/>
      <c r="IE997" s="18"/>
      <c r="IF997" s="18"/>
      <c r="IG997" s="18"/>
      <c r="IH997" s="18"/>
      <c r="II997" s="18"/>
      <c r="IJ997" s="18"/>
      <c r="IK997" s="18"/>
      <c r="IL997" s="18"/>
      <c r="IM997" s="18"/>
      <c r="IN997" s="18"/>
      <c r="IO997" s="18"/>
      <c r="IP997" s="18"/>
      <c r="IQ997" s="18"/>
      <c r="IR997" s="18"/>
      <c r="IS997" s="18"/>
      <c r="IT997" s="18"/>
      <c r="IU997" s="18"/>
      <c r="IV997" s="18"/>
      <c r="IW997" s="18"/>
      <c r="IX997" s="18"/>
      <c r="IY997" s="18"/>
      <c r="IZ997" s="18"/>
      <c r="JA997" s="18"/>
      <c r="JB997" s="18"/>
      <c r="JC997" s="18"/>
      <c r="JD997" s="18"/>
      <c r="JE997" s="18"/>
      <c r="JF997" s="18"/>
      <c r="JG997" s="18"/>
      <c r="JH997" s="18"/>
      <c r="JI997" s="18"/>
      <c r="JJ997" s="18"/>
      <c r="JK997" s="18"/>
      <c r="JL997" s="18"/>
      <c r="JM997" s="18"/>
      <c r="JN997" s="18"/>
      <c r="JO997" s="18"/>
      <c r="JP997" s="18"/>
      <c r="JQ997" s="18"/>
      <c r="JR997" s="18"/>
      <c r="JS997" s="18"/>
      <c r="JT997" s="18"/>
      <c r="JU997" s="18"/>
      <c r="JV997" s="18"/>
      <c r="JW997" s="18"/>
      <c r="JX997" s="18"/>
      <c r="JY997" s="18"/>
      <c r="JZ997" s="18"/>
      <c r="KA997" s="18"/>
      <c r="KB997" s="18"/>
      <c r="KC997" s="18"/>
      <c r="KD997" s="18"/>
      <c r="KE997" s="18"/>
      <c r="KF997" s="18"/>
      <c r="KG997" s="18"/>
      <c r="KH997" s="18"/>
      <c r="KI997" s="18"/>
      <c r="KJ997" s="18"/>
      <c r="KK997" s="18"/>
      <c r="KL997" s="18"/>
      <c r="KM997" s="18"/>
      <c r="KN997" s="18"/>
      <c r="KO997" s="18"/>
      <c r="KP997" s="18"/>
    </row>
    <row r="998" spans="1:302">
      <c r="A998" s="14"/>
      <c r="B998" s="14"/>
      <c r="F998" s="14"/>
      <c r="G998" s="23"/>
      <c r="H998" s="23"/>
      <c r="I998" s="23"/>
      <c r="J998" s="23"/>
      <c r="K998" s="14"/>
      <c r="L998" s="14"/>
      <c r="P998" s="14"/>
      <c r="AG998" s="44"/>
      <c r="AH998" s="44"/>
      <c r="AI998" s="45"/>
      <c r="AJ998" s="44"/>
      <c r="AK998" s="43"/>
      <c r="AS998" s="14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  <c r="EW998" s="18"/>
      <c r="EX998" s="18"/>
      <c r="EY998" s="18"/>
      <c r="EZ998" s="18"/>
      <c r="FA998" s="18"/>
      <c r="FB998" s="18"/>
      <c r="FC998" s="18"/>
      <c r="FD998" s="18"/>
      <c r="FE998" s="18"/>
      <c r="FF998" s="18"/>
      <c r="FG998" s="18"/>
      <c r="FH998" s="18"/>
      <c r="FI998" s="18"/>
      <c r="FJ998" s="18"/>
      <c r="FK998" s="18"/>
      <c r="FL998" s="18"/>
      <c r="FM998" s="18"/>
      <c r="FN998" s="18"/>
      <c r="FO998" s="18"/>
      <c r="FP998" s="18"/>
      <c r="FQ998" s="18"/>
      <c r="FR998" s="18"/>
      <c r="FS998" s="18"/>
      <c r="FT998" s="18"/>
      <c r="FU998" s="18"/>
      <c r="FV998" s="18"/>
      <c r="FW998" s="18"/>
      <c r="FX998" s="18"/>
      <c r="FY998" s="18"/>
      <c r="FZ998" s="18"/>
      <c r="GA998" s="18"/>
      <c r="GB998" s="18"/>
      <c r="GC998" s="18"/>
      <c r="GD998" s="18"/>
      <c r="GE998" s="18"/>
      <c r="GF998" s="18"/>
      <c r="GG998" s="18"/>
      <c r="GH998" s="18"/>
      <c r="GI998" s="18"/>
      <c r="GJ998" s="18"/>
      <c r="GK998" s="18"/>
      <c r="GL998" s="18"/>
      <c r="GM998" s="18"/>
      <c r="GN998" s="18"/>
      <c r="GO998" s="18"/>
      <c r="GP998" s="18"/>
      <c r="GQ998" s="18"/>
      <c r="GR998" s="18"/>
      <c r="GS998" s="18"/>
      <c r="GT998" s="18"/>
      <c r="GU998" s="18"/>
      <c r="GV998" s="18"/>
      <c r="GW998" s="18"/>
      <c r="GX998" s="18"/>
      <c r="GY998" s="18"/>
      <c r="GZ998" s="18"/>
      <c r="HA998" s="18"/>
      <c r="HB998" s="18"/>
      <c r="HC998" s="18"/>
      <c r="HD998" s="18"/>
      <c r="HE998" s="18"/>
      <c r="HF998" s="18"/>
      <c r="HG998" s="13"/>
      <c r="HH998" s="13"/>
      <c r="HI998" s="13"/>
      <c r="HJ998" s="13"/>
      <c r="HK998" s="13"/>
      <c r="HL998" s="13"/>
      <c r="HM998" s="13"/>
      <c r="HN998" s="13"/>
      <c r="HO998" s="13"/>
      <c r="HP998" s="13"/>
      <c r="HQ998" s="13"/>
      <c r="HR998" s="13"/>
      <c r="HS998" s="13"/>
      <c r="HT998" s="13"/>
      <c r="HU998" s="18"/>
      <c r="HV998" s="18"/>
      <c r="HW998" s="18"/>
      <c r="HX998" s="18"/>
      <c r="HY998" s="18"/>
      <c r="HZ998" s="18"/>
      <c r="IA998" s="18"/>
      <c r="IB998" s="18"/>
      <c r="IC998" s="18"/>
      <c r="ID998" s="18"/>
      <c r="IE998" s="18"/>
      <c r="IF998" s="18"/>
      <c r="IG998" s="18"/>
      <c r="IH998" s="18"/>
      <c r="II998" s="18"/>
      <c r="IJ998" s="18"/>
      <c r="IK998" s="18"/>
      <c r="IL998" s="18"/>
      <c r="IM998" s="18"/>
      <c r="IN998" s="18"/>
      <c r="IO998" s="18"/>
      <c r="IP998" s="18"/>
      <c r="IQ998" s="18"/>
      <c r="IR998" s="18"/>
      <c r="IS998" s="18"/>
      <c r="IT998" s="18"/>
      <c r="IU998" s="18"/>
      <c r="IV998" s="18"/>
      <c r="IW998" s="18"/>
      <c r="IX998" s="18"/>
      <c r="IY998" s="18"/>
      <c r="IZ998" s="18"/>
      <c r="JA998" s="18"/>
      <c r="JB998" s="18"/>
      <c r="JC998" s="18"/>
      <c r="JD998" s="18"/>
      <c r="JE998" s="18"/>
      <c r="JF998" s="18"/>
      <c r="JG998" s="18"/>
      <c r="JH998" s="18"/>
      <c r="JI998" s="18"/>
      <c r="JJ998" s="18"/>
      <c r="JK998" s="18"/>
      <c r="JL998" s="18"/>
      <c r="JM998" s="18"/>
      <c r="JN998" s="18"/>
      <c r="JO998" s="18"/>
      <c r="JP998" s="18"/>
      <c r="JQ998" s="18"/>
      <c r="JR998" s="18"/>
      <c r="JS998" s="18"/>
      <c r="JT998" s="18"/>
      <c r="JU998" s="18"/>
      <c r="JV998" s="18"/>
      <c r="JW998" s="18"/>
      <c r="JX998" s="18"/>
      <c r="JY998" s="18"/>
      <c r="JZ998" s="18"/>
      <c r="KA998" s="18"/>
      <c r="KB998" s="18"/>
      <c r="KC998" s="18"/>
      <c r="KD998" s="18"/>
      <c r="KE998" s="18"/>
      <c r="KF998" s="18"/>
      <c r="KG998" s="18"/>
      <c r="KH998" s="18"/>
      <c r="KI998" s="18"/>
      <c r="KJ998" s="18"/>
      <c r="KK998" s="18"/>
      <c r="KL998" s="18"/>
      <c r="KM998" s="18"/>
      <c r="KN998" s="18"/>
      <c r="KO998" s="18"/>
      <c r="KP998" s="18"/>
    </row>
    <row r="999" spans="1:302">
      <c r="A999" s="14"/>
      <c r="B999" s="14"/>
      <c r="F999" s="14"/>
      <c r="G999" s="23"/>
      <c r="H999" s="23"/>
      <c r="I999" s="23"/>
      <c r="J999" s="23"/>
      <c r="K999" s="14"/>
      <c r="L999" s="14"/>
      <c r="P999" s="14"/>
      <c r="AG999" s="44"/>
      <c r="AH999" s="44"/>
      <c r="AI999" s="45"/>
      <c r="AJ999" s="44"/>
      <c r="AK999" s="43"/>
      <c r="AS999" s="14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  <c r="EW999" s="18"/>
      <c r="EX999" s="18"/>
      <c r="EY999" s="18"/>
      <c r="EZ999" s="18"/>
      <c r="FA999" s="18"/>
      <c r="FB999" s="18"/>
      <c r="FC999" s="18"/>
      <c r="FD999" s="18"/>
      <c r="FE999" s="18"/>
      <c r="FF999" s="18"/>
      <c r="FG999" s="18"/>
      <c r="FH999" s="18"/>
      <c r="FI999" s="18"/>
      <c r="FJ999" s="18"/>
      <c r="FK999" s="18"/>
      <c r="FL999" s="18"/>
      <c r="FM999" s="18"/>
      <c r="FN999" s="18"/>
      <c r="FO999" s="18"/>
      <c r="FP999" s="18"/>
      <c r="FQ999" s="18"/>
      <c r="FR999" s="18"/>
      <c r="FS999" s="18"/>
      <c r="FT999" s="18"/>
      <c r="FU999" s="18"/>
      <c r="FV999" s="18"/>
      <c r="FW999" s="18"/>
      <c r="FX999" s="18"/>
      <c r="FY999" s="18"/>
      <c r="FZ999" s="18"/>
      <c r="GA999" s="18"/>
      <c r="GB999" s="18"/>
      <c r="GC999" s="18"/>
      <c r="GD999" s="18"/>
      <c r="GE999" s="18"/>
      <c r="GF999" s="18"/>
      <c r="GG999" s="18"/>
      <c r="GH999" s="18"/>
      <c r="GI999" s="18"/>
      <c r="GJ999" s="18"/>
      <c r="GK999" s="18"/>
      <c r="GL999" s="18"/>
      <c r="GM999" s="18"/>
      <c r="GN999" s="18"/>
      <c r="GO999" s="18"/>
      <c r="GP999" s="18"/>
      <c r="GQ999" s="18"/>
      <c r="GR999" s="18"/>
      <c r="GS999" s="18"/>
      <c r="GT999" s="18"/>
      <c r="GU999" s="18"/>
      <c r="GV999" s="18"/>
      <c r="GW999" s="18"/>
      <c r="GX999" s="18"/>
      <c r="GY999" s="18"/>
      <c r="GZ999" s="18"/>
      <c r="HA999" s="18"/>
      <c r="HB999" s="18"/>
      <c r="HC999" s="18"/>
      <c r="HD999" s="18"/>
      <c r="HE999" s="18"/>
      <c r="HF999" s="18"/>
      <c r="HG999" s="13"/>
      <c r="HH999" s="13"/>
      <c r="HI999" s="13"/>
      <c r="HJ999" s="13"/>
      <c r="HK999" s="13"/>
      <c r="HL999" s="13"/>
      <c r="HM999" s="13"/>
      <c r="HN999" s="13"/>
      <c r="HO999" s="13"/>
      <c r="HP999" s="13"/>
      <c r="HQ999" s="13"/>
      <c r="HR999" s="13"/>
      <c r="HS999" s="13"/>
      <c r="HT999" s="13"/>
      <c r="HU999" s="18"/>
      <c r="HV999" s="18"/>
      <c r="HW999" s="18"/>
      <c r="HX999" s="18"/>
      <c r="HY999" s="18"/>
      <c r="HZ999" s="18"/>
      <c r="IA999" s="18"/>
      <c r="IB999" s="18"/>
      <c r="IC999" s="18"/>
      <c r="ID999" s="18"/>
      <c r="IE999" s="18"/>
      <c r="IF999" s="18"/>
      <c r="IG999" s="18"/>
      <c r="IH999" s="18"/>
      <c r="II999" s="18"/>
      <c r="IJ999" s="18"/>
      <c r="IK999" s="18"/>
      <c r="IL999" s="18"/>
      <c r="IM999" s="18"/>
      <c r="IN999" s="18"/>
      <c r="IO999" s="18"/>
      <c r="IP999" s="18"/>
      <c r="IQ999" s="18"/>
      <c r="IR999" s="18"/>
      <c r="IS999" s="18"/>
      <c r="IT999" s="18"/>
      <c r="IU999" s="18"/>
      <c r="IV999" s="18"/>
      <c r="IW999" s="18"/>
      <c r="IX999" s="18"/>
      <c r="IY999" s="18"/>
      <c r="IZ999" s="18"/>
      <c r="JA999" s="18"/>
      <c r="JB999" s="18"/>
      <c r="JC999" s="18"/>
      <c r="JD999" s="18"/>
      <c r="JE999" s="18"/>
      <c r="JF999" s="18"/>
      <c r="JG999" s="18"/>
      <c r="JH999" s="18"/>
      <c r="JI999" s="18"/>
      <c r="JJ999" s="18"/>
      <c r="JK999" s="18"/>
      <c r="JL999" s="18"/>
      <c r="JM999" s="18"/>
      <c r="JN999" s="18"/>
      <c r="JO999" s="18"/>
      <c r="JP999" s="18"/>
      <c r="JQ999" s="18"/>
      <c r="JR999" s="18"/>
      <c r="JS999" s="18"/>
      <c r="JT999" s="18"/>
      <c r="JU999" s="18"/>
      <c r="JV999" s="18"/>
      <c r="JW999" s="18"/>
      <c r="JX999" s="18"/>
      <c r="JY999" s="18"/>
      <c r="JZ999" s="18"/>
      <c r="KA999" s="18"/>
      <c r="KB999" s="18"/>
      <c r="KC999" s="18"/>
      <c r="KD999" s="18"/>
      <c r="KE999" s="18"/>
      <c r="KF999" s="18"/>
      <c r="KG999" s="18"/>
      <c r="KH999" s="18"/>
      <c r="KI999" s="18"/>
      <c r="KJ999" s="18"/>
      <c r="KK999" s="18"/>
      <c r="KL999" s="18"/>
      <c r="KM999" s="18"/>
      <c r="KN999" s="18"/>
      <c r="KO999" s="18"/>
      <c r="KP999" s="18"/>
    </row>
    <row r="1000" spans="1:302">
      <c r="A1000" s="14"/>
      <c r="B1000" s="14"/>
      <c r="F1000" s="14"/>
      <c r="G1000" s="23"/>
      <c r="H1000" s="23"/>
      <c r="I1000" s="23"/>
      <c r="J1000" s="23"/>
      <c r="K1000" s="14"/>
      <c r="L1000" s="14"/>
      <c r="P1000" s="14"/>
      <c r="AG1000" s="44"/>
      <c r="AH1000" s="44"/>
      <c r="AI1000" s="45"/>
      <c r="AJ1000" s="44"/>
      <c r="AK1000" s="43"/>
      <c r="AS1000" s="14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  <c r="EW1000" s="18"/>
      <c r="EX1000" s="18"/>
      <c r="EY1000" s="18"/>
      <c r="EZ1000" s="18"/>
      <c r="FA1000" s="18"/>
      <c r="FB1000" s="18"/>
      <c r="FC1000" s="18"/>
      <c r="FD1000" s="18"/>
      <c r="FE1000" s="18"/>
      <c r="FF1000" s="18"/>
      <c r="FG1000" s="18"/>
      <c r="FH1000" s="18"/>
      <c r="FI1000" s="18"/>
      <c r="FJ1000" s="18"/>
      <c r="FK1000" s="18"/>
      <c r="FL1000" s="18"/>
      <c r="FM1000" s="18"/>
      <c r="FN1000" s="18"/>
      <c r="FO1000" s="18"/>
      <c r="FP1000" s="18"/>
      <c r="FQ1000" s="18"/>
      <c r="FR1000" s="18"/>
      <c r="FS1000" s="18"/>
      <c r="FT1000" s="18"/>
      <c r="FU1000" s="18"/>
      <c r="FV1000" s="18"/>
      <c r="FW1000" s="18"/>
      <c r="FX1000" s="18"/>
      <c r="FY1000" s="18"/>
      <c r="FZ1000" s="18"/>
      <c r="GA1000" s="18"/>
      <c r="GB1000" s="18"/>
      <c r="GC1000" s="18"/>
      <c r="GD1000" s="18"/>
      <c r="GE1000" s="18"/>
      <c r="GF1000" s="18"/>
      <c r="GG1000" s="18"/>
      <c r="GH1000" s="18"/>
      <c r="GI1000" s="18"/>
      <c r="GJ1000" s="18"/>
      <c r="GK1000" s="18"/>
      <c r="GL1000" s="18"/>
      <c r="GM1000" s="18"/>
      <c r="GN1000" s="18"/>
      <c r="GO1000" s="18"/>
      <c r="GP1000" s="18"/>
      <c r="GQ1000" s="18"/>
      <c r="GR1000" s="18"/>
      <c r="GS1000" s="18"/>
      <c r="GT1000" s="18"/>
      <c r="GU1000" s="18"/>
      <c r="GV1000" s="18"/>
      <c r="GW1000" s="18"/>
      <c r="GX1000" s="18"/>
      <c r="GY1000" s="18"/>
      <c r="GZ1000" s="18"/>
      <c r="HA1000" s="18"/>
      <c r="HB1000" s="18"/>
      <c r="HC1000" s="18"/>
      <c r="HD1000" s="18"/>
      <c r="HE1000" s="18"/>
      <c r="HF1000" s="18"/>
      <c r="HG1000" s="13"/>
      <c r="HH1000" s="13"/>
      <c r="HI1000" s="13"/>
      <c r="HJ1000" s="13"/>
      <c r="HK1000" s="13"/>
      <c r="HL1000" s="13"/>
      <c r="HM1000" s="13"/>
      <c r="HN1000" s="13"/>
      <c r="HO1000" s="13"/>
      <c r="HP1000" s="13"/>
      <c r="HQ1000" s="13"/>
      <c r="HR1000" s="13"/>
      <c r="HS1000" s="13"/>
      <c r="HT1000" s="13"/>
      <c r="HU1000" s="18"/>
      <c r="HV1000" s="18"/>
      <c r="HW1000" s="18"/>
      <c r="HX1000" s="18"/>
      <c r="HY1000" s="18"/>
      <c r="HZ1000" s="18"/>
      <c r="IA1000" s="18"/>
      <c r="IB1000" s="18"/>
      <c r="IC1000" s="18"/>
      <c r="ID1000" s="18"/>
      <c r="IE1000" s="18"/>
      <c r="IF1000" s="18"/>
      <c r="IG1000" s="18"/>
      <c r="IH1000" s="18"/>
      <c r="II1000" s="18"/>
      <c r="IJ1000" s="18"/>
      <c r="IK1000" s="18"/>
      <c r="IL1000" s="18"/>
      <c r="IM1000" s="18"/>
      <c r="IN1000" s="18"/>
      <c r="IO1000" s="18"/>
      <c r="IP1000" s="18"/>
      <c r="IQ1000" s="18"/>
      <c r="IR1000" s="18"/>
      <c r="IS1000" s="18"/>
      <c r="IT1000" s="18"/>
      <c r="IU1000" s="18"/>
      <c r="IV1000" s="18"/>
      <c r="IW1000" s="18"/>
      <c r="IX1000" s="18"/>
      <c r="IY1000" s="18"/>
      <c r="IZ1000" s="18"/>
      <c r="JA1000" s="18"/>
      <c r="JB1000" s="18"/>
      <c r="JC1000" s="18"/>
      <c r="JD1000" s="18"/>
      <c r="JE1000" s="18"/>
      <c r="JF1000" s="18"/>
      <c r="JG1000" s="18"/>
      <c r="JH1000" s="18"/>
      <c r="JI1000" s="18"/>
      <c r="JJ1000" s="18"/>
      <c r="JK1000" s="18"/>
      <c r="JL1000" s="18"/>
      <c r="JM1000" s="18"/>
      <c r="JN1000" s="18"/>
      <c r="JO1000" s="18"/>
      <c r="JP1000" s="18"/>
      <c r="JQ1000" s="18"/>
      <c r="JR1000" s="18"/>
      <c r="JS1000" s="18"/>
      <c r="JT1000" s="18"/>
      <c r="JU1000" s="18"/>
      <c r="JV1000" s="18"/>
      <c r="JW1000" s="18"/>
      <c r="JX1000" s="18"/>
      <c r="JY1000" s="18"/>
      <c r="JZ1000" s="18"/>
      <c r="KA1000" s="18"/>
      <c r="KB1000" s="18"/>
      <c r="KC1000" s="18"/>
      <c r="KD1000" s="18"/>
      <c r="KE1000" s="18"/>
      <c r="KF1000" s="18"/>
      <c r="KG1000" s="18"/>
      <c r="KH1000" s="18"/>
      <c r="KI1000" s="18"/>
      <c r="KJ1000" s="18"/>
      <c r="KK1000" s="18"/>
      <c r="KL1000" s="18"/>
      <c r="KM1000" s="18"/>
      <c r="KN1000" s="18"/>
      <c r="KO1000" s="18"/>
      <c r="KP1000" s="18"/>
    </row>
    <row r="1001" spans="1:302">
      <c r="A1001" s="14"/>
      <c r="B1001" s="14"/>
      <c r="F1001" s="14"/>
      <c r="G1001" s="23"/>
      <c r="H1001" s="23"/>
      <c r="I1001" s="23"/>
      <c r="J1001" s="23"/>
      <c r="K1001" s="14"/>
      <c r="L1001" s="14"/>
      <c r="P1001" s="14"/>
      <c r="AG1001" s="44"/>
      <c r="AH1001" s="44"/>
      <c r="AI1001" s="45"/>
      <c r="AJ1001" s="44"/>
      <c r="AK1001" s="43"/>
      <c r="AS1001" s="14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  <c r="EW1001" s="18"/>
      <c r="EX1001" s="18"/>
      <c r="EY1001" s="18"/>
      <c r="EZ1001" s="18"/>
      <c r="FA1001" s="18"/>
      <c r="FB1001" s="18"/>
      <c r="FC1001" s="18"/>
      <c r="FD1001" s="18"/>
      <c r="FE1001" s="18"/>
      <c r="FF1001" s="18"/>
      <c r="FG1001" s="18"/>
      <c r="FH1001" s="18"/>
      <c r="FI1001" s="18"/>
      <c r="FJ1001" s="18"/>
      <c r="FK1001" s="18"/>
      <c r="FL1001" s="18"/>
      <c r="FM1001" s="18"/>
      <c r="FN1001" s="18"/>
      <c r="FO1001" s="18"/>
      <c r="FP1001" s="18"/>
      <c r="FQ1001" s="18"/>
      <c r="FR1001" s="18"/>
      <c r="FS1001" s="18"/>
      <c r="FT1001" s="18"/>
      <c r="FU1001" s="18"/>
      <c r="FV1001" s="18"/>
      <c r="FW1001" s="18"/>
      <c r="FX1001" s="18"/>
      <c r="FY1001" s="18"/>
      <c r="FZ1001" s="18"/>
      <c r="GA1001" s="18"/>
      <c r="GB1001" s="18"/>
      <c r="GC1001" s="18"/>
      <c r="GD1001" s="18"/>
      <c r="GE1001" s="18"/>
      <c r="GF1001" s="18"/>
      <c r="GG1001" s="18"/>
      <c r="GH1001" s="18"/>
      <c r="GI1001" s="18"/>
      <c r="GJ1001" s="18"/>
      <c r="GK1001" s="18"/>
      <c r="GL1001" s="18"/>
      <c r="GM1001" s="18"/>
      <c r="GN1001" s="18"/>
      <c r="GO1001" s="18"/>
      <c r="GP1001" s="18"/>
      <c r="GQ1001" s="18"/>
      <c r="GR1001" s="18"/>
      <c r="GS1001" s="18"/>
      <c r="GT1001" s="18"/>
      <c r="GU1001" s="18"/>
      <c r="GV1001" s="18"/>
      <c r="GW1001" s="18"/>
      <c r="GX1001" s="18"/>
      <c r="GY1001" s="18"/>
      <c r="GZ1001" s="18"/>
      <c r="HA1001" s="18"/>
      <c r="HB1001" s="18"/>
      <c r="HC1001" s="18"/>
      <c r="HD1001" s="18"/>
      <c r="HE1001" s="18"/>
      <c r="HF1001" s="18"/>
      <c r="HG1001" s="13"/>
      <c r="HH1001" s="13"/>
      <c r="HI1001" s="13"/>
      <c r="HJ1001" s="13"/>
      <c r="HK1001" s="13"/>
      <c r="HL1001" s="13"/>
      <c r="HM1001" s="13"/>
      <c r="HN1001" s="13"/>
      <c r="HO1001" s="13"/>
      <c r="HP1001" s="13"/>
      <c r="HQ1001" s="13"/>
      <c r="HR1001" s="13"/>
      <c r="HS1001" s="13"/>
      <c r="HT1001" s="13"/>
      <c r="HU1001" s="18"/>
      <c r="HV1001" s="18"/>
      <c r="HW1001" s="18"/>
      <c r="HX1001" s="18"/>
      <c r="HY1001" s="18"/>
      <c r="HZ1001" s="18"/>
      <c r="IA1001" s="18"/>
      <c r="IB1001" s="18"/>
      <c r="IC1001" s="18"/>
      <c r="ID1001" s="18"/>
      <c r="IE1001" s="18"/>
      <c r="IF1001" s="18"/>
      <c r="IG1001" s="18"/>
      <c r="IH1001" s="18"/>
      <c r="II1001" s="18"/>
      <c r="IJ1001" s="18"/>
      <c r="IK1001" s="18"/>
      <c r="IL1001" s="18"/>
      <c r="IM1001" s="18"/>
      <c r="IN1001" s="18"/>
      <c r="IO1001" s="18"/>
      <c r="IP1001" s="18"/>
      <c r="IQ1001" s="18"/>
      <c r="IR1001" s="18"/>
      <c r="IS1001" s="18"/>
      <c r="IT1001" s="18"/>
      <c r="IU1001" s="18"/>
      <c r="IV1001" s="18"/>
      <c r="IW1001" s="18"/>
      <c r="IX1001" s="18"/>
      <c r="IY1001" s="18"/>
      <c r="IZ1001" s="18"/>
      <c r="JA1001" s="18"/>
      <c r="JB1001" s="18"/>
      <c r="JC1001" s="18"/>
      <c r="JD1001" s="18"/>
      <c r="JE1001" s="18"/>
      <c r="JF1001" s="18"/>
      <c r="JG1001" s="18"/>
      <c r="JH1001" s="18"/>
      <c r="JI1001" s="18"/>
      <c r="JJ1001" s="18"/>
      <c r="JK1001" s="18"/>
      <c r="JL1001" s="18"/>
      <c r="JM1001" s="18"/>
      <c r="JN1001" s="18"/>
      <c r="JO1001" s="18"/>
      <c r="JP1001" s="18"/>
      <c r="JQ1001" s="18"/>
      <c r="JR1001" s="18"/>
      <c r="JS1001" s="18"/>
      <c r="JT1001" s="18"/>
      <c r="JU1001" s="18"/>
      <c r="JV1001" s="18"/>
      <c r="JW1001" s="18"/>
      <c r="JX1001" s="18"/>
      <c r="JY1001" s="18"/>
      <c r="JZ1001" s="18"/>
      <c r="KA1001" s="18"/>
      <c r="KB1001" s="18"/>
      <c r="KC1001" s="18"/>
      <c r="KD1001" s="18"/>
      <c r="KE1001" s="18"/>
      <c r="KF1001" s="18"/>
      <c r="KG1001" s="18"/>
      <c r="KH1001" s="18"/>
      <c r="KI1001" s="18"/>
      <c r="KJ1001" s="18"/>
      <c r="KK1001" s="18"/>
      <c r="KL1001" s="18"/>
      <c r="KM1001" s="18"/>
      <c r="KN1001" s="18"/>
      <c r="KO1001" s="18"/>
      <c r="KP1001" s="18"/>
    </row>
    <row r="1002" spans="1:302">
      <c r="A1002" s="14"/>
      <c r="B1002" s="14"/>
      <c r="F1002" s="14"/>
      <c r="G1002" s="23"/>
      <c r="H1002" s="23"/>
      <c r="I1002" s="23"/>
      <c r="J1002" s="23"/>
      <c r="K1002" s="14"/>
      <c r="L1002" s="14"/>
      <c r="P1002" s="14"/>
      <c r="AG1002" s="44"/>
      <c r="AH1002" s="44"/>
      <c r="AI1002" s="45"/>
      <c r="AJ1002" s="44"/>
      <c r="AK1002" s="43"/>
      <c r="AS1002" s="14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  <c r="FR1002" s="18"/>
      <c r="FS1002" s="18"/>
      <c r="FT1002" s="18"/>
      <c r="FU1002" s="18"/>
      <c r="FV1002" s="18"/>
      <c r="FW1002" s="18"/>
      <c r="FX1002" s="18"/>
      <c r="FY1002" s="18"/>
      <c r="FZ1002" s="18"/>
      <c r="GA1002" s="18"/>
      <c r="GB1002" s="18"/>
      <c r="GC1002" s="18"/>
      <c r="GD1002" s="18"/>
      <c r="GE1002" s="18"/>
      <c r="GF1002" s="18"/>
      <c r="GG1002" s="18"/>
      <c r="GH1002" s="18"/>
      <c r="GI1002" s="18"/>
      <c r="GJ1002" s="18"/>
      <c r="GK1002" s="18"/>
      <c r="GL1002" s="18"/>
      <c r="GM1002" s="18"/>
      <c r="GN1002" s="18"/>
      <c r="GO1002" s="18"/>
      <c r="GP1002" s="18"/>
      <c r="GQ1002" s="18"/>
      <c r="GR1002" s="18"/>
      <c r="GS1002" s="18"/>
      <c r="GT1002" s="18"/>
      <c r="GU1002" s="18"/>
      <c r="GV1002" s="18"/>
      <c r="GW1002" s="18"/>
      <c r="GX1002" s="18"/>
      <c r="GY1002" s="18"/>
      <c r="GZ1002" s="18"/>
      <c r="HA1002" s="18"/>
      <c r="HB1002" s="18"/>
      <c r="HC1002" s="18"/>
      <c r="HD1002" s="18"/>
      <c r="HE1002" s="18"/>
      <c r="HF1002" s="18"/>
      <c r="HG1002" s="13"/>
      <c r="HH1002" s="13"/>
      <c r="HI1002" s="13"/>
      <c r="HJ1002" s="13"/>
      <c r="HK1002" s="13"/>
      <c r="HL1002" s="13"/>
      <c r="HM1002" s="13"/>
      <c r="HN1002" s="13"/>
      <c r="HO1002" s="13"/>
      <c r="HP1002" s="13"/>
      <c r="HQ1002" s="13"/>
      <c r="HR1002" s="13"/>
      <c r="HS1002" s="13"/>
      <c r="HT1002" s="13"/>
      <c r="HU1002" s="18"/>
      <c r="HV1002" s="18"/>
      <c r="HW1002" s="18"/>
      <c r="HX1002" s="18"/>
      <c r="HY1002" s="18"/>
      <c r="HZ1002" s="18"/>
      <c r="IA1002" s="18"/>
      <c r="IB1002" s="18"/>
      <c r="IC1002" s="18"/>
      <c r="ID1002" s="18"/>
      <c r="IE1002" s="18"/>
      <c r="IF1002" s="18"/>
      <c r="IG1002" s="18"/>
      <c r="IH1002" s="18"/>
      <c r="II1002" s="18"/>
      <c r="IJ1002" s="18"/>
      <c r="IK1002" s="18"/>
      <c r="IL1002" s="18"/>
      <c r="IM1002" s="18"/>
      <c r="IN1002" s="18"/>
      <c r="IO1002" s="18"/>
      <c r="IP1002" s="18"/>
      <c r="IQ1002" s="18"/>
      <c r="IR1002" s="18"/>
      <c r="IS1002" s="18"/>
      <c r="IT1002" s="18"/>
      <c r="IU1002" s="18"/>
      <c r="IV1002" s="18"/>
      <c r="IW1002" s="18"/>
      <c r="IX1002" s="18"/>
      <c r="IY1002" s="18"/>
      <c r="IZ1002" s="18"/>
      <c r="JA1002" s="18"/>
      <c r="JB1002" s="18"/>
      <c r="JC1002" s="18"/>
      <c r="JD1002" s="18"/>
      <c r="JE1002" s="18"/>
      <c r="JF1002" s="18"/>
      <c r="JG1002" s="18"/>
      <c r="JH1002" s="18"/>
      <c r="JI1002" s="18"/>
      <c r="JJ1002" s="18"/>
      <c r="JK1002" s="18"/>
      <c r="JL1002" s="18"/>
      <c r="JM1002" s="18"/>
      <c r="JN1002" s="18"/>
      <c r="JO1002" s="18"/>
      <c r="JP1002" s="18"/>
      <c r="JQ1002" s="18"/>
      <c r="JR1002" s="18"/>
      <c r="JS1002" s="18"/>
      <c r="JT1002" s="18"/>
      <c r="JU1002" s="18"/>
      <c r="JV1002" s="18"/>
      <c r="JW1002" s="18"/>
      <c r="JX1002" s="18"/>
      <c r="JY1002" s="18"/>
      <c r="JZ1002" s="18"/>
      <c r="KA1002" s="18"/>
      <c r="KB1002" s="18"/>
      <c r="KC1002" s="18"/>
      <c r="KD1002" s="18"/>
      <c r="KE1002" s="18"/>
      <c r="KF1002" s="18"/>
      <c r="KG1002" s="18"/>
      <c r="KH1002" s="18"/>
      <c r="KI1002" s="18"/>
      <c r="KJ1002" s="18"/>
      <c r="KK1002" s="18"/>
      <c r="KL1002" s="18"/>
      <c r="KM1002" s="18"/>
      <c r="KN1002" s="18"/>
      <c r="KO1002" s="18"/>
      <c r="KP1002" s="18"/>
    </row>
    <row r="1003" spans="1:302">
      <c r="A1003" s="14"/>
      <c r="B1003" s="14"/>
      <c r="F1003" s="14"/>
      <c r="G1003" s="23"/>
      <c r="H1003" s="23"/>
      <c r="I1003" s="23"/>
      <c r="J1003" s="23"/>
      <c r="K1003" s="14"/>
      <c r="L1003" s="14"/>
      <c r="P1003" s="14"/>
      <c r="AG1003" s="44"/>
      <c r="AH1003" s="44"/>
      <c r="AI1003" s="45"/>
      <c r="AJ1003" s="44"/>
      <c r="AK1003" s="43"/>
      <c r="AS1003" s="14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  <c r="FR1003" s="18"/>
      <c r="FS1003" s="18"/>
      <c r="FT1003" s="18"/>
      <c r="FU1003" s="18"/>
      <c r="FV1003" s="18"/>
      <c r="FW1003" s="18"/>
      <c r="FX1003" s="18"/>
      <c r="FY1003" s="18"/>
      <c r="FZ1003" s="18"/>
      <c r="GA1003" s="18"/>
      <c r="GB1003" s="18"/>
      <c r="GC1003" s="18"/>
      <c r="GD1003" s="18"/>
      <c r="GE1003" s="18"/>
      <c r="GF1003" s="18"/>
      <c r="GG1003" s="18"/>
      <c r="GH1003" s="18"/>
      <c r="GI1003" s="18"/>
      <c r="GJ1003" s="18"/>
      <c r="GK1003" s="18"/>
      <c r="GL1003" s="18"/>
      <c r="GM1003" s="18"/>
      <c r="GN1003" s="18"/>
      <c r="GO1003" s="18"/>
      <c r="GP1003" s="18"/>
      <c r="GQ1003" s="18"/>
      <c r="GR1003" s="18"/>
      <c r="GS1003" s="18"/>
      <c r="GT1003" s="18"/>
      <c r="GU1003" s="18"/>
      <c r="GV1003" s="18"/>
      <c r="GW1003" s="18"/>
      <c r="GX1003" s="18"/>
      <c r="GY1003" s="18"/>
      <c r="GZ1003" s="18"/>
      <c r="HA1003" s="18"/>
      <c r="HB1003" s="18"/>
      <c r="HC1003" s="18"/>
      <c r="HD1003" s="18"/>
      <c r="HE1003" s="18"/>
      <c r="HF1003" s="18"/>
      <c r="HG1003" s="13"/>
      <c r="HH1003" s="13"/>
      <c r="HI1003" s="13"/>
      <c r="HJ1003" s="13"/>
      <c r="HK1003" s="13"/>
      <c r="HL1003" s="13"/>
      <c r="HM1003" s="13"/>
      <c r="HN1003" s="13"/>
      <c r="HO1003" s="13"/>
      <c r="HP1003" s="13"/>
      <c r="HQ1003" s="13"/>
      <c r="HR1003" s="13"/>
      <c r="HS1003" s="13"/>
      <c r="HT1003" s="13"/>
      <c r="HU1003" s="18"/>
      <c r="HV1003" s="18"/>
      <c r="HW1003" s="18"/>
      <c r="HX1003" s="18"/>
      <c r="HY1003" s="18"/>
      <c r="HZ1003" s="18"/>
      <c r="IA1003" s="18"/>
      <c r="IB1003" s="18"/>
      <c r="IC1003" s="18"/>
      <c r="ID1003" s="18"/>
      <c r="IE1003" s="18"/>
      <c r="IF1003" s="18"/>
      <c r="IG1003" s="18"/>
      <c r="IH1003" s="18"/>
      <c r="II1003" s="18"/>
      <c r="IJ1003" s="18"/>
      <c r="IK1003" s="18"/>
      <c r="IL1003" s="18"/>
      <c r="IM1003" s="18"/>
      <c r="IN1003" s="18"/>
      <c r="IO1003" s="18"/>
      <c r="IP1003" s="18"/>
      <c r="IQ1003" s="18"/>
      <c r="IR1003" s="18"/>
      <c r="IS1003" s="18"/>
      <c r="IT1003" s="18"/>
      <c r="IU1003" s="18"/>
      <c r="IV1003" s="18"/>
      <c r="IW1003" s="18"/>
      <c r="IX1003" s="18"/>
      <c r="IY1003" s="18"/>
      <c r="IZ1003" s="18"/>
      <c r="JA1003" s="18"/>
      <c r="JB1003" s="18"/>
      <c r="JC1003" s="18"/>
      <c r="JD1003" s="18"/>
      <c r="JE1003" s="18"/>
      <c r="JF1003" s="18"/>
      <c r="JG1003" s="18"/>
      <c r="JH1003" s="18"/>
      <c r="JI1003" s="18"/>
      <c r="JJ1003" s="18"/>
      <c r="JK1003" s="18"/>
      <c r="JL1003" s="18"/>
      <c r="JM1003" s="18"/>
      <c r="JN1003" s="18"/>
      <c r="JO1003" s="18"/>
      <c r="JP1003" s="18"/>
      <c r="JQ1003" s="18"/>
      <c r="JR1003" s="18"/>
      <c r="JS1003" s="18"/>
      <c r="JT1003" s="18"/>
      <c r="JU1003" s="18"/>
      <c r="JV1003" s="18"/>
      <c r="JW1003" s="18"/>
      <c r="JX1003" s="18"/>
      <c r="JY1003" s="18"/>
      <c r="JZ1003" s="18"/>
      <c r="KA1003" s="18"/>
      <c r="KB1003" s="18"/>
      <c r="KC1003" s="18"/>
      <c r="KD1003" s="18"/>
      <c r="KE1003" s="18"/>
      <c r="KF1003" s="18"/>
      <c r="KG1003" s="18"/>
      <c r="KH1003" s="18"/>
      <c r="KI1003" s="18"/>
      <c r="KJ1003" s="18"/>
      <c r="KK1003" s="18"/>
      <c r="KL1003" s="18"/>
      <c r="KM1003" s="18"/>
      <c r="KN1003" s="18"/>
      <c r="KO1003" s="18"/>
      <c r="KP1003" s="18"/>
    </row>
    <row r="1004" spans="1:302">
      <c r="A1004" s="14"/>
      <c r="B1004" s="14"/>
      <c r="F1004" s="14"/>
      <c r="G1004" s="23"/>
      <c r="H1004" s="23"/>
      <c r="I1004" s="23"/>
      <c r="J1004" s="23"/>
      <c r="K1004" s="14"/>
      <c r="L1004" s="14"/>
      <c r="P1004" s="14"/>
      <c r="AG1004" s="44"/>
      <c r="AH1004" s="44"/>
      <c r="AI1004" s="45"/>
      <c r="AJ1004" s="44"/>
      <c r="AK1004" s="43"/>
      <c r="AS1004" s="14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  <c r="FR1004" s="18"/>
      <c r="FS1004" s="18"/>
      <c r="FT1004" s="18"/>
      <c r="FU1004" s="18"/>
      <c r="FV1004" s="18"/>
      <c r="FW1004" s="18"/>
      <c r="FX1004" s="18"/>
      <c r="FY1004" s="18"/>
      <c r="FZ1004" s="18"/>
      <c r="GA1004" s="18"/>
      <c r="GB1004" s="18"/>
      <c r="GC1004" s="18"/>
      <c r="GD1004" s="18"/>
      <c r="GE1004" s="18"/>
      <c r="GF1004" s="18"/>
      <c r="GG1004" s="18"/>
      <c r="GH1004" s="18"/>
      <c r="GI1004" s="18"/>
      <c r="GJ1004" s="18"/>
      <c r="GK1004" s="18"/>
      <c r="GL1004" s="18"/>
      <c r="GM1004" s="18"/>
      <c r="GN1004" s="18"/>
      <c r="GO1004" s="18"/>
      <c r="GP1004" s="18"/>
      <c r="GQ1004" s="18"/>
      <c r="GR1004" s="18"/>
      <c r="GS1004" s="18"/>
      <c r="GT1004" s="18"/>
      <c r="GU1004" s="18"/>
      <c r="GV1004" s="18"/>
      <c r="GW1004" s="18"/>
      <c r="GX1004" s="18"/>
      <c r="GY1004" s="18"/>
      <c r="GZ1004" s="18"/>
      <c r="HA1004" s="18"/>
      <c r="HB1004" s="18"/>
      <c r="HC1004" s="18"/>
      <c r="HD1004" s="18"/>
      <c r="HE1004" s="18"/>
      <c r="HF1004" s="18"/>
      <c r="HG1004" s="13"/>
      <c r="HH1004" s="13"/>
      <c r="HI1004" s="13"/>
      <c r="HJ1004" s="13"/>
      <c r="HK1004" s="13"/>
      <c r="HL1004" s="13"/>
      <c r="HM1004" s="13"/>
      <c r="HN1004" s="13"/>
      <c r="HO1004" s="13"/>
      <c r="HP1004" s="13"/>
      <c r="HQ1004" s="13"/>
      <c r="HR1004" s="13"/>
      <c r="HS1004" s="13"/>
      <c r="HT1004" s="13"/>
      <c r="HU1004" s="18"/>
      <c r="HV1004" s="18"/>
      <c r="HW1004" s="18"/>
      <c r="HX1004" s="18"/>
      <c r="HY1004" s="18"/>
      <c r="HZ1004" s="18"/>
      <c r="IA1004" s="18"/>
      <c r="IB1004" s="18"/>
      <c r="IC1004" s="18"/>
      <c r="ID1004" s="18"/>
      <c r="IE1004" s="18"/>
      <c r="IF1004" s="18"/>
      <c r="IG1004" s="18"/>
      <c r="IH1004" s="18"/>
      <c r="II1004" s="18"/>
      <c r="IJ1004" s="18"/>
      <c r="IK1004" s="18"/>
      <c r="IL1004" s="18"/>
      <c r="IM1004" s="18"/>
      <c r="IN1004" s="18"/>
      <c r="IO1004" s="18"/>
      <c r="IP1004" s="18"/>
      <c r="IQ1004" s="18"/>
      <c r="IR1004" s="18"/>
      <c r="IS1004" s="18"/>
      <c r="IT1004" s="18"/>
      <c r="IU1004" s="18"/>
      <c r="IV1004" s="18"/>
      <c r="IW1004" s="18"/>
      <c r="IX1004" s="18"/>
      <c r="IY1004" s="18"/>
      <c r="IZ1004" s="18"/>
      <c r="JA1004" s="18"/>
      <c r="JB1004" s="18"/>
      <c r="JC1004" s="18"/>
      <c r="JD1004" s="18"/>
      <c r="JE1004" s="18"/>
      <c r="JF1004" s="18"/>
      <c r="JG1004" s="18"/>
      <c r="JH1004" s="18"/>
      <c r="JI1004" s="18"/>
      <c r="JJ1004" s="18"/>
      <c r="JK1004" s="18"/>
      <c r="JL1004" s="18"/>
      <c r="JM1004" s="18"/>
      <c r="JN1004" s="18"/>
      <c r="JO1004" s="18"/>
      <c r="JP1004" s="18"/>
      <c r="JQ1004" s="18"/>
      <c r="JR1004" s="18"/>
      <c r="JS1004" s="18"/>
      <c r="JT1004" s="18"/>
      <c r="JU1004" s="18"/>
      <c r="JV1004" s="18"/>
      <c r="JW1004" s="18"/>
      <c r="JX1004" s="18"/>
      <c r="JY1004" s="18"/>
      <c r="JZ1004" s="18"/>
      <c r="KA1004" s="18"/>
      <c r="KB1004" s="18"/>
      <c r="KC1004" s="18"/>
      <c r="KD1004" s="18"/>
      <c r="KE1004" s="18"/>
      <c r="KF1004" s="18"/>
      <c r="KG1004" s="18"/>
      <c r="KH1004" s="18"/>
      <c r="KI1004" s="18"/>
      <c r="KJ1004" s="18"/>
      <c r="KK1004" s="18"/>
      <c r="KL1004" s="18"/>
      <c r="KM1004" s="18"/>
      <c r="KN1004" s="18"/>
      <c r="KO1004" s="18"/>
      <c r="KP1004" s="18"/>
    </row>
    <row r="1005" spans="1:302">
      <c r="A1005" s="14"/>
      <c r="B1005" s="14"/>
      <c r="F1005" s="14"/>
      <c r="G1005" s="23"/>
      <c r="H1005" s="23"/>
      <c r="I1005" s="23"/>
      <c r="J1005" s="23"/>
      <c r="K1005" s="14"/>
      <c r="L1005" s="14"/>
      <c r="P1005" s="14"/>
      <c r="AG1005" s="44"/>
      <c r="AH1005" s="44"/>
      <c r="AI1005" s="45"/>
      <c r="AJ1005" s="44"/>
      <c r="AK1005" s="43"/>
      <c r="AS1005" s="14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  <c r="EW1005" s="18"/>
      <c r="EX1005" s="18"/>
      <c r="EY1005" s="18"/>
      <c r="EZ1005" s="18"/>
      <c r="FA1005" s="18"/>
      <c r="FB1005" s="18"/>
      <c r="FC1005" s="18"/>
      <c r="FD1005" s="18"/>
      <c r="FE1005" s="18"/>
      <c r="FF1005" s="18"/>
      <c r="FG1005" s="18"/>
      <c r="FH1005" s="18"/>
      <c r="FI1005" s="18"/>
      <c r="FJ1005" s="18"/>
      <c r="FK1005" s="18"/>
      <c r="FL1005" s="18"/>
      <c r="FM1005" s="18"/>
      <c r="FN1005" s="18"/>
      <c r="FO1005" s="18"/>
      <c r="FP1005" s="18"/>
      <c r="FQ1005" s="18"/>
      <c r="FR1005" s="18"/>
      <c r="FS1005" s="18"/>
      <c r="FT1005" s="18"/>
      <c r="FU1005" s="18"/>
      <c r="FV1005" s="18"/>
      <c r="FW1005" s="18"/>
      <c r="FX1005" s="18"/>
      <c r="FY1005" s="18"/>
      <c r="FZ1005" s="18"/>
      <c r="GA1005" s="18"/>
      <c r="GB1005" s="18"/>
      <c r="GC1005" s="18"/>
      <c r="GD1005" s="18"/>
      <c r="GE1005" s="18"/>
      <c r="GF1005" s="18"/>
      <c r="GG1005" s="18"/>
      <c r="GH1005" s="18"/>
      <c r="GI1005" s="18"/>
      <c r="GJ1005" s="18"/>
      <c r="GK1005" s="18"/>
      <c r="GL1005" s="18"/>
      <c r="GM1005" s="18"/>
      <c r="GN1005" s="18"/>
      <c r="GO1005" s="18"/>
      <c r="GP1005" s="18"/>
      <c r="GQ1005" s="18"/>
      <c r="GR1005" s="18"/>
      <c r="GS1005" s="18"/>
      <c r="GT1005" s="18"/>
      <c r="GU1005" s="18"/>
      <c r="GV1005" s="18"/>
      <c r="GW1005" s="18"/>
      <c r="GX1005" s="18"/>
      <c r="GY1005" s="18"/>
      <c r="GZ1005" s="18"/>
      <c r="HA1005" s="18"/>
      <c r="HB1005" s="18"/>
      <c r="HC1005" s="18"/>
      <c r="HD1005" s="18"/>
      <c r="HE1005" s="18"/>
      <c r="HF1005" s="18"/>
      <c r="HG1005" s="13"/>
      <c r="HH1005" s="13"/>
      <c r="HI1005" s="13"/>
      <c r="HJ1005" s="13"/>
      <c r="HK1005" s="13"/>
      <c r="HL1005" s="13"/>
      <c r="HM1005" s="13"/>
      <c r="HN1005" s="13"/>
      <c r="HO1005" s="13"/>
      <c r="HP1005" s="13"/>
      <c r="HQ1005" s="13"/>
      <c r="HR1005" s="13"/>
      <c r="HS1005" s="13"/>
      <c r="HT1005" s="13"/>
      <c r="HU1005" s="18"/>
      <c r="HV1005" s="18"/>
      <c r="HW1005" s="18"/>
      <c r="HX1005" s="18"/>
      <c r="HY1005" s="18"/>
      <c r="HZ1005" s="18"/>
      <c r="IA1005" s="18"/>
      <c r="IB1005" s="18"/>
      <c r="IC1005" s="18"/>
      <c r="ID1005" s="18"/>
      <c r="IE1005" s="18"/>
      <c r="IF1005" s="18"/>
      <c r="IG1005" s="18"/>
      <c r="IH1005" s="18"/>
      <c r="II1005" s="18"/>
      <c r="IJ1005" s="18"/>
      <c r="IK1005" s="18"/>
      <c r="IL1005" s="18"/>
      <c r="IM1005" s="18"/>
      <c r="IN1005" s="18"/>
      <c r="IO1005" s="18"/>
      <c r="IP1005" s="18"/>
      <c r="IQ1005" s="18"/>
      <c r="IR1005" s="18"/>
      <c r="IS1005" s="18"/>
      <c r="IT1005" s="18"/>
      <c r="IU1005" s="18"/>
      <c r="IV1005" s="18"/>
      <c r="IW1005" s="18"/>
      <c r="IX1005" s="18"/>
      <c r="IY1005" s="18"/>
      <c r="IZ1005" s="18"/>
      <c r="JA1005" s="18"/>
      <c r="JB1005" s="18"/>
      <c r="JC1005" s="18"/>
      <c r="JD1005" s="18"/>
      <c r="JE1005" s="18"/>
      <c r="JF1005" s="18"/>
      <c r="JG1005" s="18"/>
      <c r="JH1005" s="18"/>
      <c r="JI1005" s="18"/>
      <c r="JJ1005" s="18"/>
      <c r="JK1005" s="18"/>
      <c r="JL1005" s="18"/>
      <c r="JM1005" s="18"/>
      <c r="JN1005" s="18"/>
      <c r="JO1005" s="18"/>
      <c r="JP1005" s="18"/>
      <c r="JQ1005" s="18"/>
      <c r="JR1005" s="18"/>
      <c r="JS1005" s="18"/>
      <c r="JT1005" s="18"/>
      <c r="JU1005" s="18"/>
      <c r="JV1005" s="18"/>
      <c r="JW1005" s="18"/>
      <c r="JX1005" s="18"/>
      <c r="JY1005" s="18"/>
      <c r="JZ1005" s="18"/>
      <c r="KA1005" s="18"/>
      <c r="KB1005" s="18"/>
      <c r="KC1005" s="18"/>
      <c r="KD1005" s="18"/>
      <c r="KE1005" s="18"/>
      <c r="KF1005" s="18"/>
      <c r="KG1005" s="18"/>
      <c r="KH1005" s="18"/>
      <c r="KI1005" s="18"/>
      <c r="KJ1005" s="18"/>
      <c r="KK1005" s="18"/>
      <c r="KL1005" s="18"/>
      <c r="KM1005" s="18"/>
      <c r="KN1005" s="18"/>
      <c r="KO1005" s="18"/>
      <c r="KP1005" s="18"/>
    </row>
    <row r="1006" spans="1:302">
      <c r="A1006" s="14"/>
      <c r="B1006" s="14"/>
      <c r="F1006" s="14"/>
      <c r="G1006" s="23"/>
      <c r="H1006" s="23"/>
      <c r="I1006" s="23"/>
      <c r="J1006" s="23"/>
      <c r="K1006" s="14"/>
      <c r="L1006" s="14"/>
      <c r="P1006" s="14"/>
      <c r="AG1006" s="44"/>
      <c r="AH1006" s="44"/>
      <c r="AI1006" s="45"/>
      <c r="AJ1006" s="44"/>
      <c r="AK1006" s="43"/>
      <c r="AS1006" s="14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  <c r="FR1006" s="18"/>
      <c r="FS1006" s="18"/>
      <c r="FT1006" s="18"/>
      <c r="FU1006" s="18"/>
      <c r="FV1006" s="18"/>
      <c r="FW1006" s="18"/>
      <c r="FX1006" s="18"/>
      <c r="FY1006" s="18"/>
      <c r="FZ1006" s="18"/>
      <c r="GA1006" s="18"/>
      <c r="GB1006" s="18"/>
      <c r="GC1006" s="18"/>
      <c r="GD1006" s="18"/>
      <c r="GE1006" s="18"/>
      <c r="GF1006" s="18"/>
      <c r="GG1006" s="18"/>
      <c r="GH1006" s="18"/>
      <c r="GI1006" s="18"/>
      <c r="GJ1006" s="18"/>
      <c r="GK1006" s="18"/>
      <c r="GL1006" s="18"/>
      <c r="GM1006" s="18"/>
      <c r="GN1006" s="18"/>
      <c r="GO1006" s="18"/>
      <c r="GP1006" s="18"/>
      <c r="GQ1006" s="18"/>
      <c r="GR1006" s="18"/>
      <c r="GS1006" s="18"/>
      <c r="GT1006" s="18"/>
      <c r="GU1006" s="18"/>
      <c r="GV1006" s="18"/>
      <c r="GW1006" s="18"/>
      <c r="GX1006" s="18"/>
      <c r="GY1006" s="18"/>
      <c r="GZ1006" s="18"/>
      <c r="HA1006" s="18"/>
      <c r="HB1006" s="18"/>
      <c r="HC1006" s="18"/>
      <c r="HD1006" s="18"/>
      <c r="HE1006" s="18"/>
      <c r="HF1006" s="18"/>
      <c r="HG1006" s="13"/>
      <c r="HH1006" s="13"/>
      <c r="HI1006" s="13"/>
      <c r="HJ1006" s="13"/>
      <c r="HK1006" s="13"/>
      <c r="HL1006" s="13"/>
      <c r="HM1006" s="13"/>
      <c r="HN1006" s="13"/>
      <c r="HO1006" s="13"/>
      <c r="HP1006" s="13"/>
      <c r="HQ1006" s="13"/>
      <c r="HR1006" s="13"/>
      <c r="HS1006" s="13"/>
      <c r="HT1006" s="13"/>
      <c r="HU1006" s="18"/>
      <c r="HV1006" s="18"/>
      <c r="HW1006" s="18"/>
      <c r="HX1006" s="18"/>
      <c r="HY1006" s="18"/>
      <c r="HZ1006" s="18"/>
      <c r="IA1006" s="18"/>
      <c r="IB1006" s="18"/>
      <c r="IC1006" s="18"/>
      <c r="ID1006" s="18"/>
      <c r="IE1006" s="18"/>
      <c r="IF1006" s="18"/>
      <c r="IG1006" s="18"/>
      <c r="IH1006" s="18"/>
      <c r="II1006" s="18"/>
      <c r="IJ1006" s="18"/>
      <c r="IK1006" s="18"/>
      <c r="IL1006" s="18"/>
      <c r="IM1006" s="18"/>
      <c r="IN1006" s="18"/>
      <c r="IO1006" s="18"/>
      <c r="IP1006" s="18"/>
      <c r="IQ1006" s="18"/>
      <c r="IR1006" s="18"/>
      <c r="IS1006" s="18"/>
      <c r="IT1006" s="18"/>
      <c r="IU1006" s="18"/>
      <c r="IV1006" s="18"/>
      <c r="IW1006" s="18"/>
      <c r="IX1006" s="18"/>
      <c r="IY1006" s="18"/>
      <c r="IZ1006" s="18"/>
      <c r="JA1006" s="18"/>
      <c r="JB1006" s="18"/>
      <c r="JC1006" s="18"/>
      <c r="JD1006" s="18"/>
      <c r="JE1006" s="18"/>
      <c r="JF1006" s="18"/>
      <c r="JG1006" s="18"/>
      <c r="JH1006" s="18"/>
      <c r="JI1006" s="18"/>
      <c r="JJ1006" s="18"/>
      <c r="JK1006" s="18"/>
      <c r="JL1006" s="18"/>
      <c r="JM1006" s="18"/>
      <c r="JN1006" s="18"/>
      <c r="JO1006" s="18"/>
      <c r="JP1006" s="18"/>
      <c r="JQ1006" s="18"/>
      <c r="JR1006" s="18"/>
      <c r="JS1006" s="18"/>
      <c r="JT1006" s="18"/>
      <c r="JU1006" s="18"/>
      <c r="JV1006" s="18"/>
      <c r="JW1006" s="18"/>
      <c r="JX1006" s="18"/>
      <c r="JY1006" s="18"/>
      <c r="JZ1006" s="18"/>
      <c r="KA1006" s="18"/>
      <c r="KB1006" s="18"/>
      <c r="KC1006" s="18"/>
      <c r="KD1006" s="18"/>
      <c r="KE1006" s="18"/>
      <c r="KF1006" s="18"/>
      <c r="KG1006" s="18"/>
      <c r="KH1006" s="18"/>
      <c r="KI1006" s="18"/>
      <c r="KJ1006" s="18"/>
      <c r="KK1006" s="18"/>
      <c r="KL1006" s="18"/>
      <c r="KM1006" s="18"/>
      <c r="KN1006" s="18"/>
      <c r="KO1006" s="18"/>
      <c r="KP1006" s="18"/>
    </row>
    <row r="1007" spans="1:302">
      <c r="A1007" s="14"/>
      <c r="B1007" s="14"/>
      <c r="F1007" s="14"/>
      <c r="G1007" s="23"/>
      <c r="H1007" s="23"/>
      <c r="I1007" s="23"/>
      <c r="J1007" s="23"/>
      <c r="K1007" s="14"/>
      <c r="L1007" s="14"/>
      <c r="P1007" s="14"/>
      <c r="AG1007" s="44"/>
      <c r="AH1007" s="44"/>
      <c r="AI1007" s="45"/>
      <c r="AJ1007" s="44"/>
      <c r="AK1007" s="43"/>
      <c r="AS1007" s="14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  <c r="FR1007" s="18"/>
      <c r="FS1007" s="18"/>
      <c r="FT1007" s="18"/>
      <c r="FU1007" s="18"/>
      <c r="FV1007" s="18"/>
      <c r="FW1007" s="18"/>
      <c r="FX1007" s="18"/>
      <c r="FY1007" s="18"/>
      <c r="FZ1007" s="18"/>
      <c r="GA1007" s="18"/>
      <c r="GB1007" s="18"/>
      <c r="GC1007" s="18"/>
      <c r="GD1007" s="18"/>
      <c r="GE1007" s="18"/>
      <c r="GF1007" s="18"/>
      <c r="GG1007" s="18"/>
      <c r="GH1007" s="18"/>
      <c r="GI1007" s="18"/>
      <c r="GJ1007" s="18"/>
      <c r="GK1007" s="18"/>
      <c r="GL1007" s="18"/>
      <c r="GM1007" s="18"/>
      <c r="GN1007" s="18"/>
      <c r="GO1007" s="18"/>
      <c r="GP1007" s="18"/>
      <c r="GQ1007" s="18"/>
      <c r="GR1007" s="18"/>
      <c r="GS1007" s="18"/>
      <c r="GT1007" s="18"/>
      <c r="GU1007" s="18"/>
      <c r="GV1007" s="18"/>
      <c r="GW1007" s="18"/>
      <c r="GX1007" s="18"/>
      <c r="GY1007" s="18"/>
      <c r="GZ1007" s="18"/>
      <c r="HA1007" s="18"/>
      <c r="HB1007" s="18"/>
      <c r="HC1007" s="18"/>
      <c r="HD1007" s="18"/>
      <c r="HE1007" s="18"/>
      <c r="HF1007" s="18"/>
      <c r="HG1007" s="13"/>
      <c r="HH1007" s="13"/>
      <c r="HI1007" s="13"/>
      <c r="HJ1007" s="13"/>
      <c r="HK1007" s="13"/>
      <c r="HL1007" s="13"/>
      <c r="HM1007" s="13"/>
      <c r="HN1007" s="13"/>
      <c r="HO1007" s="13"/>
      <c r="HP1007" s="13"/>
      <c r="HQ1007" s="13"/>
      <c r="HR1007" s="13"/>
      <c r="HS1007" s="13"/>
      <c r="HT1007" s="13"/>
      <c r="HU1007" s="18"/>
      <c r="HV1007" s="18"/>
      <c r="HW1007" s="18"/>
      <c r="HX1007" s="18"/>
      <c r="HY1007" s="18"/>
      <c r="HZ1007" s="18"/>
      <c r="IA1007" s="18"/>
      <c r="IB1007" s="18"/>
      <c r="IC1007" s="18"/>
      <c r="ID1007" s="18"/>
      <c r="IE1007" s="18"/>
      <c r="IF1007" s="18"/>
      <c r="IG1007" s="18"/>
      <c r="IH1007" s="18"/>
      <c r="II1007" s="18"/>
      <c r="IJ1007" s="18"/>
      <c r="IK1007" s="18"/>
      <c r="IL1007" s="18"/>
      <c r="IM1007" s="18"/>
      <c r="IN1007" s="18"/>
      <c r="IO1007" s="18"/>
      <c r="IP1007" s="18"/>
      <c r="IQ1007" s="18"/>
      <c r="IR1007" s="18"/>
      <c r="IS1007" s="18"/>
      <c r="IT1007" s="18"/>
      <c r="IU1007" s="18"/>
      <c r="IV1007" s="18"/>
      <c r="IW1007" s="18"/>
      <c r="IX1007" s="18"/>
      <c r="IY1007" s="18"/>
      <c r="IZ1007" s="18"/>
      <c r="JA1007" s="18"/>
      <c r="JB1007" s="18"/>
      <c r="JC1007" s="18"/>
      <c r="JD1007" s="18"/>
      <c r="JE1007" s="18"/>
      <c r="JF1007" s="18"/>
      <c r="JG1007" s="18"/>
      <c r="JH1007" s="18"/>
      <c r="JI1007" s="18"/>
      <c r="JJ1007" s="18"/>
      <c r="JK1007" s="18"/>
      <c r="JL1007" s="18"/>
      <c r="JM1007" s="18"/>
      <c r="JN1007" s="18"/>
      <c r="JO1007" s="18"/>
      <c r="JP1007" s="18"/>
      <c r="JQ1007" s="18"/>
      <c r="JR1007" s="18"/>
      <c r="JS1007" s="18"/>
      <c r="JT1007" s="18"/>
      <c r="JU1007" s="18"/>
      <c r="JV1007" s="18"/>
      <c r="JW1007" s="18"/>
      <c r="JX1007" s="18"/>
      <c r="JY1007" s="18"/>
      <c r="JZ1007" s="18"/>
      <c r="KA1007" s="18"/>
      <c r="KB1007" s="18"/>
      <c r="KC1007" s="18"/>
      <c r="KD1007" s="18"/>
      <c r="KE1007" s="18"/>
      <c r="KF1007" s="18"/>
      <c r="KG1007" s="18"/>
      <c r="KH1007" s="18"/>
      <c r="KI1007" s="18"/>
      <c r="KJ1007" s="18"/>
      <c r="KK1007" s="18"/>
      <c r="KL1007" s="18"/>
      <c r="KM1007" s="18"/>
      <c r="KN1007" s="18"/>
      <c r="KO1007" s="18"/>
      <c r="KP1007" s="18"/>
    </row>
    <row r="1008" spans="1:302">
      <c r="A1008" s="14"/>
      <c r="B1008" s="14"/>
      <c r="F1008" s="14"/>
      <c r="G1008" s="23"/>
      <c r="H1008" s="23"/>
      <c r="I1008" s="23"/>
      <c r="J1008" s="23"/>
      <c r="K1008" s="14"/>
      <c r="L1008" s="14"/>
      <c r="P1008" s="14"/>
      <c r="AG1008" s="44"/>
      <c r="AH1008" s="44"/>
      <c r="AI1008" s="45"/>
      <c r="AJ1008" s="44"/>
      <c r="AK1008" s="43"/>
      <c r="AS1008" s="14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  <c r="FR1008" s="18"/>
      <c r="FS1008" s="18"/>
      <c r="FT1008" s="18"/>
      <c r="FU1008" s="18"/>
      <c r="FV1008" s="18"/>
      <c r="FW1008" s="18"/>
      <c r="FX1008" s="18"/>
      <c r="FY1008" s="18"/>
      <c r="FZ1008" s="18"/>
      <c r="GA1008" s="18"/>
      <c r="GB1008" s="18"/>
      <c r="GC1008" s="18"/>
      <c r="GD1008" s="18"/>
      <c r="GE1008" s="18"/>
      <c r="GF1008" s="18"/>
      <c r="GG1008" s="18"/>
      <c r="GH1008" s="18"/>
      <c r="GI1008" s="18"/>
      <c r="GJ1008" s="18"/>
      <c r="GK1008" s="18"/>
      <c r="GL1008" s="18"/>
      <c r="GM1008" s="18"/>
      <c r="GN1008" s="18"/>
      <c r="GO1008" s="18"/>
      <c r="GP1008" s="18"/>
      <c r="GQ1008" s="18"/>
      <c r="GR1008" s="18"/>
      <c r="GS1008" s="18"/>
      <c r="GT1008" s="18"/>
      <c r="GU1008" s="18"/>
      <c r="GV1008" s="18"/>
      <c r="GW1008" s="18"/>
      <c r="GX1008" s="18"/>
      <c r="GY1008" s="18"/>
      <c r="GZ1008" s="18"/>
      <c r="HA1008" s="18"/>
      <c r="HB1008" s="18"/>
      <c r="HC1008" s="18"/>
      <c r="HD1008" s="18"/>
      <c r="HE1008" s="18"/>
      <c r="HF1008" s="18"/>
      <c r="HG1008" s="13"/>
      <c r="HH1008" s="13"/>
      <c r="HI1008" s="13"/>
      <c r="HJ1008" s="13"/>
      <c r="HK1008" s="13"/>
      <c r="HL1008" s="13"/>
      <c r="HM1008" s="13"/>
      <c r="HN1008" s="13"/>
      <c r="HO1008" s="13"/>
      <c r="HP1008" s="13"/>
      <c r="HQ1008" s="13"/>
      <c r="HR1008" s="13"/>
      <c r="HS1008" s="13"/>
      <c r="HT1008" s="13"/>
      <c r="HU1008" s="18"/>
      <c r="HV1008" s="18"/>
      <c r="HW1008" s="18"/>
      <c r="HX1008" s="18"/>
      <c r="HY1008" s="18"/>
      <c r="HZ1008" s="18"/>
      <c r="IA1008" s="18"/>
      <c r="IB1008" s="18"/>
      <c r="IC1008" s="18"/>
      <c r="ID1008" s="18"/>
      <c r="IE1008" s="18"/>
      <c r="IF1008" s="18"/>
      <c r="IG1008" s="18"/>
      <c r="IH1008" s="18"/>
      <c r="II1008" s="18"/>
      <c r="IJ1008" s="18"/>
      <c r="IK1008" s="18"/>
      <c r="IL1008" s="18"/>
      <c r="IM1008" s="18"/>
      <c r="IN1008" s="18"/>
      <c r="IO1008" s="18"/>
      <c r="IP1008" s="18"/>
      <c r="IQ1008" s="18"/>
      <c r="IR1008" s="18"/>
      <c r="IS1008" s="18"/>
      <c r="IT1008" s="18"/>
      <c r="IU1008" s="18"/>
      <c r="IV1008" s="18"/>
      <c r="IW1008" s="18"/>
      <c r="IX1008" s="18"/>
      <c r="IY1008" s="18"/>
      <c r="IZ1008" s="18"/>
      <c r="JA1008" s="18"/>
      <c r="JB1008" s="18"/>
      <c r="JC1008" s="18"/>
      <c r="JD1008" s="18"/>
      <c r="JE1008" s="18"/>
      <c r="JF1008" s="18"/>
      <c r="JG1008" s="18"/>
      <c r="JH1008" s="18"/>
      <c r="JI1008" s="18"/>
      <c r="JJ1008" s="18"/>
      <c r="JK1008" s="18"/>
      <c r="JL1008" s="18"/>
      <c r="JM1008" s="18"/>
      <c r="JN1008" s="18"/>
      <c r="JO1008" s="18"/>
      <c r="JP1008" s="18"/>
      <c r="JQ1008" s="18"/>
      <c r="JR1008" s="18"/>
      <c r="JS1008" s="18"/>
      <c r="JT1008" s="18"/>
      <c r="JU1008" s="18"/>
      <c r="JV1008" s="18"/>
      <c r="JW1008" s="18"/>
      <c r="JX1008" s="18"/>
      <c r="JY1008" s="18"/>
      <c r="JZ1008" s="18"/>
      <c r="KA1008" s="18"/>
      <c r="KB1008" s="18"/>
      <c r="KC1008" s="18"/>
      <c r="KD1008" s="18"/>
      <c r="KE1008" s="18"/>
      <c r="KF1008" s="18"/>
      <c r="KG1008" s="18"/>
      <c r="KH1008" s="18"/>
      <c r="KI1008" s="18"/>
      <c r="KJ1008" s="18"/>
      <c r="KK1008" s="18"/>
      <c r="KL1008" s="18"/>
      <c r="KM1008" s="18"/>
      <c r="KN1008" s="18"/>
      <c r="KO1008" s="18"/>
      <c r="KP1008" s="18"/>
    </row>
    <row r="1009" spans="1:302">
      <c r="A1009" s="14"/>
      <c r="B1009" s="14"/>
      <c r="F1009" s="14"/>
      <c r="G1009" s="23"/>
      <c r="H1009" s="23"/>
      <c r="I1009" s="23"/>
      <c r="J1009" s="23"/>
      <c r="K1009" s="14"/>
      <c r="L1009" s="14"/>
      <c r="P1009" s="14"/>
      <c r="AG1009" s="44"/>
      <c r="AH1009" s="44"/>
      <c r="AI1009" s="45"/>
      <c r="AJ1009" s="44"/>
      <c r="AK1009" s="43"/>
      <c r="AS1009" s="14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  <c r="FR1009" s="18"/>
      <c r="FS1009" s="18"/>
      <c r="FT1009" s="18"/>
      <c r="FU1009" s="18"/>
      <c r="FV1009" s="18"/>
      <c r="FW1009" s="18"/>
      <c r="FX1009" s="18"/>
      <c r="FY1009" s="18"/>
      <c r="FZ1009" s="18"/>
      <c r="GA1009" s="18"/>
      <c r="GB1009" s="18"/>
      <c r="GC1009" s="18"/>
      <c r="GD1009" s="18"/>
      <c r="GE1009" s="18"/>
      <c r="GF1009" s="18"/>
      <c r="GG1009" s="18"/>
      <c r="GH1009" s="18"/>
      <c r="GI1009" s="18"/>
      <c r="GJ1009" s="18"/>
      <c r="GK1009" s="18"/>
      <c r="GL1009" s="18"/>
      <c r="GM1009" s="18"/>
      <c r="GN1009" s="18"/>
      <c r="GO1009" s="18"/>
      <c r="GP1009" s="18"/>
      <c r="GQ1009" s="18"/>
      <c r="GR1009" s="18"/>
      <c r="GS1009" s="18"/>
      <c r="GT1009" s="18"/>
      <c r="GU1009" s="18"/>
      <c r="GV1009" s="18"/>
      <c r="GW1009" s="18"/>
      <c r="GX1009" s="18"/>
      <c r="GY1009" s="18"/>
      <c r="GZ1009" s="18"/>
      <c r="HA1009" s="18"/>
      <c r="HB1009" s="18"/>
      <c r="HC1009" s="18"/>
      <c r="HD1009" s="18"/>
      <c r="HE1009" s="18"/>
      <c r="HF1009" s="18"/>
      <c r="HG1009" s="13"/>
      <c r="HH1009" s="13"/>
      <c r="HI1009" s="13"/>
      <c r="HJ1009" s="13"/>
      <c r="HK1009" s="13"/>
      <c r="HL1009" s="13"/>
      <c r="HM1009" s="13"/>
      <c r="HN1009" s="13"/>
      <c r="HO1009" s="13"/>
      <c r="HP1009" s="13"/>
      <c r="HQ1009" s="13"/>
      <c r="HR1009" s="13"/>
      <c r="HS1009" s="13"/>
      <c r="HT1009" s="13"/>
      <c r="HU1009" s="18"/>
      <c r="HV1009" s="18"/>
      <c r="HW1009" s="18"/>
      <c r="HX1009" s="18"/>
      <c r="HY1009" s="18"/>
      <c r="HZ1009" s="18"/>
      <c r="IA1009" s="18"/>
      <c r="IB1009" s="18"/>
      <c r="IC1009" s="18"/>
      <c r="ID1009" s="18"/>
      <c r="IE1009" s="18"/>
      <c r="IF1009" s="18"/>
      <c r="IG1009" s="18"/>
      <c r="IH1009" s="18"/>
      <c r="II1009" s="18"/>
      <c r="IJ1009" s="18"/>
      <c r="IK1009" s="18"/>
      <c r="IL1009" s="18"/>
      <c r="IM1009" s="18"/>
      <c r="IN1009" s="18"/>
      <c r="IO1009" s="18"/>
      <c r="IP1009" s="18"/>
      <c r="IQ1009" s="18"/>
      <c r="IR1009" s="18"/>
      <c r="IS1009" s="18"/>
      <c r="IT1009" s="18"/>
      <c r="IU1009" s="18"/>
      <c r="IV1009" s="18"/>
      <c r="IW1009" s="18"/>
      <c r="IX1009" s="18"/>
      <c r="IY1009" s="18"/>
      <c r="IZ1009" s="18"/>
      <c r="JA1009" s="18"/>
      <c r="JB1009" s="18"/>
      <c r="JC1009" s="18"/>
      <c r="JD1009" s="18"/>
      <c r="JE1009" s="18"/>
      <c r="JF1009" s="18"/>
      <c r="JG1009" s="18"/>
      <c r="JH1009" s="18"/>
      <c r="JI1009" s="18"/>
      <c r="JJ1009" s="18"/>
      <c r="JK1009" s="18"/>
      <c r="JL1009" s="18"/>
      <c r="JM1009" s="18"/>
      <c r="JN1009" s="18"/>
      <c r="JO1009" s="18"/>
      <c r="JP1009" s="18"/>
      <c r="JQ1009" s="18"/>
      <c r="JR1009" s="18"/>
      <c r="JS1009" s="18"/>
      <c r="JT1009" s="18"/>
      <c r="JU1009" s="18"/>
      <c r="JV1009" s="18"/>
      <c r="JW1009" s="18"/>
      <c r="JX1009" s="18"/>
      <c r="JY1009" s="18"/>
      <c r="JZ1009" s="18"/>
      <c r="KA1009" s="18"/>
      <c r="KB1009" s="18"/>
      <c r="KC1009" s="18"/>
      <c r="KD1009" s="18"/>
      <c r="KE1009" s="18"/>
      <c r="KF1009" s="18"/>
      <c r="KG1009" s="18"/>
      <c r="KH1009" s="18"/>
      <c r="KI1009" s="18"/>
      <c r="KJ1009" s="18"/>
      <c r="KK1009" s="18"/>
      <c r="KL1009" s="18"/>
      <c r="KM1009" s="18"/>
      <c r="KN1009" s="18"/>
      <c r="KO1009" s="18"/>
      <c r="KP1009" s="18"/>
    </row>
    <row r="1010" spans="1:302">
      <c r="A1010" s="14"/>
      <c r="B1010" s="14"/>
      <c r="F1010" s="14"/>
      <c r="G1010" s="23"/>
      <c r="H1010" s="23"/>
      <c r="I1010" s="23"/>
      <c r="J1010" s="23"/>
      <c r="K1010" s="14"/>
      <c r="L1010" s="14"/>
      <c r="P1010" s="14"/>
      <c r="AG1010" s="44"/>
      <c r="AH1010" s="44"/>
      <c r="AI1010" s="45"/>
      <c r="AJ1010" s="44"/>
      <c r="AK1010" s="43"/>
      <c r="AS1010" s="14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  <c r="EW1010" s="18"/>
      <c r="EX1010" s="18"/>
      <c r="EY1010" s="18"/>
      <c r="EZ1010" s="18"/>
      <c r="FA1010" s="18"/>
      <c r="FB1010" s="18"/>
      <c r="FC1010" s="18"/>
      <c r="FD1010" s="18"/>
      <c r="FE1010" s="18"/>
      <c r="FF1010" s="18"/>
      <c r="FG1010" s="18"/>
      <c r="FH1010" s="18"/>
      <c r="FI1010" s="18"/>
      <c r="FJ1010" s="18"/>
      <c r="FK1010" s="18"/>
      <c r="FL1010" s="18"/>
      <c r="FM1010" s="18"/>
      <c r="FN1010" s="18"/>
      <c r="FO1010" s="18"/>
      <c r="FP1010" s="18"/>
      <c r="FQ1010" s="18"/>
      <c r="FR1010" s="18"/>
      <c r="FS1010" s="18"/>
      <c r="FT1010" s="18"/>
      <c r="FU1010" s="18"/>
      <c r="FV1010" s="18"/>
      <c r="FW1010" s="18"/>
      <c r="FX1010" s="18"/>
      <c r="FY1010" s="18"/>
      <c r="FZ1010" s="18"/>
      <c r="GA1010" s="18"/>
      <c r="GB1010" s="18"/>
      <c r="GC1010" s="18"/>
      <c r="GD1010" s="18"/>
      <c r="GE1010" s="18"/>
      <c r="GF1010" s="18"/>
      <c r="GG1010" s="18"/>
      <c r="GH1010" s="18"/>
      <c r="GI1010" s="18"/>
      <c r="GJ1010" s="18"/>
      <c r="GK1010" s="18"/>
      <c r="GL1010" s="18"/>
      <c r="GM1010" s="18"/>
      <c r="GN1010" s="18"/>
      <c r="GO1010" s="18"/>
      <c r="GP1010" s="18"/>
      <c r="GQ1010" s="18"/>
      <c r="GR1010" s="18"/>
      <c r="GS1010" s="18"/>
      <c r="GT1010" s="18"/>
      <c r="GU1010" s="18"/>
      <c r="GV1010" s="18"/>
      <c r="GW1010" s="18"/>
      <c r="GX1010" s="18"/>
      <c r="GY1010" s="18"/>
      <c r="GZ1010" s="18"/>
      <c r="HA1010" s="18"/>
      <c r="HB1010" s="18"/>
      <c r="HC1010" s="18"/>
      <c r="HD1010" s="18"/>
      <c r="HE1010" s="18"/>
      <c r="HF1010" s="18"/>
      <c r="HG1010" s="13"/>
      <c r="HH1010" s="13"/>
      <c r="HI1010" s="13"/>
      <c r="HJ1010" s="13"/>
      <c r="HK1010" s="13"/>
      <c r="HL1010" s="13"/>
      <c r="HM1010" s="13"/>
      <c r="HN1010" s="13"/>
      <c r="HO1010" s="13"/>
      <c r="HP1010" s="13"/>
      <c r="HQ1010" s="13"/>
      <c r="HR1010" s="13"/>
      <c r="HS1010" s="13"/>
      <c r="HT1010" s="13"/>
      <c r="HU1010" s="18"/>
      <c r="HV1010" s="18"/>
      <c r="HW1010" s="18"/>
      <c r="HX1010" s="18"/>
      <c r="HY1010" s="18"/>
      <c r="HZ1010" s="18"/>
      <c r="IA1010" s="18"/>
      <c r="IB1010" s="18"/>
      <c r="IC1010" s="18"/>
      <c r="ID1010" s="18"/>
      <c r="IE1010" s="18"/>
      <c r="IF1010" s="18"/>
      <c r="IG1010" s="18"/>
      <c r="IH1010" s="18"/>
      <c r="II1010" s="18"/>
      <c r="IJ1010" s="18"/>
      <c r="IK1010" s="18"/>
      <c r="IL1010" s="18"/>
      <c r="IM1010" s="18"/>
      <c r="IN1010" s="18"/>
      <c r="IO1010" s="18"/>
      <c r="IP1010" s="18"/>
      <c r="IQ1010" s="18"/>
      <c r="IR1010" s="18"/>
      <c r="IS1010" s="18"/>
      <c r="IT1010" s="18"/>
      <c r="IU1010" s="18"/>
      <c r="IV1010" s="18"/>
      <c r="IW1010" s="18"/>
      <c r="IX1010" s="18"/>
      <c r="IY1010" s="18"/>
      <c r="IZ1010" s="18"/>
      <c r="JA1010" s="18"/>
      <c r="JB1010" s="18"/>
      <c r="JC1010" s="18"/>
      <c r="JD1010" s="18"/>
      <c r="JE1010" s="18"/>
      <c r="JF1010" s="18"/>
      <c r="JG1010" s="18"/>
      <c r="JH1010" s="18"/>
      <c r="JI1010" s="18"/>
      <c r="JJ1010" s="18"/>
      <c r="JK1010" s="18"/>
      <c r="JL1010" s="18"/>
      <c r="JM1010" s="18"/>
      <c r="JN1010" s="18"/>
      <c r="JO1010" s="18"/>
      <c r="JP1010" s="18"/>
      <c r="JQ1010" s="18"/>
      <c r="JR1010" s="18"/>
      <c r="JS1010" s="18"/>
      <c r="JT1010" s="18"/>
      <c r="JU1010" s="18"/>
      <c r="JV1010" s="18"/>
      <c r="JW1010" s="18"/>
      <c r="JX1010" s="18"/>
      <c r="JY1010" s="18"/>
      <c r="JZ1010" s="18"/>
      <c r="KA1010" s="18"/>
      <c r="KB1010" s="18"/>
      <c r="KC1010" s="18"/>
      <c r="KD1010" s="18"/>
      <c r="KE1010" s="18"/>
      <c r="KF1010" s="18"/>
      <c r="KG1010" s="18"/>
      <c r="KH1010" s="18"/>
      <c r="KI1010" s="18"/>
      <c r="KJ1010" s="18"/>
      <c r="KK1010" s="18"/>
      <c r="KL1010" s="18"/>
      <c r="KM1010" s="18"/>
      <c r="KN1010" s="18"/>
      <c r="KO1010" s="18"/>
      <c r="KP1010" s="18"/>
    </row>
    <row r="1011" spans="1:302">
      <c r="A1011" s="14"/>
      <c r="B1011" s="14"/>
      <c r="F1011" s="14"/>
      <c r="G1011" s="23"/>
      <c r="H1011" s="23"/>
      <c r="I1011" s="23"/>
      <c r="J1011" s="23"/>
      <c r="K1011" s="14"/>
      <c r="L1011" s="14"/>
      <c r="P1011" s="14"/>
      <c r="AG1011" s="44"/>
      <c r="AH1011" s="44"/>
      <c r="AI1011" s="45"/>
      <c r="AJ1011" s="44"/>
      <c r="AK1011" s="43"/>
      <c r="AS1011" s="14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  <c r="EW1011" s="18"/>
      <c r="EX1011" s="18"/>
      <c r="EY1011" s="18"/>
      <c r="EZ1011" s="18"/>
      <c r="FA1011" s="18"/>
      <c r="FB1011" s="18"/>
      <c r="FC1011" s="18"/>
      <c r="FD1011" s="18"/>
      <c r="FE1011" s="18"/>
      <c r="FF1011" s="18"/>
      <c r="FG1011" s="18"/>
      <c r="FH1011" s="18"/>
      <c r="FI1011" s="18"/>
      <c r="FJ1011" s="18"/>
      <c r="FK1011" s="18"/>
      <c r="FL1011" s="18"/>
      <c r="FM1011" s="18"/>
      <c r="FN1011" s="18"/>
      <c r="FO1011" s="18"/>
      <c r="FP1011" s="18"/>
      <c r="FQ1011" s="18"/>
      <c r="FR1011" s="18"/>
      <c r="FS1011" s="18"/>
      <c r="FT1011" s="18"/>
      <c r="FU1011" s="18"/>
      <c r="FV1011" s="18"/>
      <c r="FW1011" s="18"/>
      <c r="FX1011" s="18"/>
      <c r="FY1011" s="18"/>
      <c r="FZ1011" s="18"/>
      <c r="GA1011" s="18"/>
      <c r="GB1011" s="18"/>
      <c r="GC1011" s="18"/>
      <c r="GD1011" s="18"/>
      <c r="GE1011" s="18"/>
      <c r="GF1011" s="18"/>
      <c r="GG1011" s="18"/>
      <c r="GH1011" s="18"/>
      <c r="GI1011" s="18"/>
      <c r="GJ1011" s="18"/>
      <c r="GK1011" s="18"/>
      <c r="GL1011" s="18"/>
      <c r="GM1011" s="18"/>
      <c r="GN1011" s="18"/>
      <c r="GO1011" s="18"/>
      <c r="GP1011" s="18"/>
      <c r="GQ1011" s="18"/>
      <c r="GR1011" s="18"/>
      <c r="GS1011" s="18"/>
      <c r="GT1011" s="18"/>
      <c r="GU1011" s="18"/>
      <c r="GV1011" s="18"/>
      <c r="GW1011" s="18"/>
      <c r="GX1011" s="18"/>
      <c r="GY1011" s="18"/>
      <c r="GZ1011" s="18"/>
      <c r="HA1011" s="18"/>
      <c r="HB1011" s="18"/>
      <c r="HC1011" s="18"/>
      <c r="HD1011" s="18"/>
      <c r="HE1011" s="18"/>
      <c r="HF1011" s="18"/>
      <c r="HG1011" s="13"/>
      <c r="HH1011" s="13"/>
      <c r="HI1011" s="13"/>
      <c r="HJ1011" s="13"/>
      <c r="HK1011" s="13"/>
      <c r="HL1011" s="13"/>
      <c r="HM1011" s="13"/>
      <c r="HN1011" s="13"/>
      <c r="HO1011" s="13"/>
      <c r="HP1011" s="13"/>
      <c r="HQ1011" s="13"/>
      <c r="HR1011" s="13"/>
      <c r="HS1011" s="13"/>
      <c r="HT1011" s="13"/>
      <c r="HU1011" s="18"/>
      <c r="HV1011" s="18"/>
      <c r="HW1011" s="18"/>
      <c r="HX1011" s="18"/>
      <c r="HY1011" s="18"/>
      <c r="HZ1011" s="18"/>
      <c r="IA1011" s="18"/>
      <c r="IB1011" s="18"/>
      <c r="IC1011" s="18"/>
      <c r="ID1011" s="18"/>
      <c r="IE1011" s="18"/>
      <c r="IF1011" s="18"/>
      <c r="IG1011" s="18"/>
      <c r="IH1011" s="18"/>
      <c r="II1011" s="18"/>
      <c r="IJ1011" s="18"/>
      <c r="IK1011" s="18"/>
      <c r="IL1011" s="18"/>
      <c r="IM1011" s="18"/>
      <c r="IN1011" s="18"/>
      <c r="IO1011" s="18"/>
      <c r="IP1011" s="18"/>
      <c r="IQ1011" s="18"/>
      <c r="IR1011" s="18"/>
      <c r="IS1011" s="18"/>
      <c r="IT1011" s="18"/>
      <c r="IU1011" s="18"/>
      <c r="IV1011" s="18"/>
      <c r="IW1011" s="18"/>
      <c r="IX1011" s="18"/>
      <c r="IY1011" s="18"/>
      <c r="IZ1011" s="18"/>
      <c r="JA1011" s="18"/>
      <c r="JB1011" s="18"/>
      <c r="JC1011" s="18"/>
      <c r="JD1011" s="18"/>
      <c r="JE1011" s="18"/>
      <c r="JF1011" s="18"/>
      <c r="JG1011" s="18"/>
      <c r="JH1011" s="18"/>
      <c r="JI1011" s="18"/>
      <c r="JJ1011" s="18"/>
      <c r="JK1011" s="18"/>
      <c r="JL1011" s="18"/>
      <c r="JM1011" s="18"/>
      <c r="JN1011" s="18"/>
      <c r="JO1011" s="18"/>
      <c r="JP1011" s="18"/>
      <c r="JQ1011" s="18"/>
      <c r="JR1011" s="18"/>
      <c r="JS1011" s="18"/>
      <c r="JT1011" s="18"/>
      <c r="JU1011" s="18"/>
      <c r="JV1011" s="18"/>
      <c r="JW1011" s="18"/>
      <c r="JX1011" s="18"/>
      <c r="JY1011" s="18"/>
      <c r="JZ1011" s="18"/>
      <c r="KA1011" s="18"/>
      <c r="KB1011" s="18"/>
      <c r="KC1011" s="18"/>
      <c r="KD1011" s="18"/>
      <c r="KE1011" s="18"/>
      <c r="KF1011" s="18"/>
      <c r="KG1011" s="18"/>
      <c r="KH1011" s="18"/>
      <c r="KI1011" s="18"/>
      <c r="KJ1011" s="18"/>
      <c r="KK1011" s="18"/>
      <c r="KL1011" s="18"/>
      <c r="KM1011" s="18"/>
      <c r="KN1011" s="18"/>
      <c r="KO1011" s="18"/>
      <c r="KP1011" s="18"/>
    </row>
    <row r="1012" spans="1:302">
      <c r="A1012" s="14"/>
      <c r="B1012" s="14"/>
      <c r="F1012" s="14"/>
      <c r="G1012" s="23"/>
      <c r="H1012" s="23"/>
      <c r="I1012" s="23"/>
      <c r="J1012" s="23"/>
      <c r="K1012" s="14"/>
      <c r="L1012" s="14"/>
      <c r="P1012" s="14"/>
      <c r="AG1012" s="44"/>
      <c r="AH1012" s="44"/>
      <c r="AI1012" s="45"/>
      <c r="AJ1012" s="44"/>
      <c r="AK1012" s="43"/>
      <c r="AS1012" s="14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  <c r="EW1012" s="18"/>
      <c r="EX1012" s="18"/>
      <c r="EY1012" s="18"/>
      <c r="EZ1012" s="18"/>
      <c r="FA1012" s="18"/>
      <c r="FB1012" s="18"/>
      <c r="FC1012" s="18"/>
      <c r="FD1012" s="18"/>
      <c r="FE1012" s="18"/>
      <c r="FF1012" s="18"/>
      <c r="FG1012" s="18"/>
      <c r="FH1012" s="18"/>
      <c r="FI1012" s="18"/>
      <c r="FJ1012" s="18"/>
      <c r="FK1012" s="18"/>
      <c r="FL1012" s="18"/>
      <c r="FM1012" s="18"/>
      <c r="FN1012" s="18"/>
      <c r="FO1012" s="18"/>
      <c r="FP1012" s="18"/>
      <c r="FQ1012" s="18"/>
      <c r="FR1012" s="18"/>
      <c r="FS1012" s="18"/>
      <c r="FT1012" s="18"/>
      <c r="FU1012" s="18"/>
      <c r="FV1012" s="18"/>
      <c r="FW1012" s="18"/>
      <c r="FX1012" s="18"/>
      <c r="FY1012" s="18"/>
      <c r="FZ1012" s="18"/>
      <c r="GA1012" s="18"/>
      <c r="GB1012" s="18"/>
      <c r="GC1012" s="18"/>
      <c r="GD1012" s="18"/>
      <c r="GE1012" s="18"/>
      <c r="GF1012" s="18"/>
      <c r="GG1012" s="18"/>
      <c r="GH1012" s="18"/>
      <c r="GI1012" s="18"/>
      <c r="GJ1012" s="18"/>
      <c r="GK1012" s="18"/>
      <c r="GL1012" s="18"/>
      <c r="GM1012" s="18"/>
      <c r="GN1012" s="18"/>
      <c r="GO1012" s="18"/>
      <c r="GP1012" s="18"/>
      <c r="GQ1012" s="18"/>
      <c r="GR1012" s="18"/>
      <c r="GS1012" s="18"/>
      <c r="GT1012" s="18"/>
      <c r="GU1012" s="18"/>
      <c r="GV1012" s="18"/>
      <c r="GW1012" s="18"/>
      <c r="GX1012" s="18"/>
      <c r="GY1012" s="18"/>
      <c r="GZ1012" s="18"/>
      <c r="HA1012" s="18"/>
      <c r="HB1012" s="18"/>
      <c r="HC1012" s="18"/>
      <c r="HD1012" s="18"/>
      <c r="HE1012" s="18"/>
      <c r="HF1012" s="18"/>
      <c r="HG1012" s="13"/>
      <c r="HH1012" s="13"/>
      <c r="HI1012" s="13"/>
      <c r="HJ1012" s="13"/>
      <c r="HK1012" s="13"/>
      <c r="HL1012" s="13"/>
      <c r="HM1012" s="13"/>
      <c r="HN1012" s="13"/>
      <c r="HO1012" s="13"/>
      <c r="HP1012" s="13"/>
      <c r="HQ1012" s="13"/>
      <c r="HR1012" s="13"/>
      <c r="HS1012" s="13"/>
      <c r="HT1012" s="13"/>
      <c r="HU1012" s="18"/>
      <c r="HV1012" s="18"/>
      <c r="HW1012" s="18"/>
      <c r="HX1012" s="18"/>
      <c r="HY1012" s="18"/>
      <c r="HZ1012" s="18"/>
      <c r="IA1012" s="18"/>
      <c r="IB1012" s="18"/>
      <c r="IC1012" s="18"/>
      <c r="ID1012" s="18"/>
      <c r="IE1012" s="18"/>
      <c r="IF1012" s="18"/>
      <c r="IG1012" s="18"/>
      <c r="IH1012" s="18"/>
      <c r="II1012" s="18"/>
      <c r="IJ1012" s="18"/>
      <c r="IK1012" s="18"/>
      <c r="IL1012" s="18"/>
      <c r="IM1012" s="18"/>
      <c r="IN1012" s="18"/>
      <c r="IO1012" s="18"/>
      <c r="IP1012" s="18"/>
      <c r="IQ1012" s="18"/>
      <c r="IR1012" s="18"/>
      <c r="IS1012" s="18"/>
      <c r="IT1012" s="18"/>
      <c r="IU1012" s="18"/>
      <c r="IV1012" s="18"/>
      <c r="IW1012" s="18"/>
      <c r="IX1012" s="18"/>
      <c r="IY1012" s="18"/>
      <c r="IZ1012" s="18"/>
      <c r="JA1012" s="18"/>
      <c r="JB1012" s="18"/>
      <c r="JC1012" s="18"/>
      <c r="JD1012" s="18"/>
      <c r="JE1012" s="18"/>
      <c r="JF1012" s="18"/>
      <c r="JG1012" s="18"/>
      <c r="JH1012" s="18"/>
      <c r="JI1012" s="18"/>
      <c r="JJ1012" s="18"/>
      <c r="JK1012" s="18"/>
      <c r="JL1012" s="18"/>
      <c r="JM1012" s="18"/>
      <c r="JN1012" s="18"/>
      <c r="JO1012" s="18"/>
      <c r="JP1012" s="18"/>
      <c r="JQ1012" s="18"/>
      <c r="JR1012" s="18"/>
      <c r="JS1012" s="18"/>
      <c r="JT1012" s="18"/>
      <c r="JU1012" s="18"/>
      <c r="JV1012" s="18"/>
      <c r="JW1012" s="18"/>
      <c r="JX1012" s="18"/>
      <c r="JY1012" s="18"/>
      <c r="JZ1012" s="18"/>
      <c r="KA1012" s="18"/>
      <c r="KB1012" s="18"/>
      <c r="KC1012" s="18"/>
      <c r="KD1012" s="18"/>
      <c r="KE1012" s="18"/>
      <c r="KF1012" s="18"/>
      <c r="KG1012" s="18"/>
      <c r="KH1012" s="18"/>
      <c r="KI1012" s="18"/>
      <c r="KJ1012" s="18"/>
      <c r="KK1012" s="18"/>
      <c r="KL1012" s="18"/>
      <c r="KM1012" s="18"/>
      <c r="KN1012" s="18"/>
      <c r="KO1012" s="18"/>
      <c r="KP1012" s="18"/>
    </row>
    <row r="1013" spans="1:302">
      <c r="A1013" s="14"/>
      <c r="B1013" s="14"/>
      <c r="F1013" s="14"/>
      <c r="G1013" s="23"/>
      <c r="H1013" s="23"/>
      <c r="I1013" s="23"/>
      <c r="J1013" s="23"/>
      <c r="K1013" s="14"/>
      <c r="L1013" s="14"/>
      <c r="P1013" s="14"/>
      <c r="AG1013" s="44"/>
      <c r="AH1013" s="44"/>
      <c r="AI1013" s="45"/>
      <c r="AJ1013" s="44"/>
      <c r="AK1013" s="43"/>
      <c r="AS1013" s="14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  <c r="EW1013" s="18"/>
      <c r="EX1013" s="18"/>
      <c r="EY1013" s="18"/>
      <c r="EZ1013" s="18"/>
      <c r="FA1013" s="18"/>
      <c r="FB1013" s="18"/>
      <c r="FC1013" s="18"/>
      <c r="FD1013" s="18"/>
      <c r="FE1013" s="18"/>
      <c r="FF1013" s="18"/>
      <c r="FG1013" s="18"/>
      <c r="FH1013" s="18"/>
      <c r="FI1013" s="18"/>
      <c r="FJ1013" s="18"/>
      <c r="FK1013" s="18"/>
      <c r="FL1013" s="18"/>
      <c r="FM1013" s="18"/>
      <c r="FN1013" s="18"/>
      <c r="FO1013" s="18"/>
      <c r="FP1013" s="18"/>
      <c r="FQ1013" s="18"/>
      <c r="FR1013" s="18"/>
      <c r="FS1013" s="18"/>
      <c r="FT1013" s="18"/>
      <c r="FU1013" s="18"/>
      <c r="FV1013" s="18"/>
      <c r="FW1013" s="18"/>
      <c r="FX1013" s="18"/>
      <c r="FY1013" s="18"/>
      <c r="FZ1013" s="18"/>
      <c r="GA1013" s="18"/>
      <c r="GB1013" s="18"/>
      <c r="GC1013" s="18"/>
      <c r="GD1013" s="18"/>
      <c r="GE1013" s="18"/>
      <c r="GF1013" s="18"/>
      <c r="GG1013" s="18"/>
      <c r="GH1013" s="18"/>
      <c r="GI1013" s="18"/>
      <c r="GJ1013" s="18"/>
      <c r="GK1013" s="18"/>
      <c r="GL1013" s="18"/>
      <c r="GM1013" s="18"/>
      <c r="GN1013" s="18"/>
      <c r="GO1013" s="18"/>
      <c r="GP1013" s="18"/>
      <c r="GQ1013" s="18"/>
      <c r="GR1013" s="18"/>
      <c r="GS1013" s="18"/>
      <c r="GT1013" s="18"/>
      <c r="GU1013" s="18"/>
      <c r="GV1013" s="18"/>
      <c r="GW1013" s="18"/>
      <c r="GX1013" s="18"/>
      <c r="GY1013" s="18"/>
      <c r="GZ1013" s="18"/>
      <c r="HA1013" s="18"/>
      <c r="HB1013" s="18"/>
      <c r="HC1013" s="18"/>
      <c r="HD1013" s="18"/>
      <c r="HE1013" s="18"/>
      <c r="HF1013" s="18"/>
      <c r="HG1013" s="13"/>
      <c r="HH1013" s="13"/>
      <c r="HI1013" s="13"/>
      <c r="HJ1013" s="13"/>
      <c r="HK1013" s="13"/>
      <c r="HL1013" s="13"/>
      <c r="HM1013" s="13"/>
      <c r="HN1013" s="13"/>
      <c r="HO1013" s="13"/>
      <c r="HP1013" s="13"/>
      <c r="HQ1013" s="13"/>
      <c r="HR1013" s="13"/>
      <c r="HS1013" s="13"/>
      <c r="HT1013" s="13"/>
      <c r="HU1013" s="18"/>
      <c r="HV1013" s="18"/>
      <c r="HW1013" s="18"/>
      <c r="HX1013" s="18"/>
      <c r="HY1013" s="18"/>
      <c r="HZ1013" s="18"/>
      <c r="IA1013" s="18"/>
      <c r="IB1013" s="18"/>
      <c r="IC1013" s="18"/>
      <c r="ID1013" s="18"/>
      <c r="IE1013" s="18"/>
      <c r="IF1013" s="18"/>
      <c r="IG1013" s="18"/>
      <c r="IH1013" s="18"/>
      <c r="II1013" s="18"/>
      <c r="IJ1013" s="18"/>
      <c r="IK1013" s="18"/>
      <c r="IL1013" s="18"/>
      <c r="IM1013" s="18"/>
      <c r="IN1013" s="18"/>
      <c r="IO1013" s="18"/>
      <c r="IP1013" s="18"/>
      <c r="IQ1013" s="18"/>
      <c r="IR1013" s="18"/>
      <c r="IS1013" s="18"/>
      <c r="IT1013" s="18"/>
      <c r="IU1013" s="18"/>
      <c r="IV1013" s="18"/>
      <c r="IW1013" s="18"/>
      <c r="IX1013" s="18"/>
      <c r="IY1013" s="18"/>
      <c r="IZ1013" s="18"/>
      <c r="JA1013" s="18"/>
      <c r="JB1013" s="18"/>
      <c r="JC1013" s="18"/>
      <c r="JD1013" s="18"/>
      <c r="JE1013" s="18"/>
      <c r="JF1013" s="18"/>
      <c r="JG1013" s="18"/>
      <c r="JH1013" s="18"/>
      <c r="JI1013" s="18"/>
      <c r="JJ1013" s="18"/>
      <c r="JK1013" s="18"/>
      <c r="JL1013" s="18"/>
      <c r="JM1013" s="18"/>
      <c r="JN1013" s="18"/>
      <c r="JO1013" s="18"/>
      <c r="JP1013" s="18"/>
      <c r="JQ1013" s="18"/>
      <c r="JR1013" s="18"/>
      <c r="JS1013" s="18"/>
      <c r="JT1013" s="18"/>
      <c r="JU1013" s="18"/>
      <c r="JV1013" s="18"/>
      <c r="JW1013" s="18"/>
      <c r="JX1013" s="18"/>
      <c r="JY1013" s="18"/>
      <c r="JZ1013" s="18"/>
      <c r="KA1013" s="18"/>
      <c r="KB1013" s="18"/>
      <c r="KC1013" s="18"/>
      <c r="KD1013" s="18"/>
      <c r="KE1013" s="18"/>
      <c r="KF1013" s="18"/>
      <c r="KG1013" s="18"/>
      <c r="KH1013" s="18"/>
      <c r="KI1013" s="18"/>
      <c r="KJ1013" s="18"/>
      <c r="KK1013" s="18"/>
      <c r="KL1013" s="18"/>
      <c r="KM1013" s="18"/>
      <c r="KN1013" s="18"/>
      <c r="KO1013" s="18"/>
      <c r="KP1013" s="18"/>
    </row>
    <row r="1014" spans="1:302">
      <c r="A1014" s="14"/>
      <c r="B1014" s="14"/>
      <c r="F1014" s="14"/>
      <c r="G1014" s="23"/>
      <c r="H1014" s="23"/>
      <c r="I1014" s="23"/>
      <c r="J1014" s="23"/>
      <c r="K1014" s="14"/>
      <c r="L1014" s="14"/>
      <c r="P1014" s="14"/>
      <c r="AG1014" s="44"/>
      <c r="AH1014" s="44"/>
      <c r="AI1014" s="45"/>
      <c r="AJ1014" s="44"/>
      <c r="AK1014" s="43"/>
      <c r="AS1014" s="14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  <c r="EW1014" s="18"/>
      <c r="EX1014" s="18"/>
      <c r="EY1014" s="18"/>
      <c r="EZ1014" s="18"/>
      <c r="FA1014" s="18"/>
      <c r="FB1014" s="18"/>
      <c r="FC1014" s="18"/>
      <c r="FD1014" s="18"/>
      <c r="FE1014" s="18"/>
      <c r="FF1014" s="18"/>
      <c r="FG1014" s="18"/>
      <c r="FH1014" s="18"/>
      <c r="FI1014" s="18"/>
      <c r="FJ1014" s="18"/>
      <c r="FK1014" s="18"/>
      <c r="FL1014" s="18"/>
      <c r="FM1014" s="18"/>
      <c r="FN1014" s="18"/>
      <c r="FO1014" s="18"/>
      <c r="FP1014" s="18"/>
      <c r="FQ1014" s="18"/>
      <c r="FR1014" s="18"/>
      <c r="FS1014" s="18"/>
      <c r="FT1014" s="18"/>
      <c r="FU1014" s="18"/>
      <c r="FV1014" s="18"/>
      <c r="FW1014" s="18"/>
      <c r="FX1014" s="18"/>
      <c r="FY1014" s="18"/>
      <c r="FZ1014" s="18"/>
      <c r="GA1014" s="18"/>
      <c r="GB1014" s="18"/>
      <c r="GC1014" s="18"/>
      <c r="GD1014" s="18"/>
      <c r="GE1014" s="18"/>
      <c r="GF1014" s="18"/>
      <c r="GG1014" s="18"/>
      <c r="GH1014" s="18"/>
      <c r="GI1014" s="18"/>
      <c r="GJ1014" s="18"/>
      <c r="GK1014" s="18"/>
      <c r="GL1014" s="18"/>
      <c r="GM1014" s="18"/>
      <c r="GN1014" s="18"/>
      <c r="GO1014" s="18"/>
      <c r="GP1014" s="18"/>
      <c r="GQ1014" s="18"/>
      <c r="GR1014" s="18"/>
      <c r="GS1014" s="18"/>
      <c r="GT1014" s="18"/>
      <c r="GU1014" s="18"/>
      <c r="GV1014" s="18"/>
      <c r="GW1014" s="18"/>
      <c r="GX1014" s="18"/>
      <c r="GY1014" s="18"/>
      <c r="GZ1014" s="18"/>
      <c r="HA1014" s="18"/>
      <c r="HB1014" s="18"/>
      <c r="HC1014" s="18"/>
      <c r="HD1014" s="18"/>
      <c r="HE1014" s="18"/>
      <c r="HF1014" s="18"/>
      <c r="HG1014" s="13"/>
      <c r="HH1014" s="13"/>
      <c r="HI1014" s="13"/>
      <c r="HJ1014" s="13"/>
      <c r="HK1014" s="13"/>
      <c r="HL1014" s="13"/>
      <c r="HM1014" s="13"/>
      <c r="HN1014" s="13"/>
      <c r="HO1014" s="13"/>
      <c r="HP1014" s="13"/>
      <c r="HQ1014" s="13"/>
      <c r="HR1014" s="13"/>
      <c r="HS1014" s="13"/>
      <c r="HT1014" s="13"/>
      <c r="HU1014" s="18"/>
      <c r="HV1014" s="18"/>
      <c r="HW1014" s="18"/>
      <c r="HX1014" s="18"/>
      <c r="HY1014" s="18"/>
      <c r="HZ1014" s="18"/>
      <c r="IA1014" s="18"/>
      <c r="IB1014" s="18"/>
      <c r="IC1014" s="18"/>
      <c r="ID1014" s="18"/>
      <c r="IE1014" s="18"/>
      <c r="IF1014" s="18"/>
      <c r="IG1014" s="18"/>
      <c r="IH1014" s="18"/>
      <c r="II1014" s="18"/>
      <c r="IJ1014" s="18"/>
      <c r="IK1014" s="18"/>
      <c r="IL1014" s="18"/>
      <c r="IM1014" s="18"/>
      <c r="IN1014" s="18"/>
      <c r="IO1014" s="18"/>
      <c r="IP1014" s="18"/>
      <c r="IQ1014" s="18"/>
      <c r="IR1014" s="18"/>
      <c r="IS1014" s="18"/>
      <c r="IT1014" s="18"/>
      <c r="IU1014" s="18"/>
      <c r="IV1014" s="18"/>
      <c r="IW1014" s="18"/>
      <c r="IX1014" s="18"/>
      <c r="IY1014" s="18"/>
      <c r="IZ1014" s="18"/>
      <c r="JA1014" s="18"/>
      <c r="JB1014" s="18"/>
      <c r="JC1014" s="18"/>
      <c r="JD1014" s="18"/>
      <c r="JE1014" s="18"/>
      <c r="JF1014" s="18"/>
      <c r="JG1014" s="18"/>
      <c r="JH1014" s="18"/>
      <c r="JI1014" s="18"/>
      <c r="JJ1014" s="18"/>
      <c r="JK1014" s="18"/>
      <c r="JL1014" s="18"/>
      <c r="JM1014" s="18"/>
      <c r="JN1014" s="18"/>
      <c r="JO1014" s="18"/>
      <c r="JP1014" s="18"/>
      <c r="JQ1014" s="18"/>
      <c r="JR1014" s="18"/>
      <c r="JS1014" s="18"/>
      <c r="JT1014" s="18"/>
      <c r="JU1014" s="18"/>
      <c r="JV1014" s="18"/>
      <c r="JW1014" s="18"/>
      <c r="JX1014" s="18"/>
      <c r="JY1014" s="18"/>
      <c r="JZ1014" s="18"/>
      <c r="KA1014" s="18"/>
      <c r="KB1014" s="18"/>
      <c r="KC1014" s="18"/>
      <c r="KD1014" s="18"/>
      <c r="KE1014" s="18"/>
      <c r="KF1014" s="18"/>
      <c r="KG1014" s="18"/>
      <c r="KH1014" s="18"/>
      <c r="KI1014" s="18"/>
      <c r="KJ1014" s="18"/>
      <c r="KK1014" s="18"/>
      <c r="KL1014" s="18"/>
      <c r="KM1014" s="18"/>
      <c r="KN1014" s="18"/>
      <c r="KO1014" s="18"/>
      <c r="KP1014" s="18"/>
    </row>
    <row r="1015" spans="1:302">
      <c r="A1015" s="14"/>
      <c r="B1015" s="14"/>
      <c r="F1015" s="14"/>
      <c r="G1015" s="23"/>
      <c r="H1015" s="23"/>
      <c r="I1015" s="23"/>
      <c r="J1015" s="23"/>
      <c r="K1015" s="14"/>
      <c r="L1015" s="14"/>
      <c r="P1015" s="14"/>
      <c r="AG1015" s="44"/>
      <c r="AH1015" s="44"/>
      <c r="AI1015" s="45"/>
      <c r="AJ1015" s="44"/>
      <c r="AK1015" s="43"/>
      <c r="AS1015" s="14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  <c r="EW1015" s="18"/>
      <c r="EX1015" s="18"/>
      <c r="EY1015" s="18"/>
      <c r="EZ1015" s="18"/>
      <c r="FA1015" s="18"/>
      <c r="FB1015" s="18"/>
      <c r="FC1015" s="18"/>
      <c r="FD1015" s="18"/>
      <c r="FE1015" s="18"/>
      <c r="FF1015" s="18"/>
      <c r="FG1015" s="18"/>
      <c r="FH1015" s="18"/>
      <c r="FI1015" s="18"/>
      <c r="FJ1015" s="18"/>
      <c r="FK1015" s="18"/>
      <c r="FL1015" s="18"/>
      <c r="FM1015" s="18"/>
      <c r="FN1015" s="18"/>
      <c r="FO1015" s="18"/>
      <c r="FP1015" s="18"/>
      <c r="FQ1015" s="18"/>
      <c r="FR1015" s="18"/>
      <c r="FS1015" s="18"/>
      <c r="FT1015" s="18"/>
      <c r="FU1015" s="18"/>
      <c r="FV1015" s="18"/>
      <c r="FW1015" s="18"/>
      <c r="FX1015" s="18"/>
      <c r="FY1015" s="18"/>
      <c r="FZ1015" s="18"/>
      <c r="GA1015" s="18"/>
      <c r="GB1015" s="18"/>
      <c r="GC1015" s="18"/>
      <c r="GD1015" s="18"/>
      <c r="GE1015" s="18"/>
      <c r="GF1015" s="18"/>
      <c r="GG1015" s="18"/>
      <c r="GH1015" s="18"/>
      <c r="GI1015" s="18"/>
      <c r="GJ1015" s="18"/>
      <c r="GK1015" s="18"/>
      <c r="GL1015" s="18"/>
      <c r="GM1015" s="18"/>
      <c r="GN1015" s="18"/>
      <c r="GO1015" s="18"/>
      <c r="GP1015" s="18"/>
      <c r="GQ1015" s="18"/>
      <c r="GR1015" s="18"/>
      <c r="GS1015" s="18"/>
      <c r="GT1015" s="18"/>
      <c r="GU1015" s="18"/>
      <c r="GV1015" s="18"/>
      <c r="GW1015" s="18"/>
      <c r="GX1015" s="18"/>
      <c r="GY1015" s="18"/>
      <c r="GZ1015" s="18"/>
      <c r="HA1015" s="18"/>
      <c r="HB1015" s="18"/>
      <c r="HC1015" s="18"/>
      <c r="HD1015" s="18"/>
      <c r="HE1015" s="18"/>
      <c r="HF1015" s="18"/>
      <c r="HG1015" s="13"/>
      <c r="HH1015" s="13"/>
      <c r="HI1015" s="13"/>
      <c r="HJ1015" s="13"/>
      <c r="HK1015" s="13"/>
      <c r="HL1015" s="13"/>
      <c r="HM1015" s="13"/>
      <c r="HN1015" s="13"/>
      <c r="HO1015" s="13"/>
      <c r="HP1015" s="13"/>
      <c r="HQ1015" s="13"/>
      <c r="HR1015" s="13"/>
      <c r="HS1015" s="13"/>
      <c r="HT1015" s="13"/>
      <c r="HU1015" s="18"/>
      <c r="HV1015" s="18"/>
      <c r="HW1015" s="18"/>
      <c r="HX1015" s="18"/>
      <c r="HY1015" s="18"/>
      <c r="HZ1015" s="18"/>
      <c r="IA1015" s="18"/>
      <c r="IB1015" s="18"/>
      <c r="IC1015" s="18"/>
      <c r="ID1015" s="18"/>
      <c r="IE1015" s="18"/>
      <c r="IF1015" s="18"/>
      <c r="IG1015" s="18"/>
      <c r="IH1015" s="18"/>
      <c r="II1015" s="18"/>
      <c r="IJ1015" s="18"/>
      <c r="IK1015" s="18"/>
      <c r="IL1015" s="18"/>
      <c r="IM1015" s="18"/>
      <c r="IN1015" s="18"/>
      <c r="IO1015" s="18"/>
      <c r="IP1015" s="18"/>
      <c r="IQ1015" s="18"/>
      <c r="IR1015" s="18"/>
      <c r="IS1015" s="18"/>
      <c r="IT1015" s="18"/>
      <c r="IU1015" s="18"/>
      <c r="IV1015" s="18"/>
      <c r="IW1015" s="18"/>
      <c r="IX1015" s="18"/>
      <c r="IY1015" s="18"/>
      <c r="IZ1015" s="18"/>
      <c r="JA1015" s="18"/>
      <c r="JB1015" s="18"/>
      <c r="JC1015" s="18"/>
      <c r="JD1015" s="18"/>
      <c r="JE1015" s="18"/>
      <c r="JF1015" s="18"/>
      <c r="JG1015" s="18"/>
      <c r="JH1015" s="18"/>
      <c r="JI1015" s="18"/>
      <c r="JJ1015" s="18"/>
      <c r="JK1015" s="18"/>
      <c r="JL1015" s="18"/>
      <c r="JM1015" s="18"/>
      <c r="JN1015" s="18"/>
      <c r="JO1015" s="18"/>
      <c r="JP1015" s="18"/>
      <c r="JQ1015" s="18"/>
      <c r="JR1015" s="18"/>
      <c r="JS1015" s="18"/>
      <c r="JT1015" s="18"/>
      <c r="JU1015" s="18"/>
      <c r="JV1015" s="18"/>
      <c r="JW1015" s="18"/>
      <c r="JX1015" s="18"/>
      <c r="JY1015" s="18"/>
      <c r="JZ1015" s="18"/>
      <c r="KA1015" s="18"/>
      <c r="KB1015" s="18"/>
      <c r="KC1015" s="18"/>
      <c r="KD1015" s="18"/>
      <c r="KE1015" s="18"/>
      <c r="KF1015" s="18"/>
      <c r="KG1015" s="18"/>
      <c r="KH1015" s="18"/>
      <c r="KI1015" s="18"/>
      <c r="KJ1015" s="18"/>
      <c r="KK1015" s="18"/>
      <c r="KL1015" s="18"/>
      <c r="KM1015" s="18"/>
      <c r="KN1015" s="18"/>
      <c r="KO1015" s="18"/>
      <c r="KP1015" s="18"/>
    </row>
    <row r="1016" spans="1:302">
      <c r="A1016" s="14"/>
      <c r="B1016" s="14"/>
      <c r="F1016" s="14"/>
      <c r="G1016" s="23"/>
      <c r="H1016" s="23"/>
      <c r="I1016" s="23"/>
      <c r="J1016" s="23"/>
      <c r="K1016" s="14"/>
      <c r="L1016" s="14"/>
      <c r="P1016" s="14"/>
      <c r="AG1016" s="44"/>
      <c r="AH1016" s="44"/>
      <c r="AI1016" s="45"/>
      <c r="AJ1016" s="44"/>
      <c r="AK1016" s="43"/>
      <c r="AS1016" s="14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  <c r="EW1016" s="18"/>
      <c r="EX1016" s="18"/>
      <c r="EY1016" s="18"/>
      <c r="EZ1016" s="18"/>
      <c r="FA1016" s="18"/>
      <c r="FB1016" s="18"/>
      <c r="FC1016" s="18"/>
      <c r="FD1016" s="18"/>
      <c r="FE1016" s="18"/>
      <c r="FF1016" s="18"/>
      <c r="FG1016" s="18"/>
      <c r="FH1016" s="18"/>
      <c r="FI1016" s="18"/>
      <c r="FJ1016" s="18"/>
      <c r="FK1016" s="18"/>
      <c r="FL1016" s="18"/>
      <c r="FM1016" s="18"/>
      <c r="FN1016" s="18"/>
      <c r="FO1016" s="18"/>
      <c r="FP1016" s="18"/>
      <c r="FQ1016" s="18"/>
      <c r="FR1016" s="18"/>
      <c r="FS1016" s="18"/>
      <c r="FT1016" s="18"/>
      <c r="FU1016" s="18"/>
      <c r="FV1016" s="18"/>
      <c r="FW1016" s="18"/>
      <c r="FX1016" s="18"/>
      <c r="FY1016" s="18"/>
      <c r="FZ1016" s="18"/>
      <c r="GA1016" s="18"/>
      <c r="GB1016" s="18"/>
      <c r="GC1016" s="18"/>
      <c r="GD1016" s="18"/>
      <c r="GE1016" s="18"/>
      <c r="GF1016" s="18"/>
      <c r="GG1016" s="18"/>
      <c r="GH1016" s="18"/>
      <c r="GI1016" s="18"/>
      <c r="GJ1016" s="18"/>
      <c r="GK1016" s="18"/>
      <c r="GL1016" s="18"/>
      <c r="GM1016" s="18"/>
      <c r="GN1016" s="18"/>
      <c r="GO1016" s="18"/>
      <c r="GP1016" s="18"/>
      <c r="GQ1016" s="18"/>
      <c r="GR1016" s="18"/>
      <c r="GS1016" s="18"/>
      <c r="GT1016" s="18"/>
      <c r="GU1016" s="18"/>
      <c r="GV1016" s="18"/>
      <c r="GW1016" s="18"/>
      <c r="GX1016" s="18"/>
      <c r="GY1016" s="18"/>
      <c r="GZ1016" s="18"/>
      <c r="HA1016" s="18"/>
      <c r="HB1016" s="18"/>
      <c r="HC1016" s="18"/>
      <c r="HD1016" s="18"/>
      <c r="HE1016" s="18"/>
      <c r="HF1016" s="18"/>
      <c r="HG1016" s="13"/>
      <c r="HH1016" s="13"/>
      <c r="HI1016" s="13"/>
      <c r="HJ1016" s="13"/>
      <c r="HK1016" s="13"/>
      <c r="HL1016" s="13"/>
      <c r="HM1016" s="13"/>
      <c r="HN1016" s="13"/>
      <c r="HO1016" s="13"/>
      <c r="HP1016" s="13"/>
      <c r="HQ1016" s="13"/>
      <c r="HR1016" s="13"/>
      <c r="HS1016" s="13"/>
      <c r="HT1016" s="13"/>
      <c r="HU1016" s="18"/>
      <c r="HV1016" s="18"/>
      <c r="HW1016" s="18"/>
      <c r="HX1016" s="18"/>
      <c r="HY1016" s="18"/>
      <c r="HZ1016" s="18"/>
      <c r="IA1016" s="18"/>
      <c r="IB1016" s="18"/>
      <c r="IC1016" s="18"/>
      <c r="ID1016" s="18"/>
      <c r="IE1016" s="18"/>
      <c r="IF1016" s="18"/>
      <c r="IG1016" s="18"/>
      <c r="IH1016" s="18"/>
      <c r="II1016" s="18"/>
      <c r="IJ1016" s="18"/>
      <c r="IK1016" s="18"/>
      <c r="IL1016" s="18"/>
      <c r="IM1016" s="18"/>
      <c r="IN1016" s="18"/>
      <c r="IO1016" s="18"/>
      <c r="IP1016" s="18"/>
      <c r="IQ1016" s="18"/>
      <c r="IR1016" s="18"/>
      <c r="IS1016" s="18"/>
      <c r="IT1016" s="18"/>
      <c r="IU1016" s="18"/>
      <c r="IV1016" s="18"/>
      <c r="IW1016" s="18"/>
      <c r="IX1016" s="18"/>
      <c r="IY1016" s="18"/>
      <c r="IZ1016" s="18"/>
      <c r="JA1016" s="18"/>
      <c r="JB1016" s="18"/>
      <c r="JC1016" s="18"/>
      <c r="JD1016" s="18"/>
      <c r="JE1016" s="18"/>
      <c r="JF1016" s="18"/>
      <c r="JG1016" s="18"/>
      <c r="JH1016" s="18"/>
      <c r="JI1016" s="18"/>
      <c r="JJ1016" s="18"/>
      <c r="JK1016" s="18"/>
      <c r="JL1016" s="18"/>
      <c r="JM1016" s="18"/>
      <c r="JN1016" s="18"/>
      <c r="JO1016" s="18"/>
      <c r="JP1016" s="18"/>
      <c r="JQ1016" s="18"/>
      <c r="JR1016" s="18"/>
      <c r="JS1016" s="18"/>
      <c r="JT1016" s="18"/>
      <c r="JU1016" s="18"/>
      <c r="JV1016" s="18"/>
      <c r="JW1016" s="18"/>
      <c r="JX1016" s="18"/>
      <c r="JY1016" s="18"/>
      <c r="JZ1016" s="18"/>
      <c r="KA1016" s="18"/>
      <c r="KB1016" s="18"/>
      <c r="KC1016" s="18"/>
      <c r="KD1016" s="18"/>
      <c r="KE1016" s="18"/>
      <c r="KF1016" s="18"/>
      <c r="KG1016" s="18"/>
      <c r="KH1016" s="18"/>
      <c r="KI1016" s="18"/>
      <c r="KJ1016" s="18"/>
      <c r="KK1016" s="18"/>
      <c r="KL1016" s="18"/>
      <c r="KM1016" s="18"/>
      <c r="KN1016" s="18"/>
      <c r="KO1016" s="18"/>
      <c r="KP1016" s="18"/>
    </row>
    <row r="1017" spans="1:302">
      <c r="A1017" s="14"/>
      <c r="B1017" s="14"/>
      <c r="F1017" s="14"/>
      <c r="G1017" s="23"/>
      <c r="H1017" s="23"/>
      <c r="I1017" s="23"/>
      <c r="J1017" s="23"/>
      <c r="K1017" s="14"/>
      <c r="L1017" s="14"/>
      <c r="P1017" s="14"/>
      <c r="AG1017" s="44"/>
      <c r="AH1017" s="44"/>
      <c r="AI1017" s="45"/>
      <c r="AJ1017" s="44"/>
      <c r="AK1017" s="43"/>
      <c r="AS1017" s="14"/>
      <c r="AT1017" s="18"/>
      <c r="AU1017" s="18"/>
      <c r="AV1017" s="18"/>
      <c r="AW1017" s="18"/>
      <c r="AX1017" s="18"/>
      <c r="AY1017" s="18"/>
      <c r="AZ1017" s="18"/>
      <c r="BA1017" s="18"/>
      <c r="BB1017" s="18"/>
      <c r="BC1017" s="18"/>
      <c r="BD1017" s="18"/>
      <c r="BE1017" s="18"/>
      <c r="BF1017" s="18"/>
      <c r="BG1017" s="18"/>
      <c r="BH1017" s="18"/>
      <c r="BI1017" s="18"/>
      <c r="BJ1017" s="18"/>
      <c r="BK1017" s="18"/>
      <c r="BL1017" s="18"/>
      <c r="BM1017" s="18"/>
      <c r="BN1017" s="18"/>
      <c r="BO1017" s="18"/>
      <c r="BP1017" s="18"/>
      <c r="BQ1017" s="18"/>
      <c r="BR1017" s="18"/>
      <c r="BS1017" s="18"/>
      <c r="BT1017" s="18"/>
      <c r="BU1017" s="18"/>
      <c r="BV1017" s="18"/>
      <c r="BW1017" s="18"/>
      <c r="BX1017" s="18"/>
      <c r="BY1017" s="18"/>
      <c r="BZ1017" s="18"/>
      <c r="CA1017" s="18"/>
      <c r="CB1017" s="18"/>
      <c r="CC1017" s="18"/>
      <c r="CD1017" s="18"/>
      <c r="CE1017" s="18"/>
      <c r="CF1017" s="18"/>
      <c r="CG1017" s="18"/>
      <c r="CH1017" s="18"/>
      <c r="CI1017" s="18"/>
      <c r="CJ1017" s="18"/>
      <c r="CK1017" s="18"/>
      <c r="CL1017" s="18"/>
      <c r="CM1017" s="18"/>
      <c r="CN1017" s="18"/>
      <c r="CO1017" s="18"/>
      <c r="CP1017" s="18"/>
      <c r="CQ1017" s="18"/>
      <c r="CR1017" s="18"/>
      <c r="CS1017" s="18"/>
      <c r="CT1017" s="18"/>
      <c r="CU1017" s="18"/>
      <c r="CV1017" s="18"/>
      <c r="CW1017" s="18"/>
      <c r="CX1017" s="18"/>
      <c r="CY1017" s="18"/>
      <c r="CZ1017" s="18"/>
      <c r="DA1017" s="18"/>
      <c r="DB1017" s="18"/>
      <c r="DC1017" s="18"/>
      <c r="DD1017" s="18"/>
      <c r="DE1017" s="18"/>
      <c r="DF1017" s="18"/>
      <c r="DG1017" s="18"/>
      <c r="DH1017" s="18"/>
      <c r="DI1017" s="18"/>
      <c r="DJ1017" s="18"/>
      <c r="DK1017" s="18"/>
      <c r="DL1017" s="18"/>
      <c r="DM1017" s="18"/>
      <c r="DN1017" s="18"/>
      <c r="DO1017" s="18"/>
      <c r="DP1017" s="18"/>
      <c r="DQ1017" s="18"/>
      <c r="DR1017" s="18"/>
      <c r="DS1017" s="18"/>
      <c r="DT1017" s="18"/>
      <c r="DU1017" s="18"/>
      <c r="DV1017" s="18"/>
      <c r="DW1017" s="18"/>
      <c r="DX1017" s="18"/>
      <c r="DY1017" s="18"/>
      <c r="DZ1017" s="18"/>
      <c r="EA1017" s="18"/>
      <c r="EB1017" s="18"/>
      <c r="EC1017" s="18"/>
      <c r="ED1017" s="18"/>
      <c r="EE1017" s="18"/>
      <c r="EF1017" s="18"/>
      <c r="EG1017" s="18"/>
      <c r="EH1017" s="18"/>
      <c r="EI1017" s="18"/>
      <c r="EJ1017" s="18"/>
      <c r="EK1017" s="18"/>
      <c r="EL1017" s="18"/>
      <c r="EM1017" s="18"/>
      <c r="EN1017" s="18"/>
      <c r="EO1017" s="18"/>
      <c r="EP1017" s="18"/>
      <c r="EQ1017" s="18"/>
      <c r="ER1017" s="18"/>
      <c r="ES1017" s="18"/>
      <c r="ET1017" s="18"/>
      <c r="EU1017" s="18"/>
      <c r="EV1017" s="18"/>
      <c r="EW1017" s="18"/>
      <c r="EX1017" s="18"/>
      <c r="EY1017" s="18"/>
      <c r="EZ1017" s="18"/>
      <c r="FA1017" s="18"/>
      <c r="FB1017" s="18"/>
      <c r="FC1017" s="18"/>
      <c r="FD1017" s="18"/>
      <c r="FE1017" s="18"/>
      <c r="FF1017" s="18"/>
      <c r="FG1017" s="18"/>
      <c r="FH1017" s="18"/>
      <c r="FI1017" s="18"/>
      <c r="FJ1017" s="18"/>
      <c r="FK1017" s="18"/>
      <c r="FL1017" s="18"/>
      <c r="FM1017" s="18"/>
      <c r="FN1017" s="18"/>
      <c r="FO1017" s="18"/>
      <c r="FP1017" s="18"/>
      <c r="FQ1017" s="18"/>
      <c r="FR1017" s="18"/>
      <c r="FS1017" s="18"/>
      <c r="FT1017" s="18"/>
      <c r="FU1017" s="18"/>
      <c r="FV1017" s="18"/>
      <c r="FW1017" s="18"/>
      <c r="FX1017" s="18"/>
      <c r="FY1017" s="18"/>
      <c r="FZ1017" s="18"/>
      <c r="GA1017" s="18"/>
      <c r="GB1017" s="18"/>
      <c r="GC1017" s="18"/>
      <c r="GD1017" s="18"/>
      <c r="GE1017" s="18"/>
      <c r="GF1017" s="18"/>
      <c r="GG1017" s="18"/>
      <c r="GH1017" s="18"/>
      <c r="GI1017" s="18"/>
      <c r="GJ1017" s="18"/>
      <c r="GK1017" s="18"/>
      <c r="GL1017" s="18"/>
      <c r="GM1017" s="18"/>
      <c r="GN1017" s="18"/>
      <c r="GO1017" s="18"/>
      <c r="GP1017" s="18"/>
      <c r="GQ1017" s="18"/>
      <c r="GR1017" s="18"/>
      <c r="GS1017" s="18"/>
      <c r="GT1017" s="18"/>
      <c r="GU1017" s="18"/>
      <c r="GV1017" s="18"/>
      <c r="GW1017" s="18"/>
      <c r="GX1017" s="18"/>
      <c r="GY1017" s="18"/>
      <c r="GZ1017" s="18"/>
      <c r="HA1017" s="18"/>
      <c r="HB1017" s="18"/>
      <c r="HC1017" s="18"/>
      <c r="HD1017" s="18"/>
      <c r="HE1017" s="18"/>
      <c r="HF1017" s="18"/>
      <c r="HG1017" s="13"/>
      <c r="HH1017" s="13"/>
      <c r="HI1017" s="13"/>
      <c r="HJ1017" s="13"/>
      <c r="HK1017" s="13"/>
      <c r="HL1017" s="13"/>
      <c r="HM1017" s="13"/>
      <c r="HN1017" s="13"/>
      <c r="HO1017" s="13"/>
      <c r="HP1017" s="13"/>
      <c r="HQ1017" s="13"/>
      <c r="HR1017" s="13"/>
      <c r="HS1017" s="13"/>
      <c r="HT1017" s="13"/>
      <c r="HU1017" s="18"/>
      <c r="HV1017" s="18"/>
      <c r="HW1017" s="18"/>
      <c r="HX1017" s="18"/>
      <c r="HY1017" s="18"/>
      <c r="HZ1017" s="18"/>
      <c r="IA1017" s="18"/>
      <c r="IB1017" s="18"/>
      <c r="IC1017" s="18"/>
      <c r="ID1017" s="18"/>
      <c r="IE1017" s="18"/>
      <c r="IF1017" s="18"/>
      <c r="IG1017" s="18"/>
      <c r="IH1017" s="18"/>
      <c r="II1017" s="18"/>
      <c r="IJ1017" s="18"/>
      <c r="IK1017" s="18"/>
      <c r="IL1017" s="18"/>
      <c r="IM1017" s="18"/>
      <c r="IN1017" s="18"/>
      <c r="IO1017" s="18"/>
      <c r="IP1017" s="18"/>
      <c r="IQ1017" s="18"/>
      <c r="IR1017" s="18"/>
      <c r="IS1017" s="18"/>
      <c r="IT1017" s="18"/>
      <c r="IU1017" s="18"/>
      <c r="IV1017" s="18"/>
      <c r="IW1017" s="18"/>
      <c r="IX1017" s="18"/>
      <c r="IY1017" s="18"/>
      <c r="IZ1017" s="18"/>
      <c r="JA1017" s="18"/>
      <c r="JB1017" s="18"/>
      <c r="JC1017" s="18"/>
      <c r="JD1017" s="18"/>
      <c r="JE1017" s="18"/>
      <c r="JF1017" s="18"/>
      <c r="JG1017" s="18"/>
      <c r="JH1017" s="18"/>
      <c r="JI1017" s="18"/>
      <c r="JJ1017" s="18"/>
      <c r="JK1017" s="18"/>
      <c r="JL1017" s="18"/>
      <c r="JM1017" s="18"/>
      <c r="JN1017" s="18"/>
      <c r="JO1017" s="18"/>
      <c r="JP1017" s="18"/>
      <c r="JQ1017" s="18"/>
      <c r="JR1017" s="18"/>
      <c r="JS1017" s="18"/>
      <c r="JT1017" s="18"/>
      <c r="JU1017" s="18"/>
      <c r="JV1017" s="18"/>
      <c r="JW1017" s="18"/>
      <c r="JX1017" s="18"/>
      <c r="JY1017" s="18"/>
      <c r="JZ1017" s="18"/>
      <c r="KA1017" s="18"/>
      <c r="KB1017" s="18"/>
      <c r="KC1017" s="18"/>
      <c r="KD1017" s="18"/>
      <c r="KE1017" s="18"/>
      <c r="KF1017" s="18"/>
      <c r="KG1017" s="18"/>
      <c r="KH1017" s="18"/>
      <c r="KI1017" s="18"/>
      <c r="KJ1017" s="18"/>
      <c r="KK1017" s="18"/>
      <c r="KL1017" s="18"/>
      <c r="KM1017" s="18"/>
      <c r="KN1017" s="18"/>
      <c r="KO1017" s="18"/>
      <c r="KP1017" s="18"/>
    </row>
    <row r="1018" spans="1:302">
      <c r="A1018" s="14"/>
      <c r="B1018" s="14"/>
      <c r="F1018" s="14"/>
      <c r="G1018" s="23"/>
      <c r="H1018" s="23"/>
      <c r="I1018" s="23"/>
      <c r="J1018" s="23"/>
      <c r="K1018" s="14"/>
      <c r="L1018" s="14"/>
      <c r="P1018" s="14"/>
      <c r="AG1018" s="44"/>
      <c r="AH1018" s="44"/>
      <c r="AI1018" s="45"/>
      <c r="AJ1018" s="44"/>
      <c r="AK1018" s="43"/>
      <c r="AS1018" s="14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  <c r="EW1018" s="18"/>
      <c r="EX1018" s="18"/>
      <c r="EY1018" s="18"/>
      <c r="EZ1018" s="18"/>
      <c r="FA1018" s="18"/>
      <c r="FB1018" s="18"/>
      <c r="FC1018" s="18"/>
      <c r="FD1018" s="18"/>
      <c r="FE1018" s="18"/>
      <c r="FF1018" s="18"/>
      <c r="FG1018" s="18"/>
      <c r="FH1018" s="18"/>
      <c r="FI1018" s="18"/>
      <c r="FJ1018" s="18"/>
      <c r="FK1018" s="18"/>
      <c r="FL1018" s="18"/>
      <c r="FM1018" s="18"/>
      <c r="FN1018" s="18"/>
      <c r="FO1018" s="18"/>
      <c r="FP1018" s="18"/>
      <c r="FQ1018" s="18"/>
      <c r="FR1018" s="18"/>
      <c r="FS1018" s="18"/>
      <c r="FT1018" s="18"/>
      <c r="FU1018" s="18"/>
      <c r="FV1018" s="18"/>
      <c r="FW1018" s="18"/>
      <c r="FX1018" s="18"/>
      <c r="FY1018" s="18"/>
      <c r="FZ1018" s="18"/>
      <c r="GA1018" s="18"/>
      <c r="GB1018" s="18"/>
      <c r="GC1018" s="18"/>
      <c r="GD1018" s="18"/>
      <c r="GE1018" s="18"/>
      <c r="GF1018" s="18"/>
      <c r="GG1018" s="18"/>
      <c r="GH1018" s="18"/>
      <c r="GI1018" s="18"/>
      <c r="GJ1018" s="18"/>
      <c r="GK1018" s="18"/>
      <c r="GL1018" s="18"/>
      <c r="GM1018" s="18"/>
      <c r="GN1018" s="18"/>
      <c r="GO1018" s="18"/>
      <c r="GP1018" s="18"/>
      <c r="GQ1018" s="18"/>
      <c r="GR1018" s="18"/>
      <c r="GS1018" s="18"/>
      <c r="GT1018" s="18"/>
      <c r="GU1018" s="18"/>
      <c r="GV1018" s="18"/>
      <c r="GW1018" s="18"/>
      <c r="GX1018" s="18"/>
      <c r="GY1018" s="18"/>
      <c r="GZ1018" s="18"/>
      <c r="HA1018" s="18"/>
      <c r="HB1018" s="18"/>
      <c r="HC1018" s="18"/>
      <c r="HD1018" s="18"/>
      <c r="HE1018" s="18"/>
      <c r="HF1018" s="18"/>
      <c r="HG1018" s="13"/>
      <c r="HH1018" s="13"/>
      <c r="HI1018" s="13"/>
      <c r="HJ1018" s="13"/>
      <c r="HK1018" s="13"/>
      <c r="HL1018" s="13"/>
      <c r="HM1018" s="13"/>
      <c r="HN1018" s="13"/>
      <c r="HO1018" s="13"/>
      <c r="HP1018" s="13"/>
      <c r="HQ1018" s="13"/>
      <c r="HR1018" s="13"/>
      <c r="HS1018" s="13"/>
      <c r="HT1018" s="13"/>
      <c r="HU1018" s="18"/>
      <c r="HV1018" s="18"/>
      <c r="HW1018" s="18"/>
      <c r="HX1018" s="18"/>
      <c r="HY1018" s="18"/>
      <c r="HZ1018" s="18"/>
      <c r="IA1018" s="18"/>
      <c r="IB1018" s="18"/>
      <c r="IC1018" s="18"/>
      <c r="ID1018" s="18"/>
      <c r="IE1018" s="18"/>
      <c r="IF1018" s="18"/>
      <c r="IG1018" s="18"/>
      <c r="IH1018" s="18"/>
      <c r="II1018" s="18"/>
      <c r="IJ1018" s="18"/>
      <c r="IK1018" s="18"/>
      <c r="IL1018" s="18"/>
      <c r="IM1018" s="18"/>
      <c r="IN1018" s="18"/>
      <c r="IO1018" s="18"/>
      <c r="IP1018" s="18"/>
      <c r="IQ1018" s="18"/>
      <c r="IR1018" s="18"/>
      <c r="IS1018" s="18"/>
      <c r="IT1018" s="18"/>
      <c r="IU1018" s="18"/>
      <c r="IV1018" s="18"/>
      <c r="IW1018" s="18"/>
      <c r="IX1018" s="18"/>
      <c r="IY1018" s="18"/>
      <c r="IZ1018" s="18"/>
      <c r="JA1018" s="18"/>
      <c r="JB1018" s="18"/>
      <c r="JC1018" s="18"/>
      <c r="JD1018" s="18"/>
      <c r="JE1018" s="18"/>
      <c r="JF1018" s="18"/>
      <c r="JG1018" s="18"/>
      <c r="JH1018" s="18"/>
      <c r="JI1018" s="18"/>
      <c r="JJ1018" s="18"/>
      <c r="JK1018" s="18"/>
      <c r="JL1018" s="18"/>
      <c r="JM1018" s="18"/>
      <c r="JN1018" s="18"/>
      <c r="JO1018" s="18"/>
      <c r="JP1018" s="18"/>
      <c r="JQ1018" s="18"/>
      <c r="JR1018" s="18"/>
      <c r="JS1018" s="18"/>
      <c r="JT1018" s="18"/>
      <c r="JU1018" s="18"/>
      <c r="JV1018" s="18"/>
      <c r="JW1018" s="18"/>
      <c r="JX1018" s="18"/>
      <c r="JY1018" s="18"/>
      <c r="JZ1018" s="18"/>
      <c r="KA1018" s="18"/>
      <c r="KB1018" s="18"/>
      <c r="KC1018" s="18"/>
      <c r="KD1018" s="18"/>
      <c r="KE1018" s="18"/>
      <c r="KF1018" s="18"/>
      <c r="KG1018" s="18"/>
      <c r="KH1018" s="18"/>
      <c r="KI1018" s="18"/>
      <c r="KJ1018" s="18"/>
      <c r="KK1018" s="18"/>
      <c r="KL1018" s="18"/>
      <c r="KM1018" s="18"/>
      <c r="KN1018" s="18"/>
      <c r="KO1018" s="18"/>
      <c r="KP1018" s="18"/>
    </row>
    <row r="1019" spans="1:302">
      <c r="A1019" s="14"/>
      <c r="B1019" s="14"/>
      <c r="F1019" s="14"/>
      <c r="G1019" s="23"/>
      <c r="H1019" s="23"/>
      <c r="I1019" s="23"/>
      <c r="J1019" s="23"/>
      <c r="K1019" s="14"/>
      <c r="L1019" s="14"/>
      <c r="P1019" s="14"/>
      <c r="AG1019" s="44"/>
      <c r="AH1019" s="44"/>
      <c r="AI1019" s="45"/>
      <c r="AJ1019" s="44"/>
      <c r="AK1019" s="43"/>
      <c r="AS1019" s="14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  <c r="EW1019" s="18"/>
      <c r="EX1019" s="18"/>
      <c r="EY1019" s="18"/>
      <c r="EZ1019" s="18"/>
      <c r="FA1019" s="18"/>
      <c r="FB1019" s="18"/>
      <c r="FC1019" s="18"/>
      <c r="FD1019" s="18"/>
      <c r="FE1019" s="18"/>
      <c r="FF1019" s="18"/>
      <c r="FG1019" s="18"/>
      <c r="FH1019" s="18"/>
      <c r="FI1019" s="18"/>
      <c r="FJ1019" s="18"/>
      <c r="FK1019" s="18"/>
      <c r="FL1019" s="18"/>
      <c r="FM1019" s="18"/>
      <c r="FN1019" s="18"/>
      <c r="FO1019" s="18"/>
      <c r="FP1019" s="18"/>
      <c r="FQ1019" s="18"/>
      <c r="FR1019" s="18"/>
      <c r="FS1019" s="18"/>
      <c r="FT1019" s="18"/>
      <c r="FU1019" s="18"/>
      <c r="FV1019" s="18"/>
      <c r="FW1019" s="18"/>
      <c r="FX1019" s="18"/>
      <c r="FY1019" s="18"/>
      <c r="FZ1019" s="18"/>
      <c r="GA1019" s="18"/>
      <c r="GB1019" s="18"/>
      <c r="GC1019" s="18"/>
      <c r="GD1019" s="18"/>
      <c r="GE1019" s="18"/>
      <c r="GF1019" s="18"/>
      <c r="GG1019" s="18"/>
      <c r="GH1019" s="18"/>
      <c r="GI1019" s="18"/>
      <c r="GJ1019" s="18"/>
      <c r="GK1019" s="18"/>
      <c r="GL1019" s="18"/>
      <c r="GM1019" s="18"/>
      <c r="GN1019" s="18"/>
      <c r="GO1019" s="18"/>
      <c r="GP1019" s="18"/>
      <c r="GQ1019" s="18"/>
      <c r="GR1019" s="18"/>
      <c r="GS1019" s="18"/>
      <c r="GT1019" s="18"/>
      <c r="GU1019" s="18"/>
      <c r="GV1019" s="18"/>
      <c r="GW1019" s="18"/>
      <c r="GX1019" s="18"/>
      <c r="GY1019" s="18"/>
      <c r="GZ1019" s="18"/>
      <c r="HA1019" s="18"/>
      <c r="HB1019" s="18"/>
      <c r="HC1019" s="18"/>
      <c r="HD1019" s="18"/>
      <c r="HE1019" s="18"/>
      <c r="HF1019" s="18"/>
      <c r="HG1019" s="13"/>
      <c r="HH1019" s="13"/>
      <c r="HI1019" s="13"/>
      <c r="HJ1019" s="13"/>
      <c r="HK1019" s="13"/>
      <c r="HL1019" s="13"/>
      <c r="HM1019" s="13"/>
      <c r="HN1019" s="13"/>
      <c r="HO1019" s="13"/>
      <c r="HP1019" s="13"/>
      <c r="HQ1019" s="13"/>
      <c r="HR1019" s="13"/>
      <c r="HS1019" s="13"/>
      <c r="HT1019" s="13"/>
      <c r="HU1019" s="18"/>
      <c r="HV1019" s="18"/>
      <c r="HW1019" s="18"/>
      <c r="HX1019" s="18"/>
      <c r="HY1019" s="18"/>
      <c r="HZ1019" s="18"/>
      <c r="IA1019" s="18"/>
      <c r="IB1019" s="18"/>
      <c r="IC1019" s="18"/>
      <c r="ID1019" s="18"/>
      <c r="IE1019" s="18"/>
      <c r="IF1019" s="18"/>
      <c r="IG1019" s="18"/>
      <c r="IH1019" s="18"/>
      <c r="II1019" s="18"/>
      <c r="IJ1019" s="18"/>
      <c r="IK1019" s="18"/>
      <c r="IL1019" s="18"/>
      <c r="IM1019" s="18"/>
      <c r="IN1019" s="18"/>
      <c r="IO1019" s="18"/>
      <c r="IP1019" s="18"/>
      <c r="IQ1019" s="18"/>
      <c r="IR1019" s="18"/>
      <c r="IS1019" s="18"/>
      <c r="IT1019" s="18"/>
      <c r="IU1019" s="18"/>
      <c r="IV1019" s="18"/>
      <c r="IW1019" s="18"/>
      <c r="IX1019" s="18"/>
      <c r="IY1019" s="18"/>
      <c r="IZ1019" s="18"/>
      <c r="JA1019" s="18"/>
      <c r="JB1019" s="18"/>
      <c r="JC1019" s="18"/>
      <c r="JD1019" s="18"/>
      <c r="JE1019" s="18"/>
      <c r="JF1019" s="18"/>
      <c r="JG1019" s="18"/>
      <c r="JH1019" s="18"/>
      <c r="JI1019" s="18"/>
      <c r="JJ1019" s="18"/>
      <c r="JK1019" s="18"/>
      <c r="JL1019" s="18"/>
      <c r="JM1019" s="18"/>
      <c r="JN1019" s="18"/>
      <c r="JO1019" s="18"/>
      <c r="JP1019" s="18"/>
      <c r="JQ1019" s="18"/>
      <c r="JR1019" s="18"/>
      <c r="JS1019" s="18"/>
      <c r="JT1019" s="18"/>
      <c r="JU1019" s="18"/>
      <c r="JV1019" s="18"/>
      <c r="JW1019" s="18"/>
      <c r="JX1019" s="18"/>
      <c r="JY1019" s="18"/>
      <c r="JZ1019" s="18"/>
      <c r="KA1019" s="18"/>
      <c r="KB1019" s="18"/>
      <c r="KC1019" s="18"/>
      <c r="KD1019" s="18"/>
      <c r="KE1019" s="18"/>
      <c r="KF1019" s="18"/>
      <c r="KG1019" s="18"/>
      <c r="KH1019" s="18"/>
      <c r="KI1019" s="18"/>
      <c r="KJ1019" s="18"/>
      <c r="KK1019" s="18"/>
      <c r="KL1019" s="18"/>
      <c r="KM1019" s="18"/>
      <c r="KN1019" s="18"/>
      <c r="KO1019" s="18"/>
      <c r="KP1019" s="18"/>
    </row>
    <row r="1020" spans="1:302">
      <c r="A1020" s="14"/>
      <c r="B1020" s="14"/>
      <c r="F1020" s="14"/>
      <c r="G1020" s="23"/>
      <c r="H1020" s="23"/>
      <c r="I1020" s="23"/>
      <c r="J1020" s="23"/>
      <c r="K1020" s="14"/>
      <c r="L1020" s="14"/>
      <c r="P1020" s="14"/>
      <c r="AG1020" s="44"/>
      <c r="AH1020" s="44"/>
      <c r="AI1020" s="45"/>
      <c r="AJ1020" s="44"/>
      <c r="AK1020" s="43"/>
      <c r="AS1020" s="14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  <c r="EW1020" s="18"/>
      <c r="EX1020" s="18"/>
      <c r="EY1020" s="18"/>
      <c r="EZ1020" s="18"/>
      <c r="FA1020" s="18"/>
      <c r="FB1020" s="18"/>
      <c r="FC1020" s="18"/>
      <c r="FD1020" s="18"/>
      <c r="FE1020" s="18"/>
      <c r="FF1020" s="18"/>
      <c r="FG1020" s="18"/>
      <c r="FH1020" s="18"/>
      <c r="FI1020" s="18"/>
      <c r="FJ1020" s="18"/>
      <c r="FK1020" s="18"/>
      <c r="FL1020" s="18"/>
      <c r="FM1020" s="18"/>
      <c r="FN1020" s="18"/>
      <c r="FO1020" s="18"/>
      <c r="FP1020" s="18"/>
      <c r="FQ1020" s="18"/>
      <c r="FR1020" s="18"/>
      <c r="FS1020" s="18"/>
      <c r="FT1020" s="18"/>
      <c r="FU1020" s="18"/>
      <c r="FV1020" s="18"/>
      <c r="FW1020" s="18"/>
      <c r="FX1020" s="18"/>
      <c r="FY1020" s="18"/>
      <c r="FZ1020" s="18"/>
      <c r="GA1020" s="18"/>
      <c r="GB1020" s="18"/>
      <c r="GC1020" s="18"/>
      <c r="GD1020" s="18"/>
      <c r="GE1020" s="18"/>
      <c r="GF1020" s="18"/>
      <c r="GG1020" s="18"/>
      <c r="GH1020" s="18"/>
      <c r="GI1020" s="18"/>
      <c r="GJ1020" s="18"/>
      <c r="GK1020" s="18"/>
      <c r="GL1020" s="18"/>
      <c r="GM1020" s="18"/>
      <c r="GN1020" s="18"/>
      <c r="GO1020" s="18"/>
      <c r="GP1020" s="18"/>
      <c r="GQ1020" s="18"/>
      <c r="GR1020" s="18"/>
      <c r="GS1020" s="18"/>
      <c r="GT1020" s="18"/>
      <c r="GU1020" s="18"/>
      <c r="GV1020" s="18"/>
      <c r="GW1020" s="18"/>
      <c r="GX1020" s="18"/>
      <c r="GY1020" s="18"/>
      <c r="GZ1020" s="18"/>
      <c r="HA1020" s="18"/>
      <c r="HB1020" s="18"/>
      <c r="HC1020" s="18"/>
      <c r="HD1020" s="18"/>
      <c r="HE1020" s="18"/>
      <c r="HF1020" s="18"/>
      <c r="HG1020" s="13"/>
      <c r="HH1020" s="13"/>
      <c r="HI1020" s="13"/>
      <c r="HJ1020" s="13"/>
      <c r="HK1020" s="13"/>
      <c r="HL1020" s="13"/>
      <c r="HM1020" s="13"/>
      <c r="HN1020" s="13"/>
      <c r="HO1020" s="13"/>
      <c r="HP1020" s="13"/>
      <c r="HQ1020" s="13"/>
      <c r="HR1020" s="13"/>
      <c r="HS1020" s="13"/>
      <c r="HT1020" s="13"/>
      <c r="HU1020" s="18"/>
      <c r="HV1020" s="18"/>
      <c r="HW1020" s="18"/>
      <c r="HX1020" s="18"/>
      <c r="HY1020" s="18"/>
      <c r="HZ1020" s="18"/>
      <c r="IA1020" s="18"/>
      <c r="IB1020" s="18"/>
      <c r="IC1020" s="18"/>
      <c r="ID1020" s="18"/>
      <c r="IE1020" s="18"/>
      <c r="IF1020" s="18"/>
      <c r="IG1020" s="18"/>
      <c r="IH1020" s="18"/>
      <c r="II1020" s="18"/>
      <c r="IJ1020" s="18"/>
      <c r="IK1020" s="18"/>
      <c r="IL1020" s="18"/>
      <c r="IM1020" s="18"/>
      <c r="IN1020" s="18"/>
      <c r="IO1020" s="18"/>
      <c r="IP1020" s="18"/>
      <c r="IQ1020" s="18"/>
      <c r="IR1020" s="18"/>
      <c r="IS1020" s="18"/>
      <c r="IT1020" s="18"/>
      <c r="IU1020" s="18"/>
      <c r="IV1020" s="18"/>
      <c r="IW1020" s="18"/>
      <c r="IX1020" s="18"/>
      <c r="IY1020" s="18"/>
      <c r="IZ1020" s="18"/>
      <c r="JA1020" s="18"/>
      <c r="JB1020" s="18"/>
      <c r="JC1020" s="18"/>
      <c r="JD1020" s="18"/>
      <c r="JE1020" s="18"/>
      <c r="JF1020" s="18"/>
      <c r="JG1020" s="18"/>
      <c r="JH1020" s="18"/>
      <c r="JI1020" s="18"/>
      <c r="JJ1020" s="18"/>
      <c r="JK1020" s="18"/>
      <c r="JL1020" s="18"/>
      <c r="JM1020" s="18"/>
      <c r="JN1020" s="18"/>
      <c r="JO1020" s="18"/>
      <c r="JP1020" s="18"/>
      <c r="JQ1020" s="18"/>
      <c r="JR1020" s="18"/>
      <c r="JS1020" s="18"/>
      <c r="JT1020" s="18"/>
      <c r="JU1020" s="18"/>
      <c r="JV1020" s="18"/>
      <c r="JW1020" s="18"/>
      <c r="JX1020" s="18"/>
      <c r="JY1020" s="18"/>
      <c r="JZ1020" s="18"/>
      <c r="KA1020" s="18"/>
      <c r="KB1020" s="18"/>
      <c r="KC1020" s="18"/>
      <c r="KD1020" s="18"/>
      <c r="KE1020" s="18"/>
      <c r="KF1020" s="18"/>
      <c r="KG1020" s="18"/>
      <c r="KH1020" s="18"/>
      <c r="KI1020" s="18"/>
      <c r="KJ1020" s="18"/>
      <c r="KK1020" s="18"/>
      <c r="KL1020" s="18"/>
      <c r="KM1020" s="18"/>
      <c r="KN1020" s="18"/>
      <c r="KO1020" s="18"/>
      <c r="KP1020" s="18"/>
    </row>
    <row r="1021" spans="1:302">
      <c r="A1021" s="14"/>
      <c r="B1021" s="14"/>
      <c r="F1021" s="14"/>
      <c r="G1021" s="23"/>
      <c r="H1021" s="23"/>
      <c r="I1021" s="23"/>
      <c r="J1021" s="23"/>
      <c r="K1021" s="14"/>
      <c r="L1021" s="14"/>
      <c r="P1021" s="14"/>
      <c r="AG1021" s="44"/>
      <c r="AH1021" s="44"/>
      <c r="AI1021" s="45"/>
      <c r="AJ1021" s="44"/>
      <c r="AK1021" s="43"/>
      <c r="AS1021" s="14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  <c r="EW1021" s="18"/>
      <c r="EX1021" s="18"/>
      <c r="EY1021" s="18"/>
      <c r="EZ1021" s="18"/>
      <c r="FA1021" s="18"/>
      <c r="FB1021" s="18"/>
      <c r="FC1021" s="18"/>
      <c r="FD1021" s="18"/>
      <c r="FE1021" s="18"/>
      <c r="FF1021" s="18"/>
      <c r="FG1021" s="18"/>
      <c r="FH1021" s="18"/>
      <c r="FI1021" s="18"/>
      <c r="FJ1021" s="18"/>
      <c r="FK1021" s="18"/>
      <c r="FL1021" s="18"/>
      <c r="FM1021" s="18"/>
      <c r="FN1021" s="18"/>
      <c r="FO1021" s="18"/>
      <c r="FP1021" s="18"/>
      <c r="FQ1021" s="18"/>
      <c r="FR1021" s="18"/>
      <c r="FS1021" s="18"/>
      <c r="FT1021" s="18"/>
      <c r="FU1021" s="18"/>
      <c r="FV1021" s="18"/>
      <c r="FW1021" s="18"/>
      <c r="FX1021" s="18"/>
      <c r="FY1021" s="18"/>
      <c r="FZ1021" s="18"/>
      <c r="GA1021" s="18"/>
      <c r="GB1021" s="18"/>
      <c r="GC1021" s="18"/>
      <c r="GD1021" s="18"/>
      <c r="GE1021" s="18"/>
      <c r="GF1021" s="18"/>
      <c r="GG1021" s="18"/>
      <c r="GH1021" s="18"/>
      <c r="GI1021" s="18"/>
      <c r="GJ1021" s="18"/>
      <c r="GK1021" s="18"/>
      <c r="GL1021" s="18"/>
      <c r="GM1021" s="18"/>
      <c r="GN1021" s="18"/>
      <c r="GO1021" s="18"/>
      <c r="GP1021" s="18"/>
      <c r="GQ1021" s="18"/>
      <c r="GR1021" s="18"/>
      <c r="GS1021" s="18"/>
      <c r="GT1021" s="18"/>
      <c r="GU1021" s="18"/>
      <c r="GV1021" s="18"/>
      <c r="GW1021" s="18"/>
      <c r="GX1021" s="18"/>
      <c r="GY1021" s="18"/>
      <c r="GZ1021" s="18"/>
      <c r="HA1021" s="18"/>
      <c r="HB1021" s="18"/>
      <c r="HC1021" s="18"/>
      <c r="HD1021" s="18"/>
      <c r="HE1021" s="18"/>
      <c r="HF1021" s="18"/>
      <c r="HG1021" s="13"/>
      <c r="HH1021" s="13"/>
      <c r="HI1021" s="13"/>
      <c r="HJ1021" s="13"/>
      <c r="HK1021" s="13"/>
      <c r="HL1021" s="13"/>
      <c r="HM1021" s="13"/>
      <c r="HN1021" s="13"/>
      <c r="HO1021" s="13"/>
      <c r="HP1021" s="13"/>
      <c r="HQ1021" s="13"/>
      <c r="HR1021" s="13"/>
      <c r="HS1021" s="13"/>
      <c r="HT1021" s="13"/>
      <c r="HU1021" s="18"/>
      <c r="HV1021" s="18"/>
      <c r="HW1021" s="18"/>
      <c r="HX1021" s="18"/>
      <c r="HY1021" s="18"/>
      <c r="HZ1021" s="18"/>
      <c r="IA1021" s="18"/>
      <c r="IB1021" s="18"/>
      <c r="IC1021" s="18"/>
      <c r="ID1021" s="18"/>
      <c r="IE1021" s="18"/>
      <c r="IF1021" s="18"/>
      <c r="IG1021" s="18"/>
      <c r="IH1021" s="18"/>
      <c r="II1021" s="18"/>
      <c r="IJ1021" s="18"/>
      <c r="IK1021" s="18"/>
      <c r="IL1021" s="18"/>
      <c r="IM1021" s="18"/>
      <c r="IN1021" s="18"/>
      <c r="IO1021" s="18"/>
      <c r="IP1021" s="18"/>
      <c r="IQ1021" s="18"/>
      <c r="IR1021" s="18"/>
      <c r="IS1021" s="18"/>
      <c r="IT1021" s="18"/>
      <c r="IU1021" s="18"/>
      <c r="IV1021" s="18"/>
      <c r="IW1021" s="18"/>
      <c r="IX1021" s="18"/>
      <c r="IY1021" s="18"/>
      <c r="IZ1021" s="18"/>
      <c r="JA1021" s="18"/>
      <c r="JB1021" s="18"/>
      <c r="JC1021" s="18"/>
      <c r="JD1021" s="18"/>
      <c r="JE1021" s="18"/>
      <c r="JF1021" s="18"/>
      <c r="JG1021" s="18"/>
      <c r="JH1021" s="18"/>
      <c r="JI1021" s="18"/>
      <c r="JJ1021" s="18"/>
      <c r="JK1021" s="18"/>
      <c r="JL1021" s="18"/>
      <c r="JM1021" s="18"/>
      <c r="JN1021" s="18"/>
      <c r="JO1021" s="18"/>
      <c r="JP1021" s="18"/>
      <c r="JQ1021" s="18"/>
      <c r="JR1021" s="18"/>
      <c r="JS1021" s="18"/>
      <c r="JT1021" s="18"/>
      <c r="JU1021" s="18"/>
      <c r="JV1021" s="18"/>
      <c r="JW1021" s="18"/>
      <c r="JX1021" s="18"/>
      <c r="JY1021" s="18"/>
      <c r="JZ1021" s="18"/>
      <c r="KA1021" s="18"/>
      <c r="KB1021" s="18"/>
      <c r="KC1021" s="18"/>
      <c r="KD1021" s="18"/>
      <c r="KE1021" s="18"/>
      <c r="KF1021" s="18"/>
      <c r="KG1021" s="18"/>
      <c r="KH1021" s="18"/>
      <c r="KI1021" s="18"/>
      <c r="KJ1021" s="18"/>
      <c r="KK1021" s="18"/>
      <c r="KL1021" s="18"/>
      <c r="KM1021" s="18"/>
      <c r="KN1021" s="18"/>
      <c r="KO1021" s="18"/>
      <c r="KP1021" s="18"/>
    </row>
    <row r="1022" spans="1:302">
      <c r="A1022" s="14"/>
      <c r="B1022" s="14"/>
      <c r="F1022" s="14"/>
      <c r="G1022" s="23"/>
      <c r="H1022" s="23"/>
      <c r="I1022" s="23"/>
      <c r="J1022" s="23"/>
      <c r="K1022" s="14"/>
      <c r="L1022" s="14"/>
      <c r="P1022" s="14"/>
      <c r="AG1022" s="44"/>
      <c r="AH1022" s="44"/>
      <c r="AI1022" s="45"/>
      <c r="AJ1022" s="44"/>
      <c r="AK1022" s="43"/>
      <c r="AS1022" s="14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  <c r="EW1022" s="18"/>
      <c r="EX1022" s="18"/>
      <c r="EY1022" s="18"/>
      <c r="EZ1022" s="18"/>
      <c r="FA1022" s="18"/>
      <c r="FB1022" s="18"/>
      <c r="FC1022" s="18"/>
      <c r="FD1022" s="18"/>
      <c r="FE1022" s="18"/>
      <c r="FF1022" s="18"/>
      <c r="FG1022" s="18"/>
      <c r="FH1022" s="18"/>
      <c r="FI1022" s="18"/>
      <c r="FJ1022" s="18"/>
      <c r="FK1022" s="18"/>
      <c r="FL1022" s="18"/>
      <c r="FM1022" s="18"/>
      <c r="FN1022" s="18"/>
      <c r="FO1022" s="18"/>
      <c r="FP1022" s="18"/>
      <c r="FQ1022" s="18"/>
      <c r="FR1022" s="18"/>
      <c r="FS1022" s="18"/>
      <c r="FT1022" s="18"/>
      <c r="FU1022" s="18"/>
      <c r="FV1022" s="18"/>
      <c r="FW1022" s="18"/>
      <c r="FX1022" s="18"/>
      <c r="FY1022" s="18"/>
      <c r="FZ1022" s="18"/>
      <c r="GA1022" s="18"/>
      <c r="GB1022" s="18"/>
      <c r="GC1022" s="18"/>
      <c r="GD1022" s="18"/>
      <c r="GE1022" s="18"/>
      <c r="GF1022" s="18"/>
      <c r="GG1022" s="18"/>
      <c r="GH1022" s="18"/>
      <c r="GI1022" s="18"/>
      <c r="GJ1022" s="18"/>
      <c r="GK1022" s="18"/>
      <c r="GL1022" s="18"/>
      <c r="GM1022" s="18"/>
      <c r="GN1022" s="18"/>
      <c r="GO1022" s="18"/>
      <c r="GP1022" s="18"/>
      <c r="GQ1022" s="18"/>
      <c r="GR1022" s="18"/>
      <c r="GS1022" s="18"/>
      <c r="GT1022" s="18"/>
      <c r="GU1022" s="18"/>
      <c r="GV1022" s="18"/>
      <c r="GW1022" s="18"/>
      <c r="GX1022" s="18"/>
      <c r="GY1022" s="18"/>
      <c r="GZ1022" s="18"/>
      <c r="HA1022" s="18"/>
      <c r="HB1022" s="18"/>
      <c r="HC1022" s="18"/>
      <c r="HD1022" s="18"/>
      <c r="HE1022" s="18"/>
      <c r="HF1022" s="18"/>
      <c r="HG1022" s="13"/>
      <c r="HH1022" s="13"/>
      <c r="HI1022" s="13"/>
      <c r="HJ1022" s="13"/>
      <c r="HK1022" s="13"/>
      <c r="HL1022" s="13"/>
      <c r="HM1022" s="13"/>
      <c r="HN1022" s="13"/>
      <c r="HO1022" s="13"/>
      <c r="HP1022" s="13"/>
      <c r="HQ1022" s="13"/>
      <c r="HR1022" s="13"/>
      <c r="HS1022" s="13"/>
      <c r="HT1022" s="13"/>
      <c r="HU1022" s="18"/>
      <c r="HV1022" s="18"/>
      <c r="HW1022" s="18"/>
      <c r="HX1022" s="18"/>
      <c r="HY1022" s="18"/>
      <c r="HZ1022" s="18"/>
      <c r="IA1022" s="18"/>
      <c r="IB1022" s="18"/>
      <c r="IC1022" s="18"/>
      <c r="ID1022" s="18"/>
      <c r="IE1022" s="18"/>
      <c r="IF1022" s="18"/>
      <c r="IG1022" s="18"/>
      <c r="IH1022" s="18"/>
      <c r="II1022" s="18"/>
      <c r="IJ1022" s="18"/>
      <c r="IK1022" s="18"/>
      <c r="IL1022" s="18"/>
      <c r="IM1022" s="18"/>
      <c r="IN1022" s="18"/>
      <c r="IO1022" s="18"/>
      <c r="IP1022" s="18"/>
      <c r="IQ1022" s="18"/>
      <c r="IR1022" s="18"/>
      <c r="IS1022" s="18"/>
      <c r="IT1022" s="18"/>
      <c r="IU1022" s="18"/>
      <c r="IV1022" s="18"/>
      <c r="IW1022" s="18"/>
      <c r="IX1022" s="18"/>
      <c r="IY1022" s="18"/>
      <c r="IZ1022" s="18"/>
      <c r="JA1022" s="18"/>
      <c r="JB1022" s="18"/>
      <c r="JC1022" s="18"/>
      <c r="JD1022" s="18"/>
      <c r="JE1022" s="18"/>
      <c r="JF1022" s="18"/>
      <c r="JG1022" s="18"/>
      <c r="JH1022" s="18"/>
      <c r="JI1022" s="18"/>
      <c r="JJ1022" s="18"/>
      <c r="JK1022" s="18"/>
      <c r="JL1022" s="18"/>
      <c r="JM1022" s="18"/>
      <c r="JN1022" s="18"/>
      <c r="JO1022" s="18"/>
      <c r="JP1022" s="18"/>
      <c r="JQ1022" s="18"/>
      <c r="JR1022" s="18"/>
      <c r="JS1022" s="18"/>
      <c r="JT1022" s="18"/>
      <c r="JU1022" s="18"/>
      <c r="JV1022" s="18"/>
      <c r="JW1022" s="18"/>
      <c r="JX1022" s="18"/>
      <c r="JY1022" s="18"/>
      <c r="JZ1022" s="18"/>
      <c r="KA1022" s="18"/>
      <c r="KB1022" s="18"/>
      <c r="KC1022" s="18"/>
      <c r="KD1022" s="18"/>
      <c r="KE1022" s="18"/>
      <c r="KF1022" s="18"/>
      <c r="KG1022" s="18"/>
      <c r="KH1022" s="18"/>
      <c r="KI1022" s="18"/>
      <c r="KJ1022" s="18"/>
      <c r="KK1022" s="18"/>
      <c r="KL1022" s="18"/>
      <c r="KM1022" s="18"/>
      <c r="KN1022" s="18"/>
      <c r="KO1022" s="18"/>
      <c r="KP1022" s="18"/>
    </row>
    <row r="1023" spans="1:302">
      <c r="A1023" s="14"/>
      <c r="B1023" s="14"/>
      <c r="F1023" s="14"/>
      <c r="G1023" s="23"/>
      <c r="H1023" s="23"/>
      <c r="I1023" s="23"/>
      <c r="J1023" s="23"/>
      <c r="K1023" s="14"/>
      <c r="L1023" s="14"/>
      <c r="P1023" s="14"/>
      <c r="AG1023" s="44"/>
      <c r="AH1023" s="44"/>
      <c r="AI1023" s="45"/>
      <c r="AJ1023" s="44"/>
      <c r="AK1023" s="43"/>
      <c r="AS1023" s="14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  <c r="EW1023" s="18"/>
      <c r="EX1023" s="18"/>
      <c r="EY1023" s="18"/>
      <c r="EZ1023" s="18"/>
      <c r="FA1023" s="18"/>
      <c r="FB1023" s="18"/>
      <c r="FC1023" s="18"/>
      <c r="FD1023" s="18"/>
      <c r="FE1023" s="18"/>
      <c r="FF1023" s="18"/>
      <c r="FG1023" s="18"/>
      <c r="FH1023" s="18"/>
      <c r="FI1023" s="18"/>
      <c r="FJ1023" s="18"/>
      <c r="FK1023" s="18"/>
      <c r="FL1023" s="18"/>
      <c r="FM1023" s="18"/>
      <c r="FN1023" s="18"/>
      <c r="FO1023" s="18"/>
      <c r="FP1023" s="18"/>
      <c r="FQ1023" s="18"/>
      <c r="FR1023" s="18"/>
      <c r="FS1023" s="18"/>
      <c r="FT1023" s="18"/>
      <c r="FU1023" s="18"/>
      <c r="FV1023" s="18"/>
      <c r="FW1023" s="18"/>
      <c r="FX1023" s="18"/>
      <c r="FY1023" s="18"/>
      <c r="FZ1023" s="18"/>
      <c r="GA1023" s="18"/>
      <c r="GB1023" s="18"/>
      <c r="GC1023" s="18"/>
      <c r="GD1023" s="18"/>
      <c r="GE1023" s="18"/>
      <c r="GF1023" s="18"/>
      <c r="GG1023" s="18"/>
      <c r="GH1023" s="18"/>
      <c r="GI1023" s="18"/>
      <c r="GJ1023" s="18"/>
      <c r="GK1023" s="18"/>
      <c r="GL1023" s="18"/>
      <c r="GM1023" s="18"/>
      <c r="GN1023" s="18"/>
      <c r="GO1023" s="18"/>
      <c r="GP1023" s="18"/>
      <c r="GQ1023" s="18"/>
      <c r="GR1023" s="18"/>
      <c r="GS1023" s="18"/>
      <c r="GT1023" s="18"/>
      <c r="GU1023" s="18"/>
      <c r="GV1023" s="18"/>
      <c r="GW1023" s="18"/>
      <c r="GX1023" s="18"/>
      <c r="GY1023" s="18"/>
      <c r="GZ1023" s="18"/>
      <c r="HA1023" s="18"/>
      <c r="HB1023" s="18"/>
      <c r="HC1023" s="18"/>
      <c r="HD1023" s="18"/>
      <c r="HE1023" s="18"/>
      <c r="HF1023" s="18"/>
      <c r="HG1023" s="13"/>
      <c r="HH1023" s="13"/>
      <c r="HI1023" s="13"/>
      <c r="HJ1023" s="13"/>
      <c r="HK1023" s="13"/>
      <c r="HL1023" s="13"/>
      <c r="HM1023" s="13"/>
      <c r="HN1023" s="13"/>
      <c r="HO1023" s="13"/>
      <c r="HP1023" s="13"/>
      <c r="HQ1023" s="13"/>
      <c r="HR1023" s="13"/>
      <c r="HS1023" s="13"/>
      <c r="HT1023" s="13"/>
      <c r="HU1023" s="18"/>
      <c r="HV1023" s="18"/>
      <c r="HW1023" s="18"/>
      <c r="HX1023" s="18"/>
      <c r="HY1023" s="18"/>
      <c r="HZ1023" s="18"/>
      <c r="IA1023" s="18"/>
      <c r="IB1023" s="18"/>
      <c r="IC1023" s="18"/>
      <c r="ID1023" s="18"/>
      <c r="IE1023" s="18"/>
      <c r="IF1023" s="18"/>
      <c r="IG1023" s="18"/>
      <c r="IH1023" s="18"/>
      <c r="II1023" s="18"/>
      <c r="IJ1023" s="18"/>
      <c r="IK1023" s="18"/>
      <c r="IL1023" s="18"/>
      <c r="IM1023" s="18"/>
      <c r="IN1023" s="18"/>
      <c r="IO1023" s="18"/>
      <c r="IP1023" s="18"/>
      <c r="IQ1023" s="18"/>
      <c r="IR1023" s="18"/>
      <c r="IS1023" s="18"/>
      <c r="IT1023" s="18"/>
      <c r="IU1023" s="18"/>
      <c r="IV1023" s="18"/>
      <c r="IW1023" s="18"/>
      <c r="IX1023" s="18"/>
      <c r="IY1023" s="18"/>
      <c r="IZ1023" s="18"/>
      <c r="JA1023" s="18"/>
      <c r="JB1023" s="18"/>
      <c r="JC1023" s="18"/>
      <c r="JD1023" s="18"/>
      <c r="JE1023" s="18"/>
      <c r="JF1023" s="18"/>
      <c r="JG1023" s="18"/>
      <c r="JH1023" s="18"/>
      <c r="JI1023" s="18"/>
      <c r="JJ1023" s="18"/>
      <c r="JK1023" s="18"/>
      <c r="JL1023" s="18"/>
      <c r="JM1023" s="18"/>
      <c r="JN1023" s="18"/>
      <c r="JO1023" s="18"/>
      <c r="JP1023" s="18"/>
      <c r="JQ1023" s="18"/>
      <c r="JR1023" s="18"/>
      <c r="JS1023" s="18"/>
      <c r="JT1023" s="18"/>
      <c r="JU1023" s="18"/>
      <c r="JV1023" s="18"/>
      <c r="JW1023" s="18"/>
      <c r="JX1023" s="18"/>
      <c r="JY1023" s="18"/>
      <c r="JZ1023" s="18"/>
      <c r="KA1023" s="18"/>
      <c r="KB1023" s="18"/>
      <c r="KC1023" s="18"/>
      <c r="KD1023" s="18"/>
      <c r="KE1023" s="18"/>
      <c r="KF1023" s="18"/>
      <c r="KG1023" s="18"/>
      <c r="KH1023" s="18"/>
      <c r="KI1023" s="18"/>
      <c r="KJ1023" s="18"/>
      <c r="KK1023" s="18"/>
      <c r="KL1023" s="18"/>
      <c r="KM1023" s="18"/>
      <c r="KN1023" s="18"/>
      <c r="KO1023" s="18"/>
      <c r="KP1023" s="18"/>
    </row>
    <row r="1024" spans="1:302">
      <c r="A1024" s="14"/>
      <c r="B1024" s="14"/>
      <c r="F1024" s="14"/>
      <c r="G1024" s="23"/>
      <c r="H1024" s="23"/>
      <c r="I1024" s="23"/>
      <c r="J1024" s="23"/>
      <c r="K1024" s="14"/>
      <c r="L1024" s="14"/>
      <c r="P1024" s="14"/>
      <c r="AG1024" s="44"/>
      <c r="AH1024" s="44"/>
      <c r="AI1024" s="45"/>
      <c r="AJ1024" s="44"/>
      <c r="AK1024" s="43"/>
      <c r="AS1024" s="14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  <c r="EW1024" s="18"/>
      <c r="EX1024" s="18"/>
      <c r="EY1024" s="18"/>
      <c r="EZ1024" s="18"/>
      <c r="FA1024" s="18"/>
      <c r="FB1024" s="18"/>
      <c r="FC1024" s="18"/>
      <c r="FD1024" s="18"/>
      <c r="FE1024" s="18"/>
      <c r="FF1024" s="18"/>
      <c r="FG1024" s="18"/>
      <c r="FH1024" s="18"/>
      <c r="FI1024" s="18"/>
      <c r="FJ1024" s="18"/>
      <c r="FK1024" s="18"/>
      <c r="FL1024" s="18"/>
      <c r="FM1024" s="18"/>
      <c r="FN1024" s="18"/>
      <c r="FO1024" s="18"/>
      <c r="FP1024" s="18"/>
      <c r="FQ1024" s="18"/>
      <c r="FR1024" s="18"/>
      <c r="FS1024" s="18"/>
      <c r="FT1024" s="18"/>
      <c r="FU1024" s="18"/>
      <c r="FV1024" s="18"/>
      <c r="FW1024" s="18"/>
      <c r="FX1024" s="18"/>
      <c r="FY1024" s="18"/>
      <c r="FZ1024" s="18"/>
      <c r="GA1024" s="18"/>
      <c r="GB1024" s="18"/>
      <c r="GC1024" s="18"/>
      <c r="GD1024" s="18"/>
      <c r="GE1024" s="18"/>
      <c r="GF1024" s="18"/>
      <c r="GG1024" s="18"/>
      <c r="GH1024" s="18"/>
      <c r="GI1024" s="18"/>
      <c r="GJ1024" s="18"/>
      <c r="GK1024" s="18"/>
      <c r="GL1024" s="18"/>
      <c r="GM1024" s="18"/>
      <c r="GN1024" s="18"/>
      <c r="GO1024" s="18"/>
      <c r="GP1024" s="18"/>
      <c r="GQ1024" s="18"/>
      <c r="GR1024" s="18"/>
      <c r="GS1024" s="18"/>
      <c r="GT1024" s="18"/>
      <c r="GU1024" s="18"/>
      <c r="GV1024" s="18"/>
      <c r="GW1024" s="18"/>
      <c r="GX1024" s="18"/>
      <c r="GY1024" s="18"/>
      <c r="GZ1024" s="18"/>
      <c r="HA1024" s="18"/>
      <c r="HB1024" s="18"/>
      <c r="HC1024" s="18"/>
      <c r="HD1024" s="18"/>
      <c r="HE1024" s="18"/>
      <c r="HF1024" s="18"/>
      <c r="HG1024" s="13"/>
      <c r="HH1024" s="13"/>
      <c r="HI1024" s="13"/>
      <c r="HJ1024" s="13"/>
      <c r="HK1024" s="13"/>
      <c r="HL1024" s="13"/>
      <c r="HM1024" s="13"/>
      <c r="HN1024" s="13"/>
      <c r="HO1024" s="13"/>
      <c r="HP1024" s="13"/>
      <c r="HQ1024" s="13"/>
      <c r="HR1024" s="13"/>
      <c r="HS1024" s="13"/>
      <c r="HT1024" s="13"/>
      <c r="HU1024" s="18"/>
      <c r="HV1024" s="18"/>
      <c r="HW1024" s="18"/>
      <c r="HX1024" s="18"/>
      <c r="HY1024" s="18"/>
      <c r="HZ1024" s="18"/>
      <c r="IA1024" s="18"/>
      <c r="IB1024" s="18"/>
      <c r="IC1024" s="18"/>
      <c r="ID1024" s="18"/>
      <c r="IE1024" s="18"/>
      <c r="IF1024" s="18"/>
      <c r="IG1024" s="18"/>
      <c r="IH1024" s="18"/>
      <c r="II1024" s="18"/>
      <c r="IJ1024" s="18"/>
      <c r="IK1024" s="18"/>
      <c r="IL1024" s="18"/>
      <c r="IM1024" s="18"/>
      <c r="IN1024" s="18"/>
      <c r="IO1024" s="18"/>
      <c r="IP1024" s="18"/>
      <c r="IQ1024" s="18"/>
      <c r="IR1024" s="18"/>
      <c r="IS1024" s="18"/>
      <c r="IT1024" s="18"/>
      <c r="IU1024" s="18"/>
      <c r="IV1024" s="18"/>
      <c r="IW1024" s="18"/>
      <c r="IX1024" s="18"/>
      <c r="IY1024" s="18"/>
      <c r="IZ1024" s="18"/>
      <c r="JA1024" s="18"/>
      <c r="JB1024" s="18"/>
      <c r="JC1024" s="18"/>
      <c r="JD1024" s="18"/>
      <c r="JE1024" s="18"/>
      <c r="JF1024" s="18"/>
      <c r="JG1024" s="18"/>
      <c r="JH1024" s="18"/>
      <c r="JI1024" s="18"/>
      <c r="JJ1024" s="18"/>
      <c r="JK1024" s="18"/>
      <c r="JL1024" s="18"/>
      <c r="JM1024" s="18"/>
      <c r="JN1024" s="18"/>
      <c r="JO1024" s="18"/>
      <c r="JP1024" s="18"/>
      <c r="JQ1024" s="18"/>
      <c r="JR1024" s="18"/>
      <c r="JS1024" s="18"/>
      <c r="JT1024" s="18"/>
      <c r="JU1024" s="18"/>
      <c r="JV1024" s="18"/>
      <c r="JW1024" s="18"/>
      <c r="JX1024" s="18"/>
      <c r="JY1024" s="18"/>
      <c r="JZ1024" s="18"/>
      <c r="KA1024" s="18"/>
      <c r="KB1024" s="18"/>
      <c r="KC1024" s="18"/>
      <c r="KD1024" s="18"/>
      <c r="KE1024" s="18"/>
      <c r="KF1024" s="18"/>
      <c r="KG1024" s="18"/>
      <c r="KH1024" s="18"/>
      <c r="KI1024" s="18"/>
      <c r="KJ1024" s="18"/>
      <c r="KK1024" s="18"/>
      <c r="KL1024" s="18"/>
      <c r="KM1024" s="18"/>
      <c r="KN1024" s="18"/>
      <c r="KO1024" s="18"/>
      <c r="KP1024" s="18"/>
    </row>
    <row r="1025" spans="1:302">
      <c r="A1025" s="14"/>
      <c r="B1025" s="14"/>
      <c r="F1025" s="14"/>
      <c r="G1025" s="23"/>
      <c r="H1025" s="23"/>
      <c r="I1025" s="23"/>
      <c r="J1025" s="23"/>
      <c r="K1025" s="14"/>
      <c r="L1025" s="14"/>
      <c r="P1025" s="14"/>
      <c r="AG1025" s="44"/>
      <c r="AH1025" s="44"/>
      <c r="AI1025" s="45"/>
      <c r="AJ1025" s="44"/>
      <c r="AK1025" s="43"/>
      <c r="AS1025" s="14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  <c r="EW1025" s="18"/>
      <c r="EX1025" s="18"/>
      <c r="EY1025" s="18"/>
      <c r="EZ1025" s="18"/>
      <c r="FA1025" s="18"/>
      <c r="FB1025" s="18"/>
      <c r="FC1025" s="18"/>
      <c r="FD1025" s="18"/>
      <c r="FE1025" s="18"/>
      <c r="FF1025" s="18"/>
      <c r="FG1025" s="18"/>
      <c r="FH1025" s="18"/>
      <c r="FI1025" s="18"/>
      <c r="FJ1025" s="18"/>
      <c r="FK1025" s="18"/>
      <c r="FL1025" s="18"/>
      <c r="FM1025" s="18"/>
      <c r="FN1025" s="18"/>
      <c r="FO1025" s="18"/>
      <c r="FP1025" s="18"/>
      <c r="FQ1025" s="18"/>
      <c r="FR1025" s="18"/>
      <c r="FS1025" s="18"/>
      <c r="FT1025" s="18"/>
      <c r="FU1025" s="18"/>
      <c r="FV1025" s="18"/>
      <c r="FW1025" s="18"/>
      <c r="FX1025" s="18"/>
      <c r="FY1025" s="18"/>
      <c r="FZ1025" s="18"/>
      <c r="GA1025" s="18"/>
      <c r="GB1025" s="18"/>
      <c r="GC1025" s="18"/>
      <c r="GD1025" s="18"/>
      <c r="GE1025" s="18"/>
      <c r="GF1025" s="18"/>
      <c r="GG1025" s="18"/>
      <c r="GH1025" s="18"/>
      <c r="GI1025" s="18"/>
      <c r="GJ1025" s="18"/>
      <c r="GK1025" s="18"/>
      <c r="GL1025" s="18"/>
      <c r="GM1025" s="18"/>
      <c r="GN1025" s="18"/>
      <c r="GO1025" s="18"/>
      <c r="GP1025" s="18"/>
      <c r="GQ1025" s="18"/>
      <c r="GR1025" s="18"/>
      <c r="GS1025" s="18"/>
      <c r="GT1025" s="18"/>
      <c r="GU1025" s="18"/>
      <c r="GV1025" s="18"/>
      <c r="GW1025" s="18"/>
      <c r="GX1025" s="18"/>
      <c r="GY1025" s="18"/>
      <c r="GZ1025" s="18"/>
      <c r="HA1025" s="18"/>
      <c r="HB1025" s="18"/>
      <c r="HC1025" s="18"/>
      <c r="HD1025" s="18"/>
      <c r="HE1025" s="18"/>
      <c r="HF1025" s="18"/>
      <c r="HG1025" s="13"/>
      <c r="HH1025" s="13"/>
      <c r="HI1025" s="13"/>
      <c r="HJ1025" s="13"/>
      <c r="HK1025" s="13"/>
      <c r="HL1025" s="13"/>
      <c r="HM1025" s="13"/>
      <c r="HN1025" s="13"/>
      <c r="HO1025" s="13"/>
      <c r="HP1025" s="13"/>
      <c r="HQ1025" s="13"/>
      <c r="HR1025" s="13"/>
      <c r="HS1025" s="13"/>
      <c r="HT1025" s="13"/>
      <c r="HU1025" s="18"/>
      <c r="HV1025" s="18"/>
      <c r="HW1025" s="18"/>
      <c r="HX1025" s="18"/>
      <c r="HY1025" s="18"/>
      <c r="HZ1025" s="18"/>
      <c r="IA1025" s="18"/>
      <c r="IB1025" s="18"/>
      <c r="IC1025" s="18"/>
      <c r="ID1025" s="18"/>
      <c r="IE1025" s="18"/>
      <c r="IF1025" s="18"/>
      <c r="IG1025" s="18"/>
      <c r="IH1025" s="18"/>
      <c r="II1025" s="18"/>
      <c r="IJ1025" s="18"/>
      <c r="IK1025" s="18"/>
      <c r="IL1025" s="18"/>
      <c r="IM1025" s="18"/>
      <c r="IN1025" s="18"/>
      <c r="IO1025" s="18"/>
      <c r="IP1025" s="18"/>
      <c r="IQ1025" s="18"/>
      <c r="IR1025" s="18"/>
      <c r="IS1025" s="18"/>
      <c r="IT1025" s="18"/>
      <c r="IU1025" s="18"/>
      <c r="IV1025" s="18"/>
      <c r="IW1025" s="18"/>
      <c r="IX1025" s="18"/>
      <c r="IY1025" s="18"/>
      <c r="IZ1025" s="18"/>
      <c r="JA1025" s="18"/>
      <c r="JB1025" s="18"/>
      <c r="JC1025" s="18"/>
      <c r="JD1025" s="18"/>
      <c r="JE1025" s="18"/>
      <c r="JF1025" s="18"/>
      <c r="JG1025" s="18"/>
      <c r="JH1025" s="18"/>
      <c r="JI1025" s="18"/>
      <c r="JJ1025" s="18"/>
      <c r="JK1025" s="18"/>
      <c r="JL1025" s="18"/>
      <c r="JM1025" s="18"/>
      <c r="JN1025" s="18"/>
      <c r="JO1025" s="18"/>
      <c r="JP1025" s="18"/>
      <c r="JQ1025" s="18"/>
      <c r="JR1025" s="18"/>
      <c r="JS1025" s="18"/>
      <c r="JT1025" s="18"/>
      <c r="JU1025" s="18"/>
      <c r="JV1025" s="18"/>
      <c r="JW1025" s="18"/>
      <c r="JX1025" s="18"/>
      <c r="JY1025" s="18"/>
      <c r="JZ1025" s="18"/>
      <c r="KA1025" s="18"/>
      <c r="KB1025" s="18"/>
      <c r="KC1025" s="18"/>
      <c r="KD1025" s="18"/>
      <c r="KE1025" s="18"/>
      <c r="KF1025" s="18"/>
      <c r="KG1025" s="18"/>
      <c r="KH1025" s="18"/>
      <c r="KI1025" s="18"/>
      <c r="KJ1025" s="18"/>
      <c r="KK1025" s="18"/>
      <c r="KL1025" s="18"/>
      <c r="KM1025" s="18"/>
      <c r="KN1025" s="18"/>
      <c r="KO1025" s="18"/>
      <c r="KP1025" s="18"/>
    </row>
    <row r="1026" spans="1:302">
      <c r="A1026" s="14"/>
      <c r="B1026" s="14"/>
      <c r="F1026" s="14"/>
      <c r="G1026" s="23"/>
      <c r="H1026" s="23"/>
      <c r="I1026" s="23"/>
      <c r="J1026" s="23"/>
      <c r="K1026" s="14"/>
      <c r="L1026" s="14"/>
      <c r="P1026" s="14"/>
      <c r="AG1026" s="44"/>
      <c r="AH1026" s="44"/>
      <c r="AI1026" s="45"/>
      <c r="AJ1026" s="44"/>
      <c r="AK1026" s="43"/>
      <c r="AS1026" s="14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  <c r="EW1026" s="18"/>
      <c r="EX1026" s="18"/>
      <c r="EY1026" s="18"/>
      <c r="EZ1026" s="18"/>
      <c r="FA1026" s="18"/>
      <c r="FB1026" s="18"/>
      <c r="FC1026" s="18"/>
      <c r="FD1026" s="18"/>
      <c r="FE1026" s="18"/>
      <c r="FF1026" s="18"/>
      <c r="FG1026" s="18"/>
      <c r="FH1026" s="18"/>
      <c r="FI1026" s="18"/>
      <c r="FJ1026" s="18"/>
      <c r="FK1026" s="18"/>
      <c r="FL1026" s="18"/>
      <c r="FM1026" s="18"/>
      <c r="FN1026" s="18"/>
      <c r="FO1026" s="18"/>
      <c r="FP1026" s="18"/>
      <c r="FQ1026" s="18"/>
      <c r="FR1026" s="18"/>
      <c r="FS1026" s="18"/>
      <c r="FT1026" s="18"/>
      <c r="FU1026" s="18"/>
      <c r="FV1026" s="18"/>
      <c r="FW1026" s="18"/>
      <c r="FX1026" s="18"/>
      <c r="FY1026" s="18"/>
      <c r="FZ1026" s="18"/>
      <c r="GA1026" s="18"/>
      <c r="GB1026" s="18"/>
      <c r="GC1026" s="18"/>
      <c r="GD1026" s="18"/>
      <c r="GE1026" s="18"/>
      <c r="GF1026" s="18"/>
      <c r="GG1026" s="18"/>
      <c r="GH1026" s="18"/>
      <c r="GI1026" s="18"/>
      <c r="GJ1026" s="18"/>
      <c r="GK1026" s="18"/>
      <c r="GL1026" s="18"/>
      <c r="GM1026" s="18"/>
      <c r="GN1026" s="18"/>
      <c r="GO1026" s="18"/>
      <c r="GP1026" s="18"/>
      <c r="GQ1026" s="18"/>
      <c r="GR1026" s="18"/>
      <c r="GS1026" s="18"/>
      <c r="GT1026" s="18"/>
      <c r="GU1026" s="18"/>
      <c r="GV1026" s="18"/>
      <c r="GW1026" s="18"/>
      <c r="GX1026" s="18"/>
      <c r="GY1026" s="18"/>
      <c r="GZ1026" s="18"/>
      <c r="HA1026" s="18"/>
      <c r="HB1026" s="18"/>
      <c r="HC1026" s="18"/>
      <c r="HD1026" s="18"/>
      <c r="HE1026" s="18"/>
      <c r="HF1026" s="18"/>
      <c r="HG1026" s="13"/>
      <c r="HH1026" s="13"/>
      <c r="HI1026" s="13"/>
      <c r="HJ1026" s="13"/>
      <c r="HK1026" s="13"/>
      <c r="HL1026" s="13"/>
      <c r="HM1026" s="13"/>
      <c r="HN1026" s="13"/>
      <c r="HO1026" s="13"/>
      <c r="HP1026" s="13"/>
      <c r="HQ1026" s="13"/>
      <c r="HR1026" s="13"/>
      <c r="HS1026" s="13"/>
      <c r="HT1026" s="13"/>
      <c r="HU1026" s="18"/>
      <c r="HV1026" s="18"/>
      <c r="HW1026" s="18"/>
      <c r="HX1026" s="18"/>
      <c r="HY1026" s="18"/>
      <c r="HZ1026" s="18"/>
      <c r="IA1026" s="18"/>
      <c r="IB1026" s="18"/>
      <c r="IC1026" s="18"/>
      <c r="ID1026" s="18"/>
      <c r="IE1026" s="18"/>
      <c r="IF1026" s="18"/>
      <c r="IG1026" s="18"/>
      <c r="IH1026" s="18"/>
      <c r="II1026" s="18"/>
      <c r="IJ1026" s="18"/>
      <c r="IK1026" s="18"/>
      <c r="IL1026" s="18"/>
      <c r="IM1026" s="18"/>
      <c r="IN1026" s="18"/>
      <c r="IO1026" s="18"/>
      <c r="IP1026" s="18"/>
      <c r="IQ1026" s="18"/>
      <c r="IR1026" s="18"/>
      <c r="IS1026" s="18"/>
      <c r="IT1026" s="18"/>
      <c r="IU1026" s="18"/>
      <c r="IV1026" s="18"/>
      <c r="IW1026" s="18"/>
      <c r="IX1026" s="18"/>
      <c r="IY1026" s="18"/>
      <c r="IZ1026" s="18"/>
      <c r="JA1026" s="18"/>
      <c r="JB1026" s="18"/>
      <c r="JC1026" s="18"/>
      <c r="JD1026" s="18"/>
      <c r="JE1026" s="18"/>
      <c r="JF1026" s="18"/>
      <c r="JG1026" s="18"/>
      <c r="JH1026" s="18"/>
      <c r="JI1026" s="18"/>
      <c r="JJ1026" s="18"/>
      <c r="JK1026" s="18"/>
      <c r="JL1026" s="18"/>
      <c r="JM1026" s="18"/>
      <c r="JN1026" s="18"/>
      <c r="JO1026" s="18"/>
      <c r="JP1026" s="18"/>
      <c r="JQ1026" s="18"/>
      <c r="JR1026" s="18"/>
      <c r="JS1026" s="18"/>
      <c r="JT1026" s="18"/>
      <c r="JU1026" s="18"/>
      <c r="JV1026" s="18"/>
      <c r="JW1026" s="18"/>
      <c r="JX1026" s="18"/>
      <c r="JY1026" s="18"/>
      <c r="JZ1026" s="18"/>
      <c r="KA1026" s="18"/>
      <c r="KB1026" s="18"/>
      <c r="KC1026" s="18"/>
      <c r="KD1026" s="18"/>
      <c r="KE1026" s="18"/>
      <c r="KF1026" s="18"/>
      <c r="KG1026" s="18"/>
      <c r="KH1026" s="18"/>
      <c r="KI1026" s="18"/>
      <c r="KJ1026" s="18"/>
      <c r="KK1026" s="18"/>
      <c r="KL1026" s="18"/>
      <c r="KM1026" s="18"/>
      <c r="KN1026" s="18"/>
      <c r="KO1026" s="18"/>
      <c r="KP1026" s="18"/>
    </row>
    <row r="1027" spans="1:302">
      <c r="A1027" s="14"/>
      <c r="B1027" s="14"/>
      <c r="F1027" s="14"/>
      <c r="G1027" s="23"/>
      <c r="H1027" s="23"/>
      <c r="I1027" s="23"/>
      <c r="J1027" s="23"/>
      <c r="K1027" s="14"/>
      <c r="L1027" s="14"/>
      <c r="P1027" s="14"/>
      <c r="AG1027" s="44"/>
      <c r="AH1027" s="44"/>
      <c r="AI1027" s="45"/>
      <c r="AJ1027" s="44"/>
      <c r="AK1027" s="43"/>
      <c r="AS1027" s="14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  <c r="FR1027" s="18"/>
      <c r="FS1027" s="18"/>
      <c r="FT1027" s="18"/>
      <c r="FU1027" s="18"/>
      <c r="FV1027" s="18"/>
      <c r="FW1027" s="18"/>
      <c r="FX1027" s="18"/>
      <c r="FY1027" s="18"/>
      <c r="FZ1027" s="18"/>
      <c r="GA1027" s="18"/>
      <c r="GB1027" s="18"/>
      <c r="GC1027" s="18"/>
      <c r="GD1027" s="18"/>
      <c r="GE1027" s="18"/>
      <c r="GF1027" s="18"/>
      <c r="GG1027" s="18"/>
      <c r="GH1027" s="18"/>
      <c r="GI1027" s="18"/>
      <c r="GJ1027" s="18"/>
      <c r="GK1027" s="18"/>
      <c r="GL1027" s="18"/>
      <c r="GM1027" s="18"/>
      <c r="GN1027" s="18"/>
      <c r="GO1027" s="18"/>
      <c r="GP1027" s="18"/>
      <c r="GQ1027" s="18"/>
      <c r="GR1027" s="18"/>
      <c r="GS1027" s="18"/>
      <c r="GT1027" s="18"/>
      <c r="GU1027" s="18"/>
      <c r="GV1027" s="18"/>
      <c r="GW1027" s="18"/>
      <c r="GX1027" s="18"/>
      <c r="GY1027" s="18"/>
      <c r="GZ1027" s="18"/>
      <c r="HA1027" s="18"/>
      <c r="HB1027" s="18"/>
      <c r="HC1027" s="18"/>
      <c r="HD1027" s="18"/>
      <c r="HE1027" s="18"/>
      <c r="HF1027" s="18"/>
      <c r="HG1027" s="13"/>
      <c r="HH1027" s="13"/>
      <c r="HI1027" s="13"/>
      <c r="HJ1027" s="13"/>
      <c r="HK1027" s="13"/>
      <c r="HL1027" s="13"/>
      <c r="HM1027" s="13"/>
      <c r="HN1027" s="13"/>
      <c r="HO1027" s="13"/>
      <c r="HP1027" s="13"/>
      <c r="HQ1027" s="13"/>
      <c r="HR1027" s="13"/>
      <c r="HS1027" s="13"/>
      <c r="HT1027" s="13"/>
      <c r="HU1027" s="18"/>
      <c r="HV1027" s="18"/>
      <c r="HW1027" s="18"/>
      <c r="HX1027" s="18"/>
      <c r="HY1027" s="18"/>
      <c r="HZ1027" s="18"/>
      <c r="IA1027" s="18"/>
      <c r="IB1027" s="18"/>
      <c r="IC1027" s="18"/>
      <c r="ID1027" s="18"/>
      <c r="IE1027" s="18"/>
      <c r="IF1027" s="18"/>
      <c r="IG1027" s="18"/>
      <c r="IH1027" s="18"/>
      <c r="II1027" s="18"/>
      <c r="IJ1027" s="18"/>
      <c r="IK1027" s="18"/>
      <c r="IL1027" s="18"/>
      <c r="IM1027" s="18"/>
      <c r="IN1027" s="18"/>
      <c r="IO1027" s="18"/>
      <c r="IP1027" s="18"/>
      <c r="IQ1027" s="18"/>
      <c r="IR1027" s="18"/>
      <c r="IS1027" s="18"/>
      <c r="IT1027" s="18"/>
      <c r="IU1027" s="18"/>
      <c r="IV1027" s="18"/>
      <c r="IW1027" s="18"/>
      <c r="IX1027" s="18"/>
      <c r="IY1027" s="18"/>
      <c r="IZ1027" s="18"/>
      <c r="JA1027" s="18"/>
      <c r="JB1027" s="18"/>
      <c r="JC1027" s="18"/>
      <c r="JD1027" s="18"/>
      <c r="JE1027" s="18"/>
      <c r="JF1027" s="18"/>
      <c r="JG1027" s="18"/>
      <c r="JH1027" s="18"/>
      <c r="JI1027" s="18"/>
      <c r="JJ1027" s="18"/>
      <c r="JK1027" s="18"/>
      <c r="JL1027" s="18"/>
      <c r="JM1027" s="18"/>
      <c r="JN1027" s="18"/>
      <c r="JO1027" s="18"/>
      <c r="JP1027" s="18"/>
      <c r="JQ1027" s="18"/>
      <c r="JR1027" s="18"/>
      <c r="JS1027" s="18"/>
      <c r="JT1027" s="18"/>
      <c r="JU1027" s="18"/>
      <c r="JV1027" s="18"/>
      <c r="JW1027" s="18"/>
      <c r="JX1027" s="18"/>
      <c r="JY1027" s="18"/>
      <c r="JZ1027" s="18"/>
      <c r="KA1027" s="18"/>
      <c r="KB1027" s="18"/>
      <c r="KC1027" s="18"/>
      <c r="KD1027" s="18"/>
      <c r="KE1027" s="18"/>
      <c r="KF1027" s="18"/>
      <c r="KG1027" s="18"/>
      <c r="KH1027" s="18"/>
      <c r="KI1027" s="18"/>
      <c r="KJ1027" s="18"/>
      <c r="KK1027" s="18"/>
      <c r="KL1027" s="18"/>
      <c r="KM1027" s="18"/>
      <c r="KN1027" s="18"/>
      <c r="KO1027" s="18"/>
      <c r="KP1027" s="18"/>
    </row>
    <row r="1028" spans="1:302">
      <c r="A1028" s="14"/>
      <c r="B1028" s="14"/>
      <c r="F1028" s="14"/>
      <c r="G1028" s="23"/>
      <c r="H1028" s="23"/>
      <c r="I1028" s="23"/>
      <c r="J1028" s="23"/>
      <c r="K1028" s="14"/>
      <c r="L1028" s="14"/>
      <c r="P1028" s="14"/>
      <c r="AG1028" s="44"/>
      <c r="AH1028" s="44"/>
      <c r="AI1028" s="45"/>
      <c r="AJ1028" s="44"/>
      <c r="AK1028" s="43"/>
      <c r="AS1028" s="14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  <c r="EW1028" s="18"/>
      <c r="EX1028" s="18"/>
      <c r="EY1028" s="18"/>
      <c r="EZ1028" s="18"/>
      <c r="FA1028" s="18"/>
      <c r="FB1028" s="18"/>
      <c r="FC1028" s="18"/>
      <c r="FD1028" s="18"/>
      <c r="FE1028" s="18"/>
      <c r="FF1028" s="18"/>
      <c r="FG1028" s="18"/>
      <c r="FH1028" s="18"/>
      <c r="FI1028" s="18"/>
      <c r="FJ1028" s="18"/>
      <c r="FK1028" s="18"/>
      <c r="FL1028" s="18"/>
      <c r="FM1028" s="18"/>
      <c r="FN1028" s="18"/>
      <c r="FO1028" s="18"/>
      <c r="FP1028" s="18"/>
      <c r="FQ1028" s="18"/>
      <c r="FR1028" s="18"/>
      <c r="FS1028" s="18"/>
      <c r="FT1028" s="18"/>
      <c r="FU1028" s="18"/>
      <c r="FV1028" s="18"/>
      <c r="FW1028" s="18"/>
      <c r="FX1028" s="18"/>
      <c r="FY1028" s="18"/>
      <c r="FZ1028" s="18"/>
      <c r="GA1028" s="18"/>
      <c r="GB1028" s="18"/>
      <c r="GC1028" s="18"/>
      <c r="GD1028" s="18"/>
      <c r="GE1028" s="18"/>
      <c r="GF1028" s="18"/>
      <c r="GG1028" s="18"/>
      <c r="GH1028" s="18"/>
      <c r="GI1028" s="18"/>
      <c r="GJ1028" s="18"/>
      <c r="GK1028" s="18"/>
      <c r="GL1028" s="18"/>
      <c r="GM1028" s="18"/>
      <c r="GN1028" s="18"/>
      <c r="GO1028" s="18"/>
      <c r="GP1028" s="18"/>
      <c r="GQ1028" s="18"/>
      <c r="GR1028" s="18"/>
      <c r="GS1028" s="18"/>
      <c r="GT1028" s="18"/>
      <c r="GU1028" s="18"/>
      <c r="GV1028" s="18"/>
      <c r="GW1028" s="18"/>
      <c r="GX1028" s="18"/>
      <c r="GY1028" s="18"/>
      <c r="GZ1028" s="18"/>
      <c r="HA1028" s="18"/>
      <c r="HB1028" s="18"/>
      <c r="HC1028" s="18"/>
      <c r="HD1028" s="18"/>
      <c r="HE1028" s="18"/>
      <c r="HF1028" s="18"/>
      <c r="HG1028" s="13"/>
      <c r="HH1028" s="13"/>
      <c r="HI1028" s="13"/>
      <c r="HJ1028" s="13"/>
      <c r="HK1028" s="13"/>
      <c r="HL1028" s="13"/>
      <c r="HM1028" s="13"/>
      <c r="HN1028" s="13"/>
      <c r="HO1028" s="13"/>
      <c r="HP1028" s="13"/>
      <c r="HQ1028" s="13"/>
      <c r="HR1028" s="13"/>
      <c r="HS1028" s="13"/>
      <c r="HT1028" s="13"/>
      <c r="HU1028" s="18"/>
      <c r="HV1028" s="18"/>
      <c r="HW1028" s="18"/>
      <c r="HX1028" s="18"/>
      <c r="HY1028" s="18"/>
      <c r="HZ1028" s="18"/>
      <c r="IA1028" s="18"/>
      <c r="IB1028" s="18"/>
      <c r="IC1028" s="18"/>
      <c r="ID1028" s="18"/>
      <c r="IE1028" s="18"/>
      <c r="IF1028" s="18"/>
      <c r="IG1028" s="18"/>
      <c r="IH1028" s="18"/>
      <c r="II1028" s="18"/>
      <c r="IJ1028" s="18"/>
      <c r="IK1028" s="18"/>
      <c r="IL1028" s="18"/>
      <c r="IM1028" s="18"/>
      <c r="IN1028" s="18"/>
      <c r="IO1028" s="18"/>
      <c r="IP1028" s="18"/>
      <c r="IQ1028" s="18"/>
      <c r="IR1028" s="18"/>
      <c r="IS1028" s="18"/>
      <c r="IT1028" s="18"/>
      <c r="IU1028" s="18"/>
      <c r="IV1028" s="18"/>
      <c r="IW1028" s="18"/>
      <c r="IX1028" s="18"/>
      <c r="IY1028" s="18"/>
      <c r="IZ1028" s="18"/>
      <c r="JA1028" s="18"/>
      <c r="JB1028" s="18"/>
      <c r="JC1028" s="18"/>
      <c r="JD1028" s="18"/>
      <c r="JE1028" s="18"/>
      <c r="JF1028" s="18"/>
      <c r="JG1028" s="18"/>
      <c r="JH1028" s="18"/>
      <c r="JI1028" s="18"/>
      <c r="JJ1028" s="18"/>
      <c r="JK1028" s="18"/>
      <c r="JL1028" s="18"/>
      <c r="JM1028" s="18"/>
      <c r="JN1028" s="18"/>
      <c r="JO1028" s="18"/>
      <c r="JP1028" s="18"/>
      <c r="JQ1028" s="18"/>
      <c r="JR1028" s="18"/>
      <c r="JS1028" s="18"/>
      <c r="JT1028" s="18"/>
      <c r="JU1028" s="18"/>
      <c r="JV1028" s="18"/>
      <c r="JW1028" s="18"/>
      <c r="JX1028" s="18"/>
      <c r="JY1028" s="18"/>
      <c r="JZ1028" s="18"/>
      <c r="KA1028" s="18"/>
      <c r="KB1028" s="18"/>
      <c r="KC1028" s="18"/>
      <c r="KD1028" s="18"/>
      <c r="KE1028" s="18"/>
      <c r="KF1028" s="18"/>
      <c r="KG1028" s="18"/>
      <c r="KH1028" s="18"/>
      <c r="KI1028" s="18"/>
      <c r="KJ1028" s="18"/>
      <c r="KK1028" s="18"/>
      <c r="KL1028" s="18"/>
      <c r="KM1028" s="18"/>
      <c r="KN1028" s="18"/>
      <c r="KO1028" s="18"/>
      <c r="KP1028" s="18"/>
    </row>
    <row r="1029" spans="1:302">
      <c r="A1029" s="14"/>
      <c r="B1029" s="14"/>
      <c r="F1029" s="14"/>
      <c r="G1029" s="23"/>
      <c r="H1029" s="23"/>
      <c r="I1029" s="23"/>
      <c r="J1029" s="23"/>
      <c r="K1029" s="14"/>
      <c r="L1029" s="14"/>
      <c r="P1029" s="14"/>
      <c r="AG1029" s="44"/>
      <c r="AH1029" s="44"/>
      <c r="AI1029" s="45"/>
      <c r="AJ1029" s="44"/>
      <c r="AK1029" s="43"/>
      <c r="AS1029" s="14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  <c r="EW1029" s="18"/>
      <c r="EX1029" s="18"/>
      <c r="EY1029" s="18"/>
      <c r="EZ1029" s="18"/>
      <c r="FA1029" s="18"/>
      <c r="FB1029" s="18"/>
      <c r="FC1029" s="18"/>
      <c r="FD1029" s="18"/>
      <c r="FE1029" s="18"/>
      <c r="FF1029" s="18"/>
      <c r="FG1029" s="18"/>
      <c r="FH1029" s="18"/>
      <c r="FI1029" s="18"/>
      <c r="FJ1029" s="18"/>
      <c r="FK1029" s="18"/>
      <c r="FL1029" s="18"/>
      <c r="FM1029" s="18"/>
      <c r="FN1029" s="18"/>
      <c r="FO1029" s="18"/>
      <c r="FP1029" s="18"/>
      <c r="FQ1029" s="18"/>
      <c r="FR1029" s="18"/>
      <c r="FS1029" s="18"/>
      <c r="FT1029" s="18"/>
      <c r="FU1029" s="18"/>
      <c r="FV1029" s="18"/>
      <c r="FW1029" s="18"/>
      <c r="FX1029" s="18"/>
      <c r="FY1029" s="18"/>
      <c r="FZ1029" s="18"/>
      <c r="GA1029" s="18"/>
      <c r="GB1029" s="18"/>
      <c r="GC1029" s="18"/>
      <c r="GD1029" s="18"/>
      <c r="GE1029" s="18"/>
      <c r="GF1029" s="18"/>
      <c r="GG1029" s="18"/>
      <c r="GH1029" s="18"/>
      <c r="GI1029" s="18"/>
      <c r="GJ1029" s="18"/>
      <c r="GK1029" s="18"/>
      <c r="GL1029" s="18"/>
      <c r="GM1029" s="18"/>
      <c r="GN1029" s="18"/>
      <c r="GO1029" s="18"/>
      <c r="GP1029" s="18"/>
      <c r="GQ1029" s="18"/>
      <c r="GR1029" s="18"/>
      <c r="GS1029" s="18"/>
      <c r="GT1029" s="18"/>
      <c r="GU1029" s="18"/>
      <c r="GV1029" s="18"/>
      <c r="GW1029" s="18"/>
      <c r="GX1029" s="18"/>
      <c r="GY1029" s="18"/>
      <c r="GZ1029" s="18"/>
      <c r="HA1029" s="18"/>
      <c r="HB1029" s="18"/>
      <c r="HC1029" s="18"/>
      <c r="HD1029" s="18"/>
      <c r="HE1029" s="18"/>
      <c r="HF1029" s="18"/>
      <c r="HG1029" s="13"/>
      <c r="HH1029" s="13"/>
      <c r="HI1029" s="13"/>
      <c r="HJ1029" s="13"/>
      <c r="HK1029" s="13"/>
      <c r="HL1029" s="13"/>
      <c r="HM1029" s="13"/>
      <c r="HN1029" s="13"/>
      <c r="HO1029" s="13"/>
      <c r="HP1029" s="13"/>
      <c r="HQ1029" s="13"/>
      <c r="HR1029" s="13"/>
      <c r="HS1029" s="13"/>
      <c r="HT1029" s="13"/>
      <c r="HU1029" s="18"/>
      <c r="HV1029" s="18"/>
      <c r="HW1029" s="18"/>
      <c r="HX1029" s="18"/>
      <c r="HY1029" s="18"/>
      <c r="HZ1029" s="18"/>
      <c r="IA1029" s="18"/>
      <c r="IB1029" s="18"/>
      <c r="IC1029" s="18"/>
      <c r="ID1029" s="18"/>
      <c r="IE1029" s="18"/>
      <c r="IF1029" s="18"/>
      <c r="IG1029" s="18"/>
      <c r="IH1029" s="18"/>
      <c r="II1029" s="18"/>
      <c r="IJ1029" s="18"/>
      <c r="IK1029" s="18"/>
      <c r="IL1029" s="18"/>
      <c r="IM1029" s="18"/>
      <c r="IN1029" s="18"/>
      <c r="IO1029" s="18"/>
      <c r="IP1029" s="18"/>
      <c r="IQ1029" s="18"/>
      <c r="IR1029" s="18"/>
      <c r="IS1029" s="18"/>
      <c r="IT1029" s="18"/>
      <c r="IU1029" s="18"/>
      <c r="IV1029" s="18"/>
      <c r="IW1029" s="18"/>
      <c r="IX1029" s="18"/>
      <c r="IY1029" s="18"/>
      <c r="IZ1029" s="18"/>
      <c r="JA1029" s="18"/>
      <c r="JB1029" s="18"/>
      <c r="JC1029" s="18"/>
      <c r="JD1029" s="18"/>
      <c r="JE1029" s="18"/>
      <c r="JF1029" s="18"/>
      <c r="JG1029" s="18"/>
      <c r="JH1029" s="18"/>
      <c r="JI1029" s="18"/>
      <c r="JJ1029" s="18"/>
      <c r="JK1029" s="18"/>
      <c r="JL1029" s="18"/>
      <c r="JM1029" s="18"/>
      <c r="JN1029" s="18"/>
      <c r="JO1029" s="18"/>
      <c r="JP1029" s="18"/>
      <c r="JQ1029" s="18"/>
      <c r="JR1029" s="18"/>
      <c r="JS1029" s="18"/>
      <c r="JT1029" s="18"/>
      <c r="JU1029" s="18"/>
      <c r="JV1029" s="18"/>
      <c r="JW1029" s="18"/>
      <c r="JX1029" s="18"/>
      <c r="JY1029" s="18"/>
      <c r="JZ1029" s="18"/>
      <c r="KA1029" s="18"/>
      <c r="KB1029" s="18"/>
      <c r="KC1029" s="18"/>
      <c r="KD1029" s="18"/>
      <c r="KE1029" s="18"/>
      <c r="KF1029" s="18"/>
      <c r="KG1029" s="18"/>
      <c r="KH1029" s="18"/>
      <c r="KI1029" s="18"/>
      <c r="KJ1029" s="18"/>
      <c r="KK1029" s="18"/>
      <c r="KL1029" s="18"/>
      <c r="KM1029" s="18"/>
      <c r="KN1029" s="18"/>
      <c r="KO1029" s="18"/>
      <c r="KP1029" s="18"/>
    </row>
    <row r="1030" spans="1:302">
      <c r="A1030" s="14"/>
      <c r="B1030" s="14"/>
      <c r="F1030" s="14"/>
      <c r="G1030" s="23"/>
      <c r="H1030" s="23"/>
      <c r="I1030" s="23"/>
      <c r="J1030" s="23"/>
      <c r="K1030" s="14"/>
      <c r="L1030" s="14"/>
      <c r="P1030" s="14"/>
      <c r="AG1030" s="44"/>
      <c r="AH1030" s="44"/>
      <c r="AI1030" s="45"/>
      <c r="AJ1030" s="44"/>
      <c r="AK1030" s="43"/>
      <c r="AS1030" s="14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  <c r="EW1030" s="18"/>
      <c r="EX1030" s="18"/>
      <c r="EY1030" s="18"/>
      <c r="EZ1030" s="18"/>
      <c r="FA1030" s="18"/>
      <c r="FB1030" s="18"/>
      <c r="FC1030" s="18"/>
      <c r="FD1030" s="18"/>
      <c r="FE1030" s="18"/>
      <c r="FF1030" s="18"/>
      <c r="FG1030" s="18"/>
      <c r="FH1030" s="18"/>
      <c r="FI1030" s="18"/>
      <c r="FJ1030" s="18"/>
      <c r="FK1030" s="18"/>
      <c r="FL1030" s="18"/>
      <c r="FM1030" s="18"/>
      <c r="FN1030" s="18"/>
      <c r="FO1030" s="18"/>
      <c r="FP1030" s="18"/>
      <c r="FQ1030" s="18"/>
      <c r="FR1030" s="18"/>
      <c r="FS1030" s="18"/>
      <c r="FT1030" s="18"/>
      <c r="FU1030" s="18"/>
      <c r="FV1030" s="18"/>
      <c r="FW1030" s="18"/>
      <c r="FX1030" s="18"/>
      <c r="FY1030" s="18"/>
      <c r="FZ1030" s="18"/>
      <c r="GA1030" s="18"/>
      <c r="GB1030" s="18"/>
      <c r="GC1030" s="18"/>
      <c r="GD1030" s="18"/>
      <c r="GE1030" s="18"/>
      <c r="GF1030" s="18"/>
      <c r="GG1030" s="18"/>
      <c r="GH1030" s="18"/>
      <c r="GI1030" s="18"/>
      <c r="GJ1030" s="18"/>
      <c r="GK1030" s="18"/>
      <c r="GL1030" s="18"/>
      <c r="GM1030" s="18"/>
      <c r="GN1030" s="18"/>
      <c r="GO1030" s="18"/>
      <c r="GP1030" s="18"/>
      <c r="GQ1030" s="18"/>
      <c r="GR1030" s="18"/>
      <c r="GS1030" s="18"/>
      <c r="GT1030" s="18"/>
      <c r="GU1030" s="18"/>
      <c r="GV1030" s="18"/>
      <c r="GW1030" s="18"/>
      <c r="GX1030" s="18"/>
      <c r="GY1030" s="18"/>
      <c r="GZ1030" s="18"/>
      <c r="HA1030" s="18"/>
      <c r="HB1030" s="18"/>
      <c r="HC1030" s="18"/>
      <c r="HD1030" s="18"/>
      <c r="HE1030" s="18"/>
      <c r="HF1030" s="18"/>
      <c r="HG1030" s="13"/>
      <c r="HH1030" s="13"/>
      <c r="HI1030" s="13"/>
      <c r="HJ1030" s="13"/>
      <c r="HK1030" s="13"/>
      <c r="HL1030" s="13"/>
      <c r="HM1030" s="13"/>
      <c r="HN1030" s="13"/>
      <c r="HO1030" s="13"/>
      <c r="HP1030" s="13"/>
      <c r="HQ1030" s="13"/>
      <c r="HR1030" s="13"/>
      <c r="HS1030" s="13"/>
      <c r="HT1030" s="13"/>
      <c r="HU1030" s="18"/>
      <c r="HV1030" s="18"/>
      <c r="HW1030" s="18"/>
      <c r="HX1030" s="18"/>
      <c r="HY1030" s="18"/>
      <c r="HZ1030" s="18"/>
      <c r="IA1030" s="18"/>
      <c r="IB1030" s="18"/>
      <c r="IC1030" s="18"/>
      <c r="ID1030" s="18"/>
      <c r="IE1030" s="18"/>
      <c r="IF1030" s="18"/>
      <c r="IG1030" s="18"/>
      <c r="IH1030" s="18"/>
      <c r="II1030" s="18"/>
      <c r="IJ1030" s="18"/>
      <c r="IK1030" s="18"/>
      <c r="IL1030" s="18"/>
      <c r="IM1030" s="18"/>
      <c r="IN1030" s="18"/>
      <c r="IO1030" s="18"/>
      <c r="IP1030" s="18"/>
      <c r="IQ1030" s="18"/>
      <c r="IR1030" s="18"/>
      <c r="IS1030" s="18"/>
      <c r="IT1030" s="18"/>
      <c r="IU1030" s="18"/>
      <c r="IV1030" s="18"/>
      <c r="IW1030" s="18"/>
      <c r="IX1030" s="18"/>
      <c r="IY1030" s="18"/>
      <c r="IZ1030" s="18"/>
      <c r="JA1030" s="18"/>
      <c r="JB1030" s="18"/>
      <c r="JC1030" s="18"/>
      <c r="JD1030" s="18"/>
      <c r="JE1030" s="18"/>
      <c r="JF1030" s="18"/>
      <c r="JG1030" s="18"/>
      <c r="JH1030" s="18"/>
      <c r="JI1030" s="18"/>
      <c r="JJ1030" s="18"/>
      <c r="JK1030" s="18"/>
      <c r="JL1030" s="18"/>
      <c r="JM1030" s="18"/>
      <c r="JN1030" s="18"/>
      <c r="JO1030" s="18"/>
      <c r="JP1030" s="18"/>
      <c r="JQ1030" s="18"/>
      <c r="JR1030" s="18"/>
      <c r="JS1030" s="18"/>
      <c r="JT1030" s="18"/>
      <c r="JU1030" s="18"/>
      <c r="JV1030" s="18"/>
      <c r="JW1030" s="18"/>
      <c r="JX1030" s="18"/>
      <c r="JY1030" s="18"/>
      <c r="JZ1030" s="18"/>
      <c r="KA1030" s="18"/>
      <c r="KB1030" s="18"/>
      <c r="KC1030" s="18"/>
      <c r="KD1030" s="18"/>
      <c r="KE1030" s="18"/>
      <c r="KF1030" s="18"/>
      <c r="KG1030" s="18"/>
      <c r="KH1030" s="18"/>
      <c r="KI1030" s="18"/>
      <c r="KJ1030" s="18"/>
      <c r="KK1030" s="18"/>
      <c r="KL1030" s="18"/>
      <c r="KM1030" s="18"/>
      <c r="KN1030" s="18"/>
      <c r="KO1030" s="18"/>
      <c r="KP1030" s="18"/>
    </row>
    <row r="1031" spans="1:302">
      <c r="A1031" s="14"/>
      <c r="B1031" s="14"/>
      <c r="F1031" s="14"/>
      <c r="G1031" s="23"/>
      <c r="H1031" s="23"/>
      <c r="I1031" s="23"/>
      <c r="J1031" s="23"/>
      <c r="K1031" s="14"/>
      <c r="L1031" s="14"/>
      <c r="P1031" s="14"/>
      <c r="AG1031" s="44"/>
      <c r="AH1031" s="44"/>
      <c r="AI1031" s="45"/>
      <c r="AJ1031" s="44"/>
      <c r="AK1031" s="43"/>
      <c r="AS1031" s="14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  <c r="EW1031" s="18"/>
      <c r="EX1031" s="18"/>
      <c r="EY1031" s="18"/>
      <c r="EZ1031" s="18"/>
      <c r="FA1031" s="18"/>
      <c r="FB1031" s="18"/>
      <c r="FC1031" s="18"/>
      <c r="FD1031" s="18"/>
      <c r="FE1031" s="18"/>
      <c r="FF1031" s="18"/>
      <c r="FG1031" s="18"/>
      <c r="FH1031" s="18"/>
      <c r="FI1031" s="18"/>
      <c r="FJ1031" s="18"/>
      <c r="FK1031" s="18"/>
      <c r="FL1031" s="18"/>
      <c r="FM1031" s="18"/>
      <c r="FN1031" s="18"/>
      <c r="FO1031" s="18"/>
      <c r="FP1031" s="18"/>
      <c r="FQ1031" s="18"/>
      <c r="FR1031" s="18"/>
      <c r="FS1031" s="18"/>
      <c r="FT1031" s="18"/>
      <c r="FU1031" s="18"/>
      <c r="FV1031" s="18"/>
      <c r="FW1031" s="18"/>
      <c r="FX1031" s="18"/>
      <c r="FY1031" s="18"/>
      <c r="FZ1031" s="18"/>
      <c r="GA1031" s="18"/>
      <c r="GB1031" s="18"/>
      <c r="GC1031" s="18"/>
      <c r="GD1031" s="18"/>
      <c r="GE1031" s="18"/>
      <c r="GF1031" s="18"/>
      <c r="GG1031" s="18"/>
      <c r="GH1031" s="18"/>
      <c r="GI1031" s="18"/>
      <c r="GJ1031" s="18"/>
      <c r="GK1031" s="18"/>
      <c r="GL1031" s="18"/>
      <c r="GM1031" s="18"/>
      <c r="GN1031" s="18"/>
      <c r="GO1031" s="18"/>
      <c r="GP1031" s="18"/>
      <c r="GQ1031" s="18"/>
      <c r="GR1031" s="18"/>
      <c r="GS1031" s="18"/>
      <c r="GT1031" s="18"/>
      <c r="GU1031" s="18"/>
      <c r="GV1031" s="18"/>
      <c r="GW1031" s="18"/>
      <c r="GX1031" s="18"/>
      <c r="GY1031" s="18"/>
      <c r="GZ1031" s="18"/>
      <c r="HA1031" s="18"/>
      <c r="HB1031" s="18"/>
      <c r="HC1031" s="18"/>
      <c r="HD1031" s="18"/>
      <c r="HE1031" s="18"/>
      <c r="HF1031" s="18"/>
      <c r="HG1031" s="13"/>
      <c r="HH1031" s="13"/>
      <c r="HI1031" s="13"/>
      <c r="HJ1031" s="13"/>
      <c r="HK1031" s="13"/>
      <c r="HL1031" s="13"/>
      <c r="HM1031" s="13"/>
      <c r="HN1031" s="13"/>
      <c r="HO1031" s="13"/>
      <c r="HP1031" s="13"/>
      <c r="HQ1031" s="13"/>
      <c r="HR1031" s="13"/>
      <c r="HS1031" s="13"/>
      <c r="HT1031" s="13"/>
      <c r="HU1031" s="18"/>
      <c r="HV1031" s="18"/>
      <c r="HW1031" s="18"/>
      <c r="HX1031" s="18"/>
      <c r="HY1031" s="18"/>
      <c r="HZ1031" s="18"/>
      <c r="IA1031" s="18"/>
      <c r="IB1031" s="18"/>
      <c r="IC1031" s="18"/>
      <c r="ID1031" s="18"/>
      <c r="IE1031" s="18"/>
      <c r="IF1031" s="18"/>
      <c r="IG1031" s="18"/>
      <c r="IH1031" s="18"/>
      <c r="II1031" s="18"/>
      <c r="IJ1031" s="18"/>
      <c r="IK1031" s="18"/>
      <c r="IL1031" s="18"/>
      <c r="IM1031" s="18"/>
      <c r="IN1031" s="18"/>
      <c r="IO1031" s="18"/>
      <c r="IP1031" s="18"/>
      <c r="IQ1031" s="18"/>
      <c r="IR1031" s="18"/>
      <c r="IS1031" s="18"/>
      <c r="IT1031" s="18"/>
      <c r="IU1031" s="18"/>
      <c r="IV1031" s="18"/>
      <c r="IW1031" s="18"/>
      <c r="IX1031" s="18"/>
      <c r="IY1031" s="18"/>
      <c r="IZ1031" s="18"/>
      <c r="JA1031" s="18"/>
      <c r="JB1031" s="18"/>
      <c r="JC1031" s="18"/>
      <c r="JD1031" s="18"/>
      <c r="JE1031" s="18"/>
      <c r="JF1031" s="18"/>
      <c r="JG1031" s="18"/>
      <c r="JH1031" s="18"/>
      <c r="JI1031" s="18"/>
      <c r="JJ1031" s="18"/>
      <c r="JK1031" s="18"/>
      <c r="JL1031" s="18"/>
      <c r="JM1031" s="18"/>
      <c r="JN1031" s="18"/>
      <c r="JO1031" s="18"/>
      <c r="JP1031" s="18"/>
      <c r="JQ1031" s="18"/>
      <c r="JR1031" s="18"/>
      <c r="JS1031" s="18"/>
      <c r="JT1031" s="18"/>
      <c r="JU1031" s="18"/>
      <c r="JV1031" s="18"/>
      <c r="JW1031" s="18"/>
      <c r="JX1031" s="18"/>
      <c r="JY1031" s="18"/>
      <c r="JZ1031" s="18"/>
      <c r="KA1031" s="18"/>
      <c r="KB1031" s="18"/>
      <c r="KC1031" s="18"/>
      <c r="KD1031" s="18"/>
      <c r="KE1031" s="18"/>
      <c r="KF1031" s="18"/>
      <c r="KG1031" s="18"/>
      <c r="KH1031" s="18"/>
      <c r="KI1031" s="18"/>
      <c r="KJ1031" s="18"/>
      <c r="KK1031" s="18"/>
      <c r="KL1031" s="18"/>
      <c r="KM1031" s="18"/>
      <c r="KN1031" s="18"/>
      <c r="KO1031" s="18"/>
      <c r="KP1031" s="18"/>
    </row>
    <row r="1032" spans="1:302">
      <c r="A1032" s="14"/>
      <c r="B1032" s="14"/>
      <c r="F1032" s="14"/>
      <c r="G1032" s="23"/>
      <c r="H1032" s="23"/>
      <c r="I1032" s="23"/>
      <c r="J1032" s="23"/>
      <c r="K1032" s="14"/>
      <c r="L1032" s="14"/>
      <c r="P1032" s="14"/>
      <c r="AG1032" s="44"/>
      <c r="AH1032" s="44"/>
      <c r="AI1032" s="45"/>
      <c r="AJ1032" s="44"/>
      <c r="AK1032" s="43"/>
      <c r="AS1032" s="14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  <c r="EW1032" s="18"/>
      <c r="EX1032" s="18"/>
      <c r="EY1032" s="18"/>
      <c r="EZ1032" s="18"/>
      <c r="FA1032" s="18"/>
      <c r="FB1032" s="18"/>
      <c r="FC1032" s="18"/>
      <c r="FD1032" s="18"/>
      <c r="FE1032" s="18"/>
      <c r="FF1032" s="18"/>
      <c r="FG1032" s="18"/>
      <c r="FH1032" s="18"/>
      <c r="FI1032" s="18"/>
      <c r="FJ1032" s="18"/>
      <c r="FK1032" s="18"/>
      <c r="FL1032" s="18"/>
      <c r="FM1032" s="18"/>
      <c r="FN1032" s="18"/>
      <c r="FO1032" s="18"/>
      <c r="FP1032" s="18"/>
      <c r="FQ1032" s="18"/>
      <c r="FR1032" s="18"/>
      <c r="FS1032" s="18"/>
      <c r="FT1032" s="18"/>
      <c r="FU1032" s="18"/>
      <c r="FV1032" s="18"/>
      <c r="FW1032" s="18"/>
      <c r="FX1032" s="18"/>
      <c r="FY1032" s="18"/>
      <c r="FZ1032" s="18"/>
      <c r="GA1032" s="18"/>
      <c r="GB1032" s="18"/>
      <c r="GC1032" s="18"/>
      <c r="GD1032" s="18"/>
      <c r="GE1032" s="18"/>
      <c r="GF1032" s="18"/>
      <c r="GG1032" s="18"/>
      <c r="GH1032" s="18"/>
      <c r="GI1032" s="18"/>
      <c r="GJ1032" s="18"/>
      <c r="GK1032" s="18"/>
      <c r="GL1032" s="18"/>
      <c r="GM1032" s="18"/>
      <c r="GN1032" s="18"/>
      <c r="GO1032" s="18"/>
      <c r="GP1032" s="18"/>
      <c r="GQ1032" s="18"/>
      <c r="GR1032" s="18"/>
      <c r="GS1032" s="18"/>
      <c r="GT1032" s="18"/>
      <c r="GU1032" s="18"/>
      <c r="GV1032" s="18"/>
      <c r="GW1032" s="18"/>
      <c r="GX1032" s="18"/>
      <c r="GY1032" s="18"/>
      <c r="GZ1032" s="18"/>
      <c r="HA1032" s="18"/>
      <c r="HB1032" s="18"/>
      <c r="HC1032" s="18"/>
      <c r="HD1032" s="18"/>
      <c r="HE1032" s="18"/>
      <c r="HF1032" s="18"/>
      <c r="HG1032" s="13"/>
      <c r="HH1032" s="13"/>
      <c r="HI1032" s="13"/>
      <c r="HJ1032" s="13"/>
      <c r="HK1032" s="13"/>
      <c r="HL1032" s="13"/>
      <c r="HM1032" s="13"/>
      <c r="HN1032" s="13"/>
      <c r="HO1032" s="13"/>
      <c r="HP1032" s="13"/>
      <c r="HQ1032" s="13"/>
      <c r="HR1032" s="13"/>
      <c r="HS1032" s="13"/>
      <c r="HT1032" s="13"/>
      <c r="HU1032" s="18"/>
      <c r="HV1032" s="18"/>
      <c r="HW1032" s="18"/>
      <c r="HX1032" s="18"/>
      <c r="HY1032" s="18"/>
      <c r="HZ1032" s="18"/>
      <c r="IA1032" s="18"/>
      <c r="IB1032" s="18"/>
      <c r="IC1032" s="18"/>
      <c r="ID1032" s="18"/>
      <c r="IE1032" s="18"/>
      <c r="IF1032" s="18"/>
      <c r="IG1032" s="18"/>
      <c r="IH1032" s="18"/>
      <c r="II1032" s="18"/>
      <c r="IJ1032" s="18"/>
      <c r="IK1032" s="18"/>
      <c r="IL1032" s="18"/>
      <c r="IM1032" s="18"/>
      <c r="IN1032" s="18"/>
      <c r="IO1032" s="18"/>
      <c r="IP1032" s="18"/>
      <c r="IQ1032" s="18"/>
      <c r="IR1032" s="18"/>
      <c r="IS1032" s="18"/>
      <c r="IT1032" s="18"/>
      <c r="IU1032" s="18"/>
      <c r="IV1032" s="18"/>
      <c r="IW1032" s="18"/>
      <c r="IX1032" s="18"/>
      <c r="IY1032" s="18"/>
      <c r="IZ1032" s="18"/>
      <c r="JA1032" s="18"/>
      <c r="JB1032" s="18"/>
      <c r="JC1032" s="18"/>
      <c r="JD1032" s="18"/>
      <c r="JE1032" s="18"/>
      <c r="JF1032" s="18"/>
      <c r="JG1032" s="18"/>
      <c r="JH1032" s="18"/>
      <c r="JI1032" s="18"/>
      <c r="JJ1032" s="18"/>
      <c r="JK1032" s="18"/>
      <c r="JL1032" s="18"/>
      <c r="JM1032" s="18"/>
      <c r="JN1032" s="18"/>
      <c r="JO1032" s="18"/>
      <c r="JP1032" s="18"/>
      <c r="JQ1032" s="18"/>
      <c r="JR1032" s="18"/>
      <c r="JS1032" s="18"/>
      <c r="JT1032" s="18"/>
      <c r="JU1032" s="18"/>
      <c r="JV1032" s="18"/>
      <c r="JW1032" s="18"/>
      <c r="JX1032" s="18"/>
      <c r="JY1032" s="18"/>
      <c r="JZ1032" s="18"/>
      <c r="KA1032" s="18"/>
      <c r="KB1032" s="18"/>
      <c r="KC1032" s="18"/>
      <c r="KD1032" s="18"/>
      <c r="KE1032" s="18"/>
      <c r="KF1032" s="18"/>
      <c r="KG1032" s="18"/>
      <c r="KH1032" s="18"/>
      <c r="KI1032" s="18"/>
      <c r="KJ1032" s="18"/>
      <c r="KK1032" s="18"/>
      <c r="KL1032" s="18"/>
      <c r="KM1032" s="18"/>
      <c r="KN1032" s="18"/>
      <c r="KO1032" s="18"/>
      <c r="KP1032" s="18"/>
    </row>
    <row r="1033" spans="1:302">
      <c r="A1033" s="14"/>
      <c r="B1033" s="14"/>
      <c r="F1033" s="14"/>
      <c r="G1033" s="23"/>
      <c r="H1033" s="23"/>
      <c r="I1033" s="23"/>
      <c r="J1033" s="23"/>
      <c r="K1033" s="14"/>
      <c r="L1033" s="14"/>
      <c r="P1033" s="14"/>
      <c r="AG1033" s="44"/>
      <c r="AH1033" s="44"/>
      <c r="AI1033" s="45"/>
      <c r="AJ1033" s="44"/>
      <c r="AK1033" s="43"/>
      <c r="AS1033" s="14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  <c r="EW1033" s="18"/>
      <c r="EX1033" s="18"/>
      <c r="EY1033" s="18"/>
      <c r="EZ1033" s="18"/>
      <c r="FA1033" s="18"/>
      <c r="FB1033" s="18"/>
      <c r="FC1033" s="18"/>
      <c r="FD1033" s="18"/>
      <c r="FE1033" s="18"/>
      <c r="FF1033" s="18"/>
      <c r="FG1033" s="18"/>
      <c r="FH1033" s="18"/>
      <c r="FI1033" s="18"/>
      <c r="FJ1033" s="18"/>
      <c r="FK1033" s="18"/>
      <c r="FL1033" s="18"/>
      <c r="FM1033" s="18"/>
      <c r="FN1033" s="18"/>
      <c r="FO1033" s="18"/>
      <c r="FP1033" s="18"/>
      <c r="FQ1033" s="18"/>
      <c r="FR1033" s="18"/>
      <c r="FS1033" s="18"/>
      <c r="FT1033" s="18"/>
      <c r="FU1033" s="18"/>
      <c r="FV1033" s="18"/>
      <c r="FW1033" s="18"/>
      <c r="FX1033" s="18"/>
      <c r="FY1033" s="18"/>
      <c r="FZ1033" s="18"/>
      <c r="GA1033" s="18"/>
      <c r="GB1033" s="18"/>
      <c r="GC1033" s="18"/>
      <c r="GD1033" s="18"/>
      <c r="GE1033" s="18"/>
      <c r="GF1033" s="18"/>
      <c r="GG1033" s="18"/>
      <c r="GH1033" s="18"/>
      <c r="GI1033" s="18"/>
      <c r="GJ1033" s="18"/>
      <c r="GK1033" s="18"/>
      <c r="GL1033" s="18"/>
      <c r="GM1033" s="18"/>
      <c r="GN1033" s="18"/>
      <c r="GO1033" s="18"/>
      <c r="GP1033" s="18"/>
      <c r="GQ1033" s="18"/>
      <c r="GR1033" s="18"/>
      <c r="GS1033" s="18"/>
      <c r="GT1033" s="18"/>
      <c r="GU1033" s="18"/>
      <c r="GV1033" s="18"/>
      <c r="GW1033" s="18"/>
      <c r="GX1033" s="18"/>
      <c r="GY1033" s="18"/>
      <c r="GZ1033" s="18"/>
      <c r="HA1033" s="18"/>
      <c r="HB1033" s="18"/>
      <c r="HC1033" s="18"/>
      <c r="HD1033" s="18"/>
      <c r="HE1033" s="18"/>
      <c r="HF1033" s="18"/>
      <c r="HG1033" s="13"/>
      <c r="HH1033" s="13"/>
      <c r="HI1033" s="13"/>
      <c r="HJ1033" s="13"/>
      <c r="HK1033" s="13"/>
      <c r="HL1033" s="13"/>
      <c r="HM1033" s="13"/>
      <c r="HN1033" s="13"/>
      <c r="HO1033" s="13"/>
      <c r="HP1033" s="13"/>
      <c r="HQ1033" s="13"/>
      <c r="HR1033" s="13"/>
      <c r="HS1033" s="13"/>
      <c r="HT1033" s="13"/>
      <c r="HU1033" s="18"/>
      <c r="HV1033" s="18"/>
      <c r="HW1033" s="18"/>
      <c r="HX1033" s="18"/>
      <c r="HY1033" s="18"/>
      <c r="HZ1033" s="18"/>
      <c r="IA1033" s="18"/>
      <c r="IB1033" s="18"/>
      <c r="IC1033" s="18"/>
      <c r="ID1033" s="18"/>
      <c r="IE1033" s="18"/>
      <c r="IF1033" s="18"/>
      <c r="IG1033" s="18"/>
      <c r="IH1033" s="18"/>
      <c r="II1033" s="18"/>
      <c r="IJ1033" s="18"/>
      <c r="IK1033" s="18"/>
      <c r="IL1033" s="18"/>
      <c r="IM1033" s="18"/>
      <c r="IN1033" s="18"/>
      <c r="IO1033" s="18"/>
      <c r="IP1033" s="18"/>
      <c r="IQ1033" s="18"/>
      <c r="IR1033" s="18"/>
      <c r="IS1033" s="18"/>
      <c r="IT1033" s="18"/>
      <c r="IU1033" s="18"/>
      <c r="IV1033" s="18"/>
      <c r="IW1033" s="18"/>
      <c r="IX1033" s="18"/>
      <c r="IY1033" s="18"/>
      <c r="IZ1033" s="18"/>
      <c r="JA1033" s="18"/>
      <c r="JB1033" s="18"/>
      <c r="JC1033" s="18"/>
      <c r="JD1033" s="18"/>
      <c r="JE1033" s="18"/>
      <c r="JF1033" s="18"/>
      <c r="JG1033" s="18"/>
      <c r="JH1033" s="18"/>
      <c r="JI1033" s="18"/>
      <c r="JJ1033" s="18"/>
      <c r="JK1033" s="18"/>
      <c r="JL1033" s="18"/>
      <c r="JM1033" s="18"/>
      <c r="JN1033" s="18"/>
      <c r="JO1033" s="18"/>
      <c r="JP1033" s="18"/>
      <c r="JQ1033" s="18"/>
      <c r="JR1033" s="18"/>
      <c r="JS1033" s="18"/>
      <c r="JT1033" s="18"/>
      <c r="JU1033" s="18"/>
      <c r="JV1033" s="18"/>
      <c r="JW1033" s="18"/>
      <c r="JX1033" s="18"/>
      <c r="JY1033" s="18"/>
      <c r="JZ1033" s="18"/>
      <c r="KA1033" s="18"/>
      <c r="KB1033" s="18"/>
      <c r="KC1033" s="18"/>
      <c r="KD1033" s="18"/>
      <c r="KE1033" s="18"/>
      <c r="KF1033" s="18"/>
      <c r="KG1033" s="18"/>
      <c r="KH1033" s="18"/>
      <c r="KI1033" s="18"/>
      <c r="KJ1033" s="18"/>
      <c r="KK1033" s="18"/>
      <c r="KL1033" s="18"/>
      <c r="KM1033" s="18"/>
      <c r="KN1033" s="18"/>
      <c r="KO1033" s="18"/>
      <c r="KP1033" s="18"/>
    </row>
    <row r="1034" spans="1:302">
      <c r="A1034" s="14"/>
      <c r="B1034" s="14"/>
      <c r="F1034" s="14"/>
      <c r="G1034" s="23"/>
      <c r="H1034" s="23"/>
      <c r="I1034" s="23"/>
      <c r="J1034" s="23"/>
      <c r="K1034" s="14"/>
      <c r="L1034" s="14"/>
      <c r="P1034" s="14"/>
      <c r="AG1034" s="44"/>
      <c r="AH1034" s="44"/>
      <c r="AI1034" s="45"/>
      <c r="AJ1034" s="44"/>
      <c r="AK1034" s="43"/>
      <c r="AS1034" s="14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  <c r="EW1034" s="18"/>
      <c r="EX1034" s="18"/>
      <c r="EY1034" s="18"/>
      <c r="EZ1034" s="18"/>
      <c r="FA1034" s="18"/>
      <c r="FB1034" s="18"/>
      <c r="FC1034" s="18"/>
      <c r="FD1034" s="18"/>
      <c r="FE1034" s="18"/>
      <c r="FF1034" s="18"/>
      <c r="FG1034" s="18"/>
      <c r="FH1034" s="18"/>
      <c r="FI1034" s="18"/>
      <c r="FJ1034" s="18"/>
      <c r="FK1034" s="18"/>
      <c r="FL1034" s="18"/>
      <c r="FM1034" s="18"/>
      <c r="FN1034" s="18"/>
      <c r="FO1034" s="18"/>
      <c r="FP1034" s="18"/>
      <c r="FQ1034" s="18"/>
      <c r="FR1034" s="18"/>
      <c r="FS1034" s="18"/>
      <c r="FT1034" s="18"/>
      <c r="FU1034" s="18"/>
      <c r="FV1034" s="18"/>
      <c r="FW1034" s="18"/>
      <c r="FX1034" s="18"/>
      <c r="FY1034" s="18"/>
      <c r="FZ1034" s="18"/>
      <c r="GA1034" s="18"/>
      <c r="GB1034" s="18"/>
      <c r="GC1034" s="18"/>
      <c r="GD1034" s="18"/>
      <c r="GE1034" s="18"/>
      <c r="GF1034" s="18"/>
      <c r="GG1034" s="18"/>
      <c r="GH1034" s="18"/>
      <c r="GI1034" s="18"/>
      <c r="GJ1034" s="18"/>
      <c r="GK1034" s="18"/>
      <c r="GL1034" s="18"/>
      <c r="GM1034" s="18"/>
      <c r="GN1034" s="18"/>
      <c r="GO1034" s="18"/>
      <c r="GP1034" s="18"/>
      <c r="GQ1034" s="18"/>
      <c r="GR1034" s="18"/>
      <c r="GS1034" s="18"/>
      <c r="GT1034" s="18"/>
      <c r="GU1034" s="18"/>
      <c r="GV1034" s="18"/>
      <c r="GW1034" s="18"/>
      <c r="GX1034" s="18"/>
      <c r="GY1034" s="18"/>
      <c r="GZ1034" s="18"/>
      <c r="HA1034" s="18"/>
      <c r="HB1034" s="18"/>
      <c r="HC1034" s="18"/>
      <c r="HD1034" s="18"/>
      <c r="HE1034" s="18"/>
      <c r="HF1034" s="18"/>
      <c r="HG1034" s="13"/>
      <c r="HH1034" s="13"/>
      <c r="HI1034" s="13"/>
      <c r="HJ1034" s="13"/>
      <c r="HK1034" s="13"/>
      <c r="HL1034" s="13"/>
      <c r="HM1034" s="13"/>
      <c r="HN1034" s="13"/>
      <c r="HO1034" s="13"/>
      <c r="HP1034" s="13"/>
      <c r="HQ1034" s="13"/>
      <c r="HR1034" s="13"/>
      <c r="HS1034" s="13"/>
      <c r="HT1034" s="13"/>
      <c r="HU1034" s="18"/>
      <c r="HV1034" s="18"/>
      <c r="HW1034" s="18"/>
      <c r="HX1034" s="18"/>
      <c r="HY1034" s="18"/>
      <c r="HZ1034" s="18"/>
      <c r="IA1034" s="18"/>
      <c r="IB1034" s="18"/>
      <c r="IC1034" s="18"/>
      <c r="ID1034" s="18"/>
      <c r="IE1034" s="18"/>
      <c r="IF1034" s="18"/>
      <c r="IG1034" s="18"/>
      <c r="IH1034" s="18"/>
      <c r="II1034" s="18"/>
      <c r="IJ1034" s="18"/>
      <c r="IK1034" s="18"/>
      <c r="IL1034" s="18"/>
      <c r="IM1034" s="18"/>
      <c r="IN1034" s="18"/>
      <c r="IO1034" s="18"/>
      <c r="IP1034" s="18"/>
      <c r="IQ1034" s="18"/>
      <c r="IR1034" s="18"/>
      <c r="IS1034" s="18"/>
      <c r="IT1034" s="18"/>
      <c r="IU1034" s="18"/>
      <c r="IV1034" s="18"/>
      <c r="IW1034" s="18"/>
      <c r="IX1034" s="18"/>
      <c r="IY1034" s="18"/>
      <c r="IZ1034" s="18"/>
      <c r="JA1034" s="18"/>
      <c r="JB1034" s="18"/>
      <c r="JC1034" s="18"/>
      <c r="JD1034" s="18"/>
      <c r="JE1034" s="18"/>
      <c r="JF1034" s="18"/>
      <c r="JG1034" s="18"/>
      <c r="JH1034" s="18"/>
      <c r="JI1034" s="18"/>
      <c r="JJ1034" s="18"/>
      <c r="JK1034" s="18"/>
      <c r="JL1034" s="18"/>
      <c r="JM1034" s="18"/>
      <c r="JN1034" s="18"/>
      <c r="JO1034" s="18"/>
      <c r="JP1034" s="18"/>
      <c r="JQ1034" s="18"/>
      <c r="JR1034" s="18"/>
      <c r="JS1034" s="18"/>
      <c r="JT1034" s="18"/>
      <c r="JU1034" s="18"/>
      <c r="JV1034" s="18"/>
      <c r="JW1034" s="18"/>
      <c r="JX1034" s="18"/>
      <c r="JY1034" s="18"/>
      <c r="JZ1034" s="18"/>
      <c r="KA1034" s="18"/>
      <c r="KB1034" s="18"/>
      <c r="KC1034" s="18"/>
      <c r="KD1034" s="18"/>
      <c r="KE1034" s="18"/>
      <c r="KF1034" s="18"/>
      <c r="KG1034" s="18"/>
      <c r="KH1034" s="18"/>
      <c r="KI1034" s="18"/>
      <c r="KJ1034" s="18"/>
      <c r="KK1034" s="18"/>
      <c r="KL1034" s="18"/>
      <c r="KM1034" s="18"/>
      <c r="KN1034" s="18"/>
      <c r="KO1034" s="18"/>
      <c r="KP1034" s="18"/>
    </row>
    <row r="1035" spans="1:302">
      <c r="A1035" s="14"/>
      <c r="B1035" s="14"/>
      <c r="F1035" s="14"/>
      <c r="G1035" s="23"/>
      <c r="H1035" s="23"/>
      <c r="I1035" s="23"/>
      <c r="J1035" s="23"/>
      <c r="K1035" s="14"/>
      <c r="L1035" s="14"/>
      <c r="P1035" s="14"/>
      <c r="AG1035" s="44"/>
      <c r="AH1035" s="44"/>
      <c r="AI1035" s="45"/>
      <c r="AJ1035" s="44"/>
      <c r="AK1035" s="43"/>
      <c r="AS1035" s="14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  <c r="FC1035" s="18"/>
      <c r="FD1035" s="18"/>
      <c r="FE1035" s="18"/>
      <c r="FF1035" s="18"/>
      <c r="FG1035" s="18"/>
      <c r="FH1035" s="18"/>
      <c r="FI1035" s="18"/>
      <c r="FJ1035" s="18"/>
      <c r="FK1035" s="18"/>
      <c r="FL1035" s="18"/>
      <c r="FM1035" s="18"/>
      <c r="FN1035" s="18"/>
      <c r="FO1035" s="18"/>
      <c r="FP1035" s="18"/>
      <c r="FQ1035" s="18"/>
      <c r="FR1035" s="18"/>
      <c r="FS1035" s="18"/>
      <c r="FT1035" s="18"/>
      <c r="FU1035" s="18"/>
      <c r="FV1035" s="18"/>
      <c r="FW1035" s="18"/>
      <c r="FX1035" s="18"/>
      <c r="FY1035" s="18"/>
      <c r="FZ1035" s="18"/>
      <c r="GA1035" s="18"/>
      <c r="GB1035" s="18"/>
      <c r="GC1035" s="18"/>
      <c r="GD1035" s="18"/>
      <c r="GE1035" s="18"/>
      <c r="GF1035" s="18"/>
      <c r="GG1035" s="18"/>
      <c r="GH1035" s="18"/>
      <c r="GI1035" s="18"/>
      <c r="GJ1035" s="18"/>
      <c r="GK1035" s="18"/>
      <c r="GL1035" s="18"/>
      <c r="GM1035" s="18"/>
      <c r="GN1035" s="18"/>
      <c r="GO1035" s="18"/>
      <c r="GP1035" s="18"/>
      <c r="GQ1035" s="18"/>
      <c r="GR1035" s="18"/>
      <c r="GS1035" s="18"/>
      <c r="GT1035" s="18"/>
      <c r="GU1035" s="18"/>
      <c r="GV1035" s="18"/>
      <c r="GW1035" s="18"/>
      <c r="GX1035" s="18"/>
      <c r="GY1035" s="18"/>
      <c r="GZ1035" s="18"/>
      <c r="HA1035" s="18"/>
      <c r="HB1035" s="18"/>
      <c r="HC1035" s="18"/>
      <c r="HD1035" s="18"/>
      <c r="HE1035" s="18"/>
      <c r="HF1035" s="18"/>
      <c r="HG1035" s="13"/>
      <c r="HH1035" s="13"/>
      <c r="HI1035" s="13"/>
      <c r="HJ1035" s="13"/>
      <c r="HK1035" s="13"/>
      <c r="HL1035" s="13"/>
      <c r="HM1035" s="13"/>
      <c r="HN1035" s="13"/>
      <c r="HO1035" s="13"/>
      <c r="HP1035" s="13"/>
      <c r="HQ1035" s="13"/>
      <c r="HR1035" s="13"/>
      <c r="HS1035" s="13"/>
      <c r="HT1035" s="13"/>
      <c r="HU1035" s="18"/>
      <c r="HV1035" s="18"/>
      <c r="HW1035" s="18"/>
      <c r="HX1035" s="18"/>
      <c r="HY1035" s="18"/>
      <c r="HZ1035" s="18"/>
      <c r="IA1035" s="18"/>
      <c r="IB1035" s="18"/>
      <c r="IC1035" s="18"/>
      <c r="ID1035" s="18"/>
      <c r="IE1035" s="18"/>
      <c r="IF1035" s="18"/>
      <c r="IG1035" s="18"/>
      <c r="IH1035" s="18"/>
      <c r="II1035" s="18"/>
      <c r="IJ1035" s="18"/>
      <c r="IK1035" s="18"/>
      <c r="IL1035" s="18"/>
      <c r="IM1035" s="18"/>
      <c r="IN1035" s="18"/>
      <c r="IO1035" s="18"/>
      <c r="IP1035" s="18"/>
      <c r="IQ1035" s="18"/>
      <c r="IR1035" s="18"/>
      <c r="IS1035" s="18"/>
      <c r="IT1035" s="18"/>
      <c r="IU1035" s="18"/>
      <c r="IV1035" s="18"/>
      <c r="IW1035" s="18"/>
      <c r="IX1035" s="18"/>
      <c r="IY1035" s="18"/>
      <c r="IZ1035" s="18"/>
      <c r="JA1035" s="18"/>
      <c r="JB1035" s="18"/>
      <c r="JC1035" s="18"/>
      <c r="JD1035" s="18"/>
      <c r="JE1035" s="18"/>
      <c r="JF1035" s="18"/>
      <c r="JG1035" s="18"/>
      <c r="JH1035" s="18"/>
      <c r="JI1035" s="18"/>
      <c r="JJ1035" s="18"/>
      <c r="JK1035" s="18"/>
      <c r="JL1035" s="18"/>
      <c r="JM1035" s="18"/>
      <c r="JN1035" s="18"/>
      <c r="JO1035" s="18"/>
      <c r="JP1035" s="18"/>
      <c r="JQ1035" s="18"/>
      <c r="JR1035" s="18"/>
      <c r="JS1035" s="18"/>
      <c r="JT1035" s="18"/>
      <c r="JU1035" s="18"/>
      <c r="JV1035" s="18"/>
      <c r="JW1035" s="18"/>
      <c r="JX1035" s="18"/>
      <c r="JY1035" s="18"/>
      <c r="JZ1035" s="18"/>
      <c r="KA1035" s="18"/>
      <c r="KB1035" s="18"/>
      <c r="KC1035" s="18"/>
      <c r="KD1035" s="18"/>
      <c r="KE1035" s="18"/>
      <c r="KF1035" s="18"/>
      <c r="KG1035" s="18"/>
      <c r="KH1035" s="18"/>
      <c r="KI1035" s="18"/>
      <c r="KJ1035" s="18"/>
      <c r="KK1035" s="18"/>
      <c r="KL1035" s="18"/>
      <c r="KM1035" s="18"/>
      <c r="KN1035" s="18"/>
      <c r="KO1035" s="18"/>
      <c r="KP1035" s="18"/>
    </row>
    <row r="1036" spans="1:302">
      <c r="A1036" s="14"/>
      <c r="B1036" s="14"/>
      <c r="F1036" s="14"/>
      <c r="G1036" s="23"/>
      <c r="H1036" s="23"/>
      <c r="I1036" s="23"/>
      <c r="J1036" s="23"/>
      <c r="K1036" s="14"/>
      <c r="L1036" s="14"/>
      <c r="P1036" s="14"/>
      <c r="AG1036" s="44"/>
      <c r="AH1036" s="44"/>
      <c r="AI1036" s="45"/>
      <c r="AJ1036" s="44"/>
      <c r="AK1036" s="43"/>
      <c r="AS1036" s="14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  <c r="EW1036" s="18"/>
      <c r="EX1036" s="18"/>
      <c r="EY1036" s="18"/>
      <c r="EZ1036" s="18"/>
      <c r="FA1036" s="18"/>
      <c r="FB1036" s="18"/>
      <c r="FC1036" s="18"/>
      <c r="FD1036" s="18"/>
      <c r="FE1036" s="18"/>
      <c r="FF1036" s="18"/>
      <c r="FG1036" s="18"/>
      <c r="FH1036" s="18"/>
      <c r="FI1036" s="18"/>
      <c r="FJ1036" s="18"/>
      <c r="FK1036" s="18"/>
      <c r="FL1036" s="18"/>
      <c r="FM1036" s="18"/>
      <c r="FN1036" s="18"/>
      <c r="FO1036" s="18"/>
      <c r="FP1036" s="18"/>
      <c r="FQ1036" s="18"/>
      <c r="FR1036" s="18"/>
      <c r="FS1036" s="18"/>
      <c r="FT1036" s="18"/>
      <c r="FU1036" s="18"/>
      <c r="FV1036" s="18"/>
      <c r="FW1036" s="18"/>
      <c r="FX1036" s="18"/>
      <c r="FY1036" s="18"/>
      <c r="FZ1036" s="18"/>
      <c r="GA1036" s="18"/>
      <c r="GB1036" s="18"/>
      <c r="GC1036" s="18"/>
      <c r="GD1036" s="18"/>
      <c r="GE1036" s="18"/>
      <c r="GF1036" s="18"/>
      <c r="GG1036" s="18"/>
      <c r="GH1036" s="18"/>
      <c r="GI1036" s="18"/>
      <c r="GJ1036" s="18"/>
      <c r="GK1036" s="18"/>
      <c r="GL1036" s="18"/>
      <c r="GM1036" s="18"/>
      <c r="GN1036" s="18"/>
      <c r="GO1036" s="18"/>
      <c r="GP1036" s="18"/>
      <c r="GQ1036" s="18"/>
      <c r="GR1036" s="18"/>
      <c r="GS1036" s="18"/>
      <c r="GT1036" s="18"/>
      <c r="GU1036" s="18"/>
      <c r="GV1036" s="18"/>
      <c r="GW1036" s="18"/>
      <c r="GX1036" s="18"/>
      <c r="GY1036" s="18"/>
      <c r="GZ1036" s="18"/>
      <c r="HA1036" s="18"/>
      <c r="HB1036" s="18"/>
      <c r="HC1036" s="18"/>
      <c r="HD1036" s="18"/>
      <c r="HE1036" s="18"/>
      <c r="HF1036" s="18"/>
      <c r="HG1036" s="13"/>
      <c r="HH1036" s="13"/>
      <c r="HI1036" s="13"/>
      <c r="HJ1036" s="13"/>
      <c r="HK1036" s="13"/>
      <c r="HL1036" s="13"/>
      <c r="HM1036" s="13"/>
      <c r="HN1036" s="13"/>
      <c r="HO1036" s="13"/>
      <c r="HP1036" s="13"/>
      <c r="HQ1036" s="13"/>
      <c r="HR1036" s="13"/>
      <c r="HS1036" s="13"/>
      <c r="HT1036" s="13"/>
      <c r="HU1036" s="18"/>
      <c r="HV1036" s="18"/>
      <c r="HW1036" s="18"/>
      <c r="HX1036" s="18"/>
      <c r="HY1036" s="18"/>
      <c r="HZ1036" s="18"/>
      <c r="IA1036" s="18"/>
      <c r="IB1036" s="18"/>
      <c r="IC1036" s="18"/>
      <c r="ID1036" s="18"/>
      <c r="IE1036" s="18"/>
      <c r="IF1036" s="18"/>
      <c r="IG1036" s="18"/>
      <c r="IH1036" s="18"/>
      <c r="II1036" s="18"/>
      <c r="IJ1036" s="18"/>
      <c r="IK1036" s="18"/>
      <c r="IL1036" s="18"/>
      <c r="IM1036" s="18"/>
      <c r="IN1036" s="18"/>
      <c r="IO1036" s="18"/>
      <c r="IP1036" s="18"/>
      <c r="IQ1036" s="18"/>
      <c r="IR1036" s="18"/>
      <c r="IS1036" s="18"/>
      <c r="IT1036" s="18"/>
      <c r="IU1036" s="18"/>
      <c r="IV1036" s="18"/>
      <c r="IW1036" s="18"/>
      <c r="IX1036" s="18"/>
      <c r="IY1036" s="18"/>
      <c r="IZ1036" s="18"/>
      <c r="JA1036" s="18"/>
      <c r="JB1036" s="18"/>
      <c r="JC1036" s="18"/>
      <c r="JD1036" s="18"/>
      <c r="JE1036" s="18"/>
      <c r="JF1036" s="18"/>
      <c r="JG1036" s="18"/>
      <c r="JH1036" s="18"/>
      <c r="JI1036" s="18"/>
      <c r="JJ1036" s="18"/>
      <c r="JK1036" s="18"/>
      <c r="JL1036" s="18"/>
      <c r="JM1036" s="18"/>
      <c r="JN1036" s="18"/>
      <c r="JO1036" s="18"/>
      <c r="JP1036" s="18"/>
      <c r="JQ1036" s="18"/>
      <c r="JR1036" s="18"/>
      <c r="JS1036" s="18"/>
      <c r="JT1036" s="18"/>
      <c r="JU1036" s="18"/>
      <c r="JV1036" s="18"/>
      <c r="JW1036" s="18"/>
      <c r="JX1036" s="18"/>
      <c r="JY1036" s="18"/>
      <c r="JZ1036" s="18"/>
      <c r="KA1036" s="18"/>
      <c r="KB1036" s="18"/>
      <c r="KC1036" s="18"/>
      <c r="KD1036" s="18"/>
      <c r="KE1036" s="18"/>
      <c r="KF1036" s="18"/>
      <c r="KG1036" s="18"/>
      <c r="KH1036" s="18"/>
      <c r="KI1036" s="18"/>
      <c r="KJ1036" s="18"/>
      <c r="KK1036" s="18"/>
      <c r="KL1036" s="18"/>
      <c r="KM1036" s="18"/>
      <c r="KN1036" s="18"/>
      <c r="KO1036" s="18"/>
      <c r="KP1036" s="18"/>
    </row>
    <row r="1037" spans="1:302">
      <c r="A1037" s="14"/>
      <c r="B1037" s="14"/>
      <c r="F1037" s="14"/>
      <c r="G1037" s="23"/>
      <c r="H1037" s="23"/>
      <c r="I1037" s="23"/>
      <c r="J1037" s="23"/>
      <c r="K1037" s="14"/>
      <c r="L1037" s="14"/>
      <c r="P1037" s="14"/>
      <c r="AG1037" s="44"/>
      <c r="AH1037" s="44"/>
      <c r="AI1037" s="45"/>
      <c r="AJ1037" s="44"/>
      <c r="AK1037" s="43"/>
      <c r="AS1037" s="14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  <c r="EW1037" s="18"/>
      <c r="EX1037" s="18"/>
      <c r="EY1037" s="18"/>
      <c r="EZ1037" s="18"/>
      <c r="FA1037" s="18"/>
      <c r="FB1037" s="18"/>
      <c r="FC1037" s="18"/>
      <c r="FD1037" s="18"/>
      <c r="FE1037" s="18"/>
      <c r="FF1037" s="18"/>
      <c r="FG1037" s="18"/>
      <c r="FH1037" s="18"/>
      <c r="FI1037" s="18"/>
      <c r="FJ1037" s="18"/>
      <c r="FK1037" s="18"/>
      <c r="FL1037" s="18"/>
      <c r="FM1037" s="18"/>
      <c r="FN1037" s="18"/>
      <c r="FO1037" s="18"/>
      <c r="FP1037" s="18"/>
      <c r="FQ1037" s="18"/>
      <c r="FR1037" s="18"/>
      <c r="FS1037" s="18"/>
      <c r="FT1037" s="18"/>
      <c r="FU1037" s="18"/>
      <c r="FV1037" s="18"/>
      <c r="FW1037" s="18"/>
      <c r="FX1037" s="18"/>
      <c r="FY1037" s="18"/>
      <c r="FZ1037" s="18"/>
      <c r="GA1037" s="18"/>
      <c r="GB1037" s="18"/>
      <c r="GC1037" s="18"/>
      <c r="GD1037" s="18"/>
      <c r="GE1037" s="18"/>
      <c r="GF1037" s="18"/>
      <c r="GG1037" s="18"/>
      <c r="GH1037" s="18"/>
      <c r="GI1037" s="18"/>
      <c r="GJ1037" s="18"/>
      <c r="GK1037" s="18"/>
      <c r="GL1037" s="18"/>
      <c r="GM1037" s="18"/>
      <c r="GN1037" s="18"/>
      <c r="GO1037" s="18"/>
      <c r="GP1037" s="18"/>
      <c r="GQ1037" s="18"/>
      <c r="GR1037" s="18"/>
      <c r="GS1037" s="18"/>
      <c r="GT1037" s="18"/>
      <c r="GU1037" s="18"/>
      <c r="GV1037" s="18"/>
      <c r="GW1037" s="18"/>
      <c r="GX1037" s="18"/>
      <c r="GY1037" s="18"/>
      <c r="GZ1037" s="18"/>
      <c r="HA1037" s="18"/>
      <c r="HB1037" s="18"/>
      <c r="HC1037" s="18"/>
      <c r="HD1037" s="18"/>
      <c r="HE1037" s="18"/>
      <c r="HF1037" s="18"/>
      <c r="HG1037" s="13"/>
      <c r="HH1037" s="13"/>
      <c r="HI1037" s="13"/>
      <c r="HJ1037" s="13"/>
      <c r="HK1037" s="13"/>
      <c r="HL1037" s="13"/>
      <c r="HM1037" s="13"/>
      <c r="HN1037" s="13"/>
      <c r="HO1037" s="13"/>
      <c r="HP1037" s="13"/>
      <c r="HQ1037" s="13"/>
      <c r="HR1037" s="13"/>
      <c r="HS1037" s="13"/>
      <c r="HT1037" s="13"/>
      <c r="HU1037" s="18"/>
      <c r="HV1037" s="18"/>
      <c r="HW1037" s="18"/>
      <c r="HX1037" s="18"/>
      <c r="HY1037" s="18"/>
      <c r="HZ1037" s="18"/>
      <c r="IA1037" s="18"/>
      <c r="IB1037" s="18"/>
      <c r="IC1037" s="18"/>
      <c r="ID1037" s="18"/>
      <c r="IE1037" s="18"/>
      <c r="IF1037" s="18"/>
      <c r="IG1037" s="18"/>
      <c r="IH1037" s="18"/>
      <c r="II1037" s="18"/>
      <c r="IJ1037" s="18"/>
      <c r="IK1037" s="18"/>
      <c r="IL1037" s="18"/>
      <c r="IM1037" s="18"/>
      <c r="IN1037" s="18"/>
      <c r="IO1037" s="18"/>
      <c r="IP1037" s="18"/>
      <c r="IQ1037" s="18"/>
      <c r="IR1037" s="18"/>
      <c r="IS1037" s="18"/>
      <c r="IT1037" s="18"/>
      <c r="IU1037" s="18"/>
      <c r="IV1037" s="18"/>
      <c r="IW1037" s="18"/>
      <c r="IX1037" s="18"/>
      <c r="IY1037" s="18"/>
      <c r="IZ1037" s="18"/>
      <c r="JA1037" s="18"/>
      <c r="JB1037" s="18"/>
      <c r="JC1037" s="18"/>
      <c r="JD1037" s="18"/>
      <c r="JE1037" s="18"/>
      <c r="JF1037" s="18"/>
      <c r="JG1037" s="18"/>
      <c r="JH1037" s="18"/>
      <c r="JI1037" s="18"/>
      <c r="JJ1037" s="18"/>
      <c r="JK1037" s="18"/>
      <c r="JL1037" s="18"/>
      <c r="JM1037" s="18"/>
      <c r="JN1037" s="18"/>
      <c r="JO1037" s="18"/>
      <c r="JP1037" s="18"/>
      <c r="JQ1037" s="18"/>
      <c r="JR1037" s="18"/>
      <c r="JS1037" s="18"/>
      <c r="JT1037" s="18"/>
      <c r="JU1037" s="18"/>
      <c r="JV1037" s="18"/>
      <c r="JW1037" s="18"/>
      <c r="JX1037" s="18"/>
      <c r="JY1037" s="18"/>
      <c r="JZ1037" s="18"/>
      <c r="KA1037" s="18"/>
      <c r="KB1037" s="18"/>
      <c r="KC1037" s="18"/>
      <c r="KD1037" s="18"/>
      <c r="KE1037" s="18"/>
      <c r="KF1037" s="18"/>
      <c r="KG1037" s="18"/>
      <c r="KH1037" s="18"/>
      <c r="KI1037" s="18"/>
      <c r="KJ1037" s="18"/>
      <c r="KK1037" s="18"/>
      <c r="KL1037" s="18"/>
      <c r="KM1037" s="18"/>
      <c r="KN1037" s="18"/>
      <c r="KO1037" s="18"/>
      <c r="KP1037" s="18"/>
    </row>
    <row r="1038" spans="1:302">
      <c r="A1038" s="14"/>
      <c r="B1038" s="14"/>
      <c r="F1038" s="14"/>
      <c r="G1038" s="23"/>
      <c r="H1038" s="23"/>
      <c r="I1038" s="23"/>
      <c r="J1038" s="23"/>
      <c r="K1038" s="14"/>
      <c r="L1038" s="14"/>
      <c r="P1038" s="14"/>
      <c r="AG1038" s="44"/>
      <c r="AH1038" s="44"/>
      <c r="AI1038" s="45"/>
      <c r="AJ1038" s="44"/>
      <c r="AK1038" s="43"/>
      <c r="AS1038" s="14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  <c r="EW1038" s="18"/>
      <c r="EX1038" s="18"/>
      <c r="EY1038" s="18"/>
      <c r="EZ1038" s="18"/>
      <c r="FA1038" s="18"/>
      <c r="FB1038" s="18"/>
      <c r="FC1038" s="18"/>
      <c r="FD1038" s="18"/>
      <c r="FE1038" s="18"/>
      <c r="FF1038" s="18"/>
      <c r="FG1038" s="18"/>
      <c r="FH1038" s="18"/>
      <c r="FI1038" s="18"/>
      <c r="FJ1038" s="18"/>
      <c r="FK1038" s="18"/>
      <c r="FL1038" s="18"/>
      <c r="FM1038" s="18"/>
      <c r="FN1038" s="18"/>
      <c r="FO1038" s="18"/>
      <c r="FP1038" s="18"/>
      <c r="FQ1038" s="18"/>
      <c r="FR1038" s="18"/>
      <c r="FS1038" s="18"/>
      <c r="FT1038" s="18"/>
      <c r="FU1038" s="18"/>
      <c r="FV1038" s="18"/>
      <c r="FW1038" s="18"/>
      <c r="FX1038" s="18"/>
      <c r="FY1038" s="18"/>
      <c r="FZ1038" s="18"/>
      <c r="GA1038" s="18"/>
      <c r="GB1038" s="18"/>
      <c r="GC1038" s="18"/>
      <c r="GD1038" s="18"/>
      <c r="GE1038" s="18"/>
      <c r="GF1038" s="18"/>
      <c r="GG1038" s="18"/>
      <c r="GH1038" s="18"/>
      <c r="GI1038" s="18"/>
      <c r="GJ1038" s="18"/>
      <c r="GK1038" s="18"/>
      <c r="GL1038" s="18"/>
      <c r="GM1038" s="18"/>
      <c r="GN1038" s="18"/>
      <c r="GO1038" s="18"/>
      <c r="GP1038" s="18"/>
      <c r="GQ1038" s="18"/>
      <c r="GR1038" s="18"/>
      <c r="GS1038" s="18"/>
      <c r="GT1038" s="18"/>
      <c r="GU1038" s="18"/>
      <c r="GV1038" s="18"/>
      <c r="GW1038" s="18"/>
      <c r="GX1038" s="18"/>
      <c r="GY1038" s="18"/>
      <c r="GZ1038" s="18"/>
      <c r="HA1038" s="18"/>
      <c r="HB1038" s="18"/>
      <c r="HC1038" s="18"/>
      <c r="HD1038" s="18"/>
      <c r="HE1038" s="18"/>
      <c r="HF1038" s="18"/>
      <c r="HG1038" s="13"/>
      <c r="HH1038" s="13"/>
      <c r="HI1038" s="13"/>
      <c r="HJ1038" s="13"/>
      <c r="HK1038" s="13"/>
      <c r="HL1038" s="13"/>
      <c r="HM1038" s="13"/>
      <c r="HN1038" s="13"/>
      <c r="HO1038" s="13"/>
      <c r="HP1038" s="13"/>
      <c r="HQ1038" s="13"/>
      <c r="HR1038" s="13"/>
      <c r="HS1038" s="13"/>
      <c r="HT1038" s="13"/>
      <c r="HU1038" s="18"/>
      <c r="HV1038" s="18"/>
      <c r="HW1038" s="18"/>
      <c r="HX1038" s="18"/>
      <c r="HY1038" s="18"/>
      <c r="HZ1038" s="18"/>
      <c r="IA1038" s="18"/>
      <c r="IB1038" s="18"/>
      <c r="IC1038" s="18"/>
      <c r="ID1038" s="18"/>
      <c r="IE1038" s="18"/>
      <c r="IF1038" s="18"/>
      <c r="IG1038" s="18"/>
      <c r="IH1038" s="18"/>
      <c r="II1038" s="18"/>
      <c r="IJ1038" s="18"/>
      <c r="IK1038" s="18"/>
      <c r="IL1038" s="18"/>
      <c r="IM1038" s="18"/>
      <c r="IN1038" s="18"/>
      <c r="IO1038" s="18"/>
      <c r="IP1038" s="18"/>
      <c r="IQ1038" s="18"/>
      <c r="IR1038" s="18"/>
      <c r="IS1038" s="18"/>
      <c r="IT1038" s="18"/>
      <c r="IU1038" s="18"/>
      <c r="IV1038" s="18"/>
      <c r="IW1038" s="18"/>
      <c r="IX1038" s="18"/>
      <c r="IY1038" s="18"/>
      <c r="IZ1038" s="18"/>
      <c r="JA1038" s="18"/>
      <c r="JB1038" s="18"/>
      <c r="JC1038" s="18"/>
      <c r="JD1038" s="18"/>
      <c r="JE1038" s="18"/>
      <c r="JF1038" s="18"/>
      <c r="JG1038" s="18"/>
      <c r="JH1038" s="18"/>
      <c r="JI1038" s="18"/>
      <c r="JJ1038" s="18"/>
      <c r="JK1038" s="18"/>
      <c r="JL1038" s="18"/>
      <c r="JM1038" s="18"/>
      <c r="JN1038" s="18"/>
      <c r="JO1038" s="18"/>
      <c r="JP1038" s="18"/>
      <c r="JQ1038" s="18"/>
      <c r="JR1038" s="18"/>
      <c r="JS1038" s="18"/>
      <c r="JT1038" s="18"/>
      <c r="JU1038" s="18"/>
      <c r="JV1038" s="18"/>
      <c r="JW1038" s="18"/>
      <c r="JX1038" s="18"/>
      <c r="JY1038" s="18"/>
      <c r="JZ1038" s="18"/>
      <c r="KA1038" s="18"/>
      <c r="KB1038" s="18"/>
      <c r="KC1038" s="18"/>
      <c r="KD1038" s="18"/>
      <c r="KE1038" s="18"/>
      <c r="KF1038" s="18"/>
      <c r="KG1038" s="18"/>
      <c r="KH1038" s="18"/>
      <c r="KI1038" s="18"/>
      <c r="KJ1038" s="18"/>
      <c r="KK1038" s="18"/>
      <c r="KL1038" s="18"/>
      <c r="KM1038" s="18"/>
      <c r="KN1038" s="18"/>
      <c r="KO1038" s="18"/>
      <c r="KP1038" s="18"/>
    </row>
    <row r="1039" spans="1:302">
      <c r="A1039" s="14"/>
      <c r="B1039" s="14"/>
      <c r="F1039" s="14"/>
      <c r="G1039" s="23"/>
      <c r="H1039" s="23"/>
      <c r="I1039" s="23"/>
      <c r="J1039" s="23"/>
      <c r="K1039" s="14"/>
      <c r="L1039" s="14"/>
      <c r="P1039" s="14"/>
      <c r="AG1039" s="44"/>
      <c r="AH1039" s="44"/>
      <c r="AI1039" s="45"/>
      <c r="AJ1039" s="44"/>
      <c r="AK1039" s="43"/>
      <c r="AS1039" s="14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  <c r="EW1039" s="18"/>
      <c r="EX1039" s="18"/>
      <c r="EY1039" s="18"/>
      <c r="EZ1039" s="18"/>
      <c r="FA1039" s="18"/>
      <c r="FB1039" s="18"/>
      <c r="FC1039" s="18"/>
      <c r="FD1039" s="18"/>
      <c r="FE1039" s="18"/>
      <c r="FF1039" s="18"/>
      <c r="FG1039" s="18"/>
      <c r="FH1039" s="18"/>
      <c r="FI1039" s="18"/>
      <c r="FJ1039" s="18"/>
      <c r="FK1039" s="18"/>
      <c r="FL1039" s="18"/>
      <c r="FM1039" s="18"/>
      <c r="FN1039" s="18"/>
      <c r="FO1039" s="18"/>
      <c r="FP1039" s="18"/>
      <c r="FQ1039" s="18"/>
      <c r="FR1039" s="18"/>
      <c r="FS1039" s="18"/>
      <c r="FT1039" s="18"/>
      <c r="FU1039" s="18"/>
      <c r="FV1039" s="18"/>
      <c r="FW1039" s="18"/>
      <c r="FX1039" s="18"/>
      <c r="FY1039" s="18"/>
      <c r="FZ1039" s="18"/>
      <c r="GA1039" s="18"/>
      <c r="GB1039" s="18"/>
      <c r="GC1039" s="18"/>
      <c r="GD1039" s="18"/>
      <c r="GE1039" s="18"/>
      <c r="GF1039" s="18"/>
      <c r="GG1039" s="18"/>
      <c r="GH1039" s="18"/>
      <c r="GI1039" s="18"/>
      <c r="GJ1039" s="18"/>
      <c r="GK1039" s="18"/>
      <c r="GL1039" s="18"/>
      <c r="GM1039" s="18"/>
      <c r="GN1039" s="18"/>
      <c r="GO1039" s="18"/>
      <c r="GP1039" s="18"/>
      <c r="GQ1039" s="18"/>
      <c r="GR1039" s="18"/>
      <c r="GS1039" s="18"/>
      <c r="GT1039" s="18"/>
      <c r="GU1039" s="18"/>
      <c r="GV1039" s="18"/>
      <c r="GW1039" s="18"/>
      <c r="GX1039" s="18"/>
      <c r="GY1039" s="18"/>
      <c r="GZ1039" s="18"/>
      <c r="HA1039" s="18"/>
      <c r="HB1039" s="18"/>
      <c r="HC1039" s="18"/>
      <c r="HD1039" s="18"/>
      <c r="HE1039" s="18"/>
      <c r="HF1039" s="18"/>
      <c r="HG1039" s="13"/>
      <c r="HH1039" s="13"/>
      <c r="HI1039" s="13"/>
      <c r="HJ1039" s="13"/>
      <c r="HK1039" s="13"/>
      <c r="HL1039" s="13"/>
      <c r="HM1039" s="13"/>
      <c r="HN1039" s="13"/>
      <c r="HO1039" s="13"/>
      <c r="HP1039" s="13"/>
      <c r="HQ1039" s="13"/>
      <c r="HR1039" s="13"/>
      <c r="HS1039" s="13"/>
      <c r="HT1039" s="13"/>
      <c r="HU1039" s="18"/>
      <c r="HV1039" s="18"/>
      <c r="HW1039" s="18"/>
      <c r="HX1039" s="18"/>
      <c r="HY1039" s="18"/>
      <c r="HZ1039" s="18"/>
      <c r="IA1039" s="18"/>
      <c r="IB1039" s="18"/>
      <c r="IC1039" s="18"/>
      <c r="ID1039" s="18"/>
      <c r="IE1039" s="18"/>
      <c r="IF1039" s="18"/>
      <c r="IG1039" s="18"/>
      <c r="IH1039" s="18"/>
      <c r="II1039" s="18"/>
      <c r="IJ1039" s="18"/>
      <c r="IK1039" s="18"/>
      <c r="IL1039" s="18"/>
      <c r="IM1039" s="18"/>
      <c r="IN1039" s="18"/>
      <c r="IO1039" s="18"/>
      <c r="IP1039" s="18"/>
      <c r="IQ1039" s="18"/>
      <c r="IR1039" s="18"/>
      <c r="IS1039" s="18"/>
      <c r="IT1039" s="18"/>
      <c r="IU1039" s="18"/>
      <c r="IV1039" s="18"/>
      <c r="IW1039" s="18"/>
      <c r="IX1039" s="18"/>
      <c r="IY1039" s="18"/>
      <c r="IZ1039" s="18"/>
      <c r="JA1039" s="18"/>
      <c r="JB1039" s="18"/>
      <c r="JC1039" s="18"/>
      <c r="JD1039" s="18"/>
      <c r="JE1039" s="18"/>
      <c r="JF1039" s="18"/>
      <c r="JG1039" s="18"/>
      <c r="JH1039" s="18"/>
      <c r="JI1039" s="18"/>
      <c r="JJ1039" s="18"/>
      <c r="JK1039" s="18"/>
      <c r="JL1039" s="18"/>
      <c r="JM1039" s="18"/>
      <c r="JN1039" s="18"/>
      <c r="JO1039" s="18"/>
      <c r="JP1039" s="18"/>
      <c r="JQ1039" s="18"/>
      <c r="JR1039" s="18"/>
      <c r="JS1039" s="18"/>
      <c r="JT1039" s="18"/>
      <c r="JU1039" s="18"/>
      <c r="JV1039" s="18"/>
      <c r="JW1039" s="18"/>
      <c r="JX1039" s="18"/>
      <c r="JY1039" s="18"/>
      <c r="JZ1039" s="18"/>
      <c r="KA1039" s="18"/>
      <c r="KB1039" s="18"/>
      <c r="KC1039" s="18"/>
      <c r="KD1039" s="18"/>
      <c r="KE1039" s="18"/>
      <c r="KF1039" s="18"/>
      <c r="KG1039" s="18"/>
      <c r="KH1039" s="18"/>
      <c r="KI1039" s="18"/>
      <c r="KJ1039" s="18"/>
      <c r="KK1039" s="18"/>
      <c r="KL1039" s="18"/>
      <c r="KM1039" s="18"/>
      <c r="KN1039" s="18"/>
      <c r="KO1039" s="18"/>
      <c r="KP1039" s="18"/>
    </row>
    <row r="1040" spans="1:302">
      <c r="A1040" s="14"/>
      <c r="B1040" s="14"/>
      <c r="F1040" s="14"/>
      <c r="G1040" s="23"/>
      <c r="H1040" s="23"/>
      <c r="I1040" s="23"/>
      <c r="J1040" s="23"/>
      <c r="K1040" s="14"/>
      <c r="L1040" s="14"/>
      <c r="P1040" s="14"/>
      <c r="AG1040" s="44"/>
      <c r="AH1040" s="44"/>
      <c r="AI1040" s="45"/>
      <c r="AJ1040" s="44"/>
      <c r="AK1040" s="43"/>
      <c r="AS1040" s="14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  <c r="EW1040" s="18"/>
      <c r="EX1040" s="18"/>
      <c r="EY1040" s="18"/>
      <c r="EZ1040" s="18"/>
      <c r="FA1040" s="18"/>
      <c r="FB1040" s="18"/>
      <c r="FC1040" s="18"/>
      <c r="FD1040" s="18"/>
      <c r="FE1040" s="18"/>
      <c r="FF1040" s="18"/>
      <c r="FG1040" s="18"/>
      <c r="FH1040" s="18"/>
      <c r="FI1040" s="18"/>
      <c r="FJ1040" s="18"/>
      <c r="FK1040" s="18"/>
      <c r="FL1040" s="18"/>
      <c r="FM1040" s="18"/>
      <c r="FN1040" s="18"/>
      <c r="FO1040" s="18"/>
      <c r="FP1040" s="18"/>
      <c r="FQ1040" s="18"/>
      <c r="FR1040" s="18"/>
      <c r="FS1040" s="18"/>
      <c r="FT1040" s="18"/>
      <c r="FU1040" s="18"/>
      <c r="FV1040" s="18"/>
      <c r="FW1040" s="18"/>
      <c r="FX1040" s="18"/>
      <c r="FY1040" s="18"/>
      <c r="FZ1040" s="18"/>
      <c r="GA1040" s="18"/>
      <c r="GB1040" s="18"/>
      <c r="GC1040" s="18"/>
      <c r="GD1040" s="18"/>
      <c r="GE1040" s="18"/>
      <c r="GF1040" s="18"/>
      <c r="GG1040" s="18"/>
      <c r="GH1040" s="18"/>
      <c r="GI1040" s="18"/>
      <c r="GJ1040" s="18"/>
      <c r="GK1040" s="18"/>
      <c r="GL1040" s="18"/>
      <c r="GM1040" s="18"/>
      <c r="GN1040" s="18"/>
      <c r="GO1040" s="18"/>
      <c r="GP1040" s="18"/>
      <c r="GQ1040" s="18"/>
      <c r="GR1040" s="18"/>
      <c r="GS1040" s="18"/>
      <c r="GT1040" s="18"/>
      <c r="GU1040" s="18"/>
      <c r="GV1040" s="18"/>
      <c r="GW1040" s="18"/>
      <c r="GX1040" s="18"/>
      <c r="GY1040" s="18"/>
      <c r="GZ1040" s="18"/>
      <c r="HA1040" s="18"/>
      <c r="HB1040" s="18"/>
      <c r="HC1040" s="18"/>
      <c r="HD1040" s="18"/>
      <c r="HE1040" s="18"/>
      <c r="HF1040" s="18"/>
      <c r="HG1040" s="13"/>
      <c r="HH1040" s="13"/>
      <c r="HI1040" s="13"/>
      <c r="HJ1040" s="13"/>
      <c r="HK1040" s="13"/>
      <c r="HL1040" s="13"/>
      <c r="HM1040" s="13"/>
      <c r="HN1040" s="13"/>
      <c r="HO1040" s="13"/>
      <c r="HP1040" s="13"/>
      <c r="HQ1040" s="13"/>
      <c r="HR1040" s="13"/>
      <c r="HS1040" s="13"/>
      <c r="HT1040" s="13"/>
      <c r="HU1040" s="18"/>
      <c r="HV1040" s="18"/>
      <c r="HW1040" s="18"/>
      <c r="HX1040" s="18"/>
      <c r="HY1040" s="18"/>
      <c r="HZ1040" s="18"/>
      <c r="IA1040" s="18"/>
      <c r="IB1040" s="18"/>
      <c r="IC1040" s="18"/>
      <c r="ID1040" s="18"/>
      <c r="IE1040" s="18"/>
      <c r="IF1040" s="18"/>
      <c r="IG1040" s="18"/>
      <c r="IH1040" s="18"/>
      <c r="II1040" s="18"/>
      <c r="IJ1040" s="18"/>
      <c r="IK1040" s="18"/>
      <c r="IL1040" s="18"/>
      <c r="IM1040" s="18"/>
      <c r="IN1040" s="18"/>
      <c r="IO1040" s="18"/>
      <c r="IP1040" s="18"/>
      <c r="IQ1040" s="18"/>
      <c r="IR1040" s="18"/>
      <c r="IS1040" s="18"/>
      <c r="IT1040" s="18"/>
      <c r="IU1040" s="18"/>
      <c r="IV1040" s="18"/>
      <c r="IW1040" s="18"/>
      <c r="IX1040" s="18"/>
      <c r="IY1040" s="18"/>
      <c r="IZ1040" s="18"/>
      <c r="JA1040" s="18"/>
      <c r="JB1040" s="18"/>
      <c r="JC1040" s="18"/>
      <c r="JD1040" s="18"/>
      <c r="JE1040" s="18"/>
      <c r="JF1040" s="18"/>
      <c r="JG1040" s="18"/>
      <c r="JH1040" s="18"/>
      <c r="JI1040" s="18"/>
      <c r="JJ1040" s="18"/>
      <c r="JK1040" s="18"/>
      <c r="JL1040" s="18"/>
      <c r="JM1040" s="18"/>
      <c r="JN1040" s="18"/>
      <c r="JO1040" s="18"/>
      <c r="JP1040" s="18"/>
      <c r="JQ1040" s="18"/>
      <c r="JR1040" s="18"/>
      <c r="JS1040" s="18"/>
      <c r="JT1040" s="18"/>
      <c r="JU1040" s="18"/>
      <c r="JV1040" s="18"/>
      <c r="JW1040" s="18"/>
      <c r="JX1040" s="18"/>
      <c r="JY1040" s="18"/>
      <c r="JZ1040" s="18"/>
      <c r="KA1040" s="18"/>
      <c r="KB1040" s="18"/>
      <c r="KC1040" s="18"/>
      <c r="KD1040" s="18"/>
      <c r="KE1040" s="18"/>
      <c r="KF1040" s="18"/>
      <c r="KG1040" s="18"/>
      <c r="KH1040" s="18"/>
      <c r="KI1040" s="18"/>
      <c r="KJ1040" s="18"/>
      <c r="KK1040" s="18"/>
      <c r="KL1040" s="18"/>
      <c r="KM1040" s="18"/>
      <c r="KN1040" s="18"/>
      <c r="KO1040" s="18"/>
      <c r="KP1040" s="18"/>
    </row>
    <row r="1041" spans="1:302">
      <c r="A1041" s="14"/>
      <c r="B1041" s="14"/>
      <c r="F1041" s="14"/>
      <c r="G1041" s="23"/>
      <c r="H1041" s="23"/>
      <c r="I1041" s="23"/>
      <c r="J1041" s="23"/>
      <c r="K1041" s="14"/>
      <c r="L1041" s="14"/>
      <c r="P1041" s="14"/>
      <c r="AG1041" s="44"/>
      <c r="AH1041" s="44"/>
      <c r="AI1041" s="45"/>
      <c r="AJ1041" s="44"/>
      <c r="AK1041" s="43"/>
      <c r="AS1041" s="14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  <c r="EW1041" s="18"/>
      <c r="EX1041" s="18"/>
      <c r="EY1041" s="18"/>
      <c r="EZ1041" s="18"/>
      <c r="FA1041" s="18"/>
      <c r="FB1041" s="18"/>
      <c r="FC1041" s="18"/>
      <c r="FD1041" s="18"/>
      <c r="FE1041" s="18"/>
      <c r="FF1041" s="18"/>
      <c r="FG1041" s="18"/>
      <c r="FH1041" s="18"/>
      <c r="FI1041" s="18"/>
      <c r="FJ1041" s="18"/>
      <c r="FK1041" s="18"/>
      <c r="FL1041" s="18"/>
      <c r="FM1041" s="18"/>
      <c r="FN1041" s="18"/>
      <c r="FO1041" s="18"/>
      <c r="FP1041" s="18"/>
      <c r="FQ1041" s="18"/>
      <c r="FR1041" s="18"/>
      <c r="FS1041" s="18"/>
      <c r="FT1041" s="18"/>
      <c r="FU1041" s="18"/>
      <c r="FV1041" s="18"/>
      <c r="FW1041" s="18"/>
      <c r="FX1041" s="18"/>
      <c r="FY1041" s="18"/>
      <c r="FZ1041" s="18"/>
      <c r="GA1041" s="18"/>
      <c r="GB1041" s="18"/>
      <c r="GC1041" s="18"/>
      <c r="GD1041" s="18"/>
      <c r="GE1041" s="18"/>
      <c r="GF1041" s="18"/>
      <c r="GG1041" s="18"/>
      <c r="GH1041" s="18"/>
      <c r="GI1041" s="18"/>
      <c r="GJ1041" s="18"/>
      <c r="GK1041" s="18"/>
      <c r="GL1041" s="18"/>
      <c r="GM1041" s="18"/>
      <c r="GN1041" s="18"/>
      <c r="GO1041" s="18"/>
      <c r="GP1041" s="18"/>
      <c r="GQ1041" s="18"/>
      <c r="GR1041" s="18"/>
      <c r="GS1041" s="18"/>
      <c r="GT1041" s="18"/>
      <c r="GU1041" s="18"/>
      <c r="GV1041" s="18"/>
      <c r="GW1041" s="18"/>
      <c r="GX1041" s="18"/>
      <c r="GY1041" s="18"/>
      <c r="GZ1041" s="18"/>
      <c r="HA1041" s="18"/>
      <c r="HB1041" s="18"/>
      <c r="HC1041" s="18"/>
      <c r="HD1041" s="18"/>
      <c r="HE1041" s="18"/>
      <c r="HF1041" s="18"/>
      <c r="HG1041" s="13"/>
      <c r="HH1041" s="13"/>
      <c r="HI1041" s="13"/>
      <c r="HJ1041" s="13"/>
      <c r="HK1041" s="13"/>
      <c r="HL1041" s="13"/>
      <c r="HM1041" s="13"/>
      <c r="HN1041" s="13"/>
      <c r="HO1041" s="13"/>
      <c r="HP1041" s="13"/>
      <c r="HQ1041" s="13"/>
      <c r="HR1041" s="13"/>
      <c r="HS1041" s="13"/>
      <c r="HT1041" s="13"/>
      <c r="HU1041" s="18"/>
      <c r="HV1041" s="18"/>
      <c r="HW1041" s="18"/>
      <c r="HX1041" s="18"/>
      <c r="HY1041" s="18"/>
      <c r="HZ1041" s="18"/>
      <c r="IA1041" s="18"/>
      <c r="IB1041" s="18"/>
      <c r="IC1041" s="18"/>
      <c r="ID1041" s="18"/>
      <c r="IE1041" s="18"/>
      <c r="IF1041" s="18"/>
      <c r="IG1041" s="18"/>
      <c r="IH1041" s="18"/>
      <c r="II1041" s="18"/>
      <c r="IJ1041" s="18"/>
      <c r="IK1041" s="18"/>
      <c r="IL1041" s="18"/>
      <c r="IM1041" s="18"/>
      <c r="IN1041" s="18"/>
      <c r="IO1041" s="18"/>
      <c r="IP1041" s="18"/>
      <c r="IQ1041" s="18"/>
      <c r="IR1041" s="18"/>
      <c r="IS1041" s="18"/>
      <c r="IT1041" s="18"/>
      <c r="IU1041" s="18"/>
      <c r="IV1041" s="18"/>
      <c r="IW1041" s="18"/>
      <c r="IX1041" s="18"/>
      <c r="IY1041" s="18"/>
      <c r="IZ1041" s="18"/>
      <c r="JA1041" s="18"/>
      <c r="JB1041" s="18"/>
      <c r="JC1041" s="18"/>
      <c r="JD1041" s="18"/>
      <c r="JE1041" s="18"/>
      <c r="JF1041" s="18"/>
      <c r="JG1041" s="18"/>
      <c r="JH1041" s="18"/>
      <c r="JI1041" s="18"/>
      <c r="JJ1041" s="18"/>
      <c r="JK1041" s="18"/>
      <c r="JL1041" s="18"/>
      <c r="JM1041" s="18"/>
      <c r="JN1041" s="18"/>
      <c r="JO1041" s="18"/>
      <c r="JP1041" s="18"/>
      <c r="JQ1041" s="18"/>
      <c r="JR1041" s="18"/>
      <c r="JS1041" s="18"/>
      <c r="JT1041" s="18"/>
      <c r="JU1041" s="18"/>
      <c r="JV1041" s="18"/>
      <c r="JW1041" s="18"/>
      <c r="JX1041" s="18"/>
      <c r="JY1041" s="18"/>
      <c r="JZ1041" s="18"/>
      <c r="KA1041" s="18"/>
      <c r="KB1041" s="18"/>
      <c r="KC1041" s="18"/>
      <c r="KD1041" s="18"/>
      <c r="KE1041" s="18"/>
      <c r="KF1041" s="18"/>
      <c r="KG1041" s="18"/>
      <c r="KH1041" s="18"/>
      <c r="KI1041" s="18"/>
      <c r="KJ1041" s="18"/>
      <c r="KK1041" s="18"/>
      <c r="KL1041" s="18"/>
      <c r="KM1041" s="18"/>
      <c r="KN1041" s="18"/>
      <c r="KO1041" s="18"/>
      <c r="KP1041" s="18"/>
    </row>
    <row r="1042" spans="1:302">
      <c r="A1042" s="14"/>
      <c r="B1042" s="14"/>
      <c r="F1042" s="14"/>
      <c r="G1042" s="23"/>
      <c r="H1042" s="23"/>
      <c r="I1042" s="23"/>
      <c r="J1042" s="23"/>
      <c r="K1042" s="14"/>
      <c r="L1042" s="14"/>
      <c r="P1042" s="14"/>
      <c r="AG1042" s="44"/>
      <c r="AH1042" s="44"/>
      <c r="AI1042" s="45"/>
      <c r="AJ1042" s="44"/>
      <c r="AK1042" s="43"/>
      <c r="AS1042" s="14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  <c r="EW1042" s="18"/>
      <c r="EX1042" s="18"/>
      <c r="EY1042" s="18"/>
      <c r="EZ1042" s="18"/>
      <c r="FA1042" s="18"/>
      <c r="FB1042" s="18"/>
      <c r="FC1042" s="18"/>
      <c r="FD1042" s="18"/>
      <c r="FE1042" s="18"/>
      <c r="FF1042" s="18"/>
      <c r="FG1042" s="18"/>
      <c r="FH1042" s="18"/>
      <c r="FI1042" s="18"/>
      <c r="FJ1042" s="18"/>
      <c r="FK1042" s="18"/>
      <c r="FL1042" s="18"/>
      <c r="FM1042" s="18"/>
      <c r="FN1042" s="18"/>
      <c r="FO1042" s="18"/>
      <c r="FP1042" s="18"/>
      <c r="FQ1042" s="18"/>
      <c r="FR1042" s="18"/>
      <c r="FS1042" s="18"/>
      <c r="FT1042" s="18"/>
      <c r="FU1042" s="18"/>
      <c r="FV1042" s="18"/>
      <c r="FW1042" s="18"/>
      <c r="FX1042" s="18"/>
      <c r="FY1042" s="18"/>
      <c r="FZ1042" s="18"/>
      <c r="GA1042" s="18"/>
      <c r="GB1042" s="18"/>
      <c r="GC1042" s="18"/>
      <c r="GD1042" s="18"/>
      <c r="GE1042" s="18"/>
      <c r="GF1042" s="18"/>
      <c r="GG1042" s="18"/>
      <c r="GH1042" s="18"/>
      <c r="GI1042" s="18"/>
      <c r="GJ1042" s="18"/>
      <c r="GK1042" s="18"/>
      <c r="GL1042" s="18"/>
      <c r="GM1042" s="18"/>
      <c r="GN1042" s="18"/>
      <c r="GO1042" s="18"/>
      <c r="GP1042" s="18"/>
      <c r="GQ1042" s="18"/>
      <c r="GR1042" s="18"/>
      <c r="GS1042" s="18"/>
      <c r="GT1042" s="18"/>
      <c r="GU1042" s="18"/>
      <c r="GV1042" s="18"/>
      <c r="GW1042" s="18"/>
      <c r="GX1042" s="18"/>
      <c r="GY1042" s="18"/>
      <c r="GZ1042" s="18"/>
      <c r="HA1042" s="18"/>
      <c r="HB1042" s="18"/>
      <c r="HC1042" s="18"/>
      <c r="HD1042" s="18"/>
      <c r="HE1042" s="18"/>
      <c r="HF1042" s="18"/>
      <c r="HG1042" s="13"/>
      <c r="HH1042" s="13"/>
      <c r="HI1042" s="13"/>
      <c r="HJ1042" s="13"/>
      <c r="HK1042" s="13"/>
      <c r="HL1042" s="13"/>
      <c r="HM1042" s="13"/>
      <c r="HN1042" s="13"/>
      <c r="HO1042" s="13"/>
      <c r="HP1042" s="13"/>
      <c r="HQ1042" s="13"/>
      <c r="HR1042" s="13"/>
      <c r="HS1042" s="13"/>
      <c r="HT1042" s="13"/>
      <c r="HU1042" s="18"/>
      <c r="HV1042" s="18"/>
      <c r="HW1042" s="18"/>
      <c r="HX1042" s="18"/>
      <c r="HY1042" s="18"/>
      <c r="HZ1042" s="18"/>
      <c r="IA1042" s="18"/>
      <c r="IB1042" s="18"/>
      <c r="IC1042" s="18"/>
      <c r="ID1042" s="18"/>
      <c r="IE1042" s="18"/>
      <c r="IF1042" s="18"/>
      <c r="IG1042" s="18"/>
      <c r="IH1042" s="18"/>
      <c r="II1042" s="18"/>
      <c r="IJ1042" s="18"/>
      <c r="IK1042" s="18"/>
      <c r="IL1042" s="18"/>
      <c r="IM1042" s="18"/>
      <c r="IN1042" s="18"/>
      <c r="IO1042" s="18"/>
      <c r="IP1042" s="18"/>
      <c r="IQ1042" s="18"/>
      <c r="IR1042" s="18"/>
      <c r="IS1042" s="18"/>
      <c r="IT1042" s="18"/>
      <c r="IU1042" s="18"/>
      <c r="IV1042" s="18"/>
      <c r="IW1042" s="18"/>
      <c r="IX1042" s="18"/>
      <c r="IY1042" s="18"/>
      <c r="IZ1042" s="18"/>
      <c r="JA1042" s="18"/>
      <c r="JB1042" s="18"/>
      <c r="JC1042" s="18"/>
      <c r="JD1042" s="18"/>
      <c r="JE1042" s="18"/>
      <c r="JF1042" s="18"/>
      <c r="JG1042" s="18"/>
      <c r="JH1042" s="18"/>
      <c r="JI1042" s="18"/>
      <c r="JJ1042" s="18"/>
      <c r="JK1042" s="18"/>
      <c r="JL1042" s="18"/>
      <c r="JM1042" s="18"/>
      <c r="JN1042" s="18"/>
      <c r="JO1042" s="18"/>
      <c r="JP1042" s="18"/>
      <c r="JQ1042" s="18"/>
      <c r="JR1042" s="18"/>
      <c r="JS1042" s="18"/>
      <c r="JT1042" s="18"/>
      <c r="JU1042" s="18"/>
      <c r="JV1042" s="18"/>
      <c r="JW1042" s="18"/>
      <c r="JX1042" s="18"/>
      <c r="JY1042" s="18"/>
      <c r="JZ1042" s="18"/>
      <c r="KA1042" s="18"/>
      <c r="KB1042" s="18"/>
      <c r="KC1042" s="18"/>
      <c r="KD1042" s="18"/>
      <c r="KE1042" s="18"/>
      <c r="KF1042" s="18"/>
      <c r="KG1042" s="18"/>
      <c r="KH1042" s="18"/>
      <c r="KI1042" s="18"/>
      <c r="KJ1042" s="18"/>
      <c r="KK1042" s="18"/>
      <c r="KL1042" s="18"/>
      <c r="KM1042" s="18"/>
      <c r="KN1042" s="18"/>
      <c r="KO1042" s="18"/>
      <c r="KP1042" s="18"/>
    </row>
    <row r="1043" spans="1:302">
      <c r="A1043" s="14"/>
      <c r="B1043" s="14"/>
      <c r="F1043" s="14"/>
      <c r="G1043" s="23"/>
      <c r="H1043" s="23"/>
      <c r="I1043" s="23"/>
      <c r="J1043" s="23"/>
      <c r="K1043" s="14"/>
      <c r="L1043" s="14"/>
      <c r="P1043" s="14"/>
      <c r="AG1043" s="44"/>
      <c r="AH1043" s="44"/>
      <c r="AI1043" s="45"/>
      <c r="AJ1043" s="44"/>
      <c r="AK1043" s="43"/>
      <c r="AS1043" s="14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  <c r="EW1043" s="18"/>
      <c r="EX1043" s="18"/>
      <c r="EY1043" s="18"/>
      <c r="EZ1043" s="18"/>
      <c r="FA1043" s="18"/>
      <c r="FB1043" s="18"/>
      <c r="FC1043" s="18"/>
      <c r="FD1043" s="18"/>
      <c r="FE1043" s="18"/>
      <c r="FF1043" s="18"/>
      <c r="FG1043" s="18"/>
      <c r="FH1043" s="18"/>
      <c r="FI1043" s="18"/>
      <c r="FJ1043" s="18"/>
      <c r="FK1043" s="18"/>
      <c r="FL1043" s="18"/>
      <c r="FM1043" s="18"/>
      <c r="FN1043" s="18"/>
      <c r="FO1043" s="18"/>
      <c r="FP1043" s="18"/>
      <c r="FQ1043" s="18"/>
      <c r="FR1043" s="18"/>
      <c r="FS1043" s="18"/>
      <c r="FT1043" s="18"/>
      <c r="FU1043" s="18"/>
      <c r="FV1043" s="18"/>
      <c r="FW1043" s="18"/>
      <c r="FX1043" s="18"/>
      <c r="FY1043" s="18"/>
      <c r="FZ1043" s="18"/>
      <c r="GA1043" s="18"/>
      <c r="GB1043" s="18"/>
      <c r="GC1043" s="18"/>
      <c r="GD1043" s="18"/>
      <c r="GE1043" s="18"/>
      <c r="GF1043" s="18"/>
      <c r="GG1043" s="18"/>
      <c r="GH1043" s="18"/>
      <c r="GI1043" s="18"/>
      <c r="GJ1043" s="18"/>
      <c r="GK1043" s="18"/>
      <c r="GL1043" s="18"/>
      <c r="GM1043" s="18"/>
      <c r="GN1043" s="18"/>
      <c r="GO1043" s="18"/>
      <c r="GP1043" s="18"/>
      <c r="GQ1043" s="18"/>
      <c r="GR1043" s="18"/>
      <c r="GS1043" s="18"/>
      <c r="GT1043" s="18"/>
      <c r="GU1043" s="18"/>
      <c r="GV1043" s="18"/>
      <c r="GW1043" s="18"/>
      <c r="GX1043" s="18"/>
      <c r="GY1043" s="18"/>
      <c r="GZ1043" s="18"/>
      <c r="HA1043" s="18"/>
      <c r="HB1043" s="18"/>
      <c r="HC1043" s="18"/>
      <c r="HD1043" s="18"/>
      <c r="HE1043" s="18"/>
      <c r="HF1043" s="18"/>
      <c r="HG1043" s="13"/>
      <c r="HH1043" s="13"/>
      <c r="HI1043" s="13"/>
      <c r="HJ1043" s="13"/>
      <c r="HK1043" s="13"/>
      <c r="HL1043" s="13"/>
      <c r="HM1043" s="13"/>
      <c r="HN1043" s="13"/>
      <c r="HO1043" s="13"/>
      <c r="HP1043" s="13"/>
      <c r="HQ1043" s="13"/>
      <c r="HR1043" s="13"/>
      <c r="HS1043" s="13"/>
      <c r="HT1043" s="13"/>
      <c r="HU1043" s="18"/>
      <c r="HV1043" s="18"/>
      <c r="HW1043" s="18"/>
      <c r="HX1043" s="18"/>
      <c r="HY1043" s="18"/>
      <c r="HZ1043" s="18"/>
      <c r="IA1043" s="18"/>
      <c r="IB1043" s="18"/>
      <c r="IC1043" s="18"/>
      <c r="ID1043" s="18"/>
      <c r="IE1043" s="18"/>
      <c r="IF1043" s="18"/>
      <c r="IG1043" s="18"/>
      <c r="IH1043" s="18"/>
      <c r="II1043" s="18"/>
      <c r="IJ1043" s="18"/>
      <c r="IK1043" s="18"/>
      <c r="IL1043" s="18"/>
      <c r="IM1043" s="18"/>
      <c r="IN1043" s="18"/>
      <c r="IO1043" s="18"/>
      <c r="IP1043" s="18"/>
      <c r="IQ1043" s="18"/>
      <c r="IR1043" s="18"/>
      <c r="IS1043" s="18"/>
      <c r="IT1043" s="18"/>
      <c r="IU1043" s="18"/>
      <c r="IV1043" s="18"/>
      <c r="IW1043" s="18"/>
      <c r="IX1043" s="18"/>
      <c r="IY1043" s="18"/>
      <c r="IZ1043" s="18"/>
      <c r="JA1043" s="18"/>
      <c r="JB1043" s="18"/>
      <c r="JC1043" s="18"/>
      <c r="JD1043" s="18"/>
      <c r="JE1043" s="18"/>
      <c r="JF1043" s="18"/>
      <c r="JG1043" s="18"/>
      <c r="JH1043" s="18"/>
      <c r="JI1043" s="18"/>
      <c r="JJ1043" s="18"/>
      <c r="JK1043" s="18"/>
      <c r="JL1043" s="18"/>
      <c r="JM1043" s="18"/>
      <c r="JN1043" s="18"/>
      <c r="JO1043" s="18"/>
      <c r="JP1043" s="18"/>
      <c r="JQ1043" s="18"/>
      <c r="JR1043" s="18"/>
      <c r="JS1043" s="18"/>
      <c r="JT1043" s="18"/>
      <c r="JU1043" s="18"/>
      <c r="JV1043" s="18"/>
      <c r="JW1043" s="18"/>
      <c r="JX1043" s="18"/>
      <c r="JY1043" s="18"/>
      <c r="JZ1043" s="18"/>
      <c r="KA1043" s="18"/>
      <c r="KB1043" s="18"/>
      <c r="KC1043" s="18"/>
      <c r="KD1043" s="18"/>
      <c r="KE1043" s="18"/>
      <c r="KF1043" s="18"/>
      <c r="KG1043" s="18"/>
      <c r="KH1043" s="18"/>
      <c r="KI1043" s="18"/>
      <c r="KJ1043" s="18"/>
      <c r="KK1043" s="18"/>
      <c r="KL1043" s="18"/>
      <c r="KM1043" s="18"/>
      <c r="KN1043" s="18"/>
      <c r="KO1043" s="18"/>
      <c r="KP1043" s="18"/>
    </row>
    <row r="1044" spans="1:302">
      <c r="A1044" s="14"/>
      <c r="B1044" s="14"/>
      <c r="F1044" s="14"/>
      <c r="G1044" s="23"/>
      <c r="H1044" s="23"/>
      <c r="I1044" s="23"/>
      <c r="J1044" s="23"/>
      <c r="K1044" s="14"/>
      <c r="L1044" s="14"/>
      <c r="P1044" s="14"/>
      <c r="AG1044" s="44"/>
      <c r="AH1044" s="44"/>
      <c r="AI1044" s="45"/>
      <c r="AJ1044" s="44"/>
      <c r="AK1044" s="43"/>
      <c r="AS1044" s="14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  <c r="EW1044" s="18"/>
      <c r="EX1044" s="18"/>
      <c r="EY1044" s="18"/>
      <c r="EZ1044" s="18"/>
      <c r="FA1044" s="18"/>
      <c r="FB1044" s="18"/>
      <c r="FC1044" s="18"/>
      <c r="FD1044" s="18"/>
      <c r="FE1044" s="18"/>
      <c r="FF1044" s="18"/>
      <c r="FG1044" s="18"/>
      <c r="FH1044" s="18"/>
      <c r="FI1044" s="18"/>
      <c r="FJ1044" s="18"/>
      <c r="FK1044" s="18"/>
      <c r="FL1044" s="18"/>
      <c r="FM1044" s="18"/>
      <c r="FN1044" s="18"/>
      <c r="FO1044" s="18"/>
      <c r="FP1044" s="18"/>
      <c r="FQ1044" s="18"/>
      <c r="FR1044" s="18"/>
      <c r="FS1044" s="18"/>
      <c r="FT1044" s="18"/>
      <c r="FU1044" s="18"/>
      <c r="FV1044" s="18"/>
      <c r="FW1044" s="18"/>
      <c r="FX1044" s="18"/>
      <c r="FY1044" s="18"/>
      <c r="FZ1044" s="18"/>
      <c r="GA1044" s="18"/>
      <c r="GB1044" s="18"/>
      <c r="GC1044" s="18"/>
      <c r="GD1044" s="18"/>
      <c r="GE1044" s="18"/>
      <c r="GF1044" s="18"/>
      <c r="GG1044" s="18"/>
      <c r="GH1044" s="18"/>
      <c r="GI1044" s="18"/>
      <c r="GJ1044" s="18"/>
      <c r="GK1044" s="18"/>
      <c r="GL1044" s="18"/>
      <c r="GM1044" s="18"/>
      <c r="GN1044" s="18"/>
      <c r="GO1044" s="18"/>
      <c r="GP1044" s="18"/>
      <c r="GQ1044" s="18"/>
      <c r="GR1044" s="18"/>
      <c r="GS1044" s="18"/>
      <c r="GT1044" s="18"/>
      <c r="GU1044" s="18"/>
      <c r="GV1044" s="18"/>
      <c r="GW1044" s="18"/>
      <c r="GX1044" s="18"/>
      <c r="GY1044" s="18"/>
      <c r="GZ1044" s="18"/>
      <c r="HA1044" s="18"/>
      <c r="HB1044" s="18"/>
      <c r="HC1044" s="18"/>
      <c r="HD1044" s="18"/>
      <c r="HE1044" s="18"/>
      <c r="HF1044" s="18"/>
      <c r="HG1044" s="13"/>
      <c r="HH1044" s="13"/>
      <c r="HI1044" s="13"/>
      <c r="HJ1044" s="13"/>
      <c r="HK1044" s="13"/>
      <c r="HL1044" s="13"/>
      <c r="HM1044" s="13"/>
      <c r="HN1044" s="13"/>
      <c r="HO1044" s="13"/>
      <c r="HP1044" s="13"/>
      <c r="HQ1044" s="13"/>
      <c r="HR1044" s="13"/>
      <c r="HS1044" s="13"/>
      <c r="HT1044" s="13"/>
      <c r="HU1044" s="18"/>
      <c r="HV1044" s="18"/>
      <c r="HW1044" s="18"/>
      <c r="HX1044" s="18"/>
      <c r="HY1044" s="18"/>
      <c r="HZ1044" s="18"/>
      <c r="IA1044" s="18"/>
      <c r="IB1044" s="18"/>
      <c r="IC1044" s="18"/>
      <c r="ID1044" s="18"/>
      <c r="IE1044" s="18"/>
      <c r="IF1044" s="18"/>
      <c r="IG1044" s="18"/>
      <c r="IH1044" s="18"/>
      <c r="II1044" s="18"/>
      <c r="IJ1044" s="18"/>
      <c r="IK1044" s="18"/>
      <c r="IL1044" s="18"/>
      <c r="IM1044" s="18"/>
      <c r="IN1044" s="18"/>
      <c r="IO1044" s="18"/>
      <c r="IP1044" s="18"/>
      <c r="IQ1044" s="18"/>
      <c r="IR1044" s="18"/>
      <c r="IS1044" s="18"/>
      <c r="IT1044" s="18"/>
      <c r="IU1044" s="18"/>
      <c r="IV1044" s="18"/>
      <c r="IW1044" s="18"/>
      <c r="IX1044" s="18"/>
      <c r="IY1044" s="18"/>
      <c r="IZ1044" s="18"/>
      <c r="JA1044" s="18"/>
      <c r="JB1044" s="18"/>
      <c r="JC1044" s="18"/>
      <c r="JD1044" s="18"/>
      <c r="JE1044" s="18"/>
      <c r="JF1044" s="18"/>
      <c r="JG1044" s="18"/>
      <c r="JH1044" s="18"/>
      <c r="JI1044" s="18"/>
      <c r="JJ1044" s="18"/>
      <c r="JK1044" s="18"/>
      <c r="JL1044" s="18"/>
      <c r="JM1044" s="18"/>
      <c r="JN1044" s="18"/>
      <c r="JO1044" s="18"/>
      <c r="JP1044" s="18"/>
      <c r="JQ1044" s="18"/>
      <c r="JR1044" s="18"/>
      <c r="JS1044" s="18"/>
      <c r="JT1044" s="18"/>
      <c r="JU1044" s="18"/>
      <c r="JV1044" s="18"/>
      <c r="JW1044" s="18"/>
      <c r="JX1044" s="18"/>
      <c r="JY1044" s="18"/>
      <c r="JZ1044" s="18"/>
      <c r="KA1044" s="18"/>
      <c r="KB1044" s="18"/>
      <c r="KC1044" s="18"/>
      <c r="KD1044" s="18"/>
      <c r="KE1044" s="18"/>
      <c r="KF1044" s="18"/>
      <c r="KG1044" s="18"/>
      <c r="KH1044" s="18"/>
      <c r="KI1044" s="18"/>
      <c r="KJ1044" s="18"/>
      <c r="KK1044" s="18"/>
      <c r="KL1044" s="18"/>
      <c r="KM1044" s="18"/>
      <c r="KN1044" s="18"/>
      <c r="KO1044" s="18"/>
      <c r="KP1044" s="18"/>
    </row>
    <row r="1045" spans="1:302">
      <c r="A1045" s="14"/>
      <c r="B1045" s="14"/>
      <c r="F1045" s="14"/>
      <c r="G1045" s="23"/>
      <c r="H1045" s="23"/>
      <c r="I1045" s="23"/>
      <c r="J1045" s="23"/>
      <c r="K1045" s="14"/>
      <c r="L1045" s="14"/>
      <c r="P1045" s="14"/>
      <c r="AG1045" s="44"/>
      <c r="AH1045" s="44"/>
      <c r="AI1045" s="45"/>
      <c r="AJ1045" s="44"/>
      <c r="AK1045" s="43"/>
      <c r="AS1045" s="14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  <c r="EW1045" s="18"/>
      <c r="EX1045" s="18"/>
      <c r="EY1045" s="18"/>
      <c r="EZ1045" s="18"/>
      <c r="FA1045" s="18"/>
      <c r="FB1045" s="18"/>
      <c r="FC1045" s="18"/>
      <c r="FD1045" s="18"/>
      <c r="FE1045" s="18"/>
      <c r="FF1045" s="18"/>
      <c r="FG1045" s="18"/>
      <c r="FH1045" s="18"/>
      <c r="FI1045" s="18"/>
      <c r="FJ1045" s="18"/>
      <c r="FK1045" s="18"/>
      <c r="FL1045" s="18"/>
      <c r="FM1045" s="18"/>
      <c r="FN1045" s="18"/>
      <c r="FO1045" s="18"/>
      <c r="FP1045" s="18"/>
      <c r="FQ1045" s="18"/>
      <c r="FR1045" s="18"/>
      <c r="FS1045" s="18"/>
      <c r="FT1045" s="18"/>
      <c r="FU1045" s="18"/>
      <c r="FV1045" s="18"/>
      <c r="FW1045" s="18"/>
      <c r="FX1045" s="18"/>
      <c r="FY1045" s="18"/>
      <c r="FZ1045" s="18"/>
      <c r="GA1045" s="18"/>
      <c r="GB1045" s="18"/>
      <c r="GC1045" s="18"/>
      <c r="GD1045" s="18"/>
      <c r="GE1045" s="18"/>
      <c r="GF1045" s="18"/>
      <c r="GG1045" s="18"/>
      <c r="GH1045" s="18"/>
      <c r="GI1045" s="18"/>
      <c r="GJ1045" s="18"/>
      <c r="GK1045" s="18"/>
      <c r="GL1045" s="18"/>
      <c r="GM1045" s="18"/>
      <c r="GN1045" s="18"/>
      <c r="GO1045" s="18"/>
      <c r="GP1045" s="18"/>
      <c r="GQ1045" s="18"/>
      <c r="GR1045" s="18"/>
      <c r="GS1045" s="18"/>
      <c r="GT1045" s="18"/>
      <c r="GU1045" s="18"/>
      <c r="GV1045" s="18"/>
      <c r="GW1045" s="18"/>
      <c r="GX1045" s="18"/>
      <c r="GY1045" s="18"/>
      <c r="GZ1045" s="18"/>
      <c r="HA1045" s="18"/>
      <c r="HB1045" s="18"/>
      <c r="HC1045" s="18"/>
      <c r="HD1045" s="18"/>
      <c r="HE1045" s="18"/>
      <c r="HF1045" s="18"/>
      <c r="HG1045" s="13"/>
      <c r="HH1045" s="13"/>
      <c r="HI1045" s="13"/>
      <c r="HJ1045" s="13"/>
      <c r="HK1045" s="13"/>
      <c r="HL1045" s="13"/>
      <c r="HM1045" s="13"/>
      <c r="HN1045" s="13"/>
      <c r="HO1045" s="13"/>
      <c r="HP1045" s="13"/>
      <c r="HQ1045" s="13"/>
      <c r="HR1045" s="13"/>
      <c r="HS1045" s="13"/>
      <c r="HT1045" s="13"/>
      <c r="HU1045" s="18"/>
      <c r="HV1045" s="18"/>
      <c r="HW1045" s="18"/>
      <c r="HX1045" s="18"/>
      <c r="HY1045" s="18"/>
      <c r="HZ1045" s="18"/>
      <c r="IA1045" s="18"/>
      <c r="IB1045" s="18"/>
      <c r="IC1045" s="18"/>
      <c r="ID1045" s="18"/>
      <c r="IE1045" s="18"/>
      <c r="IF1045" s="18"/>
      <c r="IG1045" s="18"/>
      <c r="IH1045" s="18"/>
      <c r="II1045" s="18"/>
      <c r="IJ1045" s="18"/>
      <c r="IK1045" s="18"/>
      <c r="IL1045" s="18"/>
      <c r="IM1045" s="18"/>
      <c r="IN1045" s="18"/>
      <c r="IO1045" s="18"/>
      <c r="IP1045" s="18"/>
      <c r="IQ1045" s="18"/>
      <c r="IR1045" s="18"/>
      <c r="IS1045" s="18"/>
      <c r="IT1045" s="18"/>
      <c r="IU1045" s="18"/>
      <c r="IV1045" s="18"/>
      <c r="IW1045" s="18"/>
      <c r="IX1045" s="18"/>
      <c r="IY1045" s="18"/>
      <c r="IZ1045" s="18"/>
      <c r="JA1045" s="18"/>
      <c r="JB1045" s="18"/>
      <c r="JC1045" s="18"/>
      <c r="JD1045" s="18"/>
      <c r="JE1045" s="18"/>
      <c r="JF1045" s="18"/>
      <c r="JG1045" s="18"/>
      <c r="JH1045" s="18"/>
      <c r="JI1045" s="18"/>
      <c r="JJ1045" s="18"/>
      <c r="JK1045" s="18"/>
      <c r="JL1045" s="18"/>
      <c r="JM1045" s="18"/>
      <c r="JN1045" s="18"/>
      <c r="JO1045" s="18"/>
      <c r="JP1045" s="18"/>
      <c r="JQ1045" s="18"/>
      <c r="JR1045" s="18"/>
      <c r="JS1045" s="18"/>
      <c r="JT1045" s="18"/>
      <c r="JU1045" s="18"/>
      <c r="JV1045" s="18"/>
      <c r="JW1045" s="18"/>
      <c r="JX1045" s="18"/>
      <c r="JY1045" s="18"/>
      <c r="JZ1045" s="18"/>
      <c r="KA1045" s="18"/>
      <c r="KB1045" s="18"/>
      <c r="KC1045" s="18"/>
      <c r="KD1045" s="18"/>
      <c r="KE1045" s="18"/>
      <c r="KF1045" s="18"/>
      <c r="KG1045" s="18"/>
      <c r="KH1045" s="18"/>
      <c r="KI1045" s="18"/>
      <c r="KJ1045" s="18"/>
      <c r="KK1045" s="18"/>
      <c r="KL1045" s="18"/>
      <c r="KM1045" s="18"/>
      <c r="KN1045" s="18"/>
      <c r="KO1045" s="18"/>
      <c r="KP1045" s="18"/>
    </row>
    <row r="1046" spans="1:302">
      <c r="A1046" s="14"/>
      <c r="B1046" s="14"/>
      <c r="F1046" s="14"/>
      <c r="G1046" s="23"/>
      <c r="H1046" s="23"/>
      <c r="I1046" s="23"/>
      <c r="J1046" s="23"/>
      <c r="K1046" s="14"/>
      <c r="L1046" s="14"/>
      <c r="P1046" s="14"/>
      <c r="AG1046" s="44"/>
      <c r="AH1046" s="44"/>
      <c r="AI1046" s="45"/>
      <c r="AJ1046" s="44"/>
      <c r="AK1046" s="43"/>
      <c r="AS1046" s="14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  <c r="EW1046" s="18"/>
      <c r="EX1046" s="18"/>
      <c r="EY1046" s="18"/>
      <c r="EZ1046" s="18"/>
      <c r="FA1046" s="18"/>
      <c r="FB1046" s="18"/>
      <c r="FC1046" s="18"/>
      <c r="FD1046" s="18"/>
      <c r="FE1046" s="18"/>
      <c r="FF1046" s="18"/>
      <c r="FG1046" s="18"/>
      <c r="FH1046" s="18"/>
      <c r="FI1046" s="18"/>
      <c r="FJ1046" s="18"/>
      <c r="FK1046" s="18"/>
      <c r="FL1046" s="18"/>
      <c r="FM1046" s="18"/>
      <c r="FN1046" s="18"/>
      <c r="FO1046" s="18"/>
      <c r="FP1046" s="18"/>
      <c r="FQ1046" s="18"/>
      <c r="FR1046" s="18"/>
      <c r="FS1046" s="18"/>
      <c r="FT1046" s="18"/>
      <c r="FU1046" s="18"/>
      <c r="FV1046" s="18"/>
      <c r="FW1046" s="18"/>
      <c r="FX1046" s="18"/>
      <c r="FY1046" s="18"/>
      <c r="FZ1046" s="18"/>
      <c r="GA1046" s="18"/>
      <c r="GB1046" s="18"/>
      <c r="GC1046" s="18"/>
      <c r="GD1046" s="18"/>
      <c r="GE1046" s="18"/>
      <c r="GF1046" s="18"/>
      <c r="GG1046" s="18"/>
      <c r="GH1046" s="18"/>
      <c r="GI1046" s="18"/>
      <c r="GJ1046" s="18"/>
      <c r="GK1046" s="18"/>
      <c r="GL1046" s="18"/>
      <c r="GM1046" s="18"/>
      <c r="GN1046" s="18"/>
      <c r="GO1046" s="18"/>
      <c r="GP1046" s="18"/>
      <c r="GQ1046" s="18"/>
      <c r="GR1046" s="18"/>
      <c r="GS1046" s="18"/>
      <c r="GT1046" s="18"/>
      <c r="GU1046" s="18"/>
      <c r="GV1046" s="18"/>
      <c r="GW1046" s="18"/>
      <c r="GX1046" s="18"/>
      <c r="GY1046" s="18"/>
      <c r="GZ1046" s="18"/>
      <c r="HA1046" s="18"/>
      <c r="HB1046" s="18"/>
      <c r="HC1046" s="18"/>
      <c r="HD1046" s="18"/>
      <c r="HE1046" s="18"/>
      <c r="HF1046" s="18"/>
      <c r="HG1046" s="13"/>
      <c r="HH1046" s="13"/>
      <c r="HI1046" s="13"/>
      <c r="HJ1046" s="13"/>
      <c r="HK1046" s="13"/>
      <c r="HL1046" s="13"/>
      <c r="HM1046" s="13"/>
      <c r="HN1046" s="13"/>
      <c r="HO1046" s="13"/>
      <c r="HP1046" s="13"/>
      <c r="HQ1046" s="13"/>
      <c r="HR1046" s="13"/>
      <c r="HS1046" s="13"/>
      <c r="HT1046" s="13"/>
      <c r="HU1046" s="18"/>
      <c r="HV1046" s="18"/>
      <c r="HW1046" s="18"/>
      <c r="HX1046" s="18"/>
      <c r="HY1046" s="18"/>
      <c r="HZ1046" s="18"/>
      <c r="IA1046" s="18"/>
      <c r="IB1046" s="18"/>
      <c r="IC1046" s="18"/>
      <c r="ID1046" s="18"/>
      <c r="IE1046" s="18"/>
      <c r="IF1046" s="18"/>
      <c r="IG1046" s="18"/>
      <c r="IH1046" s="18"/>
      <c r="II1046" s="18"/>
      <c r="IJ1046" s="18"/>
      <c r="IK1046" s="18"/>
      <c r="IL1046" s="18"/>
      <c r="IM1046" s="18"/>
      <c r="IN1046" s="18"/>
      <c r="IO1046" s="18"/>
      <c r="IP1046" s="18"/>
      <c r="IQ1046" s="18"/>
      <c r="IR1046" s="18"/>
      <c r="IS1046" s="18"/>
      <c r="IT1046" s="18"/>
      <c r="IU1046" s="18"/>
      <c r="IV1046" s="18"/>
      <c r="IW1046" s="18"/>
      <c r="IX1046" s="18"/>
      <c r="IY1046" s="18"/>
      <c r="IZ1046" s="18"/>
      <c r="JA1046" s="18"/>
      <c r="JB1046" s="18"/>
      <c r="JC1046" s="18"/>
      <c r="JD1046" s="18"/>
      <c r="JE1046" s="18"/>
      <c r="JF1046" s="18"/>
      <c r="JG1046" s="18"/>
      <c r="JH1046" s="18"/>
      <c r="JI1046" s="18"/>
      <c r="JJ1046" s="18"/>
      <c r="JK1046" s="18"/>
      <c r="JL1046" s="18"/>
      <c r="JM1046" s="18"/>
      <c r="JN1046" s="18"/>
      <c r="JO1046" s="18"/>
      <c r="JP1046" s="18"/>
      <c r="JQ1046" s="18"/>
      <c r="JR1046" s="18"/>
      <c r="JS1046" s="18"/>
      <c r="JT1046" s="18"/>
      <c r="JU1046" s="18"/>
      <c r="JV1046" s="18"/>
      <c r="JW1046" s="18"/>
      <c r="JX1046" s="18"/>
      <c r="JY1046" s="18"/>
      <c r="JZ1046" s="18"/>
      <c r="KA1046" s="18"/>
      <c r="KB1046" s="18"/>
      <c r="KC1046" s="18"/>
      <c r="KD1046" s="18"/>
      <c r="KE1046" s="18"/>
      <c r="KF1046" s="18"/>
      <c r="KG1046" s="18"/>
      <c r="KH1046" s="18"/>
      <c r="KI1046" s="18"/>
      <c r="KJ1046" s="18"/>
      <c r="KK1046" s="18"/>
      <c r="KL1046" s="18"/>
      <c r="KM1046" s="18"/>
      <c r="KN1046" s="18"/>
      <c r="KO1046" s="18"/>
      <c r="KP1046" s="18"/>
    </row>
    <row r="1047" spans="1:302">
      <c r="A1047" s="14"/>
      <c r="B1047" s="14"/>
      <c r="F1047" s="14"/>
      <c r="G1047" s="23"/>
      <c r="H1047" s="23"/>
      <c r="I1047" s="23"/>
      <c r="J1047" s="23"/>
      <c r="K1047" s="14"/>
      <c r="L1047" s="14"/>
      <c r="P1047" s="14"/>
      <c r="AG1047" s="44"/>
      <c r="AH1047" s="44"/>
      <c r="AI1047" s="45"/>
      <c r="AJ1047" s="44"/>
      <c r="AK1047" s="43"/>
      <c r="AS1047" s="14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  <c r="EW1047" s="18"/>
      <c r="EX1047" s="18"/>
      <c r="EY1047" s="18"/>
      <c r="EZ1047" s="18"/>
      <c r="FA1047" s="18"/>
      <c r="FB1047" s="18"/>
      <c r="FC1047" s="18"/>
      <c r="FD1047" s="18"/>
      <c r="FE1047" s="18"/>
      <c r="FF1047" s="18"/>
      <c r="FG1047" s="18"/>
      <c r="FH1047" s="18"/>
      <c r="FI1047" s="18"/>
      <c r="FJ1047" s="18"/>
      <c r="FK1047" s="18"/>
      <c r="FL1047" s="18"/>
      <c r="FM1047" s="18"/>
      <c r="FN1047" s="18"/>
      <c r="FO1047" s="18"/>
      <c r="FP1047" s="18"/>
      <c r="FQ1047" s="18"/>
      <c r="FR1047" s="18"/>
      <c r="FS1047" s="18"/>
      <c r="FT1047" s="18"/>
      <c r="FU1047" s="18"/>
      <c r="FV1047" s="18"/>
      <c r="FW1047" s="18"/>
      <c r="FX1047" s="18"/>
      <c r="FY1047" s="18"/>
      <c r="FZ1047" s="18"/>
      <c r="GA1047" s="18"/>
      <c r="GB1047" s="18"/>
      <c r="GC1047" s="18"/>
      <c r="GD1047" s="18"/>
      <c r="GE1047" s="18"/>
      <c r="GF1047" s="18"/>
      <c r="GG1047" s="18"/>
      <c r="GH1047" s="18"/>
      <c r="GI1047" s="18"/>
      <c r="GJ1047" s="18"/>
      <c r="GK1047" s="18"/>
      <c r="GL1047" s="18"/>
      <c r="GM1047" s="18"/>
      <c r="GN1047" s="18"/>
      <c r="GO1047" s="18"/>
      <c r="GP1047" s="18"/>
      <c r="GQ1047" s="18"/>
      <c r="GR1047" s="18"/>
      <c r="GS1047" s="18"/>
      <c r="GT1047" s="18"/>
      <c r="GU1047" s="18"/>
      <c r="GV1047" s="18"/>
      <c r="GW1047" s="18"/>
      <c r="GX1047" s="18"/>
      <c r="GY1047" s="18"/>
      <c r="GZ1047" s="18"/>
      <c r="HA1047" s="18"/>
      <c r="HB1047" s="18"/>
      <c r="HC1047" s="18"/>
      <c r="HD1047" s="18"/>
      <c r="HE1047" s="18"/>
      <c r="HF1047" s="18"/>
      <c r="HG1047" s="13"/>
      <c r="HH1047" s="13"/>
      <c r="HI1047" s="13"/>
      <c r="HJ1047" s="13"/>
      <c r="HK1047" s="13"/>
      <c r="HL1047" s="13"/>
      <c r="HM1047" s="13"/>
      <c r="HN1047" s="13"/>
      <c r="HO1047" s="13"/>
      <c r="HP1047" s="13"/>
      <c r="HQ1047" s="13"/>
      <c r="HR1047" s="13"/>
      <c r="HS1047" s="13"/>
      <c r="HT1047" s="13"/>
      <c r="HU1047" s="18"/>
      <c r="HV1047" s="18"/>
      <c r="HW1047" s="18"/>
      <c r="HX1047" s="18"/>
      <c r="HY1047" s="18"/>
      <c r="HZ1047" s="18"/>
      <c r="IA1047" s="18"/>
      <c r="IB1047" s="18"/>
      <c r="IC1047" s="18"/>
      <c r="ID1047" s="18"/>
      <c r="IE1047" s="18"/>
      <c r="IF1047" s="18"/>
      <c r="IG1047" s="18"/>
      <c r="IH1047" s="18"/>
      <c r="II1047" s="18"/>
      <c r="IJ1047" s="18"/>
      <c r="IK1047" s="18"/>
      <c r="IL1047" s="18"/>
      <c r="IM1047" s="18"/>
      <c r="IN1047" s="18"/>
      <c r="IO1047" s="18"/>
      <c r="IP1047" s="18"/>
      <c r="IQ1047" s="18"/>
      <c r="IR1047" s="18"/>
      <c r="IS1047" s="18"/>
      <c r="IT1047" s="18"/>
      <c r="IU1047" s="18"/>
      <c r="IV1047" s="18"/>
      <c r="IW1047" s="18"/>
      <c r="IX1047" s="18"/>
      <c r="IY1047" s="18"/>
      <c r="IZ1047" s="18"/>
      <c r="JA1047" s="18"/>
      <c r="JB1047" s="18"/>
      <c r="JC1047" s="18"/>
      <c r="JD1047" s="18"/>
      <c r="JE1047" s="18"/>
      <c r="JF1047" s="18"/>
      <c r="JG1047" s="18"/>
      <c r="JH1047" s="18"/>
      <c r="JI1047" s="18"/>
      <c r="JJ1047" s="18"/>
      <c r="JK1047" s="18"/>
      <c r="JL1047" s="18"/>
      <c r="JM1047" s="18"/>
      <c r="JN1047" s="18"/>
      <c r="JO1047" s="18"/>
      <c r="JP1047" s="18"/>
      <c r="JQ1047" s="18"/>
      <c r="JR1047" s="18"/>
      <c r="JS1047" s="18"/>
      <c r="JT1047" s="18"/>
      <c r="JU1047" s="18"/>
      <c r="JV1047" s="18"/>
      <c r="JW1047" s="18"/>
      <c r="JX1047" s="18"/>
      <c r="JY1047" s="18"/>
      <c r="JZ1047" s="18"/>
      <c r="KA1047" s="18"/>
      <c r="KB1047" s="18"/>
      <c r="KC1047" s="18"/>
      <c r="KD1047" s="18"/>
      <c r="KE1047" s="18"/>
      <c r="KF1047" s="18"/>
      <c r="KG1047" s="18"/>
      <c r="KH1047" s="18"/>
      <c r="KI1047" s="18"/>
      <c r="KJ1047" s="18"/>
      <c r="KK1047" s="18"/>
      <c r="KL1047" s="18"/>
      <c r="KM1047" s="18"/>
      <c r="KN1047" s="18"/>
      <c r="KO1047" s="18"/>
      <c r="KP1047" s="18"/>
    </row>
    <row r="1048" spans="1:302">
      <c r="A1048" s="14"/>
      <c r="B1048" s="14"/>
      <c r="F1048" s="14"/>
      <c r="G1048" s="23"/>
      <c r="H1048" s="23"/>
      <c r="I1048" s="23"/>
      <c r="J1048" s="23"/>
      <c r="K1048" s="14"/>
      <c r="L1048" s="14"/>
      <c r="P1048" s="14"/>
      <c r="AG1048" s="44"/>
      <c r="AH1048" s="44"/>
      <c r="AI1048" s="45"/>
      <c r="AJ1048" s="44"/>
      <c r="AK1048" s="43"/>
      <c r="AS1048" s="14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  <c r="EW1048" s="18"/>
      <c r="EX1048" s="18"/>
      <c r="EY1048" s="18"/>
      <c r="EZ1048" s="18"/>
      <c r="FA1048" s="18"/>
      <c r="FB1048" s="18"/>
      <c r="FC1048" s="18"/>
      <c r="FD1048" s="18"/>
      <c r="FE1048" s="18"/>
      <c r="FF1048" s="18"/>
      <c r="FG1048" s="18"/>
      <c r="FH1048" s="18"/>
      <c r="FI1048" s="18"/>
      <c r="FJ1048" s="18"/>
      <c r="FK1048" s="18"/>
      <c r="FL1048" s="18"/>
      <c r="FM1048" s="18"/>
      <c r="FN1048" s="18"/>
      <c r="FO1048" s="18"/>
      <c r="FP1048" s="18"/>
      <c r="FQ1048" s="18"/>
      <c r="FR1048" s="18"/>
      <c r="FS1048" s="18"/>
      <c r="FT1048" s="18"/>
      <c r="FU1048" s="18"/>
      <c r="FV1048" s="18"/>
      <c r="FW1048" s="18"/>
      <c r="FX1048" s="18"/>
      <c r="FY1048" s="18"/>
      <c r="FZ1048" s="18"/>
      <c r="GA1048" s="18"/>
      <c r="GB1048" s="18"/>
      <c r="GC1048" s="18"/>
      <c r="GD1048" s="18"/>
      <c r="GE1048" s="18"/>
      <c r="GF1048" s="18"/>
      <c r="GG1048" s="18"/>
      <c r="GH1048" s="18"/>
      <c r="GI1048" s="18"/>
      <c r="GJ1048" s="18"/>
      <c r="GK1048" s="18"/>
      <c r="GL1048" s="18"/>
      <c r="GM1048" s="18"/>
      <c r="GN1048" s="18"/>
      <c r="GO1048" s="18"/>
      <c r="GP1048" s="18"/>
      <c r="GQ1048" s="18"/>
      <c r="GR1048" s="18"/>
      <c r="GS1048" s="18"/>
      <c r="GT1048" s="18"/>
      <c r="GU1048" s="18"/>
      <c r="GV1048" s="18"/>
      <c r="GW1048" s="18"/>
      <c r="GX1048" s="18"/>
      <c r="GY1048" s="18"/>
      <c r="GZ1048" s="18"/>
      <c r="HA1048" s="18"/>
      <c r="HB1048" s="18"/>
      <c r="HC1048" s="18"/>
      <c r="HD1048" s="18"/>
      <c r="HE1048" s="18"/>
      <c r="HF1048" s="18"/>
      <c r="HG1048" s="13"/>
      <c r="HH1048" s="13"/>
      <c r="HI1048" s="13"/>
      <c r="HJ1048" s="13"/>
      <c r="HK1048" s="13"/>
      <c r="HL1048" s="13"/>
      <c r="HM1048" s="13"/>
      <c r="HN1048" s="13"/>
      <c r="HO1048" s="13"/>
      <c r="HP1048" s="13"/>
      <c r="HQ1048" s="13"/>
      <c r="HR1048" s="13"/>
      <c r="HS1048" s="13"/>
      <c r="HT1048" s="13"/>
      <c r="HU1048" s="18"/>
      <c r="HV1048" s="18"/>
      <c r="HW1048" s="18"/>
      <c r="HX1048" s="18"/>
      <c r="HY1048" s="18"/>
      <c r="HZ1048" s="18"/>
      <c r="IA1048" s="18"/>
      <c r="IB1048" s="18"/>
      <c r="IC1048" s="18"/>
      <c r="ID1048" s="18"/>
      <c r="IE1048" s="18"/>
      <c r="IF1048" s="18"/>
      <c r="IG1048" s="18"/>
      <c r="IH1048" s="18"/>
      <c r="II1048" s="18"/>
      <c r="IJ1048" s="18"/>
      <c r="IK1048" s="18"/>
      <c r="IL1048" s="18"/>
      <c r="IM1048" s="18"/>
      <c r="IN1048" s="18"/>
      <c r="IO1048" s="18"/>
      <c r="IP1048" s="18"/>
      <c r="IQ1048" s="18"/>
      <c r="IR1048" s="18"/>
      <c r="IS1048" s="18"/>
      <c r="IT1048" s="18"/>
      <c r="IU1048" s="18"/>
      <c r="IV1048" s="18"/>
      <c r="IW1048" s="18"/>
      <c r="IX1048" s="18"/>
      <c r="IY1048" s="18"/>
      <c r="IZ1048" s="18"/>
      <c r="JA1048" s="18"/>
      <c r="JB1048" s="18"/>
      <c r="JC1048" s="18"/>
      <c r="JD1048" s="18"/>
      <c r="JE1048" s="18"/>
      <c r="JF1048" s="18"/>
      <c r="JG1048" s="18"/>
      <c r="JH1048" s="18"/>
      <c r="JI1048" s="18"/>
      <c r="JJ1048" s="18"/>
      <c r="JK1048" s="18"/>
      <c r="JL1048" s="18"/>
      <c r="JM1048" s="18"/>
      <c r="JN1048" s="18"/>
      <c r="JO1048" s="18"/>
      <c r="JP1048" s="18"/>
      <c r="JQ1048" s="18"/>
      <c r="JR1048" s="18"/>
      <c r="JS1048" s="18"/>
      <c r="JT1048" s="18"/>
      <c r="JU1048" s="18"/>
      <c r="JV1048" s="18"/>
      <c r="JW1048" s="18"/>
      <c r="JX1048" s="18"/>
      <c r="JY1048" s="18"/>
      <c r="JZ1048" s="18"/>
      <c r="KA1048" s="18"/>
      <c r="KB1048" s="18"/>
      <c r="KC1048" s="18"/>
      <c r="KD1048" s="18"/>
      <c r="KE1048" s="18"/>
      <c r="KF1048" s="18"/>
      <c r="KG1048" s="18"/>
      <c r="KH1048" s="18"/>
      <c r="KI1048" s="18"/>
      <c r="KJ1048" s="18"/>
      <c r="KK1048" s="18"/>
      <c r="KL1048" s="18"/>
      <c r="KM1048" s="18"/>
      <c r="KN1048" s="18"/>
      <c r="KO1048" s="18"/>
      <c r="KP1048" s="18"/>
    </row>
    <row r="1049" spans="1:302">
      <c r="A1049" s="14"/>
      <c r="B1049" s="14"/>
      <c r="F1049" s="14"/>
      <c r="G1049" s="23"/>
      <c r="H1049" s="23"/>
      <c r="I1049" s="23"/>
      <c r="J1049" s="23"/>
      <c r="K1049" s="14"/>
      <c r="L1049" s="14"/>
      <c r="P1049" s="14"/>
      <c r="AG1049" s="44"/>
      <c r="AH1049" s="44"/>
      <c r="AI1049" s="45"/>
      <c r="AJ1049" s="44"/>
      <c r="AK1049" s="43"/>
      <c r="AS1049" s="14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  <c r="EW1049" s="18"/>
      <c r="EX1049" s="18"/>
      <c r="EY1049" s="18"/>
      <c r="EZ1049" s="18"/>
      <c r="FA1049" s="18"/>
      <c r="FB1049" s="18"/>
      <c r="FC1049" s="18"/>
      <c r="FD1049" s="18"/>
      <c r="FE1049" s="18"/>
      <c r="FF1049" s="18"/>
      <c r="FG1049" s="18"/>
      <c r="FH1049" s="18"/>
      <c r="FI1049" s="18"/>
      <c r="FJ1049" s="18"/>
      <c r="FK1049" s="18"/>
      <c r="FL1049" s="18"/>
      <c r="FM1049" s="18"/>
      <c r="FN1049" s="18"/>
      <c r="FO1049" s="18"/>
      <c r="FP1049" s="18"/>
      <c r="FQ1049" s="18"/>
      <c r="FR1049" s="18"/>
      <c r="FS1049" s="18"/>
      <c r="FT1049" s="18"/>
      <c r="FU1049" s="18"/>
      <c r="FV1049" s="18"/>
      <c r="FW1049" s="18"/>
      <c r="FX1049" s="18"/>
      <c r="FY1049" s="18"/>
      <c r="FZ1049" s="18"/>
      <c r="GA1049" s="18"/>
      <c r="GB1049" s="18"/>
      <c r="GC1049" s="18"/>
      <c r="GD1049" s="18"/>
      <c r="GE1049" s="18"/>
      <c r="GF1049" s="18"/>
      <c r="GG1049" s="18"/>
      <c r="GH1049" s="18"/>
      <c r="GI1049" s="18"/>
      <c r="GJ1049" s="18"/>
      <c r="GK1049" s="18"/>
      <c r="GL1049" s="18"/>
      <c r="GM1049" s="18"/>
      <c r="GN1049" s="18"/>
      <c r="GO1049" s="18"/>
      <c r="GP1049" s="18"/>
      <c r="GQ1049" s="18"/>
      <c r="GR1049" s="18"/>
      <c r="GS1049" s="18"/>
      <c r="GT1049" s="18"/>
      <c r="GU1049" s="18"/>
      <c r="GV1049" s="18"/>
      <c r="GW1049" s="18"/>
      <c r="GX1049" s="18"/>
      <c r="GY1049" s="18"/>
      <c r="GZ1049" s="18"/>
      <c r="HA1049" s="18"/>
      <c r="HB1049" s="18"/>
      <c r="HC1049" s="18"/>
      <c r="HD1049" s="18"/>
      <c r="HE1049" s="18"/>
      <c r="HF1049" s="18"/>
      <c r="HG1049" s="13"/>
      <c r="HH1049" s="13"/>
      <c r="HI1049" s="13"/>
      <c r="HJ1049" s="13"/>
      <c r="HK1049" s="13"/>
      <c r="HL1049" s="13"/>
      <c r="HM1049" s="13"/>
      <c r="HN1049" s="13"/>
      <c r="HO1049" s="13"/>
      <c r="HP1049" s="13"/>
      <c r="HQ1049" s="13"/>
      <c r="HR1049" s="13"/>
      <c r="HS1049" s="13"/>
      <c r="HT1049" s="13"/>
      <c r="HU1049" s="18"/>
      <c r="HV1049" s="18"/>
      <c r="HW1049" s="18"/>
      <c r="HX1049" s="18"/>
      <c r="HY1049" s="18"/>
      <c r="HZ1049" s="18"/>
      <c r="IA1049" s="18"/>
      <c r="IB1049" s="18"/>
      <c r="IC1049" s="18"/>
      <c r="ID1049" s="18"/>
      <c r="IE1049" s="18"/>
      <c r="IF1049" s="18"/>
      <c r="IG1049" s="18"/>
      <c r="IH1049" s="18"/>
      <c r="II1049" s="18"/>
      <c r="IJ1049" s="18"/>
      <c r="IK1049" s="18"/>
      <c r="IL1049" s="18"/>
      <c r="IM1049" s="18"/>
      <c r="IN1049" s="18"/>
      <c r="IO1049" s="18"/>
      <c r="IP1049" s="18"/>
      <c r="IQ1049" s="18"/>
      <c r="IR1049" s="18"/>
      <c r="IS1049" s="18"/>
      <c r="IT1049" s="18"/>
      <c r="IU1049" s="18"/>
      <c r="IV1049" s="18"/>
      <c r="IW1049" s="18"/>
      <c r="IX1049" s="18"/>
      <c r="IY1049" s="18"/>
      <c r="IZ1049" s="18"/>
      <c r="JA1049" s="18"/>
      <c r="JB1049" s="18"/>
      <c r="JC1049" s="18"/>
      <c r="JD1049" s="18"/>
      <c r="JE1049" s="18"/>
      <c r="JF1049" s="18"/>
      <c r="JG1049" s="18"/>
      <c r="JH1049" s="18"/>
      <c r="JI1049" s="18"/>
      <c r="JJ1049" s="18"/>
      <c r="JK1049" s="18"/>
      <c r="JL1049" s="18"/>
      <c r="JM1049" s="18"/>
      <c r="JN1049" s="18"/>
      <c r="JO1049" s="18"/>
      <c r="JP1049" s="18"/>
      <c r="JQ1049" s="18"/>
      <c r="JR1049" s="18"/>
      <c r="JS1049" s="18"/>
      <c r="JT1049" s="18"/>
      <c r="JU1049" s="18"/>
      <c r="JV1049" s="18"/>
      <c r="JW1049" s="18"/>
      <c r="JX1049" s="18"/>
      <c r="JY1049" s="18"/>
      <c r="JZ1049" s="18"/>
      <c r="KA1049" s="18"/>
      <c r="KB1049" s="18"/>
      <c r="KC1049" s="18"/>
      <c r="KD1049" s="18"/>
      <c r="KE1049" s="18"/>
      <c r="KF1049" s="18"/>
      <c r="KG1049" s="18"/>
      <c r="KH1049" s="18"/>
      <c r="KI1049" s="18"/>
      <c r="KJ1049" s="18"/>
      <c r="KK1049" s="18"/>
      <c r="KL1049" s="18"/>
      <c r="KM1049" s="18"/>
      <c r="KN1049" s="18"/>
      <c r="KO1049" s="18"/>
      <c r="KP1049" s="18"/>
    </row>
    <row r="1050" spans="1:302">
      <c r="A1050" s="14"/>
      <c r="B1050" s="14"/>
      <c r="F1050" s="14"/>
      <c r="G1050" s="23"/>
      <c r="H1050" s="23"/>
      <c r="I1050" s="23"/>
      <c r="J1050" s="23"/>
      <c r="K1050" s="14"/>
      <c r="L1050" s="14"/>
      <c r="P1050" s="14"/>
      <c r="AG1050" s="44"/>
      <c r="AH1050" s="44"/>
      <c r="AI1050" s="45"/>
      <c r="AJ1050" s="44"/>
      <c r="AK1050" s="43"/>
      <c r="AS1050" s="14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  <c r="EW1050" s="18"/>
      <c r="EX1050" s="18"/>
      <c r="EY1050" s="18"/>
      <c r="EZ1050" s="18"/>
      <c r="FA1050" s="18"/>
      <c r="FB1050" s="18"/>
      <c r="FC1050" s="18"/>
      <c r="FD1050" s="18"/>
      <c r="FE1050" s="18"/>
      <c r="FF1050" s="18"/>
      <c r="FG1050" s="18"/>
      <c r="FH1050" s="18"/>
      <c r="FI1050" s="18"/>
      <c r="FJ1050" s="18"/>
      <c r="FK1050" s="18"/>
      <c r="FL1050" s="18"/>
      <c r="FM1050" s="18"/>
      <c r="FN1050" s="18"/>
      <c r="FO1050" s="18"/>
      <c r="FP1050" s="18"/>
      <c r="FQ1050" s="18"/>
      <c r="FR1050" s="18"/>
      <c r="FS1050" s="18"/>
      <c r="FT1050" s="18"/>
      <c r="FU1050" s="18"/>
      <c r="FV1050" s="18"/>
      <c r="FW1050" s="18"/>
      <c r="FX1050" s="18"/>
      <c r="FY1050" s="18"/>
      <c r="FZ1050" s="18"/>
      <c r="GA1050" s="18"/>
      <c r="GB1050" s="18"/>
      <c r="GC1050" s="18"/>
      <c r="GD1050" s="18"/>
      <c r="GE1050" s="18"/>
      <c r="GF1050" s="18"/>
      <c r="GG1050" s="18"/>
      <c r="GH1050" s="18"/>
      <c r="GI1050" s="18"/>
      <c r="GJ1050" s="18"/>
      <c r="GK1050" s="18"/>
      <c r="GL1050" s="18"/>
      <c r="GM1050" s="18"/>
      <c r="GN1050" s="18"/>
      <c r="GO1050" s="18"/>
      <c r="GP1050" s="18"/>
      <c r="GQ1050" s="18"/>
      <c r="GR1050" s="18"/>
      <c r="GS1050" s="18"/>
      <c r="GT1050" s="18"/>
      <c r="GU1050" s="18"/>
      <c r="GV1050" s="18"/>
      <c r="GW1050" s="18"/>
      <c r="GX1050" s="18"/>
      <c r="GY1050" s="18"/>
      <c r="GZ1050" s="18"/>
      <c r="HA1050" s="18"/>
      <c r="HB1050" s="18"/>
      <c r="HC1050" s="18"/>
      <c r="HD1050" s="18"/>
      <c r="HE1050" s="18"/>
      <c r="HF1050" s="18"/>
      <c r="HG1050" s="13"/>
      <c r="HH1050" s="13"/>
      <c r="HI1050" s="13"/>
      <c r="HJ1050" s="13"/>
      <c r="HK1050" s="13"/>
      <c r="HL1050" s="13"/>
      <c r="HM1050" s="13"/>
      <c r="HN1050" s="13"/>
      <c r="HO1050" s="13"/>
      <c r="HP1050" s="13"/>
      <c r="HQ1050" s="13"/>
      <c r="HR1050" s="13"/>
      <c r="HS1050" s="13"/>
      <c r="HT1050" s="13"/>
      <c r="HU1050" s="18"/>
      <c r="HV1050" s="18"/>
      <c r="HW1050" s="18"/>
      <c r="HX1050" s="18"/>
      <c r="HY1050" s="18"/>
      <c r="HZ1050" s="18"/>
      <c r="IA1050" s="18"/>
      <c r="IB1050" s="18"/>
      <c r="IC1050" s="18"/>
      <c r="ID1050" s="18"/>
      <c r="IE1050" s="18"/>
      <c r="IF1050" s="18"/>
      <c r="IG1050" s="18"/>
      <c r="IH1050" s="18"/>
      <c r="II1050" s="18"/>
      <c r="IJ1050" s="18"/>
      <c r="IK1050" s="18"/>
      <c r="IL1050" s="18"/>
      <c r="IM1050" s="18"/>
      <c r="IN1050" s="18"/>
      <c r="IO1050" s="18"/>
      <c r="IP1050" s="18"/>
      <c r="IQ1050" s="18"/>
      <c r="IR1050" s="18"/>
      <c r="IS1050" s="18"/>
      <c r="IT1050" s="18"/>
      <c r="IU1050" s="18"/>
      <c r="IV1050" s="18"/>
      <c r="IW1050" s="18"/>
      <c r="IX1050" s="18"/>
      <c r="IY1050" s="18"/>
      <c r="IZ1050" s="18"/>
      <c r="JA1050" s="18"/>
      <c r="JB1050" s="18"/>
      <c r="JC1050" s="18"/>
      <c r="JD1050" s="18"/>
      <c r="JE1050" s="18"/>
      <c r="JF1050" s="18"/>
      <c r="JG1050" s="18"/>
      <c r="JH1050" s="18"/>
      <c r="JI1050" s="18"/>
      <c r="JJ1050" s="18"/>
      <c r="JK1050" s="18"/>
      <c r="JL1050" s="18"/>
      <c r="JM1050" s="18"/>
      <c r="JN1050" s="18"/>
      <c r="JO1050" s="18"/>
      <c r="JP1050" s="18"/>
      <c r="JQ1050" s="18"/>
      <c r="JR1050" s="18"/>
      <c r="JS1050" s="18"/>
      <c r="JT1050" s="18"/>
      <c r="JU1050" s="18"/>
      <c r="JV1050" s="18"/>
      <c r="JW1050" s="18"/>
      <c r="JX1050" s="18"/>
      <c r="JY1050" s="18"/>
      <c r="JZ1050" s="18"/>
      <c r="KA1050" s="18"/>
      <c r="KB1050" s="18"/>
      <c r="KC1050" s="18"/>
      <c r="KD1050" s="18"/>
      <c r="KE1050" s="18"/>
      <c r="KF1050" s="18"/>
      <c r="KG1050" s="18"/>
      <c r="KH1050" s="18"/>
      <c r="KI1050" s="18"/>
      <c r="KJ1050" s="18"/>
      <c r="KK1050" s="18"/>
      <c r="KL1050" s="18"/>
      <c r="KM1050" s="18"/>
      <c r="KN1050" s="18"/>
      <c r="KO1050" s="18"/>
      <c r="KP1050" s="18"/>
    </row>
    <row r="1051" spans="1:302">
      <c r="A1051" s="14"/>
      <c r="B1051" s="14"/>
      <c r="F1051" s="14"/>
      <c r="G1051" s="23"/>
      <c r="H1051" s="23"/>
      <c r="I1051" s="23"/>
      <c r="J1051" s="23"/>
      <c r="K1051" s="14"/>
      <c r="L1051" s="14"/>
      <c r="P1051" s="14"/>
      <c r="AG1051" s="44"/>
      <c r="AH1051" s="44"/>
      <c r="AI1051" s="45"/>
      <c r="AJ1051" s="44"/>
      <c r="AK1051" s="43"/>
      <c r="AS1051" s="14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  <c r="EW1051" s="18"/>
      <c r="EX1051" s="18"/>
      <c r="EY1051" s="18"/>
      <c r="EZ1051" s="18"/>
      <c r="FA1051" s="18"/>
      <c r="FB1051" s="18"/>
      <c r="FC1051" s="18"/>
      <c r="FD1051" s="18"/>
      <c r="FE1051" s="18"/>
      <c r="FF1051" s="18"/>
      <c r="FG1051" s="18"/>
      <c r="FH1051" s="18"/>
      <c r="FI1051" s="18"/>
      <c r="FJ1051" s="18"/>
      <c r="FK1051" s="18"/>
      <c r="FL1051" s="18"/>
      <c r="FM1051" s="18"/>
      <c r="FN1051" s="18"/>
      <c r="FO1051" s="18"/>
      <c r="FP1051" s="18"/>
      <c r="FQ1051" s="18"/>
      <c r="FR1051" s="18"/>
      <c r="FS1051" s="18"/>
      <c r="FT1051" s="18"/>
      <c r="FU1051" s="18"/>
      <c r="FV1051" s="18"/>
      <c r="FW1051" s="18"/>
      <c r="FX1051" s="18"/>
      <c r="FY1051" s="18"/>
      <c r="FZ1051" s="18"/>
      <c r="GA1051" s="18"/>
      <c r="GB1051" s="18"/>
      <c r="GC1051" s="18"/>
      <c r="GD1051" s="18"/>
      <c r="GE1051" s="18"/>
      <c r="GF1051" s="18"/>
      <c r="GG1051" s="18"/>
      <c r="GH1051" s="18"/>
      <c r="GI1051" s="18"/>
      <c r="GJ1051" s="18"/>
      <c r="GK1051" s="18"/>
      <c r="GL1051" s="18"/>
      <c r="GM1051" s="18"/>
      <c r="GN1051" s="18"/>
      <c r="GO1051" s="18"/>
      <c r="GP1051" s="18"/>
      <c r="GQ1051" s="18"/>
      <c r="GR1051" s="18"/>
      <c r="GS1051" s="18"/>
      <c r="GT1051" s="18"/>
      <c r="GU1051" s="18"/>
      <c r="GV1051" s="18"/>
      <c r="GW1051" s="18"/>
      <c r="GX1051" s="18"/>
      <c r="GY1051" s="18"/>
      <c r="GZ1051" s="18"/>
      <c r="HA1051" s="18"/>
      <c r="HB1051" s="18"/>
      <c r="HC1051" s="18"/>
      <c r="HD1051" s="18"/>
      <c r="HE1051" s="18"/>
      <c r="HF1051" s="18"/>
      <c r="HG1051" s="13"/>
      <c r="HH1051" s="13"/>
      <c r="HI1051" s="13"/>
      <c r="HJ1051" s="13"/>
      <c r="HK1051" s="13"/>
      <c r="HL1051" s="13"/>
      <c r="HM1051" s="13"/>
      <c r="HN1051" s="13"/>
      <c r="HO1051" s="13"/>
      <c r="HP1051" s="13"/>
      <c r="HQ1051" s="13"/>
      <c r="HR1051" s="13"/>
      <c r="HS1051" s="13"/>
      <c r="HT1051" s="13"/>
      <c r="HU1051" s="18"/>
      <c r="HV1051" s="18"/>
      <c r="HW1051" s="18"/>
      <c r="HX1051" s="18"/>
      <c r="HY1051" s="18"/>
      <c r="HZ1051" s="18"/>
      <c r="IA1051" s="18"/>
      <c r="IB1051" s="18"/>
      <c r="IC1051" s="18"/>
      <c r="ID1051" s="18"/>
      <c r="IE1051" s="18"/>
      <c r="IF1051" s="18"/>
      <c r="IG1051" s="18"/>
      <c r="IH1051" s="18"/>
      <c r="II1051" s="18"/>
      <c r="IJ1051" s="18"/>
      <c r="IK1051" s="18"/>
      <c r="IL1051" s="18"/>
      <c r="IM1051" s="18"/>
      <c r="IN1051" s="18"/>
      <c r="IO1051" s="18"/>
      <c r="IP1051" s="18"/>
      <c r="IQ1051" s="18"/>
      <c r="IR1051" s="18"/>
      <c r="IS1051" s="18"/>
      <c r="IT1051" s="18"/>
      <c r="IU1051" s="18"/>
      <c r="IV1051" s="18"/>
      <c r="IW1051" s="18"/>
      <c r="IX1051" s="18"/>
      <c r="IY1051" s="18"/>
      <c r="IZ1051" s="18"/>
      <c r="JA1051" s="18"/>
      <c r="JB1051" s="18"/>
      <c r="JC1051" s="18"/>
      <c r="JD1051" s="18"/>
      <c r="JE1051" s="18"/>
      <c r="JF1051" s="18"/>
      <c r="JG1051" s="18"/>
      <c r="JH1051" s="18"/>
      <c r="JI1051" s="18"/>
      <c r="JJ1051" s="18"/>
      <c r="JK1051" s="18"/>
      <c r="JL1051" s="18"/>
      <c r="JM1051" s="18"/>
      <c r="JN1051" s="18"/>
      <c r="JO1051" s="18"/>
      <c r="JP1051" s="18"/>
      <c r="JQ1051" s="18"/>
      <c r="JR1051" s="18"/>
      <c r="JS1051" s="18"/>
      <c r="JT1051" s="18"/>
      <c r="JU1051" s="18"/>
      <c r="JV1051" s="18"/>
      <c r="JW1051" s="18"/>
      <c r="JX1051" s="18"/>
      <c r="JY1051" s="18"/>
      <c r="JZ1051" s="18"/>
      <c r="KA1051" s="18"/>
      <c r="KB1051" s="18"/>
      <c r="KC1051" s="18"/>
      <c r="KD1051" s="18"/>
      <c r="KE1051" s="18"/>
      <c r="KF1051" s="18"/>
      <c r="KG1051" s="18"/>
      <c r="KH1051" s="18"/>
      <c r="KI1051" s="18"/>
      <c r="KJ1051" s="18"/>
      <c r="KK1051" s="18"/>
      <c r="KL1051" s="18"/>
      <c r="KM1051" s="18"/>
      <c r="KN1051" s="18"/>
      <c r="KO1051" s="18"/>
      <c r="KP1051" s="18"/>
    </row>
    <row r="1052" spans="1:302">
      <c r="A1052" s="14"/>
      <c r="B1052" s="14"/>
      <c r="F1052" s="14"/>
      <c r="G1052" s="23"/>
      <c r="H1052" s="23"/>
      <c r="I1052" s="23"/>
      <c r="J1052" s="23"/>
      <c r="K1052" s="14"/>
      <c r="L1052" s="14"/>
      <c r="P1052" s="14"/>
      <c r="AG1052" s="44"/>
      <c r="AH1052" s="44"/>
      <c r="AI1052" s="45"/>
      <c r="AJ1052" s="44"/>
      <c r="AK1052" s="43"/>
      <c r="AS1052" s="14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  <c r="EW1052" s="18"/>
      <c r="EX1052" s="18"/>
      <c r="EY1052" s="18"/>
      <c r="EZ1052" s="18"/>
      <c r="FA1052" s="18"/>
      <c r="FB1052" s="18"/>
      <c r="FC1052" s="18"/>
      <c r="FD1052" s="18"/>
      <c r="FE1052" s="18"/>
      <c r="FF1052" s="18"/>
      <c r="FG1052" s="18"/>
      <c r="FH1052" s="18"/>
      <c r="FI1052" s="18"/>
      <c r="FJ1052" s="18"/>
      <c r="FK1052" s="18"/>
      <c r="FL1052" s="18"/>
      <c r="FM1052" s="18"/>
      <c r="FN1052" s="18"/>
      <c r="FO1052" s="18"/>
      <c r="FP1052" s="18"/>
      <c r="FQ1052" s="18"/>
      <c r="FR1052" s="18"/>
      <c r="FS1052" s="18"/>
      <c r="FT1052" s="18"/>
      <c r="FU1052" s="18"/>
      <c r="FV1052" s="18"/>
      <c r="FW1052" s="18"/>
      <c r="FX1052" s="18"/>
      <c r="FY1052" s="18"/>
      <c r="FZ1052" s="18"/>
      <c r="GA1052" s="18"/>
      <c r="GB1052" s="18"/>
      <c r="GC1052" s="18"/>
      <c r="GD1052" s="18"/>
      <c r="GE1052" s="18"/>
      <c r="GF1052" s="18"/>
      <c r="GG1052" s="18"/>
      <c r="GH1052" s="18"/>
      <c r="GI1052" s="18"/>
      <c r="GJ1052" s="18"/>
      <c r="GK1052" s="18"/>
      <c r="GL1052" s="18"/>
      <c r="GM1052" s="18"/>
      <c r="GN1052" s="18"/>
      <c r="GO1052" s="18"/>
      <c r="GP1052" s="18"/>
      <c r="GQ1052" s="18"/>
      <c r="GR1052" s="18"/>
      <c r="GS1052" s="18"/>
      <c r="GT1052" s="18"/>
      <c r="GU1052" s="18"/>
      <c r="GV1052" s="18"/>
      <c r="GW1052" s="18"/>
      <c r="GX1052" s="18"/>
      <c r="GY1052" s="18"/>
      <c r="GZ1052" s="18"/>
      <c r="HA1052" s="18"/>
      <c r="HB1052" s="18"/>
      <c r="HC1052" s="18"/>
      <c r="HD1052" s="18"/>
      <c r="HE1052" s="18"/>
      <c r="HF1052" s="18"/>
      <c r="HG1052" s="13"/>
      <c r="HH1052" s="13"/>
      <c r="HI1052" s="13"/>
      <c r="HJ1052" s="13"/>
      <c r="HK1052" s="13"/>
      <c r="HL1052" s="13"/>
      <c r="HM1052" s="13"/>
      <c r="HN1052" s="13"/>
      <c r="HO1052" s="13"/>
      <c r="HP1052" s="13"/>
      <c r="HQ1052" s="13"/>
      <c r="HR1052" s="13"/>
      <c r="HS1052" s="13"/>
      <c r="HT1052" s="13"/>
      <c r="HU1052" s="18"/>
      <c r="HV1052" s="18"/>
      <c r="HW1052" s="18"/>
      <c r="HX1052" s="18"/>
      <c r="HY1052" s="18"/>
      <c r="HZ1052" s="18"/>
      <c r="IA1052" s="18"/>
      <c r="IB1052" s="18"/>
      <c r="IC1052" s="18"/>
      <c r="ID1052" s="18"/>
      <c r="IE1052" s="18"/>
      <c r="IF1052" s="18"/>
      <c r="IG1052" s="18"/>
      <c r="IH1052" s="18"/>
      <c r="II1052" s="18"/>
      <c r="IJ1052" s="18"/>
      <c r="IK1052" s="18"/>
      <c r="IL1052" s="18"/>
      <c r="IM1052" s="18"/>
      <c r="IN1052" s="18"/>
      <c r="IO1052" s="18"/>
      <c r="IP1052" s="18"/>
      <c r="IQ1052" s="18"/>
      <c r="IR1052" s="18"/>
      <c r="IS1052" s="18"/>
      <c r="IT1052" s="18"/>
      <c r="IU1052" s="18"/>
      <c r="IV1052" s="18"/>
      <c r="IW1052" s="18"/>
      <c r="IX1052" s="18"/>
      <c r="IY1052" s="18"/>
      <c r="IZ1052" s="18"/>
      <c r="JA1052" s="18"/>
      <c r="JB1052" s="18"/>
      <c r="JC1052" s="18"/>
      <c r="JD1052" s="18"/>
      <c r="JE1052" s="18"/>
      <c r="JF1052" s="18"/>
      <c r="JG1052" s="18"/>
      <c r="JH1052" s="18"/>
      <c r="JI1052" s="18"/>
      <c r="JJ1052" s="18"/>
      <c r="JK1052" s="18"/>
      <c r="JL1052" s="18"/>
      <c r="JM1052" s="18"/>
      <c r="JN1052" s="18"/>
      <c r="JO1052" s="18"/>
      <c r="JP1052" s="18"/>
      <c r="JQ1052" s="18"/>
      <c r="JR1052" s="18"/>
      <c r="JS1052" s="18"/>
      <c r="JT1052" s="18"/>
      <c r="JU1052" s="18"/>
      <c r="JV1052" s="18"/>
      <c r="JW1052" s="18"/>
      <c r="JX1052" s="18"/>
      <c r="JY1052" s="18"/>
      <c r="JZ1052" s="18"/>
      <c r="KA1052" s="18"/>
      <c r="KB1052" s="18"/>
      <c r="KC1052" s="18"/>
      <c r="KD1052" s="18"/>
      <c r="KE1052" s="18"/>
      <c r="KF1052" s="18"/>
      <c r="KG1052" s="18"/>
      <c r="KH1052" s="18"/>
      <c r="KI1052" s="18"/>
      <c r="KJ1052" s="18"/>
      <c r="KK1052" s="18"/>
      <c r="KL1052" s="18"/>
      <c r="KM1052" s="18"/>
      <c r="KN1052" s="18"/>
      <c r="KO1052" s="18"/>
      <c r="KP1052" s="18"/>
    </row>
    <row r="1053" spans="1:302">
      <c r="A1053" s="14"/>
      <c r="B1053" s="14"/>
      <c r="F1053" s="14"/>
      <c r="G1053" s="23"/>
      <c r="H1053" s="23"/>
      <c r="I1053" s="23"/>
      <c r="J1053" s="23"/>
      <c r="K1053" s="14"/>
      <c r="L1053" s="14"/>
      <c r="P1053" s="14"/>
      <c r="AG1053" s="44"/>
      <c r="AH1053" s="44"/>
      <c r="AI1053" s="45"/>
      <c r="AJ1053" s="44"/>
      <c r="AK1053" s="43"/>
      <c r="AS1053" s="14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  <c r="EW1053" s="18"/>
      <c r="EX1053" s="18"/>
      <c r="EY1053" s="18"/>
      <c r="EZ1053" s="18"/>
      <c r="FA1053" s="18"/>
      <c r="FB1053" s="18"/>
      <c r="FC1053" s="18"/>
      <c r="FD1053" s="18"/>
      <c r="FE1053" s="18"/>
      <c r="FF1053" s="18"/>
      <c r="FG1053" s="18"/>
      <c r="FH1053" s="18"/>
      <c r="FI1053" s="18"/>
      <c r="FJ1053" s="18"/>
      <c r="FK1053" s="18"/>
      <c r="FL1053" s="18"/>
      <c r="FM1053" s="18"/>
      <c r="FN1053" s="18"/>
      <c r="FO1053" s="18"/>
      <c r="FP1053" s="18"/>
      <c r="FQ1053" s="18"/>
      <c r="FR1053" s="18"/>
      <c r="FS1053" s="18"/>
      <c r="FT1053" s="18"/>
      <c r="FU1053" s="18"/>
      <c r="FV1053" s="18"/>
      <c r="FW1053" s="18"/>
      <c r="FX1053" s="18"/>
      <c r="FY1053" s="18"/>
      <c r="FZ1053" s="18"/>
      <c r="GA1053" s="18"/>
      <c r="GB1053" s="18"/>
      <c r="GC1053" s="18"/>
      <c r="GD1053" s="18"/>
      <c r="GE1053" s="18"/>
      <c r="GF1053" s="18"/>
      <c r="GG1053" s="18"/>
      <c r="GH1053" s="18"/>
      <c r="GI1053" s="18"/>
      <c r="GJ1053" s="18"/>
      <c r="GK1053" s="18"/>
      <c r="GL1053" s="18"/>
      <c r="GM1053" s="18"/>
      <c r="GN1053" s="18"/>
      <c r="GO1053" s="18"/>
      <c r="GP1053" s="18"/>
      <c r="GQ1053" s="18"/>
      <c r="GR1053" s="18"/>
      <c r="GS1053" s="18"/>
      <c r="GT1053" s="18"/>
      <c r="GU1053" s="18"/>
      <c r="GV1053" s="18"/>
      <c r="GW1053" s="18"/>
      <c r="GX1053" s="18"/>
      <c r="GY1053" s="18"/>
      <c r="GZ1053" s="18"/>
      <c r="HA1053" s="18"/>
      <c r="HB1053" s="18"/>
      <c r="HC1053" s="18"/>
      <c r="HD1053" s="18"/>
      <c r="HE1053" s="18"/>
      <c r="HF1053" s="18"/>
      <c r="HG1053" s="13"/>
      <c r="HH1053" s="13"/>
      <c r="HI1053" s="13"/>
      <c r="HJ1053" s="13"/>
      <c r="HK1053" s="13"/>
      <c r="HL1053" s="13"/>
      <c r="HM1053" s="13"/>
      <c r="HN1053" s="13"/>
      <c r="HO1053" s="13"/>
      <c r="HP1053" s="13"/>
      <c r="HQ1053" s="13"/>
      <c r="HR1053" s="13"/>
      <c r="HS1053" s="13"/>
      <c r="HT1053" s="13"/>
      <c r="HU1053" s="18"/>
      <c r="HV1053" s="18"/>
      <c r="HW1053" s="18"/>
      <c r="HX1053" s="18"/>
      <c r="HY1053" s="18"/>
      <c r="HZ1053" s="18"/>
      <c r="IA1053" s="18"/>
      <c r="IB1053" s="18"/>
      <c r="IC1053" s="18"/>
      <c r="ID1053" s="18"/>
      <c r="IE1053" s="18"/>
      <c r="IF1053" s="18"/>
      <c r="IG1053" s="18"/>
      <c r="IH1053" s="18"/>
      <c r="II1053" s="18"/>
      <c r="IJ1053" s="18"/>
      <c r="IK1053" s="18"/>
      <c r="IL1053" s="18"/>
      <c r="IM1053" s="18"/>
      <c r="IN1053" s="18"/>
      <c r="IO1053" s="18"/>
      <c r="IP1053" s="18"/>
      <c r="IQ1053" s="18"/>
      <c r="IR1053" s="18"/>
      <c r="IS1053" s="18"/>
      <c r="IT1053" s="18"/>
      <c r="IU1053" s="18"/>
      <c r="IV1053" s="18"/>
      <c r="IW1053" s="18"/>
      <c r="IX1053" s="18"/>
      <c r="IY1053" s="18"/>
      <c r="IZ1053" s="18"/>
      <c r="JA1053" s="18"/>
      <c r="JB1053" s="18"/>
      <c r="JC1053" s="18"/>
      <c r="JD1053" s="18"/>
      <c r="JE1053" s="18"/>
      <c r="JF1053" s="18"/>
      <c r="JG1053" s="18"/>
      <c r="JH1053" s="18"/>
      <c r="JI1053" s="18"/>
      <c r="JJ1053" s="18"/>
      <c r="JK1053" s="18"/>
      <c r="JL1053" s="18"/>
      <c r="JM1053" s="18"/>
      <c r="JN1053" s="18"/>
      <c r="JO1053" s="18"/>
      <c r="JP1053" s="18"/>
      <c r="JQ1053" s="18"/>
      <c r="JR1053" s="18"/>
      <c r="JS1053" s="18"/>
      <c r="JT1053" s="18"/>
      <c r="JU1053" s="18"/>
      <c r="JV1053" s="18"/>
      <c r="JW1053" s="18"/>
      <c r="JX1053" s="18"/>
      <c r="JY1053" s="18"/>
      <c r="JZ1053" s="18"/>
      <c r="KA1053" s="18"/>
      <c r="KB1053" s="18"/>
      <c r="KC1053" s="18"/>
      <c r="KD1053" s="18"/>
      <c r="KE1053" s="18"/>
      <c r="KF1053" s="18"/>
      <c r="KG1053" s="18"/>
      <c r="KH1053" s="18"/>
      <c r="KI1053" s="18"/>
      <c r="KJ1053" s="18"/>
      <c r="KK1053" s="18"/>
      <c r="KL1053" s="18"/>
      <c r="KM1053" s="18"/>
      <c r="KN1053" s="18"/>
      <c r="KO1053" s="18"/>
      <c r="KP1053" s="18"/>
    </row>
    <row r="1054" spans="1:302">
      <c r="A1054" s="14"/>
      <c r="B1054" s="14"/>
      <c r="F1054" s="14"/>
      <c r="G1054" s="23"/>
      <c r="H1054" s="23"/>
      <c r="I1054" s="23"/>
      <c r="J1054" s="23"/>
      <c r="K1054" s="14"/>
      <c r="L1054" s="14"/>
      <c r="P1054" s="14"/>
      <c r="AG1054" s="44"/>
      <c r="AH1054" s="44"/>
      <c r="AI1054" s="45"/>
      <c r="AJ1054" s="44"/>
      <c r="AK1054" s="43"/>
      <c r="AS1054" s="14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  <c r="EW1054" s="18"/>
      <c r="EX1054" s="18"/>
      <c r="EY1054" s="18"/>
      <c r="EZ1054" s="18"/>
      <c r="FA1054" s="18"/>
      <c r="FB1054" s="18"/>
      <c r="FC1054" s="18"/>
      <c r="FD1054" s="18"/>
      <c r="FE1054" s="18"/>
      <c r="FF1054" s="18"/>
      <c r="FG1054" s="18"/>
      <c r="FH1054" s="18"/>
      <c r="FI1054" s="18"/>
      <c r="FJ1054" s="18"/>
      <c r="FK1054" s="18"/>
      <c r="FL1054" s="18"/>
      <c r="FM1054" s="18"/>
      <c r="FN1054" s="18"/>
      <c r="FO1054" s="18"/>
      <c r="FP1054" s="18"/>
      <c r="FQ1054" s="18"/>
      <c r="FR1054" s="18"/>
      <c r="FS1054" s="18"/>
      <c r="FT1054" s="18"/>
      <c r="FU1054" s="18"/>
      <c r="FV1054" s="18"/>
      <c r="FW1054" s="18"/>
      <c r="FX1054" s="18"/>
      <c r="FY1054" s="18"/>
      <c r="FZ1054" s="18"/>
      <c r="GA1054" s="18"/>
      <c r="GB1054" s="18"/>
      <c r="GC1054" s="18"/>
      <c r="GD1054" s="18"/>
      <c r="GE1054" s="18"/>
      <c r="GF1054" s="18"/>
      <c r="GG1054" s="18"/>
      <c r="GH1054" s="18"/>
      <c r="GI1054" s="18"/>
      <c r="GJ1054" s="18"/>
      <c r="GK1054" s="18"/>
      <c r="GL1054" s="18"/>
      <c r="GM1054" s="18"/>
      <c r="GN1054" s="18"/>
      <c r="GO1054" s="18"/>
      <c r="GP1054" s="18"/>
      <c r="GQ1054" s="18"/>
      <c r="GR1054" s="18"/>
      <c r="GS1054" s="18"/>
      <c r="GT1054" s="18"/>
      <c r="GU1054" s="18"/>
      <c r="GV1054" s="18"/>
      <c r="GW1054" s="18"/>
      <c r="GX1054" s="18"/>
      <c r="GY1054" s="18"/>
      <c r="GZ1054" s="18"/>
      <c r="HA1054" s="18"/>
      <c r="HB1054" s="18"/>
      <c r="HC1054" s="18"/>
      <c r="HD1054" s="18"/>
      <c r="HE1054" s="18"/>
      <c r="HF1054" s="18"/>
      <c r="HG1054" s="13"/>
      <c r="HH1054" s="13"/>
      <c r="HI1054" s="13"/>
      <c r="HJ1054" s="13"/>
      <c r="HK1054" s="13"/>
      <c r="HL1054" s="13"/>
      <c r="HM1054" s="13"/>
      <c r="HN1054" s="13"/>
      <c r="HO1054" s="13"/>
      <c r="HP1054" s="13"/>
      <c r="HQ1054" s="13"/>
      <c r="HR1054" s="13"/>
      <c r="HS1054" s="13"/>
      <c r="HT1054" s="13"/>
      <c r="HU1054" s="18"/>
      <c r="HV1054" s="18"/>
      <c r="HW1054" s="18"/>
      <c r="HX1054" s="18"/>
      <c r="HY1054" s="18"/>
      <c r="HZ1054" s="18"/>
      <c r="IA1054" s="18"/>
      <c r="IB1054" s="18"/>
      <c r="IC1054" s="18"/>
      <c r="ID1054" s="18"/>
      <c r="IE1054" s="18"/>
      <c r="IF1054" s="18"/>
      <c r="IG1054" s="18"/>
      <c r="IH1054" s="18"/>
      <c r="II1054" s="18"/>
      <c r="IJ1054" s="18"/>
      <c r="IK1054" s="18"/>
      <c r="IL1054" s="18"/>
      <c r="IM1054" s="18"/>
      <c r="IN1054" s="18"/>
      <c r="IO1054" s="18"/>
      <c r="IP1054" s="18"/>
      <c r="IQ1054" s="18"/>
      <c r="IR1054" s="18"/>
      <c r="IS1054" s="18"/>
      <c r="IT1054" s="18"/>
      <c r="IU1054" s="18"/>
      <c r="IV1054" s="18"/>
      <c r="IW1054" s="18"/>
      <c r="IX1054" s="18"/>
      <c r="IY1054" s="18"/>
      <c r="IZ1054" s="18"/>
      <c r="JA1054" s="18"/>
      <c r="JB1054" s="18"/>
      <c r="JC1054" s="18"/>
      <c r="JD1054" s="18"/>
      <c r="JE1054" s="18"/>
      <c r="JF1054" s="18"/>
      <c r="JG1054" s="18"/>
      <c r="JH1054" s="18"/>
      <c r="JI1054" s="18"/>
      <c r="JJ1054" s="18"/>
      <c r="JK1054" s="18"/>
      <c r="JL1054" s="18"/>
      <c r="JM1054" s="18"/>
      <c r="JN1054" s="18"/>
      <c r="JO1054" s="18"/>
      <c r="JP1054" s="18"/>
      <c r="JQ1054" s="18"/>
      <c r="JR1054" s="18"/>
      <c r="JS1054" s="18"/>
      <c r="JT1054" s="18"/>
      <c r="JU1054" s="18"/>
      <c r="JV1054" s="18"/>
      <c r="JW1054" s="18"/>
      <c r="JX1054" s="18"/>
      <c r="JY1054" s="18"/>
      <c r="JZ1054" s="18"/>
      <c r="KA1054" s="18"/>
      <c r="KB1054" s="18"/>
      <c r="KC1054" s="18"/>
      <c r="KD1054" s="18"/>
      <c r="KE1054" s="18"/>
      <c r="KF1054" s="18"/>
      <c r="KG1054" s="18"/>
      <c r="KH1054" s="18"/>
      <c r="KI1054" s="18"/>
      <c r="KJ1054" s="18"/>
      <c r="KK1054" s="18"/>
      <c r="KL1054" s="18"/>
      <c r="KM1054" s="18"/>
      <c r="KN1054" s="18"/>
      <c r="KO1054" s="18"/>
      <c r="KP1054" s="18"/>
    </row>
    <row r="1055" spans="1:302">
      <c r="A1055" s="14"/>
      <c r="B1055" s="14"/>
      <c r="F1055" s="14"/>
      <c r="G1055" s="23"/>
      <c r="H1055" s="23"/>
      <c r="I1055" s="23"/>
      <c r="J1055" s="23"/>
      <c r="K1055" s="14"/>
      <c r="L1055" s="14"/>
      <c r="P1055" s="14"/>
      <c r="AG1055" s="44"/>
      <c r="AH1055" s="44"/>
      <c r="AI1055" s="45"/>
      <c r="AJ1055" s="44"/>
      <c r="AK1055" s="43"/>
      <c r="AS1055" s="14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  <c r="EW1055" s="18"/>
      <c r="EX1055" s="18"/>
      <c r="EY1055" s="18"/>
      <c r="EZ1055" s="18"/>
      <c r="FA1055" s="18"/>
      <c r="FB1055" s="18"/>
      <c r="FC1055" s="18"/>
      <c r="FD1055" s="18"/>
      <c r="FE1055" s="18"/>
      <c r="FF1055" s="18"/>
      <c r="FG1055" s="18"/>
      <c r="FH1055" s="18"/>
      <c r="FI1055" s="18"/>
      <c r="FJ1055" s="18"/>
      <c r="FK1055" s="18"/>
      <c r="FL1055" s="18"/>
      <c r="FM1055" s="18"/>
      <c r="FN1055" s="18"/>
      <c r="FO1055" s="18"/>
      <c r="FP1055" s="18"/>
      <c r="FQ1055" s="18"/>
      <c r="FR1055" s="18"/>
      <c r="FS1055" s="18"/>
      <c r="FT1055" s="18"/>
      <c r="FU1055" s="18"/>
      <c r="FV1055" s="18"/>
      <c r="FW1055" s="18"/>
      <c r="FX1055" s="18"/>
      <c r="FY1055" s="18"/>
      <c r="FZ1055" s="18"/>
      <c r="GA1055" s="18"/>
      <c r="GB1055" s="18"/>
      <c r="GC1055" s="18"/>
      <c r="GD1055" s="18"/>
      <c r="GE1055" s="18"/>
      <c r="GF1055" s="18"/>
      <c r="GG1055" s="18"/>
      <c r="GH1055" s="18"/>
      <c r="GI1055" s="18"/>
      <c r="GJ1055" s="18"/>
      <c r="GK1055" s="18"/>
      <c r="GL1055" s="18"/>
      <c r="GM1055" s="18"/>
      <c r="GN1055" s="18"/>
      <c r="GO1055" s="18"/>
      <c r="GP1055" s="18"/>
      <c r="GQ1055" s="18"/>
      <c r="GR1055" s="18"/>
      <c r="GS1055" s="18"/>
      <c r="GT1055" s="18"/>
      <c r="GU1055" s="18"/>
      <c r="GV1055" s="18"/>
      <c r="GW1055" s="18"/>
      <c r="GX1055" s="18"/>
      <c r="GY1055" s="18"/>
      <c r="GZ1055" s="18"/>
      <c r="HA1055" s="18"/>
      <c r="HB1055" s="18"/>
      <c r="HC1055" s="18"/>
      <c r="HD1055" s="18"/>
      <c r="HE1055" s="18"/>
      <c r="HF1055" s="18"/>
      <c r="HG1055" s="13"/>
      <c r="HH1055" s="13"/>
      <c r="HI1055" s="13"/>
      <c r="HJ1055" s="13"/>
      <c r="HK1055" s="13"/>
      <c r="HL1055" s="13"/>
      <c r="HM1055" s="13"/>
      <c r="HN1055" s="13"/>
      <c r="HO1055" s="13"/>
      <c r="HP1055" s="13"/>
      <c r="HQ1055" s="13"/>
      <c r="HR1055" s="13"/>
      <c r="HS1055" s="13"/>
      <c r="HT1055" s="13"/>
      <c r="HU1055" s="18"/>
      <c r="HV1055" s="18"/>
      <c r="HW1055" s="18"/>
      <c r="HX1055" s="18"/>
      <c r="HY1055" s="18"/>
      <c r="HZ1055" s="18"/>
      <c r="IA1055" s="18"/>
      <c r="IB1055" s="18"/>
      <c r="IC1055" s="18"/>
      <c r="ID1055" s="18"/>
      <c r="IE1055" s="18"/>
      <c r="IF1055" s="18"/>
      <c r="IG1055" s="18"/>
      <c r="IH1055" s="18"/>
      <c r="II1055" s="18"/>
      <c r="IJ1055" s="18"/>
      <c r="IK1055" s="18"/>
      <c r="IL1055" s="18"/>
      <c r="IM1055" s="18"/>
      <c r="IN1055" s="18"/>
      <c r="IO1055" s="18"/>
      <c r="IP1055" s="18"/>
      <c r="IQ1055" s="18"/>
      <c r="IR1055" s="18"/>
      <c r="IS1055" s="18"/>
      <c r="IT1055" s="18"/>
      <c r="IU1055" s="18"/>
      <c r="IV1055" s="18"/>
      <c r="IW1055" s="18"/>
      <c r="IX1055" s="18"/>
      <c r="IY1055" s="18"/>
      <c r="IZ1055" s="18"/>
      <c r="JA1055" s="18"/>
      <c r="JB1055" s="18"/>
      <c r="JC1055" s="18"/>
      <c r="JD1055" s="18"/>
      <c r="JE1055" s="18"/>
      <c r="JF1055" s="18"/>
      <c r="JG1055" s="18"/>
      <c r="JH1055" s="18"/>
      <c r="JI1055" s="18"/>
      <c r="JJ1055" s="18"/>
      <c r="JK1055" s="18"/>
      <c r="JL1055" s="18"/>
      <c r="JM1055" s="18"/>
      <c r="JN1055" s="18"/>
      <c r="JO1055" s="18"/>
      <c r="JP1055" s="18"/>
      <c r="JQ1055" s="18"/>
      <c r="JR1055" s="18"/>
      <c r="JS1055" s="18"/>
      <c r="JT1055" s="18"/>
      <c r="JU1055" s="18"/>
      <c r="JV1055" s="18"/>
      <c r="JW1055" s="18"/>
      <c r="JX1055" s="18"/>
      <c r="JY1055" s="18"/>
      <c r="JZ1055" s="18"/>
      <c r="KA1055" s="18"/>
      <c r="KB1055" s="18"/>
      <c r="KC1055" s="18"/>
      <c r="KD1055" s="18"/>
      <c r="KE1055" s="18"/>
      <c r="KF1055" s="18"/>
      <c r="KG1055" s="18"/>
      <c r="KH1055" s="18"/>
      <c r="KI1055" s="18"/>
      <c r="KJ1055" s="18"/>
      <c r="KK1055" s="18"/>
      <c r="KL1055" s="18"/>
      <c r="KM1055" s="18"/>
      <c r="KN1055" s="18"/>
      <c r="KO1055" s="18"/>
      <c r="KP1055" s="18"/>
    </row>
    <row r="1056" spans="1:302">
      <c r="A1056" s="14"/>
      <c r="B1056" s="14"/>
      <c r="F1056" s="14"/>
      <c r="G1056" s="23"/>
      <c r="H1056" s="23"/>
      <c r="I1056" s="23"/>
      <c r="J1056" s="23"/>
      <c r="K1056" s="14"/>
      <c r="L1056" s="14"/>
      <c r="P1056" s="14"/>
      <c r="AG1056" s="44"/>
      <c r="AH1056" s="44"/>
      <c r="AI1056" s="45"/>
      <c r="AJ1056" s="44"/>
      <c r="AK1056" s="43"/>
      <c r="AS1056" s="14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  <c r="EW1056" s="18"/>
      <c r="EX1056" s="18"/>
      <c r="EY1056" s="18"/>
      <c r="EZ1056" s="18"/>
      <c r="FA1056" s="18"/>
      <c r="FB1056" s="18"/>
      <c r="FC1056" s="18"/>
      <c r="FD1056" s="18"/>
      <c r="FE1056" s="18"/>
      <c r="FF1056" s="18"/>
      <c r="FG1056" s="18"/>
      <c r="FH1056" s="18"/>
      <c r="FI1056" s="18"/>
      <c r="FJ1056" s="18"/>
      <c r="FK1056" s="18"/>
      <c r="FL1056" s="18"/>
      <c r="FM1056" s="18"/>
      <c r="FN1056" s="18"/>
      <c r="FO1056" s="18"/>
      <c r="FP1056" s="18"/>
      <c r="FQ1056" s="18"/>
      <c r="FR1056" s="18"/>
      <c r="FS1056" s="18"/>
      <c r="FT1056" s="18"/>
      <c r="FU1056" s="18"/>
      <c r="FV1056" s="18"/>
      <c r="FW1056" s="18"/>
      <c r="FX1056" s="18"/>
      <c r="FY1056" s="18"/>
      <c r="FZ1056" s="18"/>
      <c r="GA1056" s="18"/>
      <c r="GB1056" s="18"/>
      <c r="GC1056" s="18"/>
      <c r="GD1056" s="18"/>
      <c r="GE1056" s="18"/>
      <c r="GF1056" s="18"/>
      <c r="GG1056" s="18"/>
      <c r="GH1056" s="18"/>
      <c r="GI1056" s="18"/>
      <c r="GJ1056" s="18"/>
      <c r="GK1056" s="18"/>
      <c r="GL1056" s="18"/>
      <c r="GM1056" s="18"/>
      <c r="GN1056" s="18"/>
      <c r="GO1056" s="18"/>
      <c r="GP1056" s="18"/>
      <c r="GQ1056" s="18"/>
      <c r="GR1056" s="18"/>
      <c r="GS1056" s="18"/>
      <c r="GT1056" s="18"/>
      <c r="GU1056" s="18"/>
      <c r="GV1056" s="18"/>
      <c r="GW1056" s="18"/>
      <c r="GX1056" s="18"/>
      <c r="GY1056" s="18"/>
      <c r="GZ1056" s="18"/>
      <c r="HA1056" s="18"/>
      <c r="HB1056" s="18"/>
      <c r="HC1056" s="18"/>
      <c r="HD1056" s="18"/>
      <c r="HE1056" s="18"/>
      <c r="HF1056" s="18"/>
      <c r="HG1056" s="13"/>
      <c r="HH1056" s="13"/>
      <c r="HI1056" s="13"/>
      <c r="HJ1056" s="13"/>
      <c r="HK1056" s="13"/>
      <c r="HL1056" s="13"/>
      <c r="HM1056" s="13"/>
      <c r="HN1056" s="13"/>
      <c r="HO1056" s="13"/>
      <c r="HP1056" s="13"/>
      <c r="HQ1056" s="13"/>
      <c r="HR1056" s="13"/>
      <c r="HS1056" s="13"/>
      <c r="HT1056" s="13"/>
      <c r="HU1056" s="18"/>
      <c r="HV1056" s="18"/>
      <c r="HW1056" s="18"/>
      <c r="HX1056" s="18"/>
      <c r="HY1056" s="18"/>
      <c r="HZ1056" s="18"/>
      <c r="IA1056" s="18"/>
      <c r="IB1056" s="18"/>
      <c r="IC1056" s="18"/>
      <c r="ID1056" s="18"/>
      <c r="IE1056" s="18"/>
      <c r="IF1056" s="18"/>
      <c r="IG1056" s="18"/>
      <c r="IH1056" s="18"/>
      <c r="II1056" s="18"/>
      <c r="IJ1056" s="18"/>
      <c r="IK1056" s="18"/>
      <c r="IL1056" s="18"/>
      <c r="IM1056" s="18"/>
      <c r="IN1056" s="18"/>
      <c r="IO1056" s="18"/>
      <c r="IP1056" s="18"/>
      <c r="IQ1056" s="18"/>
      <c r="IR1056" s="18"/>
      <c r="IS1056" s="18"/>
      <c r="IT1056" s="18"/>
      <c r="IU1056" s="18"/>
      <c r="IV1056" s="18"/>
      <c r="IW1056" s="18"/>
      <c r="IX1056" s="18"/>
      <c r="IY1056" s="18"/>
      <c r="IZ1056" s="18"/>
      <c r="JA1056" s="18"/>
      <c r="JB1056" s="18"/>
      <c r="JC1056" s="18"/>
      <c r="JD1056" s="18"/>
      <c r="JE1056" s="18"/>
      <c r="JF1056" s="18"/>
      <c r="JG1056" s="18"/>
      <c r="JH1056" s="18"/>
      <c r="JI1056" s="18"/>
      <c r="JJ1056" s="18"/>
      <c r="JK1056" s="18"/>
      <c r="JL1056" s="18"/>
      <c r="JM1056" s="18"/>
      <c r="JN1056" s="18"/>
      <c r="JO1056" s="18"/>
      <c r="JP1056" s="18"/>
      <c r="JQ1056" s="18"/>
      <c r="JR1056" s="18"/>
      <c r="JS1056" s="18"/>
      <c r="JT1056" s="18"/>
      <c r="JU1056" s="18"/>
      <c r="JV1056" s="18"/>
      <c r="JW1056" s="18"/>
      <c r="JX1056" s="18"/>
      <c r="JY1056" s="18"/>
      <c r="JZ1056" s="18"/>
      <c r="KA1056" s="18"/>
      <c r="KB1056" s="18"/>
      <c r="KC1056" s="18"/>
      <c r="KD1056" s="18"/>
      <c r="KE1056" s="18"/>
      <c r="KF1056" s="18"/>
      <c r="KG1056" s="18"/>
      <c r="KH1056" s="18"/>
      <c r="KI1056" s="18"/>
      <c r="KJ1056" s="18"/>
      <c r="KK1056" s="18"/>
      <c r="KL1056" s="18"/>
      <c r="KM1056" s="18"/>
      <c r="KN1056" s="18"/>
      <c r="KO1056" s="18"/>
      <c r="KP1056" s="18"/>
    </row>
    <row r="1057" spans="1:302">
      <c r="A1057" s="14"/>
      <c r="B1057" s="14"/>
      <c r="F1057" s="14"/>
      <c r="G1057" s="23"/>
      <c r="H1057" s="23"/>
      <c r="I1057" s="23"/>
      <c r="J1057" s="23"/>
      <c r="K1057" s="14"/>
      <c r="L1057" s="14"/>
      <c r="P1057" s="14"/>
      <c r="AG1057" s="44"/>
      <c r="AH1057" s="44"/>
      <c r="AI1057" s="45"/>
      <c r="AJ1057" s="44"/>
      <c r="AK1057" s="43"/>
      <c r="AS1057" s="14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  <c r="EW1057" s="18"/>
      <c r="EX1057" s="18"/>
      <c r="EY1057" s="18"/>
      <c r="EZ1057" s="18"/>
      <c r="FA1057" s="18"/>
      <c r="FB1057" s="18"/>
      <c r="FC1057" s="18"/>
      <c r="FD1057" s="18"/>
      <c r="FE1057" s="18"/>
      <c r="FF1057" s="18"/>
      <c r="FG1057" s="18"/>
      <c r="FH1057" s="18"/>
      <c r="FI1057" s="18"/>
      <c r="FJ1057" s="18"/>
      <c r="FK1057" s="18"/>
      <c r="FL1057" s="18"/>
      <c r="FM1057" s="18"/>
      <c r="FN1057" s="18"/>
      <c r="FO1057" s="18"/>
      <c r="FP1057" s="18"/>
      <c r="FQ1057" s="18"/>
      <c r="FR1057" s="18"/>
      <c r="FS1057" s="18"/>
      <c r="FT1057" s="18"/>
      <c r="FU1057" s="18"/>
      <c r="FV1057" s="18"/>
      <c r="FW1057" s="18"/>
      <c r="FX1057" s="18"/>
      <c r="FY1057" s="18"/>
      <c r="FZ1057" s="18"/>
      <c r="GA1057" s="18"/>
      <c r="GB1057" s="18"/>
      <c r="GC1057" s="18"/>
      <c r="GD1057" s="18"/>
      <c r="GE1057" s="18"/>
      <c r="GF1057" s="18"/>
      <c r="GG1057" s="18"/>
      <c r="GH1057" s="18"/>
      <c r="GI1057" s="18"/>
      <c r="GJ1057" s="18"/>
      <c r="GK1057" s="18"/>
      <c r="GL1057" s="18"/>
      <c r="GM1057" s="18"/>
      <c r="GN1057" s="18"/>
      <c r="GO1057" s="18"/>
      <c r="GP1057" s="18"/>
      <c r="GQ1057" s="18"/>
      <c r="GR1057" s="18"/>
      <c r="GS1057" s="18"/>
      <c r="GT1057" s="18"/>
      <c r="GU1057" s="18"/>
      <c r="GV1057" s="18"/>
      <c r="GW1057" s="18"/>
      <c r="GX1057" s="18"/>
      <c r="GY1057" s="18"/>
      <c r="GZ1057" s="18"/>
      <c r="HA1057" s="18"/>
      <c r="HB1057" s="18"/>
      <c r="HC1057" s="18"/>
      <c r="HD1057" s="18"/>
      <c r="HE1057" s="18"/>
      <c r="HF1057" s="18"/>
      <c r="HG1057" s="13"/>
      <c r="HH1057" s="13"/>
      <c r="HI1057" s="13"/>
      <c r="HJ1057" s="13"/>
      <c r="HK1057" s="13"/>
      <c r="HL1057" s="13"/>
      <c r="HM1057" s="13"/>
      <c r="HN1057" s="13"/>
      <c r="HO1057" s="13"/>
      <c r="HP1057" s="13"/>
      <c r="HQ1057" s="13"/>
      <c r="HR1057" s="13"/>
      <c r="HS1057" s="13"/>
      <c r="HT1057" s="13"/>
      <c r="HU1057" s="18"/>
      <c r="HV1057" s="18"/>
      <c r="HW1057" s="18"/>
      <c r="HX1057" s="18"/>
      <c r="HY1057" s="18"/>
      <c r="HZ1057" s="18"/>
      <c r="IA1057" s="18"/>
      <c r="IB1057" s="18"/>
      <c r="IC1057" s="18"/>
      <c r="ID1057" s="18"/>
      <c r="IE1057" s="18"/>
      <c r="IF1057" s="18"/>
      <c r="IG1057" s="18"/>
      <c r="IH1057" s="18"/>
      <c r="II1057" s="18"/>
      <c r="IJ1057" s="18"/>
      <c r="IK1057" s="18"/>
      <c r="IL1057" s="18"/>
      <c r="IM1057" s="18"/>
      <c r="IN1057" s="18"/>
      <c r="IO1057" s="18"/>
      <c r="IP1057" s="18"/>
      <c r="IQ1057" s="18"/>
      <c r="IR1057" s="18"/>
      <c r="IS1057" s="18"/>
      <c r="IT1057" s="18"/>
      <c r="IU1057" s="18"/>
      <c r="IV1057" s="18"/>
      <c r="IW1057" s="18"/>
      <c r="IX1057" s="18"/>
      <c r="IY1057" s="18"/>
      <c r="IZ1057" s="18"/>
      <c r="JA1057" s="18"/>
      <c r="JB1057" s="18"/>
      <c r="JC1057" s="18"/>
      <c r="JD1057" s="18"/>
      <c r="JE1057" s="18"/>
      <c r="JF1057" s="18"/>
      <c r="JG1057" s="18"/>
      <c r="JH1057" s="18"/>
      <c r="JI1057" s="18"/>
      <c r="JJ1057" s="18"/>
      <c r="JK1057" s="18"/>
      <c r="JL1057" s="18"/>
      <c r="JM1057" s="18"/>
      <c r="JN1057" s="18"/>
      <c r="JO1057" s="18"/>
      <c r="JP1057" s="18"/>
      <c r="JQ1057" s="18"/>
      <c r="JR1057" s="18"/>
      <c r="JS1057" s="18"/>
      <c r="JT1057" s="18"/>
      <c r="JU1057" s="18"/>
      <c r="JV1057" s="18"/>
      <c r="JW1057" s="18"/>
      <c r="JX1057" s="18"/>
      <c r="JY1057" s="18"/>
      <c r="JZ1057" s="18"/>
      <c r="KA1057" s="18"/>
      <c r="KB1057" s="18"/>
      <c r="KC1057" s="18"/>
      <c r="KD1057" s="18"/>
      <c r="KE1057" s="18"/>
      <c r="KF1057" s="18"/>
      <c r="KG1057" s="18"/>
      <c r="KH1057" s="18"/>
      <c r="KI1057" s="18"/>
      <c r="KJ1057" s="18"/>
      <c r="KK1057" s="18"/>
      <c r="KL1057" s="18"/>
      <c r="KM1057" s="18"/>
      <c r="KN1057" s="18"/>
      <c r="KO1057" s="18"/>
      <c r="KP1057" s="18"/>
    </row>
    <row r="1058" spans="1:302">
      <c r="A1058" s="14"/>
      <c r="B1058" s="14"/>
      <c r="F1058" s="14"/>
      <c r="G1058" s="23"/>
      <c r="H1058" s="23"/>
      <c r="I1058" s="23"/>
      <c r="J1058" s="23"/>
      <c r="K1058" s="14"/>
      <c r="L1058" s="14"/>
      <c r="P1058" s="14"/>
      <c r="AG1058" s="44"/>
      <c r="AH1058" s="44"/>
      <c r="AI1058" s="45"/>
      <c r="AJ1058" s="44"/>
      <c r="AK1058" s="43"/>
      <c r="AS1058" s="14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  <c r="EW1058" s="18"/>
      <c r="EX1058" s="18"/>
      <c r="EY1058" s="18"/>
      <c r="EZ1058" s="18"/>
      <c r="FA1058" s="18"/>
      <c r="FB1058" s="18"/>
      <c r="FC1058" s="18"/>
      <c r="FD1058" s="18"/>
      <c r="FE1058" s="18"/>
      <c r="FF1058" s="18"/>
      <c r="FG1058" s="18"/>
      <c r="FH1058" s="18"/>
      <c r="FI1058" s="18"/>
      <c r="FJ1058" s="18"/>
      <c r="FK1058" s="18"/>
      <c r="FL1058" s="18"/>
      <c r="FM1058" s="18"/>
      <c r="FN1058" s="18"/>
      <c r="FO1058" s="18"/>
      <c r="FP1058" s="18"/>
      <c r="FQ1058" s="18"/>
      <c r="FR1058" s="18"/>
      <c r="FS1058" s="18"/>
      <c r="FT1058" s="18"/>
      <c r="FU1058" s="18"/>
      <c r="FV1058" s="18"/>
      <c r="FW1058" s="18"/>
      <c r="FX1058" s="18"/>
      <c r="FY1058" s="18"/>
      <c r="FZ1058" s="18"/>
      <c r="GA1058" s="18"/>
      <c r="GB1058" s="18"/>
      <c r="GC1058" s="18"/>
      <c r="GD1058" s="18"/>
      <c r="GE1058" s="18"/>
      <c r="GF1058" s="18"/>
      <c r="GG1058" s="18"/>
      <c r="GH1058" s="18"/>
      <c r="GI1058" s="18"/>
      <c r="GJ1058" s="18"/>
      <c r="GK1058" s="18"/>
      <c r="GL1058" s="18"/>
      <c r="GM1058" s="18"/>
      <c r="GN1058" s="18"/>
      <c r="GO1058" s="18"/>
      <c r="GP1058" s="18"/>
      <c r="GQ1058" s="18"/>
      <c r="GR1058" s="18"/>
      <c r="GS1058" s="18"/>
      <c r="GT1058" s="18"/>
      <c r="GU1058" s="18"/>
      <c r="GV1058" s="18"/>
      <c r="GW1058" s="18"/>
      <c r="GX1058" s="18"/>
      <c r="GY1058" s="18"/>
      <c r="GZ1058" s="18"/>
      <c r="HA1058" s="18"/>
      <c r="HB1058" s="18"/>
      <c r="HC1058" s="18"/>
      <c r="HD1058" s="18"/>
      <c r="HE1058" s="18"/>
      <c r="HF1058" s="18"/>
      <c r="HG1058" s="13"/>
      <c r="HH1058" s="13"/>
      <c r="HI1058" s="13"/>
      <c r="HJ1058" s="13"/>
      <c r="HK1058" s="13"/>
      <c r="HL1058" s="13"/>
      <c r="HM1058" s="13"/>
      <c r="HN1058" s="13"/>
      <c r="HO1058" s="13"/>
      <c r="HP1058" s="13"/>
      <c r="HQ1058" s="13"/>
      <c r="HR1058" s="13"/>
      <c r="HS1058" s="13"/>
      <c r="HT1058" s="13"/>
      <c r="HU1058" s="18"/>
      <c r="HV1058" s="18"/>
      <c r="HW1058" s="18"/>
      <c r="HX1058" s="18"/>
      <c r="HY1058" s="18"/>
      <c r="HZ1058" s="18"/>
      <c r="IA1058" s="18"/>
      <c r="IB1058" s="18"/>
      <c r="IC1058" s="18"/>
      <c r="ID1058" s="18"/>
      <c r="IE1058" s="18"/>
      <c r="IF1058" s="18"/>
      <c r="IG1058" s="18"/>
      <c r="IH1058" s="18"/>
      <c r="II1058" s="18"/>
      <c r="IJ1058" s="18"/>
      <c r="IK1058" s="18"/>
      <c r="IL1058" s="18"/>
      <c r="IM1058" s="18"/>
      <c r="IN1058" s="18"/>
      <c r="IO1058" s="18"/>
      <c r="IP1058" s="18"/>
      <c r="IQ1058" s="18"/>
      <c r="IR1058" s="18"/>
      <c r="IS1058" s="18"/>
      <c r="IT1058" s="18"/>
      <c r="IU1058" s="18"/>
      <c r="IV1058" s="18"/>
      <c r="IW1058" s="18"/>
      <c r="IX1058" s="18"/>
      <c r="IY1058" s="18"/>
      <c r="IZ1058" s="18"/>
      <c r="JA1058" s="18"/>
      <c r="JB1058" s="18"/>
      <c r="JC1058" s="18"/>
      <c r="JD1058" s="18"/>
      <c r="JE1058" s="18"/>
      <c r="JF1058" s="18"/>
      <c r="JG1058" s="18"/>
      <c r="JH1058" s="18"/>
      <c r="JI1058" s="18"/>
      <c r="JJ1058" s="18"/>
      <c r="JK1058" s="18"/>
      <c r="JL1058" s="18"/>
      <c r="JM1058" s="18"/>
      <c r="JN1058" s="18"/>
      <c r="JO1058" s="18"/>
      <c r="JP1058" s="18"/>
      <c r="JQ1058" s="18"/>
      <c r="JR1058" s="18"/>
      <c r="JS1058" s="18"/>
      <c r="JT1058" s="18"/>
      <c r="JU1058" s="18"/>
      <c r="JV1058" s="18"/>
      <c r="JW1058" s="18"/>
      <c r="JX1058" s="18"/>
      <c r="JY1058" s="18"/>
      <c r="JZ1058" s="18"/>
      <c r="KA1058" s="18"/>
      <c r="KB1058" s="18"/>
      <c r="KC1058" s="18"/>
      <c r="KD1058" s="18"/>
      <c r="KE1058" s="18"/>
      <c r="KF1058" s="18"/>
      <c r="KG1058" s="18"/>
      <c r="KH1058" s="18"/>
      <c r="KI1058" s="18"/>
      <c r="KJ1058" s="18"/>
      <c r="KK1058" s="18"/>
      <c r="KL1058" s="18"/>
      <c r="KM1058" s="18"/>
      <c r="KN1058" s="18"/>
      <c r="KO1058" s="18"/>
      <c r="KP1058" s="18"/>
    </row>
    <row r="1059" spans="1:302">
      <c r="A1059" s="14"/>
      <c r="B1059" s="14"/>
      <c r="F1059" s="14"/>
      <c r="G1059" s="23"/>
      <c r="H1059" s="23"/>
      <c r="I1059" s="23"/>
      <c r="J1059" s="23"/>
      <c r="K1059" s="14"/>
      <c r="L1059" s="14"/>
      <c r="P1059" s="14"/>
      <c r="AG1059" s="44"/>
      <c r="AH1059" s="44"/>
      <c r="AI1059" s="45"/>
      <c r="AJ1059" s="44"/>
      <c r="AK1059" s="43"/>
      <c r="AS1059" s="14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  <c r="EW1059" s="18"/>
      <c r="EX1059" s="18"/>
      <c r="EY1059" s="18"/>
      <c r="EZ1059" s="18"/>
      <c r="FA1059" s="18"/>
      <c r="FB1059" s="18"/>
      <c r="FC1059" s="18"/>
      <c r="FD1059" s="18"/>
      <c r="FE1059" s="18"/>
      <c r="FF1059" s="18"/>
      <c r="FG1059" s="18"/>
      <c r="FH1059" s="18"/>
      <c r="FI1059" s="18"/>
      <c r="FJ1059" s="18"/>
      <c r="FK1059" s="18"/>
      <c r="FL1059" s="18"/>
      <c r="FM1059" s="18"/>
      <c r="FN1059" s="18"/>
      <c r="FO1059" s="18"/>
      <c r="FP1059" s="18"/>
      <c r="FQ1059" s="18"/>
      <c r="FR1059" s="18"/>
      <c r="FS1059" s="18"/>
      <c r="FT1059" s="18"/>
      <c r="FU1059" s="18"/>
      <c r="FV1059" s="18"/>
      <c r="FW1059" s="18"/>
      <c r="FX1059" s="18"/>
      <c r="FY1059" s="18"/>
      <c r="FZ1059" s="18"/>
      <c r="GA1059" s="18"/>
      <c r="GB1059" s="18"/>
      <c r="GC1059" s="18"/>
      <c r="GD1059" s="18"/>
      <c r="GE1059" s="18"/>
      <c r="GF1059" s="18"/>
      <c r="GG1059" s="18"/>
      <c r="GH1059" s="18"/>
      <c r="GI1059" s="18"/>
      <c r="GJ1059" s="18"/>
      <c r="GK1059" s="18"/>
      <c r="GL1059" s="18"/>
      <c r="GM1059" s="18"/>
      <c r="GN1059" s="18"/>
      <c r="GO1059" s="18"/>
      <c r="GP1059" s="18"/>
      <c r="GQ1059" s="18"/>
      <c r="GR1059" s="18"/>
      <c r="GS1059" s="18"/>
      <c r="GT1059" s="18"/>
      <c r="GU1059" s="18"/>
      <c r="GV1059" s="18"/>
      <c r="GW1059" s="18"/>
      <c r="GX1059" s="18"/>
      <c r="GY1059" s="18"/>
      <c r="GZ1059" s="18"/>
      <c r="HA1059" s="18"/>
      <c r="HB1059" s="18"/>
      <c r="HC1059" s="18"/>
      <c r="HD1059" s="18"/>
      <c r="HE1059" s="18"/>
      <c r="HF1059" s="18"/>
      <c r="HG1059" s="13"/>
      <c r="HH1059" s="13"/>
      <c r="HI1059" s="13"/>
      <c r="HJ1059" s="13"/>
      <c r="HK1059" s="13"/>
      <c r="HL1059" s="13"/>
      <c r="HM1059" s="13"/>
      <c r="HN1059" s="13"/>
      <c r="HO1059" s="13"/>
      <c r="HP1059" s="13"/>
      <c r="HQ1059" s="13"/>
      <c r="HR1059" s="13"/>
      <c r="HS1059" s="13"/>
      <c r="HT1059" s="13"/>
      <c r="HU1059" s="18"/>
      <c r="HV1059" s="18"/>
      <c r="HW1059" s="18"/>
      <c r="HX1059" s="18"/>
      <c r="HY1059" s="18"/>
      <c r="HZ1059" s="18"/>
      <c r="IA1059" s="18"/>
      <c r="IB1059" s="18"/>
      <c r="IC1059" s="18"/>
      <c r="ID1059" s="18"/>
      <c r="IE1059" s="18"/>
      <c r="IF1059" s="18"/>
      <c r="IG1059" s="18"/>
      <c r="IH1059" s="18"/>
      <c r="II1059" s="18"/>
      <c r="IJ1059" s="18"/>
      <c r="IK1059" s="18"/>
      <c r="IL1059" s="18"/>
      <c r="IM1059" s="18"/>
      <c r="IN1059" s="18"/>
      <c r="IO1059" s="18"/>
      <c r="IP1059" s="18"/>
      <c r="IQ1059" s="18"/>
      <c r="IR1059" s="18"/>
      <c r="IS1059" s="18"/>
      <c r="IT1059" s="18"/>
      <c r="IU1059" s="18"/>
      <c r="IV1059" s="18"/>
      <c r="IW1059" s="18"/>
      <c r="IX1059" s="18"/>
      <c r="IY1059" s="18"/>
      <c r="IZ1059" s="18"/>
      <c r="JA1059" s="18"/>
      <c r="JB1059" s="18"/>
      <c r="JC1059" s="18"/>
      <c r="JD1059" s="18"/>
      <c r="JE1059" s="18"/>
      <c r="JF1059" s="18"/>
      <c r="JG1059" s="18"/>
      <c r="JH1059" s="18"/>
      <c r="JI1059" s="18"/>
      <c r="JJ1059" s="18"/>
      <c r="JK1059" s="18"/>
      <c r="JL1059" s="18"/>
      <c r="JM1059" s="18"/>
      <c r="JN1059" s="18"/>
      <c r="JO1059" s="18"/>
      <c r="JP1059" s="18"/>
      <c r="JQ1059" s="18"/>
      <c r="JR1059" s="18"/>
      <c r="JS1059" s="18"/>
      <c r="JT1059" s="18"/>
      <c r="JU1059" s="18"/>
      <c r="JV1059" s="18"/>
      <c r="JW1059" s="18"/>
      <c r="JX1059" s="18"/>
      <c r="JY1059" s="18"/>
      <c r="JZ1059" s="18"/>
      <c r="KA1059" s="18"/>
      <c r="KB1059" s="18"/>
      <c r="KC1059" s="18"/>
      <c r="KD1059" s="18"/>
      <c r="KE1059" s="18"/>
      <c r="KF1059" s="18"/>
      <c r="KG1059" s="18"/>
      <c r="KH1059" s="18"/>
      <c r="KI1059" s="18"/>
      <c r="KJ1059" s="18"/>
      <c r="KK1059" s="18"/>
      <c r="KL1059" s="18"/>
      <c r="KM1059" s="18"/>
      <c r="KN1059" s="18"/>
      <c r="KO1059" s="18"/>
      <c r="KP1059" s="18"/>
    </row>
    <row r="1060" spans="1:302">
      <c r="A1060" s="14"/>
      <c r="B1060" s="14"/>
      <c r="F1060" s="14"/>
      <c r="G1060" s="23"/>
      <c r="H1060" s="23"/>
      <c r="I1060" s="23"/>
      <c r="J1060" s="23"/>
      <c r="K1060" s="14"/>
      <c r="L1060" s="14"/>
      <c r="P1060" s="14"/>
      <c r="AG1060" s="44"/>
      <c r="AH1060" s="44"/>
      <c r="AI1060" s="45"/>
      <c r="AJ1060" s="44"/>
      <c r="AK1060" s="43"/>
      <c r="AS1060" s="14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  <c r="EW1060" s="18"/>
      <c r="EX1060" s="18"/>
      <c r="EY1060" s="18"/>
      <c r="EZ1060" s="18"/>
      <c r="FA1060" s="18"/>
      <c r="FB1060" s="18"/>
      <c r="FC1060" s="18"/>
      <c r="FD1060" s="18"/>
      <c r="FE1060" s="18"/>
      <c r="FF1060" s="18"/>
      <c r="FG1060" s="18"/>
      <c r="FH1060" s="18"/>
      <c r="FI1060" s="18"/>
      <c r="FJ1060" s="18"/>
      <c r="FK1060" s="18"/>
      <c r="FL1060" s="18"/>
      <c r="FM1060" s="18"/>
      <c r="FN1060" s="18"/>
      <c r="FO1060" s="18"/>
      <c r="FP1060" s="18"/>
      <c r="FQ1060" s="18"/>
      <c r="FR1060" s="18"/>
      <c r="FS1060" s="18"/>
      <c r="FT1060" s="18"/>
      <c r="FU1060" s="18"/>
      <c r="FV1060" s="18"/>
      <c r="FW1060" s="18"/>
      <c r="FX1060" s="18"/>
      <c r="FY1060" s="18"/>
      <c r="FZ1060" s="18"/>
      <c r="GA1060" s="18"/>
      <c r="GB1060" s="18"/>
      <c r="GC1060" s="18"/>
      <c r="GD1060" s="18"/>
      <c r="GE1060" s="18"/>
      <c r="GF1060" s="18"/>
      <c r="GG1060" s="18"/>
      <c r="GH1060" s="18"/>
      <c r="GI1060" s="18"/>
      <c r="GJ1060" s="18"/>
      <c r="GK1060" s="18"/>
      <c r="GL1060" s="18"/>
      <c r="GM1060" s="18"/>
      <c r="GN1060" s="18"/>
      <c r="GO1060" s="18"/>
      <c r="GP1060" s="18"/>
      <c r="GQ1060" s="18"/>
      <c r="GR1060" s="18"/>
      <c r="GS1060" s="18"/>
      <c r="GT1060" s="18"/>
      <c r="GU1060" s="18"/>
      <c r="GV1060" s="18"/>
      <c r="GW1060" s="18"/>
      <c r="GX1060" s="18"/>
      <c r="GY1060" s="18"/>
      <c r="GZ1060" s="18"/>
      <c r="HA1060" s="18"/>
      <c r="HB1060" s="18"/>
      <c r="HC1060" s="18"/>
      <c r="HD1060" s="18"/>
      <c r="HE1060" s="18"/>
      <c r="HF1060" s="18"/>
      <c r="HG1060" s="13"/>
      <c r="HH1060" s="13"/>
      <c r="HI1060" s="13"/>
      <c r="HJ1060" s="13"/>
      <c r="HK1060" s="13"/>
      <c r="HL1060" s="13"/>
      <c r="HM1060" s="13"/>
      <c r="HN1060" s="13"/>
      <c r="HO1060" s="13"/>
      <c r="HP1060" s="13"/>
      <c r="HQ1060" s="13"/>
      <c r="HR1060" s="13"/>
      <c r="HS1060" s="13"/>
      <c r="HT1060" s="13"/>
      <c r="HU1060" s="18"/>
      <c r="HV1060" s="18"/>
      <c r="HW1060" s="18"/>
      <c r="HX1060" s="18"/>
      <c r="HY1060" s="18"/>
      <c r="HZ1060" s="18"/>
      <c r="IA1060" s="18"/>
      <c r="IB1060" s="18"/>
      <c r="IC1060" s="18"/>
      <c r="ID1060" s="18"/>
      <c r="IE1060" s="18"/>
      <c r="IF1060" s="18"/>
      <c r="IG1060" s="18"/>
      <c r="IH1060" s="18"/>
      <c r="II1060" s="18"/>
      <c r="IJ1060" s="18"/>
      <c r="IK1060" s="18"/>
      <c r="IL1060" s="18"/>
      <c r="IM1060" s="18"/>
      <c r="IN1060" s="18"/>
      <c r="IO1060" s="18"/>
      <c r="IP1060" s="18"/>
      <c r="IQ1060" s="18"/>
      <c r="IR1060" s="18"/>
      <c r="IS1060" s="18"/>
      <c r="IT1060" s="18"/>
      <c r="IU1060" s="18"/>
      <c r="IV1060" s="18"/>
      <c r="IW1060" s="18"/>
      <c r="IX1060" s="18"/>
      <c r="IY1060" s="18"/>
      <c r="IZ1060" s="18"/>
      <c r="JA1060" s="18"/>
      <c r="JB1060" s="18"/>
      <c r="JC1060" s="18"/>
      <c r="JD1060" s="18"/>
      <c r="JE1060" s="18"/>
      <c r="JF1060" s="18"/>
      <c r="JG1060" s="18"/>
      <c r="JH1060" s="18"/>
      <c r="JI1060" s="18"/>
      <c r="JJ1060" s="18"/>
      <c r="JK1060" s="18"/>
      <c r="JL1060" s="18"/>
      <c r="JM1060" s="18"/>
      <c r="JN1060" s="18"/>
      <c r="JO1060" s="18"/>
      <c r="JP1060" s="18"/>
      <c r="JQ1060" s="18"/>
      <c r="JR1060" s="18"/>
      <c r="JS1060" s="18"/>
      <c r="JT1060" s="18"/>
      <c r="JU1060" s="18"/>
      <c r="JV1060" s="18"/>
      <c r="JW1060" s="18"/>
      <c r="JX1060" s="18"/>
      <c r="JY1060" s="18"/>
      <c r="JZ1060" s="18"/>
      <c r="KA1060" s="18"/>
      <c r="KB1060" s="18"/>
      <c r="KC1060" s="18"/>
      <c r="KD1060" s="18"/>
      <c r="KE1060" s="18"/>
      <c r="KF1060" s="18"/>
      <c r="KG1060" s="18"/>
      <c r="KH1060" s="18"/>
      <c r="KI1060" s="18"/>
      <c r="KJ1060" s="18"/>
      <c r="KK1060" s="18"/>
      <c r="KL1060" s="18"/>
      <c r="KM1060" s="18"/>
      <c r="KN1060" s="18"/>
      <c r="KO1060" s="18"/>
      <c r="KP1060" s="18"/>
    </row>
    <row r="1061" spans="1:302">
      <c r="A1061" s="14"/>
      <c r="B1061" s="14"/>
      <c r="F1061" s="14"/>
      <c r="G1061" s="23"/>
      <c r="H1061" s="23"/>
      <c r="I1061" s="23"/>
      <c r="J1061" s="23"/>
      <c r="K1061" s="14"/>
      <c r="L1061" s="14"/>
      <c r="P1061" s="14"/>
      <c r="AG1061" s="44"/>
      <c r="AH1061" s="44"/>
      <c r="AI1061" s="45"/>
      <c r="AJ1061" s="44"/>
      <c r="AK1061" s="43"/>
      <c r="AS1061" s="14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  <c r="EW1061" s="18"/>
      <c r="EX1061" s="18"/>
      <c r="EY1061" s="18"/>
      <c r="EZ1061" s="18"/>
      <c r="FA1061" s="18"/>
      <c r="FB1061" s="18"/>
      <c r="FC1061" s="18"/>
      <c r="FD1061" s="18"/>
      <c r="FE1061" s="18"/>
      <c r="FF1061" s="18"/>
      <c r="FG1061" s="18"/>
      <c r="FH1061" s="18"/>
      <c r="FI1061" s="18"/>
      <c r="FJ1061" s="18"/>
      <c r="FK1061" s="18"/>
      <c r="FL1061" s="18"/>
      <c r="FM1061" s="18"/>
      <c r="FN1061" s="18"/>
      <c r="FO1061" s="18"/>
      <c r="FP1061" s="18"/>
      <c r="FQ1061" s="18"/>
      <c r="FR1061" s="18"/>
      <c r="FS1061" s="18"/>
      <c r="FT1061" s="18"/>
      <c r="FU1061" s="18"/>
      <c r="FV1061" s="18"/>
      <c r="FW1061" s="18"/>
      <c r="FX1061" s="18"/>
      <c r="FY1061" s="18"/>
      <c r="FZ1061" s="18"/>
      <c r="GA1061" s="18"/>
      <c r="GB1061" s="18"/>
      <c r="GC1061" s="18"/>
      <c r="GD1061" s="18"/>
      <c r="GE1061" s="18"/>
      <c r="GF1061" s="18"/>
      <c r="GG1061" s="18"/>
      <c r="GH1061" s="18"/>
      <c r="GI1061" s="18"/>
      <c r="GJ1061" s="18"/>
      <c r="GK1061" s="18"/>
      <c r="GL1061" s="18"/>
      <c r="GM1061" s="18"/>
      <c r="GN1061" s="18"/>
      <c r="GO1061" s="18"/>
      <c r="GP1061" s="18"/>
      <c r="GQ1061" s="18"/>
      <c r="GR1061" s="18"/>
      <c r="GS1061" s="18"/>
      <c r="GT1061" s="18"/>
      <c r="GU1061" s="18"/>
      <c r="GV1061" s="18"/>
      <c r="GW1061" s="18"/>
      <c r="GX1061" s="18"/>
      <c r="GY1061" s="18"/>
      <c r="GZ1061" s="18"/>
      <c r="HA1061" s="18"/>
      <c r="HB1061" s="18"/>
      <c r="HC1061" s="18"/>
      <c r="HD1061" s="18"/>
      <c r="HE1061" s="18"/>
      <c r="HF1061" s="18"/>
      <c r="HG1061" s="13"/>
      <c r="HH1061" s="13"/>
      <c r="HI1061" s="13"/>
      <c r="HJ1061" s="13"/>
      <c r="HK1061" s="13"/>
      <c r="HL1061" s="13"/>
      <c r="HM1061" s="13"/>
      <c r="HN1061" s="13"/>
      <c r="HO1061" s="13"/>
      <c r="HP1061" s="13"/>
      <c r="HQ1061" s="13"/>
      <c r="HR1061" s="13"/>
      <c r="HS1061" s="13"/>
      <c r="HT1061" s="13"/>
      <c r="HU1061" s="18"/>
      <c r="HV1061" s="18"/>
      <c r="HW1061" s="18"/>
      <c r="HX1061" s="18"/>
      <c r="HY1061" s="18"/>
      <c r="HZ1061" s="18"/>
      <c r="IA1061" s="18"/>
      <c r="IB1061" s="18"/>
      <c r="IC1061" s="18"/>
      <c r="ID1061" s="18"/>
      <c r="IE1061" s="18"/>
      <c r="IF1061" s="18"/>
      <c r="IG1061" s="18"/>
      <c r="IH1061" s="18"/>
      <c r="II1061" s="18"/>
      <c r="IJ1061" s="18"/>
      <c r="IK1061" s="18"/>
      <c r="IL1061" s="18"/>
      <c r="IM1061" s="18"/>
      <c r="IN1061" s="18"/>
      <c r="IO1061" s="18"/>
      <c r="IP1061" s="18"/>
      <c r="IQ1061" s="18"/>
      <c r="IR1061" s="18"/>
      <c r="IS1061" s="18"/>
      <c r="IT1061" s="18"/>
      <c r="IU1061" s="18"/>
      <c r="IV1061" s="18"/>
      <c r="IW1061" s="18"/>
      <c r="IX1061" s="18"/>
      <c r="IY1061" s="18"/>
      <c r="IZ1061" s="18"/>
      <c r="JA1061" s="18"/>
      <c r="JB1061" s="18"/>
      <c r="JC1061" s="18"/>
      <c r="JD1061" s="18"/>
      <c r="JE1061" s="18"/>
      <c r="JF1061" s="18"/>
      <c r="JG1061" s="18"/>
      <c r="JH1061" s="18"/>
      <c r="JI1061" s="18"/>
      <c r="JJ1061" s="18"/>
      <c r="JK1061" s="18"/>
      <c r="JL1061" s="18"/>
      <c r="JM1061" s="18"/>
      <c r="JN1061" s="18"/>
      <c r="JO1061" s="18"/>
      <c r="JP1061" s="18"/>
      <c r="JQ1061" s="18"/>
      <c r="JR1061" s="18"/>
      <c r="JS1061" s="18"/>
      <c r="JT1061" s="18"/>
      <c r="JU1061" s="18"/>
      <c r="JV1061" s="18"/>
      <c r="JW1061" s="18"/>
      <c r="JX1061" s="18"/>
      <c r="JY1061" s="18"/>
      <c r="JZ1061" s="18"/>
      <c r="KA1061" s="18"/>
      <c r="KB1061" s="18"/>
      <c r="KC1061" s="18"/>
      <c r="KD1061" s="18"/>
      <c r="KE1061" s="18"/>
      <c r="KF1061" s="18"/>
      <c r="KG1061" s="18"/>
      <c r="KH1061" s="18"/>
      <c r="KI1061" s="18"/>
      <c r="KJ1061" s="18"/>
      <c r="KK1061" s="18"/>
      <c r="KL1061" s="18"/>
      <c r="KM1061" s="18"/>
      <c r="KN1061" s="18"/>
      <c r="KO1061" s="18"/>
      <c r="KP1061" s="18"/>
    </row>
    <row r="1062" spans="1:302">
      <c r="A1062" s="14"/>
      <c r="B1062" s="14"/>
      <c r="F1062" s="14"/>
      <c r="G1062" s="23"/>
      <c r="H1062" s="23"/>
      <c r="I1062" s="23"/>
      <c r="J1062" s="23"/>
      <c r="K1062" s="14"/>
      <c r="L1062" s="14"/>
      <c r="P1062" s="14"/>
      <c r="AG1062" s="44"/>
      <c r="AH1062" s="44"/>
      <c r="AI1062" s="45"/>
      <c r="AJ1062" s="44"/>
      <c r="AK1062" s="43"/>
      <c r="AS1062" s="14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  <c r="EW1062" s="18"/>
      <c r="EX1062" s="18"/>
      <c r="EY1062" s="18"/>
      <c r="EZ1062" s="18"/>
      <c r="FA1062" s="18"/>
      <c r="FB1062" s="18"/>
      <c r="FC1062" s="18"/>
      <c r="FD1062" s="18"/>
      <c r="FE1062" s="18"/>
      <c r="FF1062" s="18"/>
      <c r="FG1062" s="18"/>
      <c r="FH1062" s="18"/>
      <c r="FI1062" s="18"/>
      <c r="FJ1062" s="18"/>
      <c r="FK1062" s="18"/>
      <c r="FL1062" s="18"/>
      <c r="FM1062" s="18"/>
      <c r="FN1062" s="18"/>
      <c r="FO1062" s="18"/>
      <c r="FP1062" s="18"/>
      <c r="FQ1062" s="18"/>
      <c r="FR1062" s="18"/>
      <c r="FS1062" s="18"/>
      <c r="FT1062" s="18"/>
      <c r="FU1062" s="18"/>
      <c r="FV1062" s="18"/>
      <c r="FW1062" s="18"/>
      <c r="FX1062" s="18"/>
      <c r="FY1062" s="18"/>
      <c r="FZ1062" s="18"/>
      <c r="GA1062" s="18"/>
      <c r="GB1062" s="18"/>
      <c r="GC1062" s="18"/>
      <c r="GD1062" s="18"/>
      <c r="GE1062" s="18"/>
      <c r="GF1062" s="18"/>
      <c r="GG1062" s="18"/>
      <c r="GH1062" s="18"/>
      <c r="GI1062" s="18"/>
      <c r="GJ1062" s="18"/>
      <c r="GK1062" s="18"/>
      <c r="GL1062" s="18"/>
      <c r="GM1062" s="18"/>
      <c r="GN1062" s="18"/>
      <c r="GO1062" s="18"/>
      <c r="GP1062" s="18"/>
      <c r="GQ1062" s="18"/>
      <c r="GR1062" s="18"/>
      <c r="GS1062" s="18"/>
      <c r="GT1062" s="18"/>
      <c r="GU1062" s="18"/>
      <c r="GV1062" s="18"/>
      <c r="GW1062" s="18"/>
      <c r="GX1062" s="18"/>
      <c r="GY1062" s="18"/>
      <c r="GZ1062" s="18"/>
      <c r="HA1062" s="18"/>
      <c r="HB1062" s="18"/>
      <c r="HC1062" s="18"/>
      <c r="HD1062" s="18"/>
      <c r="HE1062" s="18"/>
      <c r="HF1062" s="18"/>
      <c r="HG1062" s="13"/>
      <c r="HH1062" s="13"/>
      <c r="HI1062" s="13"/>
      <c r="HJ1062" s="13"/>
      <c r="HK1062" s="13"/>
      <c r="HL1062" s="13"/>
      <c r="HM1062" s="13"/>
      <c r="HN1062" s="13"/>
      <c r="HO1062" s="13"/>
      <c r="HP1062" s="13"/>
      <c r="HQ1062" s="13"/>
      <c r="HR1062" s="13"/>
      <c r="HS1062" s="13"/>
      <c r="HT1062" s="13"/>
      <c r="HU1062" s="18"/>
      <c r="HV1062" s="18"/>
      <c r="HW1062" s="18"/>
      <c r="HX1062" s="18"/>
      <c r="HY1062" s="18"/>
      <c r="HZ1062" s="18"/>
      <c r="IA1062" s="18"/>
      <c r="IB1062" s="18"/>
      <c r="IC1062" s="18"/>
      <c r="ID1062" s="18"/>
      <c r="IE1062" s="18"/>
      <c r="IF1062" s="18"/>
      <c r="IG1062" s="18"/>
      <c r="IH1062" s="18"/>
      <c r="II1062" s="18"/>
      <c r="IJ1062" s="18"/>
      <c r="IK1062" s="18"/>
      <c r="IL1062" s="18"/>
      <c r="IM1062" s="18"/>
      <c r="IN1062" s="18"/>
      <c r="IO1062" s="18"/>
      <c r="IP1062" s="18"/>
      <c r="IQ1062" s="18"/>
      <c r="IR1062" s="18"/>
      <c r="IS1062" s="18"/>
      <c r="IT1062" s="18"/>
      <c r="IU1062" s="18"/>
      <c r="IV1062" s="18"/>
      <c r="IW1062" s="18"/>
      <c r="IX1062" s="18"/>
      <c r="IY1062" s="18"/>
      <c r="IZ1062" s="18"/>
      <c r="JA1062" s="18"/>
      <c r="JB1062" s="18"/>
      <c r="JC1062" s="18"/>
      <c r="JD1062" s="18"/>
      <c r="JE1062" s="18"/>
      <c r="JF1062" s="18"/>
      <c r="JG1062" s="18"/>
      <c r="JH1062" s="18"/>
      <c r="JI1062" s="18"/>
      <c r="JJ1062" s="18"/>
      <c r="JK1062" s="18"/>
      <c r="JL1062" s="18"/>
      <c r="JM1062" s="18"/>
      <c r="JN1062" s="18"/>
      <c r="JO1062" s="18"/>
      <c r="JP1062" s="18"/>
      <c r="JQ1062" s="18"/>
      <c r="JR1062" s="18"/>
      <c r="JS1062" s="18"/>
      <c r="JT1062" s="18"/>
      <c r="JU1062" s="18"/>
      <c r="JV1062" s="18"/>
      <c r="JW1062" s="18"/>
      <c r="JX1062" s="18"/>
      <c r="JY1062" s="18"/>
      <c r="JZ1062" s="18"/>
      <c r="KA1062" s="18"/>
      <c r="KB1062" s="18"/>
      <c r="KC1062" s="18"/>
      <c r="KD1062" s="18"/>
      <c r="KE1062" s="18"/>
      <c r="KF1062" s="18"/>
      <c r="KG1062" s="18"/>
      <c r="KH1062" s="18"/>
      <c r="KI1062" s="18"/>
      <c r="KJ1062" s="18"/>
      <c r="KK1062" s="18"/>
      <c r="KL1062" s="18"/>
      <c r="KM1062" s="18"/>
      <c r="KN1062" s="18"/>
      <c r="KO1062" s="18"/>
      <c r="KP1062" s="18"/>
    </row>
    <row r="1063" spans="1:302">
      <c r="A1063" s="14"/>
      <c r="B1063" s="14"/>
      <c r="F1063" s="14"/>
      <c r="G1063" s="23"/>
      <c r="H1063" s="23"/>
      <c r="I1063" s="23"/>
      <c r="J1063" s="23"/>
      <c r="K1063" s="14"/>
      <c r="L1063" s="14"/>
      <c r="P1063" s="14"/>
      <c r="AG1063" s="44"/>
      <c r="AH1063" s="44"/>
      <c r="AI1063" s="45"/>
      <c r="AJ1063" s="44"/>
      <c r="AK1063" s="43"/>
      <c r="AS1063" s="14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  <c r="EW1063" s="18"/>
      <c r="EX1063" s="18"/>
      <c r="EY1063" s="18"/>
      <c r="EZ1063" s="18"/>
      <c r="FA1063" s="18"/>
      <c r="FB1063" s="18"/>
      <c r="FC1063" s="18"/>
      <c r="FD1063" s="18"/>
      <c r="FE1063" s="18"/>
      <c r="FF1063" s="18"/>
      <c r="FG1063" s="18"/>
      <c r="FH1063" s="18"/>
      <c r="FI1063" s="18"/>
      <c r="FJ1063" s="18"/>
      <c r="FK1063" s="18"/>
      <c r="FL1063" s="18"/>
      <c r="FM1063" s="18"/>
      <c r="FN1063" s="18"/>
      <c r="FO1063" s="18"/>
      <c r="FP1063" s="18"/>
      <c r="FQ1063" s="18"/>
      <c r="FR1063" s="18"/>
      <c r="FS1063" s="18"/>
      <c r="FT1063" s="18"/>
      <c r="FU1063" s="18"/>
      <c r="FV1063" s="18"/>
      <c r="FW1063" s="18"/>
      <c r="FX1063" s="18"/>
      <c r="FY1063" s="18"/>
      <c r="FZ1063" s="18"/>
      <c r="GA1063" s="18"/>
      <c r="GB1063" s="18"/>
      <c r="GC1063" s="18"/>
      <c r="GD1063" s="18"/>
      <c r="GE1063" s="18"/>
      <c r="GF1063" s="18"/>
      <c r="GG1063" s="18"/>
      <c r="GH1063" s="18"/>
      <c r="GI1063" s="18"/>
      <c r="GJ1063" s="18"/>
      <c r="GK1063" s="18"/>
      <c r="GL1063" s="18"/>
      <c r="GM1063" s="18"/>
      <c r="GN1063" s="18"/>
      <c r="GO1063" s="18"/>
      <c r="GP1063" s="18"/>
      <c r="GQ1063" s="18"/>
      <c r="GR1063" s="18"/>
      <c r="GS1063" s="18"/>
      <c r="GT1063" s="18"/>
      <c r="GU1063" s="18"/>
      <c r="GV1063" s="18"/>
      <c r="GW1063" s="18"/>
      <c r="GX1063" s="18"/>
      <c r="GY1063" s="18"/>
      <c r="GZ1063" s="18"/>
      <c r="HA1063" s="18"/>
      <c r="HB1063" s="18"/>
      <c r="HC1063" s="18"/>
      <c r="HD1063" s="18"/>
      <c r="HE1063" s="18"/>
      <c r="HF1063" s="18"/>
      <c r="HG1063" s="13"/>
      <c r="HH1063" s="13"/>
      <c r="HI1063" s="13"/>
      <c r="HJ1063" s="13"/>
      <c r="HK1063" s="13"/>
      <c r="HL1063" s="13"/>
      <c r="HM1063" s="13"/>
      <c r="HN1063" s="13"/>
      <c r="HO1063" s="13"/>
      <c r="HP1063" s="13"/>
      <c r="HQ1063" s="13"/>
      <c r="HR1063" s="13"/>
      <c r="HS1063" s="13"/>
      <c r="HT1063" s="13"/>
      <c r="HU1063" s="18"/>
      <c r="HV1063" s="18"/>
      <c r="HW1063" s="18"/>
      <c r="HX1063" s="18"/>
      <c r="HY1063" s="18"/>
      <c r="HZ1063" s="18"/>
      <c r="IA1063" s="18"/>
      <c r="IB1063" s="18"/>
      <c r="IC1063" s="18"/>
      <c r="ID1063" s="18"/>
      <c r="IE1063" s="18"/>
      <c r="IF1063" s="18"/>
      <c r="IG1063" s="18"/>
      <c r="IH1063" s="18"/>
      <c r="II1063" s="18"/>
      <c r="IJ1063" s="18"/>
      <c r="IK1063" s="18"/>
      <c r="IL1063" s="18"/>
      <c r="IM1063" s="18"/>
      <c r="IN1063" s="18"/>
      <c r="IO1063" s="18"/>
      <c r="IP1063" s="18"/>
      <c r="IQ1063" s="18"/>
      <c r="IR1063" s="18"/>
      <c r="IS1063" s="18"/>
      <c r="IT1063" s="18"/>
      <c r="IU1063" s="18"/>
      <c r="IV1063" s="18"/>
      <c r="IW1063" s="18"/>
      <c r="IX1063" s="18"/>
      <c r="IY1063" s="18"/>
      <c r="IZ1063" s="18"/>
      <c r="JA1063" s="18"/>
      <c r="JB1063" s="18"/>
      <c r="JC1063" s="18"/>
      <c r="JD1063" s="18"/>
      <c r="JE1063" s="18"/>
      <c r="JF1063" s="18"/>
      <c r="JG1063" s="18"/>
      <c r="JH1063" s="18"/>
      <c r="JI1063" s="18"/>
      <c r="JJ1063" s="18"/>
      <c r="JK1063" s="18"/>
      <c r="JL1063" s="18"/>
      <c r="JM1063" s="18"/>
      <c r="JN1063" s="18"/>
      <c r="JO1063" s="18"/>
      <c r="JP1063" s="18"/>
      <c r="JQ1063" s="18"/>
      <c r="JR1063" s="18"/>
      <c r="JS1063" s="18"/>
      <c r="JT1063" s="18"/>
      <c r="JU1063" s="18"/>
      <c r="JV1063" s="18"/>
      <c r="JW1063" s="18"/>
      <c r="JX1063" s="18"/>
      <c r="JY1063" s="18"/>
      <c r="JZ1063" s="18"/>
      <c r="KA1063" s="18"/>
      <c r="KB1063" s="18"/>
      <c r="KC1063" s="18"/>
      <c r="KD1063" s="18"/>
      <c r="KE1063" s="18"/>
      <c r="KF1063" s="18"/>
      <c r="KG1063" s="18"/>
      <c r="KH1063" s="18"/>
      <c r="KI1063" s="18"/>
      <c r="KJ1063" s="18"/>
      <c r="KK1063" s="18"/>
      <c r="KL1063" s="18"/>
      <c r="KM1063" s="18"/>
      <c r="KN1063" s="18"/>
      <c r="KO1063" s="18"/>
      <c r="KP1063" s="18"/>
    </row>
    <row r="1064" spans="1:302">
      <c r="A1064" s="14"/>
      <c r="B1064" s="14"/>
      <c r="F1064" s="14"/>
      <c r="G1064" s="23"/>
      <c r="H1064" s="23"/>
      <c r="I1064" s="23"/>
      <c r="J1064" s="23"/>
      <c r="K1064" s="14"/>
      <c r="L1064" s="14"/>
      <c r="P1064" s="14"/>
      <c r="AG1064" s="44"/>
      <c r="AH1064" s="44"/>
      <c r="AI1064" s="45"/>
      <c r="AJ1064" s="44"/>
      <c r="AK1064" s="43"/>
      <c r="AS1064" s="14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  <c r="EW1064" s="18"/>
      <c r="EX1064" s="18"/>
      <c r="EY1064" s="18"/>
      <c r="EZ1064" s="18"/>
      <c r="FA1064" s="18"/>
      <c r="FB1064" s="18"/>
      <c r="FC1064" s="18"/>
      <c r="FD1064" s="18"/>
      <c r="FE1064" s="18"/>
      <c r="FF1064" s="18"/>
      <c r="FG1064" s="18"/>
      <c r="FH1064" s="18"/>
      <c r="FI1064" s="18"/>
      <c r="FJ1064" s="18"/>
      <c r="FK1064" s="18"/>
      <c r="FL1064" s="18"/>
      <c r="FM1064" s="18"/>
      <c r="FN1064" s="18"/>
      <c r="FO1064" s="18"/>
      <c r="FP1064" s="18"/>
      <c r="FQ1064" s="18"/>
      <c r="FR1064" s="18"/>
      <c r="FS1064" s="18"/>
      <c r="FT1064" s="18"/>
      <c r="FU1064" s="18"/>
      <c r="FV1064" s="18"/>
      <c r="FW1064" s="18"/>
      <c r="FX1064" s="18"/>
      <c r="FY1064" s="18"/>
      <c r="FZ1064" s="18"/>
      <c r="GA1064" s="18"/>
      <c r="GB1064" s="18"/>
      <c r="GC1064" s="18"/>
      <c r="GD1064" s="18"/>
      <c r="GE1064" s="18"/>
      <c r="GF1064" s="18"/>
      <c r="GG1064" s="18"/>
      <c r="GH1064" s="18"/>
      <c r="GI1064" s="18"/>
      <c r="GJ1064" s="18"/>
      <c r="GK1064" s="18"/>
      <c r="GL1064" s="18"/>
      <c r="GM1064" s="18"/>
      <c r="GN1064" s="18"/>
      <c r="GO1064" s="18"/>
      <c r="GP1064" s="18"/>
      <c r="GQ1064" s="18"/>
      <c r="GR1064" s="18"/>
      <c r="GS1064" s="18"/>
      <c r="GT1064" s="18"/>
      <c r="GU1064" s="18"/>
      <c r="GV1064" s="18"/>
      <c r="GW1064" s="18"/>
      <c r="GX1064" s="18"/>
      <c r="GY1064" s="18"/>
      <c r="GZ1064" s="18"/>
      <c r="HA1064" s="18"/>
      <c r="HB1064" s="18"/>
      <c r="HC1064" s="18"/>
      <c r="HD1064" s="18"/>
      <c r="HE1064" s="18"/>
      <c r="HF1064" s="18"/>
      <c r="HG1064" s="13"/>
      <c r="HH1064" s="13"/>
      <c r="HI1064" s="13"/>
      <c r="HJ1064" s="13"/>
      <c r="HK1064" s="13"/>
      <c r="HL1064" s="13"/>
      <c r="HM1064" s="13"/>
      <c r="HN1064" s="13"/>
      <c r="HO1064" s="13"/>
      <c r="HP1064" s="13"/>
      <c r="HQ1064" s="13"/>
      <c r="HR1064" s="13"/>
      <c r="HS1064" s="13"/>
      <c r="HT1064" s="13"/>
      <c r="HU1064" s="18"/>
      <c r="HV1064" s="18"/>
      <c r="HW1064" s="18"/>
      <c r="HX1064" s="18"/>
      <c r="HY1064" s="18"/>
      <c r="HZ1064" s="18"/>
      <c r="IA1064" s="18"/>
      <c r="IB1064" s="18"/>
      <c r="IC1064" s="18"/>
      <c r="ID1064" s="18"/>
      <c r="IE1064" s="18"/>
      <c r="IF1064" s="18"/>
      <c r="IG1064" s="18"/>
      <c r="IH1064" s="18"/>
      <c r="II1064" s="18"/>
      <c r="IJ1064" s="18"/>
      <c r="IK1064" s="18"/>
      <c r="IL1064" s="18"/>
      <c r="IM1064" s="18"/>
      <c r="IN1064" s="18"/>
      <c r="IO1064" s="18"/>
      <c r="IP1064" s="18"/>
      <c r="IQ1064" s="18"/>
      <c r="IR1064" s="18"/>
      <c r="IS1064" s="18"/>
      <c r="IT1064" s="18"/>
      <c r="IU1064" s="18"/>
      <c r="IV1064" s="18"/>
      <c r="IW1064" s="18"/>
      <c r="IX1064" s="18"/>
      <c r="IY1064" s="18"/>
      <c r="IZ1064" s="18"/>
      <c r="JA1064" s="18"/>
      <c r="JB1064" s="18"/>
      <c r="JC1064" s="18"/>
      <c r="JD1064" s="18"/>
      <c r="JE1064" s="18"/>
      <c r="JF1064" s="18"/>
      <c r="JG1064" s="18"/>
      <c r="JH1064" s="18"/>
      <c r="JI1064" s="18"/>
      <c r="JJ1064" s="18"/>
      <c r="JK1064" s="18"/>
      <c r="JL1064" s="18"/>
      <c r="JM1064" s="18"/>
      <c r="JN1064" s="18"/>
      <c r="JO1064" s="18"/>
      <c r="JP1064" s="18"/>
      <c r="JQ1064" s="18"/>
      <c r="JR1064" s="18"/>
      <c r="JS1064" s="18"/>
      <c r="JT1064" s="18"/>
      <c r="JU1064" s="18"/>
      <c r="JV1064" s="18"/>
      <c r="JW1064" s="18"/>
      <c r="JX1064" s="18"/>
      <c r="JY1064" s="18"/>
      <c r="JZ1064" s="18"/>
      <c r="KA1064" s="18"/>
      <c r="KB1064" s="18"/>
      <c r="KC1064" s="18"/>
      <c r="KD1064" s="18"/>
      <c r="KE1064" s="18"/>
      <c r="KF1064" s="18"/>
      <c r="KG1064" s="18"/>
      <c r="KH1064" s="18"/>
      <c r="KI1064" s="18"/>
      <c r="KJ1064" s="18"/>
      <c r="KK1064" s="18"/>
      <c r="KL1064" s="18"/>
      <c r="KM1064" s="18"/>
      <c r="KN1064" s="18"/>
      <c r="KO1064" s="18"/>
      <c r="KP1064" s="18"/>
    </row>
    <row r="1065" spans="1:302">
      <c r="A1065" s="14"/>
      <c r="B1065" s="14"/>
      <c r="F1065" s="14"/>
      <c r="G1065" s="23"/>
      <c r="H1065" s="23"/>
      <c r="I1065" s="23"/>
      <c r="J1065" s="23"/>
      <c r="K1065" s="14"/>
      <c r="L1065" s="14"/>
      <c r="P1065" s="14"/>
      <c r="AG1065" s="44"/>
      <c r="AH1065" s="44"/>
      <c r="AI1065" s="45"/>
      <c r="AJ1065" s="44"/>
      <c r="AK1065" s="43"/>
      <c r="AS1065" s="14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  <c r="EW1065" s="18"/>
      <c r="EX1065" s="18"/>
      <c r="EY1065" s="18"/>
      <c r="EZ1065" s="18"/>
      <c r="FA1065" s="18"/>
      <c r="FB1065" s="18"/>
      <c r="FC1065" s="18"/>
      <c r="FD1065" s="18"/>
      <c r="FE1065" s="18"/>
      <c r="FF1065" s="18"/>
      <c r="FG1065" s="18"/>
      <c r="FH1065" s="18"/>
      <c r="FI1065" s="18"/>
      <c r="FJ1065" s="18"/>
      <c r="FK1065" s="18"/>
      <c r="FL1065" s="18"/>
      <c r="FM1065" s="18"/>
      <c r="FN1065" s="18"/>
      <c r="FO1065" s="18"/>
      <c r="FP1065" s="18"/>
      <c r="FQ1065" s="18"/>
      <c r="FR1065" s="18"/>
      <c r="FS1065" s="18"/>
      <c r="FT1065" s="18"/>
      <c r="FU1065" s="18"/>
      <c r="FV1065" s="18"/>
      <c r="FW1065" s="18"/>
      <c r="FX1065" s="18"/>
      <c r="FY1065" s="18"/>
      <c r="FZ1065" s="18"/>
      <c r="GA1065" s="18"/>
      <c r="GB1065" s="18"/>
      <c r="GC1065" s="18"/>
      <c r="GD1065" s="18"/>
      <c r="GE1065" s="18"/>
      <c r="GF1065" s="18"/>
      <c r="GG1065" s="18"/>
      <c r="GH1065" s="18"/>
      <c r="GI1065" s="18"/>
      <c r="GJ1065" s="18"/>
      <c r="GK1065" s="18"/>
      <c r="GL1065" s="18"/>
      <c r="GM1065" s="18"/>
      <c r="GN1065" s="18"/>
      <c r="GO1065" s="18"/>
      <c r="GP1065" s="18"/>
      <c r="GQ1065" s="18"/>
      <c r="GR1065" s="18"/>
      <c r="GS1065" s="18"/>
      <c r="GT1065" s="18"/>
      <c r="GU1065" s="18"/>
      <c r="GV1065" s="18"/>
      <c r="GW1065" s="18"/>
      <c r="GX1065" s="18"/>
      <c r="GY1065" s="18"/>
      <c r="GZ1065" s="18"/>
      <c r="HA1065" s="18"/>
      <c r="HB1065" s="18"/>
      <c r="HC1065" s="18"/>
      <c r="HD1065" s="18"/>
      <c r="HE1065" s="18"/>
      <c r="HF1065" s="18"/>
      <c r="HG1065" s="13"/>
      <c r="HH1065" s="13"/>
      <c r="HI1065" s="13"/>
      <c r="HJ1065" s="13"/>
      <c r="HK1065" s="13"/>
      <c r="HL1065" s="13"/>
      <c r="HM1065" s="13"/>
      <c r="HN1065" s="13"/>
      <c r="HO1065" s="13"/>
      <c r="HP1065" s="13"/>
      <c r="HQ1065" s="13"/>
      <c r="HR1065" s="13"/>
      <c r="HS1065" s="13"/>
      <c r="HT1065" s="13"/>
      <c r="HU1065" s="18"/>
      <c r="HV1065" s="18"/>
      <c r="HW1065" s="18"/>
      <c r="HX1065" s="18"/>
      <c r="HY1065" s="18"/>
      <c r="HZ1065" s="18"/>
      <c r="IA1065" s="18"/>
      <c r="IB1065" s="18"/>
      <c r="IC1065" s="18"/>
      <c r="ID1065" s="18"/>
      <c r="IE1065" s="18"/>
      <c r="IF1065" s="18"/>
      <c r="IG1065" s="18"/>
      <c r="IH1065" s="18"/>
      <c r="II1065" s="18"/>
      <c r="IJ1065" s="18"/>
      <c r="IK1065" s="18"/>
      <c r="IL1065" s="18"/>
      <c r="IM1065" s="18"/>
      <c r="IN1065" s="18"/>
      <c r="IO1065" s="18"/>
      <c r="IP1065" s="18"/>
      <c r="IQ1065" s="18"/>
      <c r="IR1065" s="18"/>
      <c r="IS1065" s="18"/>
      <c r="IT1065" s="18"/>
      <c r="IU1065" s="18"/>
      <c r="IV1065" s="18"/>
      <c r="IW1065" s="18"/>
      <c r="IX1065" s="18"/>
      <c r="IY1065" s="18"/>
      <c r="IZ1065" s="18"/>
      <c r="JA1065" s="18"/>
      <c r="JB1065" s="18"/>
      <c r="JC1065" s="18"/>
      <c r="JD1065" s="18"/>
      <c r="JE1065" s="18"/>
      <c r="JF1065" s="18"/>
      <c r="JG1065" s="18"/>
      <c r="JH1065" s="18"/>
      <c r="JI1065" s="18"/>
      <c r="JJ1065" s="18"/>
      <c r="JK1065" s="18"/>
      <c r="JL1065" s="18"/>
      <c r="JM1065" s="18"/>
      <c r="JN1065" s="18"/>
      <c r="JO1065" s="18"/>
      <c r="JP1065" s="18"/>
      <c r="JQ1065" s="18"/>
      <c r="JR1065" s="18"/>
      <c r="JS1065" s="18"/>
      <c r="JT1065" s="18"/>
      <c r="JU1065" s="18"/>
      <c r="JV1065" s="18"/>
      <c r="JW1065" s="18"/>
      <c r="JX1065" s="18"/>
      <c r="JY1065" s="18"/>
      <c r="JZ1065" s="18"/>
      <c r="KA1065" s="18"/>
      <c r="KB1065" s="18"/>
      <c r="KC1065" s="18"/>
      <c r="KD1065" s="18"/>
      <c r="KE1065" s="18"/>
      <c r="KF1065" s="18"/>
      <c r="KG1065" s="18"/>
      <c r="KH1065" s="18"/>
      <c r="KI1065" s="18"/>
      <c r="KJ1065" s="18"/>
      <c r="KK1065" s="18"/>
      <c r="KL1065" s="18"/>
      <c r="KM1065" s="18"/>
      <c r="KN1065" s="18"/>
      <c r="KO1065" s="18"/>
      <c r="KP1065" s="18"/>
    </row>
    <row r="1066" spans="1:302">
      <c r="A1066" s="14"/>
      <c r="B1066" s="14"/>
      <c r="F1066" s="14"/>
      <c r="G1066" s="23"/>
      <c r="H1066" s="23"/>
      <c r="I1066" s="23"/>
      <c r="J1066" s="23"/>
      <c r="K1066" s="14"/>
      <c r="L1066" s="14"/>
      <c r="P1066" s="14"/>
      <c r="AG1066" s="44"/>
      <c r="AH1066" s="44"/>
      <c r="AI1066" s="45"/>
      <c r="AJ1066" s="44"/>
      <c r="AK1066" s="43"/>
      <c r="AS1066" s="14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  <c r="EW1066" s="18"/>
      <c r="EX1066" s="18"/>
      <c r="EY1066" s="18"/>
      <c r="EZ1066" s="18"/>
      <c r="FA1066" s="18"/>
      <c r="FB1066" s="18"/>
      <c r="FC1066" s="18"/>
      <c r="FD1066" s="18"/>
      <c r="FE1066" s="18"/>
      <c r="FF1066" s="18"/>
      <c r="FG1066" s="18"/>
      <c r="FH1066" s="18"/>
      <c r="FI1066" s="18"/>
      <c r="FJ1066" s="18"/>
      <c r="FK1066" s="18"/>
      <c r="FL1066" s="18"/>
      <c r="FM1066" s="18"/>
      <c r="FN1066" s="18"/>
      <c r="FO1066" s="18"/>
      <c r="FP1066" s="18"/>
      <c r="FQ1066" s="18"/>
      <c r="FR1066" s="18"/>
      <c r="FS1066" s="18"/>
      <c r="FT1066" s="18"/>
      <c r="FU1066" s="18"/>
      <c r="FV1066" s="18"/>
      <c r="FW1066" s="18"/>
      <c r="FX1066" s="18"/>
      <c r="FY1066" s="18"/>
      <c r="FZ1066" s="18"/>
      <c r="GA1066" s="18"/>
      <c r="GB1066" s="18"/>
      <c r="GC1066" s="18"/>
      <c r="GD1066" s="18"/>
      <c r="GE1066" s="18"/>
      <c r="GF1066" s="18"/>
      <c r="GG1066" s="18"/>
      <c r="GH1066" s="18"/>
      <c r="GI1066" s="18"/>
      <c r="GJ1066" s="18"/>
      <c r="GK1066" s="18"/>
      <c r="GL1066" s="18"/>
      <c r="GM1066" s="18"/>
      <c r="GN1066" s="18"/>
      <c r="GO1066" s="18"/>
      <c r="GP1066" s="18"/>
      <c r="GQ1066" s="18"/>
      <c r="GR1066" s="18"/>
      <c r="GS1066" s="18"/>
      <c r="GT1066" s="18"/>
      <c r="GU1066" s="18"/>
      <c r="GV1066" s="18"/>
      <c r="GW1066" s="18"/>
      <c r="GX1066" s="18"/>
      <c r="GY1066" s="18"/>
      <c r="GZ1066" s="18"/>
      <c r="HA1066" s="18"/>
      <c r="HB1066" s="18"/>
      <c r="HC1066" s="18"/>
      <c r="HD1066" s="18"/>
      <c r="HE1066" s="18"/>
      <c r="HF1066" s="18"/>
      <c r="HG1066" s="13"/>
      <c r="HH1066" s="13"/>
      <c r="HI1066" s="13"/>
      <c r="HJ1066" s="13"/>
      <c r="HK1066" s="13"/>
      <c r="HL1066" s="13"/>
      <c r="HM1066" s="13"/>
      <c r="HN1066" s="13"/>
      <c r="HO1066" s="13"/>
      <c r="HP1066" s="13"/>
      <c r="HQ1066" s="13"/>
      <c r="HR1066" s="13"/>
      <c r="HS1066" s="13"/>
      <c r="HT1066" s="13"/>
      <c r="HU1066" s="18"/>
      <c r="HV1066" s="18"/>
      <c r="HW1066" s="18"/>
      <c r="HX1066" s="18"/>
      <c r="HY1066" s="18"/>
      <c r="HZ1066" s="18"/>
      <c r="IA1066" s="18"/>
      <c r="IB1066" s="18"/>
      <c r="IC1066" s="18"/>
      <c r="ID1066" s="18"/>
      <c r="IE1066" s="18"/>
      <c r="IF1066" s="18"/>
      <c r="IG1066" s="18"/>
      <c r="IH1066" s="18"/>
      <c r="II1066" s="18"/>
      <c r="IJ1066" s="18"/>
      <c r="IK1066" s="18"/>
      <c r="IL1066" s="18"/>
      <c r="IM1066" s="18"/>
      <c r="IN1066" s="18"/>
      <c r="IO1066" s="18"/>
      <c r="IP1066" s="18"/>
      <c r="IQ1066" s="18"/>
      <c r="IR1066" s="18"/>
      <c r="IS1066" s="18"/>
      <c r="IT1066" s="18"/>
      <c r="IU1066" s="18"/>
      <c r="IV1066" s="18"/>
      <c r="IW1066" s="18"/>
      <c r="IX1066" s="18"/>
      <c r="IY1066" s="18"/>
      <c r="IZ1066" s="18"/>
      <c r="JA1066" s="18"/>
      <c r="JB1066" s="18"/>
      <c r="JC1066" s="18"/>
      <c r="JD1066" s="18"/>
      <c r="JE1066" s="18"/>
      <c r="JF1066" s="18"/>
      <c r="JG1066" s="18"/>
      <c r="JH1066" s="18"/>
      <c r="JI1066" s="18"/>
      <c r="JJ1066" s="18"/>
      <c r="JK1066" s="18"/>
      <c r="JL1066" s="18"/>
      <c r="JM1066" s="18"/>
      <c r="JN1066" s="18"/>
      <c r="JO1066" s="18"/>
      <c r="JP1066" s="18"/>
      <c r="JQ1066" s="18"/>
      <c r="JR1066" s="18"/>
      <c r="JS1066" s="18"/>
      <c r="JT1066" s="18"/>
      <c r="JU1066" s="18"/>
      <c r="JV1066" s="18"/>
      <c r="JW1066" s="18"/>
      <c r="JX1066" s="18"/>
      <c r="JY1066" s="18"/>
      <c r="JZ1066" s="18"/>
      <c r="KA1066" s="18"/>
      <c r="KB1066" s="18"/>
      <c r="KC1066" s="18"/>
      <c r="KD1066" s="18"/>
      <c r="KE1066" s="18"/>
      <c r="KF1066" s="18"/>
      <c r="KG1066" s="18"/>
      <c r="KH1066" s="18"/>
      <c r="KI1066" s="18"/>
      <c r="KJ1066" s="18"/>
      <c r="KK1066" s="18"/>
      <c r="KL1066" s="18"/>
      <c r="KM1066" s="18"/>
      <c r="KN1066" s="18"/>
      <c r="KO1066" s="18"/>
      <c r="KP1066" s="18"/>
    </row>
    <row r="1067" spans="1:302">
      <c r="A1067" s="14"/>
      <c r="B1067" s="14"/>
      <c r="F1067" s="14"/>
      <c r="G1067" s="23"/>
      <c r="H1067" s="23"/>
      <c r="I1067" s="23"/>
      <c r="J1067" s="23"/>
      <c r="K1067" s="14"/>
      <c r="L1067" s="14"/>
      <c r="P1067" s="14"/>
      <c r="AG1067" s="44"/>
      <c r="AH1067" s="44"/>
      <c r="AI1067" s="45"/>
      <c r="AJ1067" s="44"/>
      <c r="AK1067" s="43"/>
      <c r="AS1067" s="14"/>
      <c r="AT1067" s="18"/>
      <c r="AU1067" s="18"/>
      <c r="AV1067" s="18"/>
      <c r="AW1067" s="18"/>
      <c r="AX1067" s="18"/>
      <c r="AY1067" s="18"/>
      <c r="AZ1067" s="18"/>
      <c r="BA1067" s="18"/>
      <c r="BB1067" s="18"/>
      <c r="BC1067" s="18"/>
      <c r="BD1067" s="18"/>
      <c r="BE1067" s="18"/>
      <c r="BF1067" s="18"/>
      <c r="BG1067" s="18"/>
      <c r="BH1067" s="18"/>
      <c r="BI1067" s="18"/>
      <c r="BJ1067" s="18"/>
      <c r="BK1067" s="18"/>
      <c r="BL1067" s="18"/>
      <c r="BM1067" s="18"/>
      <c r="BN1067" s="18"/>
      <c r="BO1067" s="18"/>
      <c r="BP1067" s="18"/>
      <c r="BQ1067" s="18"/>
      <c r="BR1067" s="18"/>
      <c r="BS1067" s="18"/>
      <c r="BT1067" s="18"/>
      <c r="BU1067" s="18"/>
      <c r="BV1067" s="18"/>
      <c r="BW1067" s="18"/>
      <c r="BX1067" s="18"/>
      <c r="BY1067" s="18"/>
      <c r="BZ1067" s="18"/>
      <c r="CA1067" s="18"/>
      <c r="CB1067" s="18"/>
      <c r="CC1067" s="18"/>
      <c r="CD1067" s="18"/>
      <c r="CE1067" s="18"/>
      <c r="CF1067" s="18"/>
      <c r="CG1067" s="18"/>
      <c r="CH1067" s="18"/>
      <c r="CI1067" s="18"/>
      <c r="CJ1067" s="18"/>
      <c r="CK1067" s="18"/>
      <c r="CL1067" s="18"/>
      <c r="CM1067" s="18"/>
      <c r="CN1067" s="18"/>
      <c r="CO1067" s="18"/>
      <c r="CP1067" s="18"/>
      <c r="CQ1067" s="18"/>
      <c r="CR1067" s="18"/>
      <c r="CS1067" s="18"/>
      <c r="CT1067" s="18"/>
      <c r="CU1067" s="18"/>
      <c r="CV1067" s="18"/>
      <c r="CW1067" s="18"/>
      <c r="CX1067" s="18"/>
      <c r="CY1067" s="18"/>
      <c r="CZ1067" s="18"/>
      <c r="DA1067" s="18"/>
      <c r="DB1067" s="18"/>
      <c r="DC1067" s="18"/>
      <c r="DD1067" s="18"/>
      <c r="DE1067" s="18"/>
      <c r="DF1067" s="18"/>
      <c r="DG1067" s="18"/>
      <c r="DH1067" s="18"/>
      <c r="DI1067" s="18"/>
      <c r="DJ1067" s="18"/>
      <c r="DK1067" s="18"/>
      <c r="DL1067" s="18"/>
      <c r="DM1067" s="18"/>
      <c r="DN1067" s="18"/>
      <c r="DO1067" s="18"/>
      <c r="DP1067" s="18"/>
      <c r="DQ1067" s="18"/>
      <c r="DR1067" s="18"/>
      <c r="DS1067" s="18"/>
      <c r="DT1067" s="18"/>
      <c r="DU1067" s="18"/>
      <c r="DV1067" s="18"/>
      <c r="DW1067" s="18"/>
      <c r="DX1067" s="18"/>
      <c r="DY1067" s="18"/>
      <c r="DZ1067" s="18"/>
      <c r="EA1067" s="18"/>
      <c r="EB1067" s="18"/>
      <c r="EC1067" s="18"/>
      <c r="ED1067" s="18"/>
      <c r="EE1067" s="18"/>
      <c r="EF1067" s="18"/>
      <c r="EG1067" s="18"/>
      <c r="EH1067" s="18"/>
      <c r="EI1067" s="18"/>
      <c r="EJ1067" s="18"/>
      <c r="EK1067" s="18"/>
      <c r="EL1067" s="18"/>
      <c r="EM1067" s="18"/>
      <c r="EN1067" s="18"/>
      <c r="EO1067" s="18"/>
      <c r="EP1067" s="18"/>
      <c r="EQ1067" s="18"/>
      <c r="ER1067" s="18"/>
      <c r="ES1067" s="18"/>
      <c r="ET1067" s="18"/>
      <c r="EU1067" s="18"/>
      <c r="EV1067" s="18"/>
      <c r="EW1067" s="18"/>
      <c r="EX1067" s="18"/>
      <c r="EY1067" s="18"/>
      <c r="EZ1067" s="18"/>
      <c r="FA1067" s="18"/>
      <c r="FB1067" s="18"/>
      <c r="FC1067" s="18"/>
      <c r="FD1067" s="18"/>
      <c r="FE1067" s="18"/>
      <c r="FF1067" s="18"/>
      <c r="FG1067" s="18"/>
      <c r="FH1067" s="18"/>
      <c r="FI1067" s="18"/>
      <c r="FJ1067" s="18"/>
      <c r="FK1067" s="18"/>
      <c r="FL1067" s="18"/>
      <c r="FM1067" s="18"/>
      <c r="FN1067" s="18"/>
      <c r="FO1067" s="18"/>
      <c r="FP1067" s="18"/>
      <c r="FQ1067" s="18"/>
      <c r="FR1067" s="18"/>
      <c r="FS1067" s="18"/>
      <c r="FT1067" s="18"/>
      <c r="FU1067" s="18"/>
      <c r="FV1067" s="18"/>
      <c r="FW1067" s="18"/>
      <c r="FX1067" s="18"/>
      <c r="FY1067" s="18"/>
      <c r="FZ1067" s="18"/>
      <c r="GA1067" s="18"/>
      <c r="GB1067" s="18"/>
      <c r="GC1067" s="18"/>
      <c r="GD1067" s="18"/>
      <c r="GE1067" s="18"/>
      <c r="GF1067" s="18"/>
      <c r="GG1067" s="18"/>
      <c r="GH1067" s="18"/>
      <c r="GI1067" s="18"/>
      <c r="GJ1067" s="18"/>
      <c r="GK1067" s="18"/>
      <c r="GL1067" s="18"/>
      <c r="GM1067" s="18"/>
      <c r="GN1067" s="18"/>
      <c r="GO1067" s="18"/>
      <c r="GP1067" s="18"/>
      <c r="GQ1067" s="18"/>
      <c r="GR1067" s="18"/>
      <c r="GS1067" s="18"/>
      <c r="GT1067" s="18"/>
      <c r="GU1067" s="18"/>
      <c r="GV1067" s="18"/>
      <c r="GW1067" s="18"/>
      <c r="GX1067" s="18"/>
      <c r="GY1067" s="18"/>
      <c r="GZ1067" s="18"/>
      <c r="HA1067" s="18"/>
      <c r="HB1067" s="18"/>
      <c r="HC1067" s="18"/>
      <c r="HD1067" s="18"/>
      <c r="HE1067" s="18"/>
      <c r="HF1067" s="18"/>
      <c r="HG1067" s="13"/>
      <c r="HH1067" s="13"/>
      <c r="HI1067" s="13"/>
      <c r="HJ1067" s="13"/>
      <c r="HK1067" s="13"/>
      <c r="HL1067" s="13"/>
      <c r="HM1067" s="13"/>
      <c r="HN1067" s="13"/>
      <c r="HO1067" s="13"/>
      <c r="HP1067" s="13"/>
      <c r="HQ1067" s="13"/>
      <c r="HR1067" s="13"/>
      <c r="HS1067" s="13"/>
      <c r="HT1067" s="13"/>
      <c r="HU1067" s="18"/>
      <c r="HV1067" s="18"/>
      <c r="HW1067" s="18"/>
      <c r="HX1067" s="18"/>
      <c r="HY1067" s="18"/>
      <c r="HZ1067" s="18"/>
      <c r="IA1067" s="18"/>
      <c r="IB1067" s="18"/>
      <c r="IC1067" s="18"/>
      <c r="ID1067" s="18"/>
      <c r="IE1067" s="18"/>
      <c r="IF1067" s="18"/>
      <c r="IG1067" s="18"/>
      <c r="IH1067" s="18"/>
      <c r="II1067" s="18"/>
      <c r="IJ1067" s="18"/>
      <c r="IK1067" s="18"/>
      <c r="IL1067" s="18"/>
      <c r="IM1067" s="18"/>
      <c r="IN1067" s="18"/>
      <c r="IO1067" s="18"/>
      <c r="IP1067" s="18"/>
      <c r="IQ1067" s="18"/>
      <c r="IR1067" s="18"/>
      <c r="IS1067" s="18"/>
      <c r="IT1067" s="18"/>
      <c r="IU1067" s="18"/>
      <c r="IV1067" s="18"/>
      <c r="IW1067" s="18"/>
      <c r="IX1067" s="18"/>
      <c r="IY1067" s="18"/>
      <c r="IZ1067" s="18"/>
      <c r="JA1067" s="18"/>
      <c r="JB1067" s="18"/>
      <c r="JC1067" s="18"/>
      <c r="JD1067" s="18"/>
      <c r="JE1067" s="18"/>
      <c r="JF1067" s="18"/>
      <c r="JG1067" s="18"/>
      <c r="JH1067" s="18"/>
      <c r="JI1067" s="18"/>
      <c r="JJ1067" s="18"/>
      <c r="JK1067" s="18"/>
      <c r="JL1067" s="18"/>
      <c r="JM1067" s="18"/>
      <c r="JN1067" s="18"/>
      <c r="JO1067" s="18"/>
      <c r="JP1067" s="18"/>
      <c r="JQ1067" s="18"/>
      <c r="JR1067" s="18"/>
      <c r="JS1067" s="18"/>
      <c r="JT1067" s="18"/>
      <c r="JU1067" s="18"/>
      <c r="JV1067" s="18"/>
      <c r="JW1067" s="18"/>
      <c r="JX1067" s="18"/>
      <c r="JY1067" s="18"/>
      <c r="JZ1067" s="18"/>
      <c r="KA1067" s="18"/>
      <c r="KB1067" s="18"/>
      <c r="KC1067" s="18"/>
      <c r="KD1067" s="18"/>
      <c r="KE1067" s="18"/>
      <c r="KF1067" s="18"/>
      <c r="KG1067" s="18"/>
      <c r="KH1067" s="18"/>
      <c r="KI1067" s="18"/>
      <c r="KJ1067" s="18"/>
      <c r="KK1067" s="18"/>
      <c r="KL1067" s="18"/>
      <c r="KM1067" s="18"/>
      <c r="KN1067" s="18"/>
      <c r="KO1067" s="18"/>
      <c r="KP1067" s="18"/>
    </row>
    <row r="1068" spans="1:302">
      <c r="A1068" s="14"/>
      <c r="B1068" s="14"/>
      <c r="F1068" s="14"/>
      <c r="G1068" s="23"/>
      <c r="H1068" s="23"/>
      <c r="I1068" s="23"/>
      <c r="J1068" s="23"/>
      <c r="K1068" s="14"/>
      <c r="L1068" s="14"/>
      <c r="P1068" s="14"/>
      <c r="AG1068" s="44"/>
      <c r="AH1068" s="44"/>
      <c r="AI1068" s="45"/>
      <c r="AJ1068" s="44"/>
      <c r="AK1068" s="43"/>
      <c r="AS1068" s="14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  <c r="EW1068" s="18"/>
      <c r="EX1068" s="18"/>
      <c r="EY1068" s="18"/>
      <c r="EZ1068" s="18"/>
      <c r="FA1068" s="18"/>
      <c r="FB1068" s="18"/>
      <c r="FC1068" s="18"/>
      <c r="FD1068" s="18"/>
      <c r="FE1068" s="18"/>
      <c r="FF1068" s="18"/>
      <c r="FG1068" s="18"/>
      <c r="FH1068" s="18"/>
      <c r="FI1068" s="18"/>
      <c r="FJ1068" s="18"/>
      <c r="FK1068" s="18"/>
      <c r="FL1068" s="18"/>
      <c r="FM1068" s="18"/>
      <c r="FN1068" s="18"/>
      <c r="FO1068" s="18"/>
      <c r="FP1068" s="18"/>
      <c r="FQ1068" s="18"/>
      <c r="FR1068" s="18"/>
      <c r="FS1068" s="18"/>
      <c r="FT1068" s="18"/>
      <c r="FU1068" s="18"/>
      <c r="FV1068" s="18"/>
      <c r="FW1068" s="18"/>
      <c r="FX1068" s="18"/>
      <c r="FY1068" s="18"/>
      <c r="FZ1068" s="18"/>
      <c r="GA1068" s="18"/>
      <c r="GB1068" s="18"/>
      <c r="GC1068" s="18"/>
      <c r="GD1068" s="18"/>
      <c r="GE1068" s="18"/>
      <c r="GF1068" s="18"/>
      <c r="GG1068" s="18"/>
      <c r="GH1068" s="18"/>
      <c r="GI1068" s="18"/>
      <c r="GJ1068" s="18"/>
      <c r="GK1068" s="18"/>
      <c r="GL1068" s="18"/>
      <c r="GM1068" s="18"/>
      <c r="GN1068" s="18"/>
      <c r="GO1068" s="18"/>
      <c r="GP1068" s="18"/>
      <c r="GQ1068" s="18"/>
      <c r="GR1068" s="18"/>
      <c r="GS1068" s="18"/>
      <c r="GT1068" s="18"/>
      <c r="GU1068" s="18"/>
      <c r="GV1068" s="18"/>
      <c r="GW1068" s="18"/>
      <c r="GX1068" s="18"/>
      <c r="GY1068" s="18"/>
      <c r="GZ1068" s="18"/>
      <c r="HA1068" s="18"/>
      <c r="HB1068" s="18"/>
      <c r="HC1068" s="18"/>
      <c r="HD1068" s="18"/>
      <c r="HE1068" s="18"/>
      <c r="HF1068" s="18"/>
      <c r="HG1068" s="13"/>
      <c r="HH1068" s="13"/>
      <c r="HI1068" s="13"/>
      <c r="HJ1068" s="13"/>
      <c r="HK1068" s="13"/>
      <c r="HL1068" s="13"/>
      <c r="HM1068" s="13"/>
      <c r="HN1068" s="13"/>
      <c r="HO1068" s="13"/>
      <c r="HP1068" s="13"/>
      <c r="HQ1068" s="13"/>
      <c r="HR1068" s="13"/>
      <c r="HS1068" s="13"/>
      <c r="HT1068" s="13"/>
      <c r="HU1068" s="18"/>
      <c r="HV1068" s="18"/>
      <c r="HW1068" s="18"/>
      <c r="HX1068" s="18"/>
      <c r="HY1068" s="18"/>
      <c r="HZ1068" s="18"/>
      <c r="IA1068" s="18"/>
      <c r="IB1068" s="18"/>
      <c r="IC1068" s="18"/>
      <c r="ID1068" s="18"/>
      <c r="IE1068" s="18"/>
      <c r="IF1068" s="18"/>
      <c r="IG1068" s="18"/>
      <c r="IH1068" s="18"/>
      <c r="II1068" s="18"/>
      <c r="IJ1068" s="18"/>
      <c r="IK1068" s="18"/>
      <c r="IL1068" s="18"/>
      <c r="IM1068" s="18"/>
      <c r="IN1068" s="18"/>
      <c r="IO1068" s="18"/>
      <c r="IP1068" s="18"/>
      <c r="IQ1068" s="18"/>
      <c r="IR1068" s="18"/>
      <c r="IS1068" s="18"/>
      <c r="IT1068" s="18"/>
      <c r="IU1068" s="18"/>
      <c r="IV1068" s="18"/>
      <c r="IW1068" s="18"/>
      <c r="IX1068" s="18"/>
      <c r="IY1068" s="18"/>
      <c r="IZ1068" s="18"/>
      <c r="JA1068" s="18"/>
      <c r="JB1068" s="18"/>
      <c r="JC1068" s="18"/>
      <c r="JD1068" s="18"/>
      <c r="JE1068" s="18"/>
      <c r="JF1068" s="18"/>
      <c r="JG1068" s="18"/>
      <c r="JH1068" s="18"/>
      <c r="JI1068" s="18"/>
      <c r="JJ1068" s="18"/>
      <c r="JK1068" s="18"/>
      <c r="JL1068" s="18"/>
      <c r="JM1068" s="18"/>
      <c r="JN1068" s="18"/>
      <c r="JO1068" s="18"/>
      <c r="JP1068" s="18"/>
      <c r="JQ1068" s="18"/>
      <c r="JR1068" s="18"/>
      <c r="JS1068" s="18"/>
      <c r="JT1068" s="18"/>
      <c r="JU1068" s="18"/>
      <c r="JV1068" s="18"/>
      <c r="JW1068" s="18"/>
      <c r="JX1068" s="18"/>
      <c r="JY1068" s="18"/>
      <c r="JZ1068" s="18"/>
      <c r="KA1068" s="18"/>
      <c r="KB1068" s="18"/>
      <c r="KC1068" s="18"/>
      <c r="KD1068" s="18"/>
      <c r="KE1068" s="18"/>
      <c r="KF1068" s="18"/>
      <c r="KG1068" s="18"/>
      <c r="KH1068" s="18"/>
      <c r="KI1068" s="18"/>
      <c r="KJ1068" s="18"/>
      <c r="KK1068" s="18"/>
      <c r="KL1068" s="18"/>
      <c r="KM1068" s="18"/>
      <c r="KN1068" s="18"/>
      <c r="KO1068" s="18"/>
      <c r="KP1068" s="18"/>
    </row>
    <row r="1069" spans="1:302">
      <c r="A1069" s="14"/>
      <c r="B1069" s="14"/>
      <c r="F1069" s="14"/>
      <c r="G1069" s="23"/>
      <c r="H1069" s="23"/>
      <c r="I1069" s="23"/>
      <c r="J1069" s="23"/>
      <c r="K1069" s="14"/>
      <c r="L1069" s="14"/>
      <c r="P1069" s="14"/>
      <c r="AG1069" s="44"/>
      <c r="AH1069" s="44"/>
      <c r="AI1069" s="45"/>
      <c r="AJ1069" s="44"/>
      <c r="AK1069" s="43"/>
      <c r="AS1069" s="14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  <c r="EW1069" s="18"/>
      <c r="EX1069" s="18"/>
      <c r="EY1069" s="18"/>
      <c r="EZ1069" s="18"/>
      <c r="FA1069" s="18"/>
      <c r="FB1069" s="18"/>
      <c r="FC1069" s="18"/>
      <c r="FD1069" s="18"/>
      <c r="FE1069" s="18"/>
      <c r="FF1069" s="18"/>
      <c r="FG1069" s="18"/>
      <c r="FH1069" s="18"/>
      <c r="FI1069" s="18"/>
      <c r="FJ1069" s="18"/>
      <c r="FK1069" s="18"/>
      <c r="FL1069" s="18"/>
      <c r="FM1069" s="18"/>
      <c r="FN1069" s="18"/>
      <c r="FO1069" s="18"/>
      <c r="FP1069" s="18"/>
      <c r="FQ1069" s="18"/>
      <c r="FR1069" s="18"/>
      <c r="FS1069" s="18"/>
      <c r="FT1069" s="18"/>
      <c r="FU1069" s="18"/>
      <c r="FV1069" s="18"/>
      <c r="FW1069" s="18"/>
      <c r="FX1069" s="18"/>
      <c r="FY1069" s="18"/>
      <c r="FZ1069" s="18"/>
      <c r="GA1069" s="18"/>
      <c r="GB1069" s="18"/>
      <c r="GC1069" s="18"/>
      <c r="GD1069" s="18"/>
      <c r="GE1069" s="18"/>
      <c r="GF1069" s="18"/>
      <c r="GG1069" s="18"/>
      <c r="GH1069" s="18"/>
      <c r="GI1069" s="18"/>
      <c r="GJ1069" s="18"/>
      <c r="GK1069" s="18"/>
      <c r="GL1069" s="18"/>
      <c r="GM1069" s="18"/>
      <c r="GN1069" s="18"/>
      <c r="GO1069" s="18"/>
      <c r="GP1069" s="18"/>
      <c r="GQ1069" s="18"/>
      <c r="GR1069" s="18"/>
      <c r="GS1069" s="18"/>
      <c r="GT1069" s="18"/>
      <c r="GU1069" s="18"/>
      <c r="GV1069" s="18"/>
      <c r="GW1069" s="18"/>
      <c r="GX1069" s="18"/>
      <c r="GY1069" s="18"/>
      <c r="GZ1069" s="18"/>
      <c r="HA1069" s="18"/>
      <c r="HB1069" s="18"/>
      <c r="HC1069" s="18"/>
      <c r="HD1069" s="18"/>
      <c r="HE1069" s="18"/>
      <c r="HF1069" s="18"/>
      <c r="HG1069" s="13"/>
      <c r="HH1069" s="13"/>
      <c r="HI1069" s="13"/>
      <c r="HJ1069" s="13"/>
      <c r="HK1069" s="13"/>
      <c r="HL1069" s="13"/>
      <c r="HM1069" s="13"/>
      <c r="HN1069" s="13"/>
      <c r="HO1069" s="13"/>
      <c r="HP1069" s="13"/>
      <c r="HQ1069" s="13"/>
      <c r="HR1069" s="13"/>
      <c r="HS1069" s="13"/>
      <c r="HT1069" s="13"/>
      <c r="HU1069" s="18"/>
      <c r="HV1069" s="18"/>
      <c r="HW1069" s="18"/>
      <c r="HX1069" s="18"/>
      <c r="HY1069" s="18"/>
      <c r="HZ1069" s="18"/>
      <c r="IA1069" s="18"/>
      <c r="IB1069" s="18"/>
      <c r="IC1069" s="18"/>
      <c r="ID1069" s="18"/>
      <c r="IE1069" s="18"/>
      <c r="IF1069" s="18"/>
      <c r="IG1069" s="18"/>
      <c r="IH1069" s="18"/>
      <c r="II1069" s="18"/>
      <c r="IJ1069" s="18"/>
      <c r="IK1069" s="18"/>
      <c r="IL1069" s="18"/>
      <c r="IM1069" s="18"/>
      <c r="IN1069" s="18"/>
      <c r="IO1069" s="18"/>
      <c r="IP1069" s="18"/>
      <c r="IQ1069" s="18"/>
      <c r="IR1069" s="18"/>
      <c r="IS1069" s="18"/>
      <c r="IT1069" s="18"/>
      <c r="IU1069" s="18"/>
      <c r="IV1069" s="18"/>
      <c r="IW1069" s="18"/>
      <c r="IX1069" s="18"/>
      <c r="IY1069" s="18"/>
      <c r="IZ1069" s="18"/>
      <c r="JA1069" s="18"/>
      <c r="JB1069" s="18"/>
      <c r="JC1069" s="18"/>
      <c r="JD1069" s="18"/>
      <c r="JE1069" s="18"/>
      <c r="JF1069" s="18"/>
      <c r="JG1069" s="18"/>
      <c r="JH1069" s="18"/>
      <c r="JI1069" s="18"/>
      <c r="JJ1069" s="18"/>
      <c r="JK1069" s="18"/>
      <c r="JL1069" s="18"/>
      <c r="JM1069" s="18"/>
      <c r="JN1069" s="18"/>
      <c r="JO1069" s="18"/>
      <c r="JP1069" s="18"/>
      <c r="JQ1069" s="18"/>
      <c r="JR1069" s="18"/>
      <c r="JS1069" s="18"/>
      <c r="JT1069" s="18"/>
      <c r="JU1069" s="18"/>
      <c r="JV1069" s="18"/>
      <c r="JW1069" s="18"/>
      <c r="JX1069" s="18"/>
      <c r="JY1069" s="18"/>
      <c r="JZ1069" s="18"/>
      <c r="KA1069" s="18"/>
      <c r="KB1069" s="18"/>
      <c r="KC1069" s="18"/>
      <c r="KD1069" s="18"/>
      <c r="KE1069" s="18"/>
      <c r="KF1069" s="18"/>
      <c r="KG1069" s="18"/>
      <c r="KH1069" s="18"/>
      <c r="KI1069" s="18"/>
      <c r="KJ1069" s="18"/>
      <c r="KK1069" s="18"/>
      <c r="KL1069" s="18"/>
      <c r="KM1069" s="18"/>
      <c r="KN1069" s="18"/>
      <c r="KO1069" s="18"/>
      <c r="KP1069" s="18"/>
    </row>
    <row r="1070" spans="1:302">
      <c r="A1070" s="14"/>
      <c r="B1070" s="14"/>
      <c r="F1070" s="14"/>
      <c r="G1070" s="23"/>
      <c r="H1070" s="23"/>
      <c r="I1070" s="23"/>
      <c r="J1070" s="23"/>
      <c r="K1070" s="14"/>
      <c r="L1070" s="14"/>
      <c r="P1070" s="14"/>
      <c r="AG1070" s="44"/>
      <c r="AH1070" s="44"/>
      <c r="AI1070" s="45"/>
      <c r="AJ1070" s="44"/>
      <c r="AK1070" s="43"/>
      <c r="AS1070" s="14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  <c r="EW1070" s="18"/>
      <c r="EX1070" s="18"/>
      <c r="EY1070" s="18"/>
      <c r="EZ1070" s="18"/>
      <c r="FA1070" s="18"/>
      <c r="FB1070" s="18"/>
      <c r="FC1070" s="18"/>
      <c r="FD1070" s="18"/>
      <c r="FE1070" s="18"/>
      <c r="FF1070" s="18"/>
      <c r="FG1070" s="18"/>
      <c r="FH1070" s="18"/>
      <c r="FI1070" s="18"/>
      <c r="FJ1070" s="18"/>
      <c r="FK1070" s="18"/>
      <c r="FL1070" s="18"/>
      <c r="FM1070" s="18"/>
      <c r="FN1070" s="18"/>
      <c r="FO1070" s="18"/>
      <c r="FP1070" s="18"/>
      <c r="FQ1070" s="18"/>
      <c r="FR1070" s="18"/>
      <c r="FS1070" s="18"/>
      <c r="FT1070" s="18"/>
      <c r="FU1070" s="18"/>
      <c r="FV1070" s="18"/>
      <c r="FW1070" s="18"/>
      <c r="FX1070" s="18"/>
      <c r="FY1070" s="18"/>
      <c r="FZ1070" s="18"/>
      <c r="GA1070" s="18"/>
      <c r="GB1070" s="18"/>
      <c r="GC1070" s="18"/>
      <c r="GD1070" s="18"/>
      <c r="GE1070" s="18"/>
      <c r="GF1070" s="18"/>
      <c r="GG1070" s="18"/>
      <c r="GH1070" s="18"/>
      <c r="GI1070" s="18"/>
      <c r="GJ1070" s="18"/>
      <c r="GK1070" s="18"/>
      <c r="GL1070" s="18"/>
      <c r="GM1070" s="18"/>
      <c r="GN1070" s="18"/>
      <c r="GO1070" s="18"/>
      <c r="GP1070" s="18"/>
      <c r="GQ1070" s="18"/>
      <c r="GR1070" s="18"/>
      <c r="GS1070" s="18"/>
      <c r="GT1070" s="18"/>
      <c r="GU1070" s="18"/>
      <c r="GV1070" s="18"/>
      <c r="GW1070" s="18"/>
      <c r="GX1070" s="18"/>
      <c r="GY1070" s="18"/>
      <c r="GZ1070" s="18"/>
      <c r="HA1070" s="18"/>
      <c r="HB1070" s="18"/>
      <c r="HC1070" s="18"/>
      <c r="HD1070" s="18"/>
      <c r="HE1070" s="18"/>
      <c r="HF1070" s="18"/>
      <c r="HG1070" s="13"/>
      <c r="HH1070" s="13"/>
      <c r="HI1070" s="13"/>
      <c r="HJ1070" s="13"/>
      <c r="HK1070" s="13"/>
      <c r="HL1070" s="13"/>
      <c r="HM1070" s="13"/>
      <c r="HN1070" s="13"/>
      <c r="HO1070" s="13"/>
      <c r="HP1070" s="13"/>
      <c r="HQ1070" s="13"/>
      <c r="HR1070" s="13"/>
      <c r="HS1070" s="13"/>
      <c r="HT1070" s="13"/>
      <c r="HU1070" s="18"/>
      <c r="HV1070" s="18"/>
      <c r="HW1070" s="18"/>
      <c r="HX1070" s="18"/>
      <c r="HY1070" s="18"/>
      <c r="HZ1070" s="18"/>
      <c r="IA1070" s="18"/>
      <c r="IB1070" s="18"/>
      <c r="IC1070" s="18"/>
      <c r="ID1070" s="18"/>
      <c r="IE1070" s="18"/>
      <c r="IF1070" s="18"/>
      <c r="IG1070" s="18"/>
      <c r="IH1070" s="18"/>
      <c r="II1070" s="18"/>
      <c r="IJ1070" s="18"/>
      <c r="IK1070" s="18"/>
      <c r="IL1070" s="18"/>
      <c r="IM1070" s="18"/>
      <c r="IN1070" s="18"/>
      <c r="IO1070" s="18"/>
      <c r="IP1070" s="18"/>
      <c r="IQ1070" s="18"/>
      <c r="IR1070" s="18"/>
      <c r="IS1070" s="18"/>
      <c r="IT1070" s="18"/>
      <c r="IU1070" s="18"/>
      <c r="IV1070" s="18"/>
      <c r="IW1070" s="18"/>
      <c r="IX1070" s="18"/>
      <c r="IY1070" s="18"/>
      <c r="IZ1070" s="18"/>
      <c r="JA1070" s="18"/>
      <c r="JB1070" s="18"/>
      <c r="JC1070" s="18"/>
      <c r="JD1070" s="18"/>
      <c r="JE1070" s="18"/>
      <c r="JF1070" s="18"/>
      <c r="JG1070" s="18"/>
      <c r="JH1070" s="18"/>
      <c r="JI1070" s="18"/>
      <c r="JJ1070" s="18"/>
      <c r="JK1070" s="18"/>
      <c r="JL1070" s="18"/>
      <c r="JM1070" s="18"/>
      <c r="JN1070" s="18"/>
      <c r="JO1070" s="18"/>
      <c r="JP1070" s="18"/>
      <c r="JQ1070" s="18"/>
      <c r="JR1070" s="18"/>
      <c r="JS1070" s="18"/>
      <c r="JT1070" s="18"/>
      <c r="JU1070" s="18"/>
      <c r="JV1070" s="18"/>
      <c r="JW1070" s="18"/>
      <c r="JX1070" s="18"/>
      <c r="JY1070" s="18"/>
      <c r="JZ1070" s="18"/>
      <c r="KA1070" s="18"/>
      <c r="KB1070" s="18"/>
      <c r="KC1070" s="18"/>
      <c r="KD1070" s="18"/>
      <c r="KE1070" s="18"/>
      <c r="KF1070" s="18"/>
      <c r="KG1070" s="18"/>
      <c r="KH1070" s="18"/>
      <c r="KI1070" s="18"/>
      <c r="KJ1070" s="18"/>
      <c r="KK1070" s="18"/>
      <c r="KL1070" s="18"/>
      <c r="KM1070" s="18"/>
      <c r="KN1070" s="18"/>
      <c r="KO1070" s="18"/>
      <c r="KP1070" s="18"/>
    </row>
    <row r="1071" spans="1:302">
      <c r="A1071" s="14"/>
      <c r="B1071" s="14"/>
      <c r="F1071" s="14"/>
      <c r="G1071" s="23"/>
      <c r="H1071" s="23"/>
      <c r="I1071" s="23"/>
      <c r="J1071" s="23"/>
      <c r="K1071" s="14"/>
      <c r="L1071" s="14"/>
      <c r="P1071" s="14"/>
      <c r="AG1071" s="44"/>
      <c r="AH1071" s="44"/>
      <c r="AI1071" s="45"/>
      <c r="AJ1071" s="44"/>
      <c r="AK1071" s="43"/>
      <c r="AS1071" s="14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  <c r="EW1071" s="18"/>
      <c r="EX1071" s="18"/>
      <c r="EY1071" s="18"/>
      <c r="EZ1071" s="18"/>
      <c r="FA1071" s="18"/>
      <c r="FB1071" s="18"/>
      <c r="FC1071" s="18"/>
      <c r="FD1071" s="18"/>
      <c r="FE1071" s="18"/>
      <c r="FF1071" s="18"/>
      <c r="FG1071" s="18"/>
      <c r="FH1071" s="18"/>
      <c r="FI1071" s="18"/>
      <c r="FJ1071" s="18"/>
      <c r="FK1071" s="18"/>
      <c r="FL1071" s="18"/>
      <c r="FM1071" s="18"/>
      <c r="FN1071" s="18"/>
      <c r="FO1071" s="18"/>
      <c r="FP1071" s="18"/>
      <c r="FQ1071" s="18"/>
      <c r="FR1071" s="18"/>
      <c r="FS1071" s="18"/>
      <c r="FT1071" s="18"/>
      <c r="FU1071" s="18"/>
      <c r="FV1071" s="18"/>
      <c r="FW1071" s="18"/>
      <c r="FX1071" s="18"/>
      <c r="FY1071" s="18"/>
      <c r="FZ1071" s="18"/>
      <c r="GA1071" s="18"/>
      <c r="GB1071" s="18"/>
      <c r="GC1071" s="18"/>
      <c r="GD1071" s="18"/>
      <c r="GE1071" s="18"/>
      <c r="GF1071" s="18"/>
      <c r="GG1071" s="18"/>
      <c r="GH1071" s="18"/>
      <c r="GI1071" s="18"/>
      <c r="GJ1071" s="18"/>
      <c r="GK1071" s="18"/>
      <c r="GL1071" s="18"/>
      <c r="GM1071" s="18"/>
      <c r="GN1071" s="18"/>
      <c r="GO1071" s="18"/>
      <c r="GP1071" s="18"/>
      <c r="GQ1071" s="18"/>
      <c r="GR1071" s="18"/>
      <c r="GS1071" s="18"/>
      <c r="GT1071" s="18"/>
      <c r="GU1071" s="18"/>
      <c r="GV1071" s="18"/>
      <c r="GW1071" s="18"/>
      <c r="GX1071" s="18"/>
      <c r="GY1071" s="18"/>
      <c r="GZ1071" s="18"/>
      <c r="HA1071" s="18"/>
      <c r="HB1071" s="18"/>
      <c r="HC1071" s="18"/>
      <c r="HD1071" s="18"/>
      <c r="HE1071" s="18"/>
      <c r="HF1071" s="18"/>
      <c r="HG1071" s="13"/>
      <c r="HH1071" s="13"/>
      <c r="HI1071" s="13"/>
      <c r="HJ1071" s="13"/>
      <c r="HK1071" s="13"/>
      <c r="HL1071" s="13"/>
      <c r="HM1071" s="13"/>
      <c r="HN1071" s="13"/>
      <c r="HO1071" s="13"/>
      <c r="HP1071" s="13"/>
      <c r="HQ1071" s="13"/>
      <c r="HR1071" s="13"/>
      <c r="HS1071" s="13"/>
      <c r="HT1071" s="13"/>
      <c r="HU1071" s="18"/>
      <c r="HV1071" s="18"/>
      <c r="HW1071" s="18"/>
      <c r="HX1071" s="18"/>
      <c r="HY1071" s="18"/>
      <c r="HZ1071" s="18"/>
      <c r="IA1071" s="18"/>
      <c r="IB1071" s="18"/>
      <c r="IC1071" s="18"/>
      <c r="ID1071" s="18"/>
      <c r="IE1071" s="18"/>
      <c r="IF1071" s="18"/>
      <c r="IG1071" s="18"/>
      <c r="IH1071" s="18"/>
      <c r="II1071" s="18"/>
      <c r="IJ1071" s="18"/>
      <c r="IK1071" s="18"/>
      <c r="IL1071" s="18"/>
      <c r="IM1071" s="18"/>
      <c r="IN1071" s="18"/>
      <c r="IO1071" s="18"/>
      <c r="IP1071" s="18"/>
      <c r="IQ1071" s="18"/>
      <c r="IR1071" s="18"/>
      <c r="IS1071" s="18"/>
      <c r="IT1071" s="18"/>
      <c r="IU1071" s="18"/>
      <c r="IV1071" s="18"/>
      <c r="IW1071" s="18"/>
      <c r="IX1071" s="18"/>
      <c r="IY1071" s="18"/>
      <c r="IZ1071" s="18"/>
      <c r="JA1071" s="18"/>
      <c r="JB1071" s="18"/>
      <c r="JC1071" s="18"/>
      <c r="JD1071" s="18"/>
      <c r="JE1071" s="18"/>
      <c r="JF1071" s="18"/>
      <c r="JG1071" s="18"/>
      <c r="JH1071" s="18"/>
      <c r="JI1071" s="18"/>
      <c r="JJ1071" s="18"/>
      <c r="JK1071" s="18"/>
      <c r="JL1071" s="18"/>
      <c r="JM1071" s="18"/>
      <c r="JN1071" s="18"/>
      <c r="JO1071" s="18"/>
      <c r="JP1071" s="18"/>
      <c r="JQ1071" s="18"/>
      <c r="JR1071" s="18"/>
      <c r="JS1071" s="18"/>
      <c r="JT1071" s="18"/>
      <c r="JU1071" s="18"/>
      <c r="JV1071" s="18"/>
      <c r="JW1071" s="18"/>
      <c r="JX1071" s="18"/>
      <c r="JY1071" s="18"/>
      <c r="JZ1071" s="18"/>
      <c r="KA1071" s="18"/>
      <c r="KB1071" s="18"/>
      <c r="KC1071" s="18"/>
      <c r="KD1071" s="18"/>
      <c r="KE1071" s="18"/>
      <c r="KF1071" s="18"/>
      <c r="KG1071" s="18"/>
      <c r="KH1071" s="18"/>
      <c r="KI1071" s="18"/>
      <c r="KJ1071" s="18"/>
      <c r="KK1071" s="18"/>
      <c r="KL1071" s="18"/>
      <c r="KM1071" s="18"/>
      <c r="KN1071" s="18"/>
      <c r="KO1071" s="18"/>
      <c r="KP1071" s="18"/>
    </row>
    <row r="1072" spans="1:302">
      <c r="A1072" s="14"/>
      <c r="B1072" s="14"/>
      <c r="F1072" s="14"/>
      <c r="G1072" s="23"/>
      <c r="H1072" s="23"/>
      <c r="I1072" s="23"/>
      <c r="J1072" s="23"/>
      <c r="K1072" s="14"/>
      <c r="L1072" s="14"/>
      <c r="P1072" s="14"/>
      <c r="AG1072" s="44"/>
      <c r="AH1072" s="44"/>
      <c r="AI1072" s="45"/>
      <c r="AJ1072" s="44"/>
      <c r="AK1072" s="43"/>
      <c r="AS1072" s="14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  <c r="EW1072" s="18"/>
      <c r="EX1072" s="18"/>
      <c r="EY1072" s="18"/>
      <c r="EZ1072" s="18"/>
      <c r="FA1072" s="18"/>
      <c r="FB1072" s="18"/>
      <c r="FC1072" s="18"/>
      <c r="FD1072" s="18"/>
      <c r="FE1072" s="18"/>
      <c r="FF1072" s="18"/>
      <c r="FG1072" s="18"/>
      <c r="FH1072" s="18"/>
      <c r="FI1072" s="18"/>
      <c r="FJ1072" s="18"/>
      <c r="FK1072" s="18"/>
      <c r="FL1072" s="18"/>
      <c r="FM1072" s="18"/>
      <c r="FN1072" s="18"/>
      <c r="FO1072" s="18"/>
      <c r="FP1072" s="18"/>
      <c r="FQ1072" s="18"/>
      <c r="FR1072" s="18"/>
      <c r="FS1072" s="18"/>
      <c r="FT1072" s="18"/>
      <c r="FU1072" s="18"/>
      <c r="FV1072" s="18"/>
      <c r="FW1072" s="18"/>
      <c r="FX1072" s="18"/>
      <c r="FY1072" s="18"/>
      <c r="FZ1072" s="18"/>
      <c r="GA1072" s="18"/>
      <c r="GB1072" s="18"/>
      <c r="GC1072" s="18"/>
      <c r="GD1072" s="18"/>
      <c r="GE1072" s="18"/>
      <c r="GF1072" s="18"/>
      <c r="GG1072" s="18"/>
      <c r="GH1072" s="18"/>
      <c r="GI1072" s="18"/>
      <c r="GJ1072" s="18"/>
      <c r="GK1072" s="18"/>
      <c r="GL1072" s="18"/>
      <c r="GM1072" s="18"/>
      <c r="GN1072" s="18"/>
      <c r="GO1072" s="18"/>
      <c r="GP1072" s="18"/>
      <c r="GQ1072" s="18"/>
      <c r="GR1072" s="18"/>
      <c r="GS1072" s="18"/>
      <c r="GT1072" s="18"/>
      <c r="GU1072" s="18"/>
      <c r="GV1072" s="18"/>
      <c r="GW1072" s="18"/>
      <c r="GX1072" s="18"/>
      <c r="GY1072" s="18"/>
      <c r="GZ1072" s="18"/>
      <c r="HA1072" s="18"/>
      <c r="HB1072" s="18"/>
      <c r="HC1072" s="18"/>
      <c r="HD1072" s="18"/>
      <c r="HE1072" s="18"/>
      <c r="HF1072" s="18"/>
      <c r="HG1072" s="13"/>
      <c r="HH1072" s="13"/>
      <c r="HI1072" s="13"/>
      <c r="HJ1072" s="13"/>
      <c r="HK1072" s="13"/>
      <c r="HL1072" s="13"/>
      <c r="HM1072" s="13"/>
      <c r="HN1072" s="13"/>
      <c r="HO1072" s="13"/>
      <c r="HP1072" s="13"/>
      <c r="HQ1072" s="13"/>
      <c r="HR1072" s="13"/>
      <c r="HS1072" s="13"/>
      <c r="HT1072" s="13"/>
      <c r="HU1072" s="18"/>
      <c r="HV1072" s="18"/>
      <c r="HW1072" s="18"/>
      <c r="HX1072" s="18"/>
      <c r="HY1072" s="18"/>
      <c r="HZ1072" s="18"/>
      <c r="IA1072" s="18"/>
      <c r="IB1072" s="18"/>
      <c r="IC1072" s="18"/>
      <c r="ID1072" s="18"/>
      <c r="IE1072" s="18"/>
      <c r="IF1072" s="18"/>
      <c r="IG1072" s="18"/>
      <c r="IH1072" s="18"/>
      <c r="II1072" s="18"/>
      <c r="IJ1072" s="18"/>
      <c r="IK1072" s="18"/>
      <c r="IL1072" s="18"/>
      <c r="IM1072" s="18"/>
      <c r="IN1072" s="18"/>
      <c r="IO1072" s="18"/>
      <c r="IP1072" s="18"/>
      <c r="IQ1072" s="18"/>
      <c r="IR1072" s="18"/>
      <c r="IS1072" s="18"/>
      <c r="IT1072" s="18"/>
      <c r="IU1072" s="18"/>
      <c r="IV1072" s="18"/>
      <c r="IW1072" s="18"/>
      <c r="IX1072" s="18"/>
      <c r="IY1072" s="18"/>
      <c r="IZ1072" s="18"/>
      <c r="JA1072" s="18"/>
      <c r="JB1072" s="18"/>
      <c r="JC1072" s="18"/>
      <c r="JD1072" s="18"/>
      <c r="JE1072" s="18"/>
      <c r="JF1072" s="18"/>
      <c r="JG1072" s="18"/>
      <c r="JH1072" s="18"/>
      <c r="JI1072" s="18"/>
      <c r="JJ1072" s="18"/>
      <c r="JK1072" s="18"/>
      <c r="JL1072" s="18"/>
      <c r="JM1072" s="18"/>
      <c r="JN1072" s="18"/>
      <c r="JO1072" s="18"/>
      <c r="JP1072" s="18"/>
      <c r="JQ1072" s="18"/>
      <c r="JR1072" s="18"/>
      <c r="JS1072" s="18"/>
      <c r="JT1072" s="18"/>
      <c r="JU1072" s="18"/>
      <c r="JV1072" s="18"/>
      <c r="JW1072" s="18"/>
      <c r="JX1072" s="18"/>
      <c r="JY1072" s="18"/>
      <c r="JZ1072" s="18"/>
      <c r="KA1072" s="18"/>
      <c r="KB1072" s="18"/>
      <c r="KC1072" s="18"/>
      <c r="KD1072" s="18"/>
      <c r="KE1072" s="18"/>
      <c r="KF1072" s="18"/>
      <c r="KG1072" s="18"/>
      <c r="KH1072" s="18"/>
      <c r="KI1072" s="18"/>
      <c r="KJ1072" s="18"/>
      <c r="KK1072" s="18"/>
      <c r="KL1072" s="18"/>
      <c r="KM1072" s="18"/>
      <c r="KN1072" s="18"/>
      <c r="KO1072" s="18"/>
      <c r="KP1072" s="18"/>
    </row>
    <row r="1073" spans="1:302">
      <c r="A1073" s="14"/>
      <c r="B1073" s="14"/>
      <c r="F1073" s="14"/>
      <c r="G1073" s="23"/>
      <c r="H1073" s="23"/>
      <c r="I1073" s="23"/>
      <c r="J1073" s="23"/>
      <c r="K1073" s="14"/>
      <c r="L1073" s="14"/>
      <c r="P1073" s="14"/>
      <c r="AG1073" s="44"/>
      <c r="AH1073" s="44"/>
      <c r="AI1073" s="45"/>
      <c r="AJ1073" s="44"/>
      <c r="AK1073" s="43"/>
      <c r="AS1073" s="14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  <c r="EW1073" s="18"/>
      <c r="EX1073" s="18"/>
      <c r="EY1073" s="18"/>
      <c r="EZ1073" s="18"/>
      <c r="FA1073" s="18"/>
      <c r="FB1073" s="18"/>
      <c r="FC1073" s="18"/>
      <c r="FD1073" s="18"/>
      <c r="FE1073" s="18"/>
      <c r="FF1073" s="18"/>
      <c r="FG1073" s="18"/>
      <c r="FH1073" s="18"/>
      <c r="FI1073" s="18"/>
      <c r="FJ1073" s="18"/>
      <c r="FK1073" s="18"/>
      <c r="FL1073" s="18"/>
      <c r="FM1073" s="18"/>
      <c r="FN1073" s="18"/>
      <c r="FO1073" s="18"/>
      <c r="FP1073" s="18"/>
      <c r="FQ1073" s="18"/>
      <c r="FR1073" s="18"/>
      <c r="FS1073" s="18"/>
      <c r="FT1073" s="18"/>
      <c r="FU1073" s="18"/>
      <c r="FV1073" s="18"/>
      <c r="FW1073" s="18"/>
      <c r="FX1073" s="18"/>
      <c r="FY1073" s="18"/>
      <c r="FZ1073" s="18"/>
      <c r="GA1073" s="18"/>
      <c r="GB1073" s="18"/>
      <c r="GC1073" s="18"/>
      <c r="GD1073" s="18"/>
      <c r="GE1073" s="18"/>
      <c r="GF1073" s="18"/>
      <c r="GG1073" s="18"/>
      <c r="GH1073" s="18"/>
      <c r="GI1073" s="18"/>
      <c r="GJ1073" s="18"/>
      <c r="GK1073" s="18"/>
      <c r="GL1073" s="18"/>
      <c r="GM1073" s="18"/>
      <c r="GN1073" s="18"/>
      <c r="GO1073" s="18"/>
      <c r="GP1073" s="18"/>
      <c r="GQ1073" s="18"/>
      <c r="GR1073" s="18"/>
      <c r="GS1073" s="18"/>
      <c r="GT1073" s="18"/>
      <c r="GU1073" s="18"/>
      <c r="GV1073" s="18"/>
      <c r="GW1073" s="18"/>
      <c r="GX1073" s="18"/>
      <c r="GY1073" s="18"/>
      <c r="GZ1073" s="18"/>
      <c r="HA1073" s="18"/>
      <c r="HB1073" s="18"/>
      <c r="HC1073" s="18"/>
      <c r="HD1073" s="18"/>
      <c r="HE1073" s="18"/>
      <c r="HF1073" s="18"/>
      <c r="HG1073" s="13"/>
      <c r="HH1073" s="13"/>
      <c r="HI1073" s="13"/>
      <c r="HJ1073" s="13"/>
      <c r="HK1073" s="13"/>
      <c r="HL1073" s="13"/>
      <c r="HM1073" s="13"/>
      <c r="HN1073" s="13"/>
      <c r="HO1073" s="13"/>
      <c r="HP1073" s="13"/>
      <c r="HQ1073" s="13"/>
      <c r="HR1073" s="13"/>
      <c r="HS1073" s="13"/>
      <c r="HT1073" s="13"/>
      <c r="HU1073" s="18"/>
      <c r="HV1073" s="18"/>
      <c r="HW1073" s="18"/>
      <c r="HX1073" s="18"/>
      <c r="HY1073" s="18"/>
      <c r="HZ1073" s="18"/>
      <c r="IA1073" s="18"/>
      <c r="IB1073" s="18"/>
      <c r="IC1073" s="18"/>
      <c r="ID1073" s="18"/>
      <c r="IE1073" s="18"/>
      <c r="IF1073" s="18"/>
      <c r="IG1073" s="18"/>
      <c r="IH1073" s="18"/>
      <c r="II1073" s="18"/>
      <c r="IJ1073" s="18"/>
      <c r="IK1073" s="18"/>
      <c r="IL1073" s="18"/>
      <c r="IM1073" s="18"/>
      <c r="IN1073" s="18"/>
      <c r="IO1073" s="18"/>
      <c r="IP1073" s="18"/>
      <c r="IQ1073" s="18"/>
      <c r="IR1073" s="18"/>
      <c r="IS1073" s="18"/>
      <c r="IT1073" s="18"/>
      <c r="IU1073" s="18"/>
      <c r="IV1073" s="18"/>
      <c r="IW1073" s="18"/>
      <c r="IX1073" s="18"/>
      <c r="IY1073" s="18"/>
      <c r="IZ1073" s="18"/>
      <c r="JA1073" s="18"/>
      <c r="JB1073" s="18"/>
      <c r="JC1073" s="18"/>
      <c r="JD1073" s="18"/>
      <c r="JE1073" s="18"/>
      <c r="JF1073" s="18"/>
      <c r="JG1073" s="18"/>
      <c r="JH1073" s="18"/>
      <c r="JI1073" s="18"/>
      <c r="JJ1073" s="18"/>
      <c r="JK1073" s="18"/>
      <c r="JL1073" s="18"/>
      <c r="JM1073" s="18"/>
      <c r="JN1073" s="18"/>
      <c r="JO1073" s="18"/>
      <c r="JP1073" s="18"/>
      <c r="JQ1073" s="18"/>
      <c r="JR1073" s="18"/>
      <c r="JS1073" s="18"/>
      <c r="JT1073" s="18"/>
      <c r="JU1073" s="18"/>
      <c r="JV1073" s="18"/>
      <c r="JW1073" s="18"/>
      <c r="JX1073" s="18"/>
      <c r="JY1073" s="18"/>
      <c r="JZ1073" s="18"/>
      <c r="KA1073" s="18"/>
      <c r="KB1073" s="18"/>
      <c r="KC1073" s="18"/>
      <c r="KD1073" s="18"/>
      <c r="KE1073" s="18"/>
      <c r="KF1073" s="18"/>
      <c r="KG1073" s="18"/>
      <c r="KH1073" s="18"/>
      <c r="KI1073" s="18"/>
      <c r="KJ1073" s="18"/>
      <c r="KK1073" s="18"/>
      <c r="KL1073" s="18"/>
      <c r="KM1073" s="18"/>
      <c r="KN1073" s="18"/>
      <c r="KO1073" s="18"/>
      <c r="KP1073" s="18"/>
    </row>
    <row r="1074" spans="1:302">
      <c r="A1074" s="14"/>
      <c r="B1074" s="14"/>
      <c r="F1074" s="14"/>
      <c r="G1074" s="23"/>
      <c r="H1074" s="23"/>
      <c r="I1074" s="23"/>
      <c r="J1074" s="23"/>
      <c r="K1074" s="14"/>
      <c r="L1074" s="14"/>
      <c r="P1074" s="14"/>
      <c r="AG1074" s="44"/>
      <c r="AH1074" s="44"/>
      <c r="AI1074" s="45"/>
      <c r="AJ1074" s="44"/>
      <c r="AK1074" s="43"/>
      <c r="AS1074" s="14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  <c r="EW1074" s="18"/>
      <c r="EX1074" s="18"/>
      <c r="EY1074" s="18"/>
      <c r="EZ1074" s="18"/>
      <c r="FA1074" s="18"/>
      <c r="FB1074" s="18"/>
      <c r="FC1074" s="18"/>
      <c r="FD1074" s="18"/>
      <c r="FE1074" s="18"/>
      <c r="FF1074" s="18"/>
      <c r="FG1074" s="18"/>
      <c r="FH1074" s="18"/>
      <c r="FI1074" s="18"/>
      <c r="FJ1074" s="18"/>
      <c r="FK1074" s="18"/>
      <c r="FL1074" s="18"/>
      <c r="FM1074" s="18"/>
      <c r="FN1074" s="18"/>
      <c r="FO1074" s="18"/>
      <c r="FP1074" s="18"/>
      <c r="FQ1074" s="18"/>
      <c r="FR1074" s="18"/>
      <c r="FS1074" s="18"/>
      <c r="FT1074" s="18"/>
      <c r="FU1074" s="18"/>
      <c r="FV1074" s="18"/>
      <c r="FW1074" s="18"/>
      <c r="FX1074" s="18"/>
      <c r="FY1074" s="18"/>
      <c r="FZ1074" s="18"/>
      <c r="GA1074" s="18"/>
      <c r="GB1074" s="18"/>
      <c r="GC1074" s="18"/>
      <c r="GD1074" s="18"/>
      <c r="GE1074" s="18"/>
      <c r="GF1074" s="18"/>
      <c r="GG1074" s="18"/>
      <c r="GH1074" s="18"/>
      <c r="GI1074" s="18"/>
      <c r="GJ1074" s="18"/>
      <c r="GK1074" s="18"/>
      <c r="GL1074" s="18"/>
      <c r="GM1074" s="18"/>
      <c r="GN1074" s="18"/>
      <c r="GO1074" s="18"/>
      <c r="GP1074" s="18"/>
      <c r="GQ1074" s="18"/>
      <c r="GR1074" s="18"/>
      <c r="GS1074" s="18"/>
      <c r="GT1074" s="18"/>
      <c r="GU1074" s="18"/>
      <c r="GV1074" s="18"/>
      <c r="GW1074" s="18"/>
      <c r="GX1074" s="18"/>
      <c r="GY1074" s="18"/>
      <c r="GZ1074" s="18"/>
      <c r="HA1074" s="18"/>
      <c r="HB1074" s="18"/>
      <c r="HC1074" s="18"/>
      <c r="HD1074" s="18"/>
      <c r="HE1074" s="18"/>
      <c r="HF1074" s="18"/>
      <c r="HG1074" s="13"/>
      <c r="HH1074" s="13"/>
      <c r="HI1074" s="13"/>
      <c r="HJ1074" s="13"/>
      <c r="HK1074" s="13"/>
      <c r="HL1074" s="13"/>
      <c r="HM1074" s="13"/>
      <c r="HN1074" s="13"/>
      <c r="HO1074" s="13"/>
      <c r="HP1074" s="13"/>
      <c r="HQ1074" s="13"/>
      <c r="HR1074" s="13"/>
      <c r="HS1074" s="13"/>
      <c r="HT1074" s="13"/>
      <c r="HU1074" s="18"/>
      <c r="HV1074" s="18"/>
      <c r="HW1074" s="18"/>
      <c r="HX1074" s="18"/>
      <c r="HY1074" s="18"/>
      <c r="HZ1074" s="18"/>
      <c r="IA1074" s="18"/>
      <c r="IB1074" s="18"/>
      <c r="IC1074" s="18"/>
      <c r="ID1074" s="18"/>
      <c r="IE1074" s="18"/>
      <c r="IF1074" s="18"/>
      <c r="IG1074" s="18"/>
      <c r="IH1074" s="18"/>
      <c r="II1074" s="18"/>
      <c r="IJ1074" s="18"/>
      <c r="IK1074" s="18"/>
      <c r="IL1074" s="18"/>
      <c r="IM1074" s="18"/>
      <c r="IN1074" s="18"/>
      <c r="IO1074" s="18"/>
      <c r="IP1074" s="18"/>
      <c r="IQ1074" s="18"/>
      <c r="IR1074" s="18"/>
      <c r="IS1074" s="18"/>
      <c r="IT1074" s="18"/>
      <c r="IU1074" s="18"/>
      <c r="IV1074" s="18"/>
      <c r="IW1074" s="18"/>
      <c r="IX1074" s="18"/>
      <c r="IY1074" s="18"/>
      <c r="IZ1074" s="18"/>
      <c r="JA1074" s="18"/>
      <c r="JB1074" s="18"/>
      <c r="JC1074" s="18"/>
      <c r="JD1074" s="18"/>
      <c r="JE1074" s="18"/>
      <c r="JF1074" s="18"/>
      <c r="JG1074" s="18"/>
      <c r="JH1074" s="18"/>
      <c r="JI1074" s="18"/>
      <c r="JJ1074" s="18"/>
      <c r="JK1074" s="18"/>
      <c r="JL1074" s="18"/>
      <c r="JM1074" s="18"/>
      <c r="JN1074" s="18"/>
      <c r="JO1074" s="18"/>
      <c r="JP1074" s="18"/>
      <c r="JQ1074" s="18"/>
      <c r="JR1074" s="18"/>
      <c r="JS1074" s="18"/>
      <c r="JT1074" s="18"/>
      <c r="JU1074" s="18"/>
      <c r="JV1074" s="18"/>
      <c r="JW1074" s="18"/>
      <c r="JX1074" s="18"/>
      <c r="JY1074" s="18"/>
      <c r="JZ1074" s="18"/>
      <c r="KA1074" s="18"/>
      <c r="KB1074" s="18"/>
      <c r="KC1074" s="18"/>
      <c r="KD1074" s="18"/>
      <c r="KE1074" s="18"/>
      <c r="KF1074" s="18"/>
      <c r="KG1074" s="18"/>
      <c r="KH1074" s="18"/>
      <c r="KI1074" s="18"/>
      <c r="KJ1074" s="18"/>
      <c r="KK1074" s="18"/>
      <c r="KL1074" s="18"/>
      <c r="KM1074" s="18"/>
      <c r="KN1074" s="18"/>
      <c r="KO1074" s="18"/>
      <c r="KP1074" s="18"/>
    </row>
    <row r="1075" spans="1:302">
      <c r="A1075" s="14"/>
      <c r="B1075" s="14"/>
      <c r="F1075" s="14"/>
      <c r="G1075" s="23"/>
      <c r="H1075" s="23"/>
      <c r="I1075" s="23"/>
      <c r="J1075" s="23"/>
      <c r="K1075" s="14"/>
      <c r="L1075" s="14"/>
      <c r="P1075" s="14"/>
      <c r="AG1075" s="44"/>
      <c r="AH1075" s="44"/>
      <c r="AI1075" s="45"/>
      <c r="AJ1075" s="44"/>
      <c r="AK1075" s="43"/>
      <c r="AS1075" s="14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  <c r="EW1075" s="18"/>
      <c r="EX1075" s="18"/>
      <c r="EY1075" s="18"/>
      <c r="EZ1075" s="18"/>
      <c r="FA1075" s="18"/>
      <c r="FB1075" s="18"/>
      <c r="FC1075" s="18"/>
      <c r="FD1075" s="18"/>
      <c r="FE1075" s="18"/>
      <c r="FF1075" s="18"/>
      <c r="FG1075" s="18"/>
      <c r="FH1075" s="18"/>
      <c r="FI1075" s="18"/>
      <c r="FJ1075" s="18"/>
      <c r="FK1075" s="18"/>
      <c r="FL1075" s="18"/>
      <c r="FM1075" s="18"/>
      <c r="FN1075" s="18"/>
      <c r="FO1075" s="18"/>
      <c r="FP1075" s="18"/>
      <c r="FQ1075" s="18"/>
      <c r="FR1075" s="18"/>
      <c r="FS1075" s="18"/>
      <c r="FT1075" s="18"/>
      <c r="FU1075" s="18"/>
      <c r="FV1075" s="18"/>
      <c r="FW1075" s="18"/>
      <c r="FX1075" s="18"/>
      <c r="FY1075" s="18"/>
      <c r="FZ1075" s="18"/>
      <c r="GA1075" s="18"/>
      <c r="GB1075" s="18"/>
      <c r="GC1075" s="18"/>
      <c r="GD1075" s="18"/>
      <c r="GE1075" s="18"/>
      <c r="GF1075" s="18"/>
      <c r="GG1075" s="18"/>
      <c r="GH1075" s="18"/>
      <c r="GI1075" s="18"/>
      <c r="GJ1075" s="18"/>
      <c r="GK1075" s="18"/>
      <c r="GL1075" s="18"/>
      <c r="GM1075" s="18"/>
      <c r="GN1075" s="18"/>
      <c r="GO1075" s="18"/>
      <c r="GP1075" s="18"/>
      <c r="GQ1075" s="18"/>
      <c r="GR1075" s="18"/>
      <c r="GS1075" s="18"/>
      <c r="GT1075" s="18"/>
      <c r="GU1075" s="18"/>
      <c r="GV1075" s="18"/>
      <c r="GW1075" s="18"/>
      <c r="GX1075" s="18"/>
      <c r="GY1075" s="18"/>
      <c r="GZ1075" s="18"/>
      <c r="HA1075" s="18"/>
      <c r="HB1075" s="18"/>
      <c r="HC1075" s="18"/>
      <c r="HD1075" s="18"/>
      <c r="HE1075" s="18"/>
      <c r="HF1075" s="18"/>
      <c r="HG1075" s="13"/>
      <c r="HH1075" s="13"/>
      <c r="HI1075" s="13"/>
      <c r="HJ1075" s="13"/>
      <c r="HK1075" s="13"/>
      <c r="HL1075" s="13"/>
      <c r="HM1075" s="13"/>
      <c r="HN1075" s="13"/>
      <c r="HO1075" s="13"/>
      <c r="HP1075" s="13"/>
      <c r="HQ1075" s="13"/>
      <c r="HR1075" s="13"/>
      <c r="HS1075" s="13"/>
      <c r="HT1075" s="13"/>
      <c r="HU1075" s="18"/>
      <c r="HV1075" s="18"/>
      <c r="HW1075" s="18"/>
      <c r="HX1075" s="18"/>
      <c r="HY1075" s="18"/>
      <c r="HZ1075" s="18"/>
      <c r="IA1075" s="18"/>
      <c r="IB1075" s="18"/>
      <c r="IC1075" s="18"/>
      <c r="ID1075" s="18"/>
      <c r="IE1075" s="18"/>
      <c r="IF1075" s="18"/>
      <c r="IG1075" s="18"/>
      <c r="IH1075" s="18"/>
      <c r="II1075" s="18"/>
      <c r="IJ1075" s="18"/>
      <c r="IK1075" s="18"/>
      <c r="IL1075" s="18"/>
      <c r="IM1075" s="18"/>
      <c r="IN1075" s="18"/>
      <c r="IO1075" s="18"/>
      <c r="IP1075" s="18"/>
      <c r="IQ1075" s="18"/>
      <c r="IR1075" s="18"/>
      <c r="IS1075" s="18"/>
      <c r="IT1075" s="18"/>
      <c r="IU1075" s="18"/>
      <c r="IV1075" s="18"/>
      <c r="IW1075" s="18"/>
      <c r="IX1075" s="18"/>
      <c r="IY1075" s="18"/>
      <c r="IZ1075" s="18"/>
      <c r="JA1075" s="18"/>
      <c r="JB1075" s="18"/>
      <c r="JC1075" s="18"/>
      <c r="JD1075" s="18"/>
      <c r="JE1075" s="18"/>
      <c r="JF1075" s="18"/>
      <c r="JG1075" s="18"/>
      <c r="JH1075" s="18"/>
      <c r="JI1075" s="18"/>
      <c r="JJ1075" s="18"/>
      <c r="JK1075" s="18"/>
      <c r="JL1075" s="18"/>
      <c r="JM1075" s="18"/>
      <c r="JN1075" s="18"/>
      <c r="JO1075" s="18"/>
      <c r="JP1075" s="18"/>
      <c r="JQ1075" s="18"/>
      <c r="JR1075" s="18"/>
      <c r="JS1075" s="18"/>
      <c r="JT1075" s="18"/>
      <c r="JU1075" s="18"/>
      <c r="JV1075" s="18"/>
      <c r="JW1075" s="18"/>
      <c r="JX1075" s="18"/>
      <c r="JY1075" s="18"/>
      <c r="JZ1075" s="18"/>
      <c r="KA1075" s="18"/>
      <c r="KB1075" s="18"/>
      <c r="KC1075" s="18"/>
      <c r="KD1075" s="18"/>
      <c r="KE1075" s="18"/>
      <c r="KF1075" s="18"/>
      <c r="KG1075" s="18"/>
      <c r="KH1075" s="18"/>
      <c r="KI1075" s="18"/>
      <c r="KJ1075" s="18"/>
      <c r="KK1075" s="18"/>
      <c r="KL1075" s="18"/>
      <c r="KM1075" s="18"/>
      <c r="KN1075" s="18"/>
      <c r="KO1075" s="18"/>
      <c r="KP1075" s="18"/>
    </row>
    <row r="1076" spans="1:302">
      <c r="A1076" s="14"/>
      <c r="B1076" s="14"/>
      <c r="F1076" s="14"/>
      <c r="G1076" s="23"/>
      <c r="H1076" s="23"/>
      <c r="I1076" s="23"/>
      <c r="J1076" s="23"/>
      <c r="K1076" s="14"/>
      <c r="L1076" s="14"/>
      <c r="P1076" s="14"/>
      <c r="AG1076" s="44"/>
      <c r="AH1076" s="44"/>
      <c r="AI1076" s="45"/>
      <c r="AJ1076" s="44"/>
      <c r="AK1076" s="43"/>
      <c r="AS1076" s="14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  <c r="EW1076" s="18"/>
      <c r="EX1076" s="18"/>
      <c r="EY1076" s="18"/>
      <c r="EZ1076" s="18"/>
      <c r="FA1076" s="18"/>
      <c r="FB1076" s="18"/>
      <c r="FC1076" s="18"/>
      <c r="FD1076" s="18"/>
      <c r="FE1076" s="18"/>
      <c r="FF1076" s="18"/>
      <c r="FG1076" s="18"/>
      <c r="FH1076" s="18"/>
      <c r="FI1076" s="18"/>
      <c r="FJ1076" s="18"/>
      <c r="FK1076" s="18"/>
      <c r="FL1076" s="18"/>
      <c r="FM1076" s="18"/>
      <c r="FN1076" s="18"/>
      <c r="FO1076" s="18"/>
      <c r="FP1076" s="18"/>
      <c r="FQ1076" s="18"/>
      <c r="FR1076" s="18"/>
      <c r="FS1076" s="18"/>
      <c r="FT1076" s="18"/>
      <c r="FU1076" s="18"/>
      <c r="FV1076" s="18"/>
      <c r="FW1076" s="18"/>
      <c r="FX1076" s="18"/>
      <c r="FY1076" s="18"/>
      <c r="FZ1076" s="18"/>
      <c r="GA1076" s="18"/>
      <c r="GB1076" s="18"/>
      <c r="GC1076" s="18"/>
      <c r="GD1076" s="18"/>
      <c r="GE1076" s="18"/>
      <c r="GF1076" s="18"/>
      <c r="GG1076" s="18"/>
      <c r="GH1076" s="18"/>
      <c r="GI1076" s="18"/>
      <c r="GJ1076" s="18"/>
      <c r="GK1076" s="18"/>
      <c r="GL1076" s="18"/>
      <c r="GM1076" s="18"/>
      <c r="GN1076" s="18"/>
      <c r="GO1076" s="18"/>
      <c r="GP1076" s="18"/>
      <c r="GQ1076" s="18"/>
      <c r="GR1076" s="18"/>
      <c r="GS1076" s="18"/>
      <c r="GT1076" s="18"/>
      <c r="GU1076" s="18"/>
      <c r="GV1076" s="18"/>
      <c r="GW1076" s="18"/>
      <c r="GX1076" s="18"/>
      <c r="GY1076" s="18"/>
      <c r="GZ1076" s="18"/>
      <c r="HA1076" s="18"/>
      <c r="HB1076" s="18"/>
      <c r="HC1076" s="18"/>
      <c r="HD1076" s="18"/>
      <c r="HE1076" s="18"/>
      <c r="HF1076" s="18"/>
      <c r="HG1076" s="13"/>
      <c r="HH1076" s="13"/>
      <c r="HI1076" s="13"/>
      <c r="HJ1076" s="13"/>
      <c r="HK1076" s="13"/>
      <c r="HL1076" s="13"/>
      <c r="HM1076" s="13"/>
      <c r="HN1076" s="13"/>
      <c r="HO1076" s="13"/>
      <c r="HP1076" s="13"/>
      <c r="HQ1076" s="13"/>
      <c r="HR1076" s="13"/>
      <c r="HS1076" s="13"/>
      <c r="HT1076" s="13"/>
      <c r="HU1076" s="18"/>
      <c r="HV1076" s="18"/>
      <c r="HW1076" s="18"/>
      <c r="HX1076" s="18"/>
      <c r="HY1076" s="18"/>
      <c r="HZ1076" s="18"/>
      <c r="IA1076" s="18"/>
      <c r="IB1076" s="18"/>
      <c r="IC1076" s="18"/>
      <c r="ID1076" s="18"/>
      <c r="IE1076" s="18"/>
      <c r="IF1076" s="18"/>
      <c r="IG1076" s="18"/>
      <c r="IH1076" s="18"/>
      <c r="II1076" s="18"/>
      <c r="IJ1076" s="18"/>
      <c r="IK1076" s="18"/>
      <c r="IL1076" s="18"/>
      <c r="IM1076" s="18"/>
      <c r="IN1076" s="18"/>
      <c r="IO1076" s="18"/>
      <c r="IP1076" s="18"/>
      <c r="IQ1076" s="18"/>
      <c r="IR1076" s="18"/>
      <c r="IS1076" s="18"/>
      <c r="IT1076" s="18"/>
      <c r="IU1076" s="18"/>
      <c r="IV1076" s="18"/>
      <c r="IW1076" s="18"/>
      <c r="IX1076" s="18"/>
      <c r="IY1076" s="18"/>
      <c r="IZ1076" s="18"/>
      <c r="JA1076" s="18"/>
      <c r="JB1076" s="18"/>
      <c r="JC1076" s="18"/>
      <c r="JD1076" s="18"/>
      <c r="JE1076" s="18"/>
      <c r="JF1076" s="18"/>
      <c r="JG1076" s="18"/>
      <c r="JH1076" s="18"/>
      <c r="JI1076" s="18"/>
      <c r="JJ1076" s="18"/>
      <c r="JK1076" s="18"/>
      <c r="JL1076" s="18"/>
      <c r="JM1076" s="18"/>
      <c r="JN1076" s="18"/>
      <c r="JO1076" s="18"/>
      <c r="JP1076" s="18"/>
      <c r="JQ1076" s="18"/>
      <c r="JR1076" s="18"/>
      <c r="JS1076" s="18"/>
      <c r="JT1076" s="18"/>
      <c r="JU1076" s="18"/>
      <c r="JV1076" s="18"/>
      <c r="JW1076" s="18"/>
      <c r="JX1076" s="18"/>
      <c r="JY1076" s="18"/>
      <c r="JZ1076" s="18"/>
      <c r="KA1076" s="18"/>
      <c r="KB1076" s="18"/>
      <c r="KC1076" s="18"/>
      <c r="KD1076" s="18"/>
      <c r="KE1076" s="18"/>
      <c r="KF1076" s="18"/>
      <c r="KG1076" s="18"/>
      <c r="KH1076" s="18"/>
      <c r="KI1076" s="18"/>
      <c r="KJ1076" s="18"/>
      <c r="KK1076" s="18"/>
      <c r="KL1076" s="18"/>
      <c r="KM1076" s="18"/>
      <c r="KN1076" s="18"/>
      <c r="KO1076" s="18"/>
      <c r="KP1076" s="18"/>
    </row>
    <row r="1077" spans="1:302">
      <c r="A1077" s="14"/>
      <c r="B1077" s="14"/>
      <c r="F1077" s="14"/>
      <c r="G1077" s="23"/>
      <c r="H1077" s="23"/>
      <c r="I1077" s="23"/>
      <c r="J1077" s="23"/>
      <c r="K1077" s="14"/>
      <c r="L1077" s="14"/>
      <c r="P1077" s="14"/>
      <c r="AG1077" s="44"/>
      <c r="AH1077" s="44"/>
      <c r="AI1077" s="45"/>
      <c r="AJ1077" s="44"/>
      <c r="AK1077" s="43"/>
      <c r="AS1077" s="14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  <c r="EW1077" s="18"/>
      <c r="EX1077" s="18"/>
      <c r="EY1077" s="18"/>
      <c r="EZ1077" s="18"/>
      <c r="FA1077" s="18"/>
      <c r="FB1077" s="18"/>
      <c r="FC1077" s="18"/>
      <c r="FD1077" s="18"/>
      <c r="FE1077" s="18"/>
      <c r="FF1077" s="18"/>
      <c r="FG1077" s="18"/>
      <c r="FH1077" s="18"/>
      <c r="FI1077" s="18"/>
      <c r="FJ1077" s="18"/>
      <c r="FK1077" s="18"/>
      <c r="FL1077" s="18"/>
      <c r="FM1077" s="18"/>
      <c r="FN1077" s="18"/>
      <c r="FO1077" s="18"/>
      <c r="FP1077" s="18"/>
      <c r="FQ1077" s="18"/>
      <c r="FR1077" s="18"/>
      <c r="FS1077" s="18"/>
      <c r="FT1077" s="18"/>
      <c r="FU1077" s="18"/>
      <c r="FV1077" s="18"/>
      <c r="FW1077" s="18"/>
      <c r="FX1077" s="18"/>
      <c r="FY1077" s="18"/>
      <c r="FZ1077" s="18"/>
      <c r="GA1077" s="18"/>
      <c r="GB1077" s="18"/>
      <c r="GC1077" s="18"/>
      <c r="GD1077" s="18"/>
      <c r="GE1077" s="18"/>
      <c r="GF1077" s="18"/>
      <c r="GG1077" s="18"/>
      <c r="GH1077" s="18"/>
      <c r="GI1077" s="18"/>
      <c r="GJ1077" s="18"/>
      <c r="GK1077" s="18"/>
      <c r="GL1077" s="18"/>
      <c r="GM1077" s="18"/>
      <c r="GN1077" s="18"/>
      <c r="GO1077" s="18"/>
      <c r="GP1077" s="18"/>
      <c r="GQ1077" s="18"/>
      <c r="GR1077" s="18"/>
      <c r="GS1077" s="18"/>
      <c r="GT1077" s="18"/>
      <c r="GU1077" s="18"/>
      <c r="GV1077" s="18"/>
      <c r="GW1077" s="18"/>
      <c r="GX1077" s="18"/>
      <c r="GY1077" s="18"/>
      <c r="GZ1077" s="18"/>
      <c r="HA1077" s="18"/>
      <c r="HB1077" s="18"/>
      <c r="HC1077" s="18"/>
      <c r="HD1077" s="18"/>
      <c r="HE1077" s="18"/>
      <c r="HF1077" s="18"/>
      <c r="HG1077" s="13"/>
      <c r="HH1077" s="13"/>
      <c r="HI1077" s="13"/>
      <c r="HJ1077" s="13"/>
      <c r="HK1077" s="13"/>
      <c r="HL1077" s="13"/>
      <c r="HM1077" s="13"/>
      <c r="HN1077" s="13"/>
      <c r="HO1077" s="13"/>
      <c r="HP1077" s="13"/>
      <c r="HQ1077" s="13"/>
      <c r="HR1077" s="13"/>
      <c r="HS1077" s="13"/>
      <c r="HT1077" s="13"/>
      <c r="HU1077" s="18"/>
      <c r="HV1077" s="18"/>
      <c r="HW1077" s="18"/>
      <c r="HX1077" s="18"/>
      <c r="HY1077" s="18"/>
      <c r="HZ1077" s="18"/>
      <c r="IA1077" s="18"/>
      <c r="IB1077" s="18"/>
      <c r="IC1077" s="18"/>
      <c r="ID1077" s="18"/>
      <c r="IE1077" s="18"/>
      <c r="IF1077" s="18"/>
      <c r="IG1077" s="18"/>
      <c r="IH1077" s="18"/>
      <c r="II1077" s="18"/>
      <c r="IJ1077" s="18"/>
      <c r="IK1077" s="18"/>
      <c r="IL1077" s="18"/>
      <c r="IM1077" s="18"/>
      <c r="IN1077" s="18"/>
      <c r="IO1077" s="18"/>
      <c r="IP1077" s="18"/>
      <c r="IQ1077" s="18"/>
      <c r="IR1077" s="18"/>
      <c r="IS1077" s="18"/>
      <c r="IT1077" s="18"/>
      <c r="IU1077" s="18"/>
      <c r="IV1077" s="18"/>
      <c r="IW1077" s="18"/>
      <c r="IX1077" s="18"/>
      <c r="IY1077" s="18"/>
      <c r="IZ1077" s="18"/>
      <c r="JA1077" s="18"/>
      <c r="JB1077" s="18"/>
      <c r="JC1077" s="18"/>
      <c r="JD1077" s="18"/>
      <c r="JE1077" s="18"/>
      <c r="JF1077" s="18"/>
      <c r="JG1077" s="18"/>
      <c r="JH1077" s="18"/>
      <c r="JI1077" s="18"/>
      <c r="JJ1077" s="18"/>
      <c r="JK1077" s="18"/>
      <c r="JL1077" s="18"/>
      <c r="JM1077" s="18"/>
      <c r="JN1077" s="18"/>
      <c r="JO1077" s="18"/>
      <c r="JP1077" s="18"/>
      <c r="JQ1077" s="18"/>
      <c r="JR1077" s="18"/>
      <c r="JS1077" s="18"/>
      <c r="JT1077" s="18"/>
      <c r="JU1077" s="18"/>
      <c r="JV1077" s="18"/>
      <c r="JW1077" s="18"/>
      <c r="JX1077" s="18"/>
      <c r="JY1077" s="18"/>
      <c r="JZ1077" s="18"/>
      <c r="KA1077" s="18"/>
      <c r="KB1077" s="18"/>
      <c r="KC1077" s="18"/>
      <c r="KD1077" s="18"/>
      <c r="KE1077" s="18"/>
      <c r="KF1077" s="18"/>
      <c r="KG1077" s="18"/>
      <c r="KH1077" s="18"/>
      <c r="KI1077" s="18"/>
      <c r="KJ1077" s="18"/>
      <c r="KK1077" s="18"/>
      <c r="KL1077" s="18"/>
      <c r="KM1077" s="18"/>
      <c r="KN1077" s="18"/>
      <c r="KO1077" s="18"/>
      <c r="KP1077" s="18"/>
    </row>
    <row r="1078" spans="1:302">
      <c r="A1078" s="14"/>
      <c r="B1078" s="14"/>
      <c r="F1078" s="14"/>
      <c r="G1078" s="23"/>
      <c r="H1078" s="23"/>
      <c r="I1078" s="23"/>
      <c r="J1078" s="23"/>
      <c r="K1078" s="14"/>
      <c r="L1078" s="14"/>
      <c r="P1078" s="14"/>
      <c r="AG1078" s="44"/>
      <c r="AH1078" s="44"/>
      <c r="AI1078" s="45"/>
      <c r="AJ1078" s="44"/>
      <c r="AK1078" s="43"/>
      <c r="AS1078" s="14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  <c r="EW1078" s="18"/>
      <c r="EX1078" s="18"/>
      <c r="EY1078" s="18"/>
      <c r="EZ1078" s="18"/>
      <c r="FA1078" s="18"/>
      <c r="FB1078" s="18"/>
      <c r="FC1078" s="18"/>
      <c r="FD1078" s="18"/>
      <c r="FE1078" s="18"/>
      <c r="FF1078" s="18"/>
      <c r="FG1078" s="18"/>
      <c r="FH1078" s="18"/>
      <c r="FI1078" s="18"/>
      <c r="FJ1078" s="18"/>
      <c r="FK1078" s="18"/>
      <c r="FL1078" s="18"/>
      <c r="FM1078" s="18"/>
      <c r="FN1078" s="18"/>
      <c r="FO1078" s="18"/>
      <c r="FP1078" s="18"/>
      <c r="FQ1078" s="18"/>
      <c r="FR1078" s="18"/>
      <c r="FS1078" s="18"/>
      <c r="FT1078" s="18"/>
      <c r="FU1078" s="18"/>
      <c r="FV1078" s="18"/>
      <c r="FW1078" s="18"/>
      <c r="FX1078" s="18"/>
      <c r="FY1078" s="18"/>
      <c r="FZ1078" s="18"/>
      <c r="GA1078" s="18"/>
      <c r="GB1078" s="18"/>
      <c r="GC1078" s="18"/>
      <c r="GD1078" s="18"/>
      <c r="GE1078" s="18"/>
      <c r="GF1078" s="18"/>
      <c r="GG1078" s="18"/>
      <c r="GH1078" s="18"/>
      <c r="GI1078" s="18"/>
      <c r="GJ1078" s="18"/>
      <c r="GK1078" s="18"/>
      <c r="GL1078" s="18"/>
      <c r="GM1078" s="18"/>
      <c r="GN1078" s="18"/>
      <c r="GO1078" s="18"/>
      <c r="GP1078" s="18"/>
      <c r="GQ1078" s="18"/>
      <c r="GR1078" s="18"/>
      <c r="GS1078" s="18"/>
      <c r="GT1078" s="18"/>
      <c r="GU1078" s="18"/>
      <c r="GV1078" s="18"/>
      <c r="GW1078" s="18"/>
      <c r="GX1078" s="18"/>
      <c r="GY1078" s="18"/>
      <c r="GZ1078" s="18"/>
      <c r="HA1078" s="18"/>
      <c r="HB1078" s="18"/>
      <c r="HC1078" s="18"/>
      <c r="HD1078" s="18"/>
      <c r="HE1078" s="18"/>
      <c r="HF1078" s="18"/>
      <c r="HG1078" s="13"/>
      <c r="HH1078" s="13"/>
      <c r="HI1078" s="13"/>
      <c r="HJ1078" s="13"/>
      <c r="HK1078" s="13"/>
      <c r="HL1078" s="13"/>
      <c r="HM1078" s="13"/>
      <c r="HN1078" s="13"/>
      <c r="HO1078" s="13"/>
      <c r="HP1078" s="13"/>
      <c r="HQ1078" s="13"/>
      <c r="HR1078" s="13"/>
      <c r="HS1078" s="13"/>
      <c r="HT1078" s="13"/>
      <c r="HU1078" s="18"/>
      <c r="HV1078" s="18"/>
      <c r="HW1078" s="18"/>
      <c r="HX1078" s="18"/>
      <c r="HY1078" s="18"/>
      <c r="HZ1078" s="18"/>
      <c r="IA1078" s="18"/>
      <c r="IB1078" s="18"/>
      <c r="IC1078" s="18"/>
      <c r="ID1078" s="18"/>
      <c r="IE1078" s="18"/>
      <c r="IF1078" s="18"/>
      <c r="IG1078" s="18"/>
      <c r="IH1078" s="18"/>
      <c r="II1078" s="18"/>
      <c r="IJ1078" s="18"/>
      <c r="IK1078" s="18"/>
      <c r="IL1078" s="18"/>
      <c r="IM1078" s="18"/>
      <c r="IN1078" s="18"/>
      <c r="IO1078" s="18"/>
      <c r="IP1078" s="18"/>
      <c r="IQ1078" s="18"/>
      <c r="IR1078" s="18"/>
      <c r="IS1078" s="18"/>
      <c r="IT1078" s="18"/>
      <c r="IU1078" s="18"/>
      <c r="IV1078" s="18"/>
      <c r="IW1078" s="18"/>
      <c r="IX1078" s="18"/>
      <c r="IY1078" s="18"/>
      <c r="IZ1078" s="18"/>
      <c r="JA1078" s="18"/>
      <c r="JB1078" s="18"/>
      <c r="JC1078" s="18"/>
      <c r="JD1078" s="18"/>
      <c r="JE1078" s="18"/>
      <c r="JF1078" s="18"/>
      <c r="JG1078" s="18"/>
      <c r="JH1078" s="18"/>
      <c r="JI1078" s="18"/>
      <c r="JJ1078" s="18"/>
      <c r="JK1078" s="18"/>
      <c r="JL1078" s="18"/>
      <c r="JM1078" s="18"/>
      <c r="JN1078" s="18"/>
      <c r="JO1078" s="18"/>
      <c r="JP1078" s="18"/>
      <c r="JQ1078" s="18"/>
      <c r="JR1078" s="18"/>
      <c r="JS1078" s="18"/>
      <c r="JT1078" s="18"/>
      <c r="JU1078" s="18"/>
      <c r="JV1078" s="18"/>
      <c r="JW1078" s="18"/>
      <c r="JX1078" s="18"/>
      <c r="JY1078" s="18"/>
      <c r="JZ1078" s="18"/>
      <c r="KA1078" s="18"/>
      <c r="KB1078" s="18"/>
      <c r="KC1078" s="18"/>
      <c r="KD1078" s="18"/>
      <c r="KE1078" s="18"/>
      <c r="KF1078" s="18"/>
      <c r="KG1078" s="18"/>
      <c r="KH1078" s="18"/>
      <c r="KI1078" s="18"/>
      <c r="KJ1078" s="18"/>
      <c r="KK1078" s="18"/>
      <c r="KL1078" s="18"/>
      <c r="KM1078" s="18"/>
      <c r="KN1078" s="18"/>
      <c r="KO1078" s="18"/>
      <c r="KP1078" s="18"/>
    </row>
    <row r="1079" spans="1:302">
      <c r="A1079" s="14"/>
      <c r="B1079" s="14"/>
      <c r="F1079" s="14"/>
      <c r="G1079" s="23"/>
      <c r="H1079" s="23"/>
      <c r="I1079" s="23"/>
      <c r="J1079" s="23"/>
      <c r="K1079" s="14"/>
      <c r="L1079" s="14"/>
      <c r="P1079" s="14"/>
      <c r="AG1079" s="44"/>
      <c r="AH1079" s="44"/>
      <c r="AI1079" s="45"/>
      <c r="AJ1079" s="44"/>
      <c r="AK1079" s="43"/>
      <c r="AS1079" s="14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  <c r="EW1079" s="18"/>
      <c r="EX1079" s="18"/>
      <c r="EY1079" s="18"/>
      <c r="EZ1079" s="18"/>
      <c r="FA1079" s="18"/>
      <c r="FB1079" s="18"/>
      <c r="FC1079" s="18"/>
      <c r="FD1079" s="18"/>
      <c r="FE1079" s="18"/>
      <c r="FF1079" s="18"/>
      <c r="FG1079" s="18"/>
      <c r="FH1079" s="18"/>
      <c r="FI1079" s="18"/>
      <c r="FJ1079" s="18"/>
      <c r="FK1079" s="18"/>
      <c r="FL1079" s="18"/>
      <c r="FM1079" s="18"/>
      <c r="FN1079" s="18"/>
      <c r="FO1079" s="18"/>
      <c r="FP1079" s="18"/>
      <c r="FQ1079" s="18"/>
      <c r="FR1079" s="18"/>
      <c r="FS1079" s="18"/>
      <c r="FT1079" s="18"/>
      <c r="FU1079" s="18"/>
      <c r="FV1079" s="18"/>
      <c r="FW1079" s="18"/>
      <c r="FX1079" s="18"/>
      <c r="FY1079" s="18"/>
      <c r="FZ1079" s="18"/>
      <c r="GA1079" s="18"/>
      <c r="GB1079" s="18"/>
      <c r="GC1079" s="18"/>
      <c r="GD1079" s="18"/>
      <c r="GE1079" s="18"/>
      <c r="GF1079" s="18"/>
      <c r="GG1079" s="18"/>
      <c r="GH1079" s="18"/>
      <c r="GI1079" s="18"/>
      <c r="GJ1079" s="18"/>
      <c r="GK1079" s="18"/>
      <c r="GL1079" s="18"/>
      <c r="GM1079" s="18"/>
      <c r="GN1079" s="18"/>
      <c r="GO1079" s="18"/>
      <c r="GP1079" s="18"/>
      <c r="GQ1079" s="18"/>
      <c r="GR1079" s="18"/>
      <c r="GS1079" s="18"/>
      <c r="GT1079" s="18"/>
      <c r="GU1079" s="18"/>
      <c r="GV1079" s="18"/>
      <c r="GW1079" s="18"/>
      <c r="GX1079" s="18"/>
      <c r="GY1079" s="18"/>
      <c r="GZ1079" s="18"/>
      <c r="HA1079" s="18"/>
      <c r="HB1079" s="18"/>
      <c r="HC1079" s="18"/>
      <c r="HD1079" s="18"/>
      <c r="HE1079" s="18"/>
      <c r="HF1079" s="18"/>
      <c r="HG1079" s="13"/>
      <c r="HH1079" s="13"/>
      <c r="HI1079" s="13"/>
      <c r="HJ1079" s="13"/>
      <c r="HK1079" s="13"/>
      <c r="HL1079" s="13"/>
      <c r="HM1079" s="13"/>
      <c r="HN1079" s="13"/>
      <c r="HO1079" s="13"/>
      <c r="HP1079" s="13"/>
      <c r="HQ1079" s="13"/>
      <c r="HR1079" s="13"/>
      <c r="HS1079" s="13"/>
      <c r="HT1079" s="13"/>
      <c r="HU1079" s="18"/>
      <c r="HV1079" s="18"/>
      <c r="HW1079" s="18"/>
      <c r="HX1079" s="18"/>
      <c r="HY1079" s="18"/>
      <c r="HZ1079" s="18"/>
      <c r="IA1079" s="18"/>
      <c r="IB1079" s="18"/>
      <c r="IC1079" s="18"/>
      <c r="ID1079" s="18"/>
      <c r="IE1079" s="18"/>
      <c r="IF1079" s="18"/>
      <c r="IG1079" s="18"/>
      <c r="IH1079" s="18"/>
      <c r="II1079" s="18"/>
      <c r="IJ1079" s="18"/>
      <c r="IK1079" s="18"/>
      <c r="IL1079" s="18"/>
      <c r="IM1079" s="18"/>
      <c r="IN1079" s="18"/>
      <c r="IO1079" s="18"/>
      <c r="IP1079" s="18"/>
      <c r="IQ1079" s="18"/>
      <c r="IR1079" s="18"/>
      <c r="IS1079" s="18"/>
      <c r="IT1079" s="18"/>
      <c r="IU1079" s="18"/>
      <c r="IV1079" s="18"/>
      <c r="IW1079" s="18"/>
      <c r="IX1079" s="18"/>
      <c r="IY1079" s="18"/>
      <c r="IZ1079" s="18"/>
      <c r="JA1079" s="18"/>
      <c r="JB1079" s="18"/>
      <c r="JC1079" s="18"/>
      <c r="JD1079" s="18"/>
      <c r="JE1079" s="18"/>
      <c r="JF1079" s="18"/>
      <c r="JG1079" s="18"/>
      <c r="JH1079" s="18"/>
      <c r="JI1079" s="18"/>
      <c r="JJ1079" s="18"/>
      <c r="JK1079" s="18"/>
      <c r="JL1079" s="18"/>
      <c r="JM1079" s="18"/>
      <c r="JN1079" s="18"/>
      <c r="JO1079" s="18"/>
      <c r="JP1079" s="18"/>
      <c r="JQ1079" s="18"/>
      <c r="JR1079" s="18"/>
      <c r="JS1079" s="18"/>
      <c r="JT1079" s="18"/>
      <c r="JU1079" s="18"/>
      <c r="JV1079" s="18"/>
      <c r="JW1079" s="18"/>
      <c r="JX1079" s="18"/>
      <c r="JY1079" s="18"/>
      <c r="JZ1079" s="18"/>
      <c r="KA1079" s="18"/>
      <c r="KB1079" s="18"/>
      <c r="KC1079" s="18"/>
      <c r="KD1079" s="18"/>
      <c r="KE1079" s="18"/>
      <c r="KF1079" s="18"/>
      <c r="KG1079" s="18"/>
      <c r="KH1079" s="18"/>
      <c r="KI1079" s="18"/>
      <c r="KJ1079" s="18"/>
      <c r="KK1079" s="18"/>
      <c r="KL1079" s="18"/>
      <c r="KM1079" s="18"/>
      <c r="KN1079" s="18"/>
      <c r="KO1079" s="18"/>
      <c r="KP1079" s="18"/>
    </row>
    <row r="1080" spans="1:302">
      <c r="A1080" s="14"/>
      <c r="B1080" s="14"/>
      <c r="F1080" s="14"/>
      <c r="G1080" s="23"/>
      <c r="H1080" s="23"/>
      <c r="I1080" s="23"/>
      <c r="J1080" s="23"/>
      <c r="K1080" s="14"/>
      <c r="L1080" s="14"/>
      <c r="P1080" s="14"/>
      <c r="AG1080" s="44"/>
      <c r="AH1080" s="44"/>
      <c r="AI1080" s="45"/>
      <c r="AJ1080" s="44"/>
      <c r="AK1080" s="43"/>
      <c r="AS1080" s="14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  <c r="EW1080" s="18"/>
      <c r="EX1080" s="18"/>
      <c r="EY1080" s="18"/>
      <c r="EZ1080" s="18"/>
      <c r="FA1080" s="18"/>
      <c r="FB1080" s="18"/>
      <c r="FC1080" s="18"/>
      <c r="FD1080" s="18"/>
      <c r="FE1080" s="18"/>
      <c r="FF1080" s="18"/>
      <c r="FG1080" s="18"/>
      <c r="FH1080" s="18"/>
      <c r="FI1080" s="18"/>
      <c r="FJ1080" s="18"/>
      <c r="FK1080" s="18"/>
      <c r="FL1080" s="18"/>
      <c r="FM1080" s="18"/>
      <c r="FN1080" s="18"/>
      <c r="FO1080" s="18"/>
      <c r="FP1080" s="18"/>
      <c r="FQ1080" s="18"/>
      <c r="FR1080" s="18"/>
      <c r="FS1080" s="18"/>
      <c r="FT1080" s="18"/>
      <c r="FU1080" s="18"/>
      <c r="FV1080" s="18"/>
      <c r="FW1080" s="18"/>
      <c r="FX1080" s="18"/>
      <c r="FY1080" s="18"/>
      <c r="FZ1080" s="18"/>
      <c r="GA1080" s="18"/>
      <c r="GB1080" s="18"/>
      <c r="GC1080" s="18"/>
      <c r="GD1080" s="18"/>
      <c r="GE1080" s="18"/>
      <c r="GF1080" s="18"/>
      <c r="GG1080" s="18"/>
      <c r="GH1080" s="18"/>
      <c r="GI1080" s="18"/>
      <c r="GJ1080" s="18"/>
      <c r="GK1080" s="18"/>
      <c r="GL1080" s="18"/>
      <c r="GM1080" s="18"/>
      <c r="GN1080" s="18"/>
      <c r="GO1080" s="18"/>
      <c r="GP1080" s="18"/>
      <c r="GQ1080" s="18"/>
      <c r="GR1080" s="18"/>
      <c r="GS1080" s="18"/>
      <c r="GT1080" s="18"/>
      <c r="GU1080" s="18"/>
      <c r="GV1080" s="18"/>
      <c r="GW1080" s="18"/>
      <c r="GX1080" s="18"/>
      <c r="GY1080" s="18"/>
      <c r="GZ1080" s="18"/>
      <c r="HA1080" s="18"/>
      <c r="HB1080" s="18"/>
      <c r="HC1080" s="18"/>
      <c r="HD1080" s="18"/>
      <c r="HE1080" s="18"/>
      <c r="HF1080" s="18"/>
      <c r="HG1080" s="13"/>
      <c r="HH1080" s="13"/>
      <c r="HI1080" s="13"/>
      <c r="HJ1080" s="13"/>
      <c r="HK1080" s="13"/>
      <c r="HL1080" s="13"/>
      <c r="HM1080" s="13"/>
      <c r="HN1080" s="13"/>
      <c r="HO1080" s="13"/>
      <c r="HP1080" s="13"/>
      <c r="HQ1080" s="13"/>
      <c r="HR1080" s="13"/>
      <c r="HS1080" s="13"/>
      <c r="HT1080" s="13"/>
      <c r="HU1080" s="18"/>
      <c r="HV1080" s="18"/>
      <c r="HW1080" s="18"/>
      <c r="HX1080" s="18"/>
      <c r="HY1080" s="18"/>
      <c r="HZ1080" s="18"/>
      <c r="IA1080" s="18"/>
      <c r="IB1080" s="18"/>
      <c r="IC1080" s="18"/>
      <c r="ID1080" s="18"/>
      <c r="IE1080" s="18"/>
      <c r="IF1080" s="18"/>
      <c r="IG1080" s="18"/>
      <c r="IH1080" s="18"/>
      <c r="II1080" s="18"/>
      <c r="IJ1080" s="18"/>
      <c r="IK1080" s="18"/>
      <c r="IL1080" s="18"/>
      <c r="IM1080" s="18"/>
      <c r="IN1080" s="18"/>
      <c r="IO1080" s="18"/>
      <c r="IP1080" s="18"/>
      <c r="IQ1080" s="18"/>
      <c r="IR1080" s="18"/>
      <c r="IS1080" s="18"/>
      <c r="IT1080" s="18"/>
      <c r="IU1080" s="18"/>
      <c r="IV1080" s="18"/>
      <c r="IW1080" s="18"/>
      <c r="IX1080" s="18"/>
      <c r="IY1080" s="18"/>
      <c r="IZ1080" s="18"/>
      <c r="JA1080" s="18"/>
      <c r="JB1080" s="18"/>
      <c r="JC1080" s="18"/>
      <c r="JD1080" s="18"/>
      <c r="JE1080" s="18"/>
      <c r="JF1080" s="18"/>
      <c r="JG1080" s="18"/>
      <c r="JH1080" s="18"/>
      <c r="JI1080" s="18"/>
      <c r="JJ1080" s="18"/>
      <c r="JK1080" s="18"/>
      <c r="JL1080" s="18"/>
      <c r="JM1080" s="18"/>
      <c r="JN1080" s="18"/>
      <c r="JO1080" s="18"/>
      <c r="JP1080" s="18"/>
      <c r="JQ1080" s="18"/>
      <c r="JR1080" s="18"/>
      <c r="JS1080" s="18"/>
      <c r="JT1080" s="18"/>
      <c r="JU1080" s="18"/>
      <c r="JV1080" s="18"/>
      <c r="JW1080" s="18"/>
      <c r="JX1080" s="18"/>
      <c r="JY1080" s="18"/>
      <c r="JZ1080" s="18"/>
      <c r="KA1080" s="18"/>
      <c r="KB1080" s="18"/>
      <c r="KC1080" s="18"/>
      <c r="KD1080" s="18"/>
      <c r="KE1080" s="18"/>
      <c r="KF1080" s="18"/>
      <c r="KG1080" s="18"/>
      <c r="KH1080" s="18"/>
      <c r="KI1080" s="18"/>
      <c r="KJ1080" s="18"/>
      <c r="KK1080" s="18"/>
      <c r="KL1080" s="18"/>
      <c r="KM1080" s="18"/>
      <c r="KN1080" s="18"/>
      <c r="KO1080" s="18"/>
      <c r="KP1080" s="18"/>
    </row>
    <row r="1081" spans="1:302">
      <c r="A1081" s="14"/>
      <c r="B1081" s="14"/>
      <c r="F1081" s="14"/>
      <c r="G1081" s="23"/>
      <c r="H1081" s="23"/>
      <c r="I1081" s="23"/>
      <c r="J1081" s="23"/>
      <c r="K1081" s="14"/>
      <c r="L1081" s="14"/>
      <c r="P1081" s="14"/>
      <c r="AG1081" s="44"/>
      <c r="AH1081" s="44"/>
      <c r="AI1081" s="45"/>
      <c r="AJ1081" s="44"/>
      <c r="AK1081" s="43"/>
      <c r="AS1081" s="14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  <c r="EW1081" s="18"/>
      <c r="EX1081" s="18"/>
      <c r="EY1081" s="18"/>
      <c r="EZ1081" s="18"/>
      <c r="FA1081" s="18"/>
      <c r="FB1081" s="18"/>
      <c r="FC1081" s="18"/>
      <c r="FD1081" s="18"/>
      <c r="FE1081" s="18"/>
      <c r="FF1081" s="18"/>
      <c r="FG1081" s="18"/>
      <c r="FH1081" s="18"/>
      <c r="FI1081" s="18"/>
      <c r="FJ1081" s="18"/>
      <c r="FK1081" s="18"/>
      <c r="FL1081" s="18"/>
      <c r="FM1081" s="18"/>
      <c r="FN1081" s="18"/>
      <c r="FO1081" s="18"/>
      <c r="FP1081" s="18"/>
      <c r="FQ1081" s="18"/>
      <c r="FR1081" s="18"/>
      <c r="FS1081" s="18"/>
      <c r="FT1081" s="18"/>
      <c r="FU1081" s="18"/>
      <c r="FV1081" s="18"/>
      <c r="FW1081" s="18"/>
      <c r="FX1081" s="18"/>
      <c r="FY1081" s="18"/>
      <c r="FZ1081" s="18"/>
      <c r="GA1081" s="18"/>
      <c r="GB1081" s="18"/>
      <c r="GC1081" s="18"/>
      <c r="GD1081" s="18"/>
      <c r="GE1081" s="18"/>
      <c r="GF1081" s="18"/>
      <c r="GG1081" s="18"/>
      <c r="GH1081" s="18"/>
      <c r="GI1081" s="18"/>
      <c r="GJ1081" s="18"/>
      <c r="GK1081" s="18"/>
      <c r="GL1081" s="18"/>
      <c r="GM1081" s="18"/>
      <c r="GN1081" s="18"/>
      <c r="GO1081" s="18"/>
      <c r="GP1081" s="18"/>
      <c r="GQ1081" s="18"/>
      <c r="GR1081" s="18"/>
      <c r="GS1081" s="18"/>
      <c r="GT1081" s="18"/>
      <c r="GU1081" s="18"/>
      <c r="GV1081" s="18"/>
      <c r="GW1081" s="18"/>
      <c r="GX1081" s="18"/>
      <c r="GY1081" s="18"/>
      <c r="GZ1081" s="18"/>
      <c r="HA1081" s="18"/>
      <c r="HB1081" s="18"/>
      <c r="HC1081" s="18"/>
      <c r="HD1081" s="18"/>
      <c r="HE1081" s="18"/>
      <c r="HF1081" s="18"/>
      <c r="HG1081" s="13"/>
      <c r="HH1081" s="13"/>
      <c r="HI1081" s="13"/>
      <c r="HJ1081" s="13"/>
      <c r="HK1081" s="13"/>
      <c r="HL1081" s="13"/>
      <c r="HM1081" s="13"/>
      <c r="HN1081" s="13"/>
      <c r="HO1081" s="13"/>
      <c r="HP1081" s="13"/>
      <c r="HQ1081" s="13"/>
      <c r="HR1081" s="13"/>
      <c r="HS1081" s="13"/>
      <c r="HT1081" s="13"/>
      <c r="HU1081" s="18"/>
      <c r="HV1081" s="18"/>
      <c r="HW1081" s="18"/>
      <c r="HX1081" s="18"/>
      <c r="HY1081" s="18"/>
      <c r="HZ1081" s="18"/>
      <c r="IA1081" s="18"/>
      <c r="IB1081" s="18"/>
      <c r="IC1081" s="18"/>
      <c r="ID1081" s="18"/>
      <c r="IE1081" s="18"/>
      <c r="IF1081" s="18"/>
      <c r="IG1081" s="18"/>
      <c r="IH1081" s="18"/>
      <c r="II1081" s="18"/>
      <c r="IJ1081" s="18"/>
      <c r="IK1081" s="18"/>
      <c r="IL1081" s="18"/>
      <c r="IM1081" s="18"/>
      <c r="IN1081" s="18"/>
      <c r="IO1081" s="18"/>
      <c r="IP1081" s="18"/>
      <c r="IQ1081" s="18"/>
      <c r="IR1081" s="18"/>
      <c r="IS1081" s="18"/>
      <c r="IT1081" s="18"/>
      <c r="IU1081" s="18"/>
      <c r="IV1081" s="18"/>
      <c r="IW1081" s="18"/>
      <c r="IX1081" s="18"/>
      <c r="IY1081" s="18"/>
      <c r="IZ1081" s="18"/>
      <c r="JA1081" s="18"/>
      <c r="JB1081" s="18"/>
      <c r="JC1081" s="18"/>
      <c r="JD1081" s="18"/>
      <c r="JE1081" s="18"/>
      <c r="JF1081" s="18"/>
      <c r="JG1081" s="18"/>
      <c r="JH1081" s="18"/>
      <c r="JI1081" s="18"/>
      <c r="JJ1081" s="18"/>
      <c r="JK1081" s="18"/>
      <c r="JL1081" s="18"/>
      <c r="JM1081" s="18"/>
      <c r="JN1081" s="18"/>
      <c r="JO1081" s="18"/>
      <c r="JP1081" s="18"/>
      <c r="JQ1081" s="18"/>
      <c r="JR1081" s="18"/>
      <c r="JS1081" s="18"/>
      <c r="JT1081" s="18"/>
      <c r="JU1081" s="18"/>
      <c r="JV1081" s="18"/>
      <c r="JW1081" s="18"/>
      <c r="JX1081" s="18"/>
      <c r="JY1081" s="18"/>
      <c r="JZ1081" s="18"/>
      <c r="KA1081" s="18"/>
      <c r="KB1081" s="18"/>
      <c r="KC1081" s="18"/>
      <c r="KD1081" s="18"/>
      <c r="KE1081" s="18"/>
      <c r="KF1081" s="18"/>
      <c r="KG1081" s="18"/>
      <c r="KH1081" s="18"/>
      <c r="KI1081" s="18"/>
      <c r="KJ1081" s="18"/>
      <c r="KK1081" s="18"/>
      <c r="KL1081" s="18"/>
      <c r="KM1081" s="18"/>
      <c r="KN1081" s="18"/>
      <c r="KO1081" s="18"/>
      <c r="KP1081" s="18"/>
    </row>
    <row r="1082" spans="1:302">
      <c r="A1082" s="14"/>
      <c r="B1082" s="14"/>
      <c r="F1082" s="14"/>
      <c r="G1082" s="23"/>
      <c r="H1082" s="23"/>
      <c r="I1082" s="23"/>
      <c r="J1082" s="23"/>
      <c r="K1082" s="14"/>
      <c r="L1082" s="14"/>
      <c r="P1082" s="14"/>
      <c r="AG1082" s="44"/>
      <c r="AH1082" s="44"/>
      <c r="AI1082" s="45"/>
      <c r="AJ1082" s="44"/>
      <c r="AK1082" s="43"/>
      <c r="AS1082" s="14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  <c r="EW1082" s="18"/>
      <c r="EX1082" s="18"/>
      <c r="EY1082" s="18"/>
      <c r="EZ1082" s="18"/>
      <c r="FA1082" s="18"/>
      <c r="FB1082" s="18"/>
      <c r="FC1082" s="18"/>
      <c r="FD1082" s="18"/>
      <c r="FE1082" s="18"/>
      <c r="FF1082" s="18"/>
      <c r="FG1082" s="18"/>
      <c r="FH1082" s="18"/>
      <c r="FI1082" s="18"/>
      <c r="FJ1082" s="18"/>
      <c r="FK1082" s="18"/>
      <c r="FL1082" s="18"/>
      <c r="FM1082" s="18"/>
      <c r="FN1082" s="18"/>
      <c r="FO1082" s="18"/>
      <c r="FP1082" s="18"/>
      <c r="FQ1082" s="18"/>
      <c r="FR1082" s="18"/>
      <c r="FS1082" s="18"/>
      <c r="FT1082" s="18"/>
      <c r="FU1082" s="18"/>
      <c r="FV1082" s="18"/>
      <c r="FW1082" s="18"/>
      <c r="FX1082" s="18"/>
      <c r="FY1082" s="18"/>
      <c r="FZ1082" s="18"/>
      <c r="GA1082" s="18"/>
      <c r="GB1082" s="18"/>
      <c r="GC1082" s="18"/>
      <c r="GD1082" s="18"/>
      <c r="GE1082" s="18"/>
      <c r="GF1082" s="18"/>
      <c r="GG1082" s="18"/>
      <c r="GH1082" s="18"/>
      <c r="GI1082" s="18"/>
      <c r="GJ1082" s="18"/>
      <c r="GK1082" s="18"/>
      <c r="GL1082" s="18"/>
      <c r="GM1082" s="18"/>
      <c r="GN1082" s="18"/>
      <c r="GO1082" s="18"/>
      <c r="GP1082" s="18"/>
      <c r="GQ1082" s="18"/>
      <c r="GR1082" s="18"/>
      <c r="GS1082" s="18"/>
      <c r="GT1082" s="18"/>
      <c r="GU1082" s="18"/>
      <c r="GV1082" s="18"/>
      <c r="GW1082" s="18"/>
      <c r="GX1082" s="18"/>
      <c r="GY1082" s="18"/>
      <c r="GZ1082" s="18"/>
      <c r="HA1082" s="18"/>
      <c r="HB1082" s="18"/>
      <c r="HC1082" s="18"/>
      <c r="HD1082" s="18"/>
      <c r="HE1082" s="18"/>
      <c r="HF1082" s="18"/>
      <c r="HG1082" s="13"/>
      <c r="HH1082" s="13"/>
      <c r="HI1082" s="13"/>
      <c r="HJ1082" s="13"/>
      <c r="HK1082" s="13"/>
      <c r="HL1082" s="13"/>
      <c r="HM1082" s="13"/>
      <c r="HN1082" s="13"/>
      <c r="HO1082" s="13"/>
      <c r="HP1082" s="13"/>
      <c r="HQ1082" s="13"/>
      <c r="HR1082" s="13"/>
      <c r="HS1082" s="13"/>
      <c r="HT1082" s="13"/>
      <c r="HU1082" s="18"/>
      <c r="HV1082" s="18"/>
      <c r="HW1082" s="18"/>
      <c r="HX1082" s="18"/>
      <c r="HY1082" s="18"/>
      <c r="HZ1082" s="18"/>
      <c r="IA1082" s="18"/>
      <c r="IB1082" s="18"/>
      <c r="IC1082" s="18"/>
      <c r="ID1082" s="18"/>
      <c r="IE1082" s="18"/>
      <c r="IF1082" s="18"/>
      <c r="IG1082" s="18"/>
      <c r="IH1082" s="18"/>
      <c r="II1082" s="18"/>
      <c r="IJ1082" s="18"/>
      <c r="IK1082" s="18"/>
      <c r="IL1082" s="18"/>
      <c r="IM1082" s="18"/>
      <c r="IN1082" s="18"/>
      <c r="IO1082" s="18"/>
      <c r="IP1082" s="18"/>
      <c r="IQ1082" s="18"/>
      <c r="IR1082" s="18"/>
      <c r="IS1082" s="18"/>
      <c r="IT1082" s="18"/>
      <c r="IU1082" s="18"/>
      <c r="IV1082" s="18"/>
      <c r="IW1082" s="18"/>
      <c r="IX1082" s="18"/>
      <c r="IY1082" s="18"/>
      <c r="IZ1082" s="18"/>
      <c r="JA1082" s="18"/>
      <c r="JB1082" s="18"/>
      <c r="JC1082" s="18"/>
      <c r="JD1082" s="18"/>
      <c r="JE1082" s="18"/>
      <c r="JF1082" s="18"/>
      <c r="JG1082" s="18"/>
      <c r="JH1082" s="18"/>
      <c r="JI1082" s="18"/>
      <c r="JJ1082" s="18"/>
      <c r="JK1082" s="18"/>
      <c r="JL1082" s="18"/>
      <c r="JM1082" s="18"/>
      <c r="JN1082" s="18"/>
      <c r="JO1082" s="18"/>
      <c r="JP1082" s="18"/>
      <c r="JQ1082" s="18"/>
      <c r="JR1082" s="18"/>
      <c r="JS1082" s="18"/>
      <c r="JT1082" s="18"/>
      <c r="JU1082" s="18"/>
      <c r="JV1082" s="18"/>
      <c r="JW1082" s="18"/>
      <c r="JX1082" s="18"/>
      <c r="JY1082" s="18"/>
      <c r="JZ1082" s="18"/>
      <c r="KA1082" s="18"/>
      <c r="KB1082" s="18"/>
      <c r="KC1082" s="18"/>
      <c r="KD1082" s="18"/>
      <c r="KE1082" s="18"/>
      <c r="KF1082" s="18"/>
      <c r="KG1082" s="18"/>
      <c r="KH1082" s="18"/>
      <c r="KI1082" s="18"/>
      <c r="KJ1082" s="18"/>
      <c r="KK1082" s="18"/>
      <c r="KL1082" s="18"/>
      <c r="KM1082" s="18"/>
      <c r="KN1082" s="18"/>
      <c r="KO1082" s="18"/>
      <c r="KP1082" s="18"/>
    </row>
    <row r="1083" spans="1:302">
      <c r="A1083" s="14"/>
      <c r="B1083" s="14"/>
      <c r="F1083" s="14"/>
      <c r="G1083" s="23"/>
      <c r="H1083" s="23"/>
      <c r="I1083" s="23"/>
      <c r="J1083" s="23"/>
      <c r="K1083" s="14"/>
      <c r="L1083" s="14"/>
      <c r="P1083" s="14"/>
      <c r="AG1083" s="44"/>
      <c r="AH1083" s="44"/>
      <c r="AI1083" s="45"/>
      <c r="AJ1083" s="44"/>
      <c r="AK1083" s="43"/>
      <c r="AS1083" s="14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  <c r="EW1083" s="18"/>
      <c r="EX1083" s="18"/>
      <c r="EY1083" s="18"/>
      <c r="EZ1083" s="18"/>
      <c r="FA1083" s="18"/>
      <c r="FB1083" s="18"/>
      <c r="FC1083" s="18"/>
      <c r="FD1083" s="18"/>
      <c r="FE1083" s="18"/>
      <c r="FF1083" s="18"/>
      <c r="FG1083" s="18"/>
      <c r="FH1083" s="18"/>
      <c r="FI1083" s="18"/>
      <c r="FJ1083" s="18"/>
      <c r="FK1083" s="18"/>
      <c r="FL1083" s="18"/>
      <c r="FM1083" s="18"/>
      <c r="FN1083" s="18"/>
      <c r="FO1083" s="18"/>
      <c r="FP1083" s="18"/>
      <c r="FQ1083" s="18"/>
      <c r="FR1083" s="18"/>
      <c r="FS1083" s="18"/>
      <c r="FT1083" s="18"/>
      <c r="FU1083" s="18"/>
      <c r="FV1083" s="18"/>
      <c r="FW1083" s="18"/>
      <c r="FX1083" s="18"/>
      <c r="FY1083" s="18"/>
      <c r="FZ1083" s="18"/>
      <c r="GA1083" s="18"/>
      <c r="GB1083" s="18"/>
      <c r="GC1083" s="18"/>
      <c r="GD1083" s="18"/>
      <c r="GE1083" s="18"/>
      <c r="GF1083" s="18"/>
      <c r="GG1083" s="18"/>
      <c r="GH1083" s="18"/>
      <c r="GI1083" s="18"/>
      <c r="GJ1083" s="18"/>
      <c r="GK1083" s="18"/>
      <c r="GL1083" s="18"/>
      <c r="GM1083" s="18"/>
      <c r="GN1083" s="18"/>
      <c r="GO1083" s="18"/>
      <c r="GP1083" s="18"/>
      <c r="GQ1083" s="18"/>
      <c r="GR1083" s="18"/>
      <c r="GS1083" s="18"/>
      <c r="GT1083" s="18"/>
      <c r="GU1083" s="18"/>
      <c r="GV1083" s="18"/>
      <c r="GW1083" s="18"/>
      <c r="GX1083" s="18"/>
      <c r="GY1083" s="18"/>
      <c r="GZ1083" s="18"/>
      <c r="HA1083" s="18"/>
      <c r="HB1083" s="18"/>
      <c r="HC1083" s="18"/>
      <c r="HD1083" s="18"/>
      <c r="HE1083" s="18"/>
      <c r="HF1083" s="18"/>
      <c r="HG1083" s="13"/>
      <c r="HH1083" s="13"/>
      <c r="HI1083" s="13"/>
      <c r="HJ1083" s="13"/>
      <c r="HK1083" s="13"/>
      <c r="HL1083" s="13"/>
      <c r="HM1083" s="13"/>
      <c r="HN1083" s="13"/>
      <c r="HO1083" s="13"/>
      <c r="HP1083" s="13"/>
      <c r="HQ1083" s="13"/>
      <c r="HR1083" s="13"/>
      <c r="HS1083" s="13"/>
      <c r="HT1083" s="13"/>
      <c r="HU1083" s="18"/>
      <c r="HV1083" s="18"/>
      <c r="HW1083" s="18"/>
      <c r="HX1083" s="18"/>
      <c r="HY1083" s="18"/>
      <c r="HZ1083" s="18"/>
      <c r="IA1083" s="18"/>
      <c r="IB1083" s="18"/>
      <c r="IC1083" s="18"/>
      <c r="ID1083" s="18"/>
      <c r="IE1083" s="18"/>
      <c r="IF1083" s="18"/>
      <c r="IG1083" s="18"/>
      <c r="IH1083" s="18"/>
      <c r="II1083" s="18"/>
      <c r="IJ1083" s="18"/>
      <c r="IK1083" s="18"/>
      <c r="IL1083" s="18"/>
      <c r="IM1083" s="18"/>
      <c r="IN1083" s="18"/>
      <c r="IO1083" s="18"/>
      <c r="IP1083" s="18"/>
      <c r="IQ1083" s="18"/>
      <c r="IR1083" s="18"/>
      <c r="IS1083" s="18"/>
      <c r="IT1083" s="18"/>
      <c r="IU1083" s="18"/>
      <c r="IV1083" s="18"/>
      <c r="IW1083" s="18"/>
      <c r="IX1083" s="18"/>
      <c r="IY1083" s="18"/>
      <c r="IZ1083" s="18"/>
      <c r="JA1083" s="18"/>
      <c r="JB1083" s="18"/>
      <c r="JC1083" s="18"/>
      <c r="JD1083" s="18"/>
      <c r="JE1083" s="18"/>
      <c r="JF1083" s="18"/>
      <c r="JG1083" s="18"/>
      <c r="JH1083" s="18"/>
      <c r="JI1083" s="18"/>
      <c r="JJ1083" s="18"/>
      <c r="JK1083" s="18"/>
      <c r="JL1083" s="18"/>
      <c r="JM1083" s="18"/>
      <c r="JN1083" s="18"/>
      <c r="JO1083" s="18"/>
      <c r="JP1083" s="18"/>
      <c r="JQ1083" s="18"/>
      <c r="JR1083" s="18"/>
      <c r="JS1083" s="18"/>
      <c r="JT1083" s="18"/>
      <c r="JU1083" s="18"/>
      <c r="JV1083" s="18"/>
      <c r="JW1083" s="18"/>
      <c r="JX1083" s="18"/>
      <c r="JY1083" s="18"/>
      <c r="JZ1083" s="18"/>
      <c r="KA1083" s="18"/>
      <c r="KB1083" s="18"/>
      <c r="KC1083" s="18"/>
      <c r="KD1083" s="18"/>
      <c r="KE1083" s="18"/>
      <c r="KF1083" s="18"/>
      <c r="KG1083" s="18"/>
      <c r="KH1083" s="18"/>
      <c r="KI1083" s="18"/>
      <c r="KJ1083" s="18"/>
      <c r="KK1083" s="18"/>
      <c r="KL1083" s="18"/>
      <c r="KM1083" s="18"/>
      <c r="KN1083" s="18"/>
      <c r="KO1083" s="18"/>
      <c r="KP1083" s="18"/>
    </row>
    <row r="1084" spans="1:302">
      <c r="A1084" s="14"/>
      <c r="B1084" s="14"/>
      <c r="F1084" s="14"/>
      <c r="G1084" s="23"/>
      <c r="H1084" s="23"/>
      <c r="I1084" s="23"/>
      <c r="J1084" s="23"/>
      <c r="K1084" s="14"/>
      <c r="L1084" s="14"/>
      <c r="P1084" s="14"/>
      <c r="AG1084" s="44"/>
      <c r="AH1084" s="44"/>
      <c r="AI1084" s="45"/>
      <c r="AJ1084" s="44"/>
      <c r="AK1084" s="43"/>
      <c r="AS1084" s="14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  <c r="EW1084" s="18"/>
      <c r="EX1084" s="18"/>
      <c r="EY1084" s="18"/>
      <c r="EZ1084" s="18"/>
      <c r="FA1084" s="18"/>
      <c r="FB1084" s="18"/>
      <c r="FC1084" s="18"/>
      <c r="FD1084" s="18"/>
      <c r="FE1084" s="18"/>
      <c r="FF1084" s="18"/>
      <c r="FG1084" s="18"/>
      <c r="FH1084" s="18"/>
      <c r="FI1084" s="18"/>
      <c r="FJ1084" s="18"/>
      <c r="FK1084" s="18"/>
      <c r="FL1084" s="18"/>
      <c r="FM1084" s="18"/>
      <c r="FN1084" s="18"/>
      <c r="FO1084" s="18"/>
      <c r="FP1084" s="18"/>
      <c r="FQ1084" s="18"/>
      <c r="FR1084" s="18"/>
      <c r="FS1084" s="18"/>
      <c r="FT1084" s="18"/>
      <c r="FU1084" s="18"/>
      <c r="FV1084" s="18"/>
      <c r="FW1084" s="18"/>
      <c r="FX1084" s="18"/>
      <c r="FY1084" s="18"/>
      <c r="FZ1084" s="18"/>
      <c r="GA1084" s="18"/>
      <c r="GB1084" s="18"/>
      <c r="GC1084" s="18"/>
      <c r="GD1084" s="18"/>
      <c r="GE1084" s="18"/>
      <c r="GF1084" s="18"/>
      <c r="GG1084" s="18"/>
      <c r="GH1084" s="18"/>
      <c r="GI1084" s="18"/>
      <c r="GJ1084" s="18"/>
      <c r="GK1084" s="18"/>
      <c r="GL1084" s="18"/>
      <c r="GM1084" s="18"/>
      <c r="GN1084" s="18"/>
      <c r="GO1084" s="18"/>
      <c r="GP1084" s="18"/>
      <c r="GQ1084" s="18"/>
      <c r="GR1084" s="18"/>
      <c r="GS1084" s="18"/>
      <c r="GT1084" s="18"/>
      <c r="GU1084" s="18"/>
      <c r="GV1084" s="18"/>
      <c r="GW1084" s="18"/>
      <c r="GX1084" s="18"/>
      <c r="GY1084" s="18"/>
      <c r="GZ1084" s="18"/>
      <c r="HA1084" s="18"/>
      <c r="HB1084" s="18"/>
      <c r="HC1084" s="18"/>
      <c r="HD1084" s="18"/>
      <c r="HE1084" s="18"/>
      <c r="HF1084" s="18"/>
      <c r="HG1084" s="13"/>
      <c r="HH1084" s="13"/>
      <c r="HI1084" s="13"/>
      <c r="HJ1084" s="13"/>
      <c r="HK1084" s="13"/>
      <c r="HL1084" s="13"/>
      <c r="HM1084" s="13"/>
      <c r="HN1084" s="13"/>
      <c r="HO1084" s="13"/>
      <c r="HP1084" s="13"/>
      <c r="HQ1084" s="13"/>
      <c r="HR1084" s="13"/>
      <c r="HS1084" s="13"/>
      <c r="HT1084" s="13"/>
      <c r="HU1084" s="18"/>
      <c r="HV1084" s="18"/>
      <c r="HW1084" s="18"/>
      <c r="HX1084" s="18"/>
      <c r="HY1084" s="18"/>
      <c r="HZ1084" s="18"/>
      <c r="IA1084" s="18"/>
      <c r="IB1084" s="18"/>
      <c r="IC1084" s="18"/>
      <c r="ID1084" s="18"/>
      <c r="IE1084" s="18"/>
      <c r="IF1084" s="18"/>
      <c r="IG1084" s="18"/>
      <c r="IH1084" s="18"/>
      <c r="II1084" s="18"/>
      <c r="IJ1084" s="18"/>
      <c r="IK1084" s="18"/>
      <c r="IL1084" s="18"/>
      <c r="IM1084" s="18"/>
      <c r="IN1084" s="18"/>
      <c r="IO1084" s="18"/>
      <c r="IP1084" s="18"/>
      <c r="IQ1084" s="18"/>
      <c r="IR1084" s="18"/>
      <c r="IS1084" s="18"/>
      <c r="IT1084" s="18"/>
      <c r="IU1084" s="18"/>
      <c r="IV1084" s="18"/>
      <c r="IW1084" s="18"/>
      <c r="IX1084" s="18"/>
      <c r="IY1084" s="18"/>
      <c r="IZ1084" s="18"/>
      <c r="JA1084" s="18"/>
      <c r="JB1084" s="18"/>
      <c r="JC1084" s="18"/>
      <c r="JD1084" s="18"/>
      <c r="JE1084" s="18"/>
      <c r="JF1084" s="18"/>
      <c r="JG1084" s="18"/>
      <c r="JH1084" s="18"/>
      <c r="JI1084" s="18"/>
      <c r="JJ1084" s="18"/>
      <c r="JK1084" s="18"/>
      <c r="JL1084" s="18"/>
      <c r="JM1084" s="18"/>
      <c r="JN1084" s="18"/>
      <c r="JO1084" s="18"/>
      <c r="JP1084" s="18"/>
      <c r="JQ1084" s="18"/>
      <c r="JR1084" s="18"/>
      <c r="JS1084" s="18"/>
      <c r="JT1084" s="18"/>
      <c r="JU1084" s="18"/>
      <c r="JV1084" s="18"/>
      <c r="JW1084" s="18"/>
      <c r="JX1084" s="18"/>
      <c r="JY1084" s="18"/>
      <c r="JZ1084" s="18"/>
      <c r="KA1084" s="18"/>
      <c r="KB1084" s="18"/>
      <c r="KC1084" s="18"/>
      <c r="KD1084" s="18"/>
      <c r="KE1084" s="18"/>
      <c r="KF1084" s="18"/>
      <c r="KG1084" s="18"/>
      <c r="KH1084" s="18"/>
      <c r="KI1084" s="18"/>
      <c r="KJ1084" s="18"/>
      <c r="KK1084" s="18"/>
      <c r="KL1084" s="18"/>
      <c r="KM1084" s="18"/>
      <c r="KN1084" s="18"/>
      <c r="KO1084" s="18"/>
      <c r="KP1084" s="18"/>
    </row>
    <row r="1085" spans="1:302">
      <c r="A1085" s="14"/>
      <c r="B1085" s="14"/>
      <c r="F1085" s="14"/>
      <c r="G1085" s="23"/>
      <c r="H1085" s="23"/>
      <c r="I1085" s="23"/>
      <c r="J1085" s="23"/>
      <c r="K1085" s="14"/>
      <c r="L1085" s="14"/>
      <c r="P1085" s="14"/>
      <c r="AG1085" s="44"/>
      <c r="AH1085" s="44"/>
      <c r="AI1085" s="45"/>
      <c r="AJ1085" s="44"/>
      <c r="AK1085" s="43"/>
      <c r="AS1085" s="14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  <c r="EW1085" s="18"/>
      <c r="EX1085" s="18"/>
      <c r="EY1085" s="18"/>
      <c r="EZ1085" s="18"/>
      <c r="FA1085" s="18"/>
      <c r="FB1085" s="18"/>
      <c r="FC1085" s="18"/>
      <c r="FD1085" s="18"/>
      <c r="FE1085" s="18"/>
      <c r="FF1085" s="18"/>
      <c r="FG1085" s="18"/>
      <c r="FH1085" s="18"/>
      <c r="FI1085" s="18"/>
      <c r="FJ1085" s="18"/>
      <c r="FK1085" s="18"/>
      <c r="FL1085" s="18"/>
      <c r="FM1085" s="18"/>
      <c r="FN1085" s="18"/>
      <c r="FO1085" s="18"/>
      <c r="FP1085" s="18"/>
      <c r="FQ1085" s="18"/>
      <c r="FR1085" s="18"/>
      <c r="FS1085" s="18"/>
      <c r="FT1085" s="18"/>
      <c r="FU1085" s="18"/>
      <c r="FV1085" s="18"/>
      <c r="FW1085" s="18"/>
      <c r="FX1085" s="18"/>
      <c r="FY1085" s="18"/>
      <c r="FZ1085" s="18"/>
      <c r="GA1085" s="18"/>
      <c r="GB1085" s="18"/>
      <c r="GC1085" s="18"/>
      <c r="GD1085" s="18"/>
      <c r="GE1085" s="18"/>
      <c r="GF1085" s="18"/>
      <c r="GG1085" s="18"/>
      <c r="GH1085" s="18"/>
      <c r="GI1085" s="18"/>
      <c r="GJ1085" s="18"/>
      <c r="GK1085" s="18"/>
      <c r="GL1085" s="18"/>
      <c r="GM1085" s="18"/>
      <c r="GN1085" s="18"/>
      <c r="GO1085" s="18"/>
      <c r="GP1085" s="18"/>
      <c r="GQ1085" s="18"/>
      <c r="GR1085" s="18"/>
      <c r="GS1085" s="18"/>
      <c r="GT1085" s="18"/>
      <c r="GU1085" s="18"/>
      <c r="GV1085" s="18"/>
      <c r="GW1085" s="18"/>
      <c r="GX1085" s="18"/>
      <c r="GY1085" s="18"/>
      <c r="GZ1085" s="18"/>
      <c r="HA1085" s="18"/>
      <c r="HB1085" s="18"/>
      <c r="HC1085" s="18"/>
      <c r="HD1085" s="18"/>
      <c r="HE1085" s="18"/>
      <c r="HF1085" s="18"/>
      <c r="HG1085" s="13"/>
      <c r="HH1085" s="13"/>
      <c r="HI1085" s="13"/>
      <c r="HJ1085" s="13"/>
      <c r="HK1085" s="13"/>
      <c r="HL1085" s="13"/>
      <c r="HM1085" s="13"/>
      <c r="HN1085" s="13"/>
      <c r="HO1085" s="13"/>
      <c r="HP1085" s="13"/>
      <c r="HQ1085" s="13"/>
      <c r="HR1085" s="13"/>
      <c r="HS1085" s="13"/>
      <c r="HT1085" s="13"/>
      <c r="HU1085" s="18"/>
      <c r="HV1085" s="18"/>
      <c r="HW1085" s="18"/>
      <c r="HX1085" s="18"/>
      <c r="HY1085" s="18"/>
      <c r="HZ1085" s="18"/>
      <c r="IA1085" s="18"/>
      <c r="IB1085" s="18"/>
      <c r="IC1085" s="18"/>
      <c r="ID1085" s="18"/>
      <c r="IE1085" s="18"/>
      <c r="IF1085" s="18"/>
      <c r="IG1085" s="18"/>
      <c r="IH1085" s="18"/>
      <c r="II1085" s="18"/>
      <c r="IJ1085" s="18"/>
      <c r="IK1085" s="18"/>
      <c r="IL1085" s="18"/>
      <c r="IM1085" s="18"/>
      <c r="IN1085" s="18"/>
      <c r="IO1085" s="18"/>
      <c r="IP1085" s="18"/>
      <c r="IQ1085" s="18"/>
      <c r="IR1085" s="18"/>
      <c r="IS1085" s="18"/>
      <c r="IT1085" s="18"/>
      <c r="IU1085" s="18"/>
      <c r="IV1085" s="18"/>
      <c r="IW1085" s="18"/>
      <c r="IX1085" s="18"/>
      <c r="IY1085" s="18"/>
      <c r="IZ1085" s="18"/>
      <c r="JA1085" s="18"/>
      <c r="JB1085" s="18"/>
      <c r="JC1085" s="18"/>
      <c r="JD1085" s="18"/>
      <c r="JE1085" s="18"/>
      <c r="JF1085" s="18"/>
      <c r="JG1085" s="18"/>
      <c r="JH1085" s="18"/>
      <c r="JI1085" s="18"/>
      <c r="JJ1085" s="18"/>
      <c r="JK1085" s="18"/>
      <c r="JL1085" s="18"/>
      <c r="JM1085" s="18"/>
      <c r="JN1085" s="18"/>
      <c r="JO1085" s="18"/>
      <c r="JP1085" s="18"/>
      <c r="JQ1085" s="18"/>
      <c r="JR1085" s="18"/>
      <c r="JS1085" s="18"/>
      <c r="JT1085" s="18"/>
      <c r="JU1085" s="18"/>
      <c r="JV1085" s="18"/>
      <c r="JW1085" s="18"/>
      <c r="JX1085" s="18"/>
      <c r="JY1085" s="18"/>
      <c r="JZ1085" s="18"/>
      <c r="KA1085" s="18"/>
      <c r="KB1085" s="18"/>
      <c r="KC1085" s="18"/>
      <c r="KD1085" s="18"/>
      <c r="KE1085" s="18"/>
      <c r="KF1085" s="18"/>
      <c r="KG1085" s="18"/>
      <c r="KH1085" s="18"/>
      <c r="KI1085" s="18"/>
      <c r="KJ1085" s="18"/>
      <c r="KK1085" s="18"/>
      <c r="KL1085" s="18"/>
      <c r="KM1085" s="18"/>
      <c r="KN1085" s="18"/>
      <c r="KO1085" s="18"/>
      <c r="KP1085" s="18"/>
    </row>
    <row r="1086" spans="1:302">
      <c r="A1086" s="14"/>
      <c r="B1086" s="14"/>
      <c r="F1086" s="14"/>
      <c r="G1086" s="23"/>
      <c r="H1086" s="23"/>
      <c r="I1086" s="23"/>
      <c r="J1086" s="23"/>
      <c r="K1086" s="14"/>
      <c r="L1086" s="14"/>
      <c r="P1086" s="14"/>
      <c r="AG1086" s="44"/>
      <c r="AH1086" s="44"/>
      <c r="AI1086" s="45"/>
      <c r="AJ1086" s="44"/>
      <c r="AK1086" s="43"/>
      <c r="AS1086" s="14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  <c r="EW1086" s="18"/>
      <c r="EX1086" s="18"/>
      <c r="EY1086" s="18"/>
      <c r="EZ1086" s="18"/>
      <c r="FA1086" s="18"/>
      <c r="FB1086" s="18"/>
      <c r="FC1086" s="18"/>
      <c r="FD1086" s="18"/>
      <c r="FE1086" s="18"/>
      <c r="FF1086" s="18"/>
      <c r="FG1086" s="18"/>
      <c r="FH1086" s="18"/>
      <c r="FI1086" s="18"/>
      <c r="FJ1086" s="18"/>
      <c r="FK1086" s="18"/>
      <c r="FL1086" s="18"/>
      <c r="FM1086" s="18"/>
      <c r="FN1086" s="18"/>
      <c r="FO1086" s="18"/>
      <c r="FP1086" s="18"/>
      <c r="FQ1086" s="18"/>
      <c r="FR1086" s="18"/>
      <c r="FS1086" s="18"/>
      <c r="FT1086" s="18"/>
      <c r="FU1086" s="18"/>
      <c r="FV1086" s="18"/>
      <c r="FW1086" s="18"/>
      <c r="FX1086" s="18"/>
      <c r="FY1086" s="18"/>
      <c r="FZ1086" s="18"/>
      <c r="GA1086" s="18"/>
      <c r="GB1086" s="18"/>
      <c r="GC1086" s="18"/>
      <c r="GD1086" s="18"/>
      <c r="GE1086" s="18"/>
      <c r="GF1086" s="18"/>
      <c r="GG1086" s="18"/>
      <c r="GH1086" s="18"/>
      <c r="GI1086" s="18"/>
      <c r="GJ1086" s="18"/>
      <c r="GK1086" s="18"/>
      <c r="GL1086" s="18"/>
      <c r="GM1086" s="18"/>
      <c r="GN1086" s="18"/>
      <c r="GO1086" s="18"/>
      <c r="GP1086" s="18"/>
      <c r="GQ1086" s="18"/>
      <c r="GR1086" s="18"/>
      <c r="GS1086" s="18"/>
      <c r="GT1086" s="18"/>
      <c r="GU1086" s="18"/>
      <c r="GV1086" s="18"/>
      <c r="GW1086" s="18"/>
      <c r="GX1086" s="18"/>
      <c r="GY1086" s="18"/>
      <c r="GZ1086" s="18"/>
      <c r="HA1086" s="18"/>
      <c r="HB1086" s="18"/>
      <c r="HC1086" s="18"/>
      <c r="HD1086" s="18"/>
      <c r="HE1086" s="18"/>
      <c r="HF1086" s="18"/>
      <c r="HG1086" s="13"/>
      <c r="HH1086" s="13"/>
      <c r="HI1086" s="13"/>
      <c r="HJ1086" s="13"/>
      <c r="HK1086" s="13"/>
      <c r="HL1086" s="13"/>
      <c r="HM1086" s="13"/>
      <c r="HN1086" s="13"/>
      <c r="HO1086" s="13"/>
      <c r="HP1086" s="13"/>
      <c r="HQ1086" s="13"/>
      <c r="HR1086" s="13"/>
      <c r="HS1086" s="13"/>
      <c r="HT1086" s="13"/>
      <c r="HU1086" s="18"/>
      <c r="HV1086" s="18"/>
      <c r="HW1086" s="18"/>
      <c r="HX1086" s="18"/>
      <c r="HY1086" s="18"/>
      <c r="HZ1086" s="18"/>
      <c r="IA1086" s="18"/>
      <c r="IB1086" s="18"/>
      <c r="IC1086" s="18"/>
      <c r="ID1086" s="18"/>
      <c r="IE1086" s="18"/>
      <c r="IF1086" s="18"/>
      <c r="IG1086" s="18"/>
      <c r="IH1086" s="18"/>
      <c r="II1086" s="18"/>
      <c r="IJ1086" s="18"/>
      <c r="IK1086" s="18"/>
      <c r="IL1086" s="18"/>
      <c r="IM1086" s="18"/>
      <c r="IN1086" s="18"/>
      <c r="IO1086" s="18"/>
      <c r="IP1086" s="18"/>
      <c r="IQ1086" s="18"/>
      <c r="IR1086" s="18"/>
      <c r="IS1086" s="18"/>
      <c r="IT1086" s="18"/>
      <c r="IU1086" s="18"/>
      <c r="IV1086" s="18"/>
      <c r="IW1086" s="18"/>
      <c r="IX1086" s="18"/>
      <c r="IY1086" s="18"/>
      <c r="IZ1086" s="18"/>
      <c r="JA1086" s="18"/>
      <c r="JB1086" s="18"/>
      <c r="JC1086" s="18"/>
      <c r="JD1086" s="18"/>
      <c r="JE1086" s="18"/>
      <c r="JF1086" s="18"/>
      <c r="JG1086" s="18"/>
      <c r="JH1086" s="18"/>
      <c r="JI1086" s="18"/>
      <c r="JJ1086" s="18"/>
      <c r="JK1086" s="18"/>
      <c r="JL1086" s="18"/>
      <c r="JM1086" s="18"/>
      <c r="JN1086" s="18"/>
      <c r="JO1086" s="18"/>
      <c r="JP1086" s="18"/>
      <c r="JQ1086" s="18"/>
      <c r="JR1086" s="18"/>
      <c r="JS1086" s="18"/>
      <c r="JT1086" s="18"/>
      <c r="JU1086" s="18"/>
      <c r="JV1086" s="18"/>
      <c r="JW1086" s="18"/>
      <c r="JX1086" s="18"/>
      <c r="JY1086" s="18"/>
      <c r="JZ1086" s="18"/>
      <c r="KA1086" s="18"/>
      <c r="KB1086" s="18"/>
      <c r="KC1086" s="18"/>
      <c r="KD1086" s="18"/>
      <c r="KE1086" s="18"/>
      <c r="KF1086" s="18"/>
      <c r="KG1086" s="18"/>
      <c r="KH1086" s="18"/>
      <c r="KI1086" s="18"/>
      <c r="KJ1086" s="18"/>
      <c r="KK1086" s="18"/>
      <c r="KL1086" s="18"/>
      <c r="KM1086" s="18"/>
      <c r="KN1086" s="18"/>
      <c r="KO1086" s="18"/>
      <c r="KP1086" s="18"/>
    </row>
    <row r="1087" spans="1:302">
      <c r="A1087" s="14"/>
      <c r="B1087" s="14"/>
      <c r="F1087" s="14"/>
      <c r="G1087" s="23"/>
      <c r="H1087" s="23"/>
      <c r="I1087" s="23"/>
      <c r="J1087" s="23"/>
      <c r="K1087" s="14"/>
      <c r="L1087" s="14"/>
      <c r="P1087" s="14"/>
      <c r="AG1087" s="44"/>
      <c r="AH1087" s="44"/>
      <c r="AI1087" s="45"/>
      <c r="AJ1087" s="44"/>
      <c r="AK1087" s="43"/>
      <c r="AS1087" s="14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  <c r="EW1087" s="18"/>
      <c r="EX1087" s="18"/>
      <c r="EY1087" s="18"/>
      <c r="EZ1087" s="18"/>
      <c r="FA1087" s="18"/>
      <c r="FB1087" s="18"/>
      <c r="FC1087" s="18"/>
      <c r="FD1087" s="18"/>
      <c r="FE1087" s="18"/>
      <c r="FF1087" s="18"/>
      <c r="FG1087" s="18"/>
      <c r="FH1087" s="18"/>
      <c r="FI1087" s="18"/>
      <c r="FJ1087" s="18"/>
      <c r="FK1087" s="18"/>
      <c r="FL1087" s="18"/>
      <c r="FM1087" s="18"/>
      <c r="FN1087" s="18"/>
      <c r="FO1087" s="18"/>
      <c r="FP1087" s="18"/>
      <c r="FQ1087" s="18"/>
      <c r="FR1087" s="18"/>
      <c r="FS1087" s="18"/>
      <c r="FT1087" s="18"/>
      <c r="FU1087" s="18"/>
      <c r="FV1087" s="18"/>
      <c r="FW1087" s="18"/>
      <c r="FX1087" s="18"/>
      <c r="FY1087" s="18"/>
      <c r="FZ1087" s="18"/>
      <c r="GA1087" s="18"/>
      <c r="GB1087" s="18"/>
      <c r="GC1087" s="18"/>
      <c r="GD1087" s="18"/>
      <c r="GE1087" s="18"/>
      <c r="GF1087" s="18"/>
      <c r="GG1087" s="18"/>
      <c r="GH1087" s="18"/>
      <c r="GI1087" s="18"/>
      <c r="GJ1087" s="18"/>
      <c r="GK1087" s="18"/>
      <c r="GL1087" s="18"/>
      <c r="GM1087" s="18"/>
      <c r="GN1087" s="18"/>
      <c r="GO1087" s="18"/>
      <c r="GP1087" s="18"/>
      <c r="GQ1087" s="18"/>
      <c r="GR1087" s="18"/>
      <c r="GS1087" s="18"/>
      <c r="GT1087" s="18"/>
      <c r="GU1087" s="18"/>
      <c r="GV1087" s="18"/>
      <c r="GW1087" s="18"/>
      <c r="GX1087" s="18"/>
      <c r="GY1087" s="18"/>
      <c r="GZ1087" s="18"/>
      <c r="HA1087" s="18"/>
      <c r="HB1087" s="18"/>
      <c r="HC1087" s="18"/>
      <c r="HD1087" s="18"/>
      <c r="HE1087" s="18"/>
      <c r="HF1087" s="18"/>
      <c r="HG1087" s="13"/>
      <c r="HH1087" s="13"/>
      <c r="HI1087" s="13"/>
      <c r="HJ1087" s="13"/>
      <c r="HK1087" s="13"/>
      <c r="HL1087" s="13"/>
      <c r="HM1087" s="13"/>
      <c r="HN1087" s="13"/>
      <c r="HO1087" s="13"/>
      <c r="HP1087" s="13"/>
      <c r="HQ1087" s="13"/>
      <c r="HR1087" s="13"/>
      <c r="HS1087" s="13"/>
      <c r="HT1087" s="13"/>
      <c r="HU1087" s="18"/>
      <c r="HV1087" s="18"/>
      <c r="HW1087" s="18"/>
      <c r="HX1087" s="18"/>
      <c r="HY1087" s="18"/>
      <c r="HZ1087" s="18"/>
      <c r="IA1087" s="18"/>
      <c r="IB1087" s="18"/>
      <c r="IC1087" s="18"/>
      <c r="ID1087" s="18"/>
      <c r="IE1087" s="18"/>
      <c r="IF1087" s="18"/>
      <c r="IG1087" s="18"/>
      <c r="IH1087" s="18"/>
      <c r="II1087" s="18"/>
      <c r="IJ1087" s="18"/>
      <c r="IK1087" s="18"/>
      <c r="IL1087" s="18"/>
      <c r="IM1087" s="18"/>
      <c r="IN1087" s="18"/>
      <c r="IO1087" s="18"/>
      <c r="IP1087" s="18"/>
      <c r="IQ1087" s="18"/>
      <c r="IR1087" s="18"/>
      <c r="IS1087" s="18"/>
      <c r="IT1087" s="18"/>
      <c r="IU1087" s="18"/>
      <c r="IV1087" s="18"/>
      <c r="IW1087" s="18"/>
      <c r="IX1087" s="18"/>
      <c r="IY1087" s="18"/>
      <c r="IZ1087" s="18"/>
      <c r="JA1087" s="18"/>
      <c r="JB1087" s="18"/>
      <c r="JC1087" s="18"/>
      <c r="JD1087" s="18"/>
      <c r="JE1087" s="18"/>
      <c r="JF1087" s="18"/>
      <c r="JG1087" s="18"/>
      <c r="JH1087" s="18"/>
      <c r="JI1087" s="18"/>
      <c r="JJ1087" s="18"/>
      <c r="JK1087" s="18"/>
      <c r="JL1087" s="18"/>
      <c r="JM1087" s="18"/>
      <c r="JN1087" s="18"/>
      <c r="JO1087" s="18"/>
      <c r="JP1087" s="18"/>
      <c r="JQ1087" s="18"/>
      <c r="JR1087" s="18"/>
      <c r="JS1087" s="18"/>
      <c r="JT1087" s="18"/>
      <c r="JU1087" s="18"/>
      <c r="JV1087" s="18"/>
      <c r="JW1087" s="18"/>
      <c r="JX1087" s="18"/>
      <c r="JY1087" s="18"/>
      <c r="JZ1087" s="18"/>
      <c r="KA1087" s="18"/>
      <c r="KB1087" s="18"/>
      <c r="KC1087" s="18"/>
      <c r="KD1087" s="18"/>
      <c r="KE1087" s="18"/>
      <c r="KF1087" s="18"/>
      <c r="KG1087" s="18"/>
      <c r="KH1087" s="18"/>
      <c r="KI1087" s="18"/>
      <c r="KJ1087" s="18"/>
      <c r="KK1087" s="18"/>
      <c r="KL1087" s="18"/>
      <c r="KM1087" s="18"/>
      <c r="KN1087" s="18"/>
      <c r="KO1087" s="18"/>
      <c r="KP1087" s="18"/>
    </row>
    <row r="1088" spans="1:302">
      <c r="A1088" s="14"/>
      <c r="B1088" s="14"/>
      <c r="F1088" s="14"/>
      <c r="G1088" s="23"/>
      <c r="H1088" s="23"/>
      <c r="I1088" s="23"/>
      <c r="J1088" s="23"/>
      <c r="K1088" s="14"/>
      <c r="L1088" s="14"/>
      <c r="P1088" s="14"/>
      <c r="AG1088" s="44"/>
      <c r="AH1088" s="44"/>
      <c r="AI1088" s="45"/>
      <c r="AJ1088" s="44"/>
      <c r="AK1088" s="43"/>
      <c r="AS1088" s="14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  <c r="EW1088" s="18"/>
      <c r="EX1088" s="18"/>
      <c r="EY1088" s="18"/>
      <c r="EZ1088" s="18"/>
      <c r="FA1088" s="18"/>
      <c r="FB1088" s="18"/>
      <c r="FC1088" s="18"/>
      <c r="FD1088" s="18"/>
      <c r="FE1088" s="18"/>
      <c r="FF1088" s="18"/>
      <c r="FG1088" s="18"/>
      <c r="FH1088" s="18"/>
      <c r="FI1088" s="18"/>
      <c r="FJ1088" s="18"/>
      <c r="FK1088" s="18"/>
      <c r="FL1088" s="18"/>
      <c r="FM1088" s="18"/>
      <c r="FN1088" s="18"/>
      <c r="FO1088" s="18"/>
      <c r="FP1088" s="18"/>
      <c r="FQ1088" s="18"/>
      <c r="FR1088" s="18"/>
      <c r="FS1088" s="18"/>
      <c r="FT1088" s="18"/>
      <c r="FU1088" s="18"/>
      <c r="FV1088" s="18"/>
      <c r="FW1088" s="18"/>
      <c r="FX1088" s="18"/>
      <c r="FY1088" s="18"/>
      <c r="FZ1088" s="18"/>
      <c r="GA1088" s="18"/>
      <c r="GB1088" s="18"/>
      <c r="GC1088" s="18"/>
      <c r="GD1088" s="18"/>
      <c r="GE1088" s="18"/>
      <c r="GF1088" s="18"/>
      <c r="GG1088" s="18"/>
      <c r="GH1088" s="18"/>
      <c r="GI1088" s="18"/>
      <c r="GJ1088" s="18"/>
      <c r="GK1088" s="18"/>
      <c r="GL1088" s="18"/>
      <c r="GM1088" s="18"/>
      <c r="GN1088" s="18"/>
      <c r="GO1088" s="18"/>
      <c r="GP1088" s="18"/>
      <c r="GQ1088" s="18"/>
      <c r="GR1088" s="18"/>
      <c r="GS1088" s="18"/>
      <c r="GT1088" s="18"/>
      <c r="GU1088" s="18"/>
      <c r="GV1088" s="18"/>
      <c r="GW1088" s="18"/>
      <c r="GX1088" s="18"/>
      <c r="GY1088" s="18"/>
      <c r="GZ1088" s="18"/>
      <c r="HA1088" s="18"/>
      <c r="HB1088" s="18"/>
      <c r="HC1088" s="18"/>
      <c r="HD1088" s="18"/>
      <c r="HE1088" s="18"/>
      <c r="HF1088" s="18"/>
      <c r="HG1088" s="13"/>
      <c r="HH1088" s="13"/>
      <c r="HI1088" s="13"/>
      <c r="HJ1088" s="13"/>
      <c r="HK1088" s="13"/>
      <c r="HL1088" s="13"/>
      <c r="HM1088" s="13"/>
      <c r="HN1088" s="13"/>
      <c r="HO1088" s="13"/>
      <c r="HP1088" s="13"/>
      <c r="HQ1088" s="13"/>
      <c r="HR1088" s="13"/>
      <c r="HS1088" s="13"/>
      <c r="HT1088" s="13"/>
      <c r="HU1088" s="18"/>
      <c r="HV1088" s="18"/>
      <c r="HW1088" s="18"/>
      <c r="HX1088" s="18"/>
      <c r="HY1088" s="18"/>
      <c r="HZ1088" s="18"/>
      <c r="IA1088" s="18"/>
      <c r="IB1088" s="18"/>
      <c r="IC1088" s="18"/>
      <c r="ID1088" s="18"/>
      <c r="IE1088" s="18"/>
      <c r="IF1088" s="18"/>
      <c r="IG1088" s="18"/>
      <c r="IH1088" s="18"/>
      <c r="II1088" s="18"/>
      <c r="IJ1088" s="18"/>
      <c r="IK1088" s="18"/>
      <c r="IL1088" s="18"/>
      <c r="IM1088" s="18"/>
      <c r="IN1088" s="18"/>
      <c r="IO1088" s="18"/>
      <c r="IP1088" s="18"/>
      <c r="IQ1088" s="18"/>
      <c r="IR1088" s="18"/>
      <c r="IS1088" s="18"/>
      <c r="IT1088" s="18"/>
      <c r="IU1088" s="18"/>
      <c r="IV1088" s="18"/>
      <c r="IW1088" s="18"/>
      <c r="IX1088" s="18"/>
      <c r="IY1088" s="18"/>
      <c r="IZ1088" s="18"/>
      <c r="JA1088" s="18"/>
      <c r="JB1088" s="18"/>
      <c r="JC1088" s="18"/>
      <c r="JD1088" s="18"/>
      <c r="JE1088" s="18"/>
      <c r="JF1088" s="18"/>
      <c r="JG1088" s="18"/>
      <c r="JH1088" s="18"/>
      <c r="JI1088" s="18"/>
      <c r="JJ1088" s="18"/>
      <c r="JK1088" s="18"/>
      <c r="JL1088" s="18"/>
      <c r="JM1088" s="18"/>
      <c r="JN1088" s="18"/>
      <c r="JO1088" s="18"/>
      <c r="JP1088" s="18"/>
      <c r="JQ1088" s="18"/>
      <c r="JR1088" s="18"/>
      <c r="JS1088" s="18"/>
      <c r="JT1088" s="18"/>
      <c r="JU1088" s="18"/>
      <c r="JV1088" s="18"/>
      <c r="JW1088" s="18"/>
      <c r="JX1088" s="18"/>
      <c r="JY1088" s="18"/>
      <c r="JZ1088" s="18"/>
      <c r="KA1088" s="18"/>
      <c r="KB1088" s="18"/>
      <c r="KC1088" s="18"/>
      <c r="KD1088" s="18"/>
      <c r="KE1088" s="18"/>
      <c r="KF1088" s="18"/>
      <c r="KG1088" s="18"/>
      <c r="KH1088" s="18"/>
      <c r="KI1088" s="18"/>
      <c r="KJ1088" s="18"/>
      <c r="KK1088" s="18"/>
      <c r="KL1088" s="18"/>
      <c r="KM1088" s="18"/>
      <c r="KN1088" s="18"/>
      <c r="KO1088" s="18"/>
      <c r="KP1088" s="18"/>
    </row>
    <row r="1089" spans="1:302">
      <c r="A1089" s="14"/>
      <c r="B1089" s="14"/>
      <c r="F1089" s="14"/>
      <c r="G1089" s="23"/>
      <c r="H1089" s="23"/>
      <c r="I1089" s="23"/>
      <c r="J1089" s="23"/>
      <c r="K1089" s="14"/>
      <c r="L1089" s="14"/>
      <c r="P1089" s="14"/>
      <c r="AG1089" s="44"/>
      <c r="AH1089" s="44"/>
      <c r="AI1089" s="45"/>
      <c r="AJ1089" s="44"/>
      <c r="AK1089" s="43"/>
      <c r="AS1089" s="14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  <c r="EW1089" s="18"/>
      <c r="EX1089" s="18"/>
      <c r="EY1089" s="18"/>
      <c r="EZ1089" s="18"/>
      <c r="FA1089" s="18"/>
      <c r="FB1089" s="18"/>
      <c r="FC1089" s="18"/>
      <c r="FD1089" s="18"/>
      <c r="FE1089" s="18"/>
      <c r="FF1089" s="18"/>
      <c r="FG1089" s="18"/>
      <c r="FH1089" s="18"/>
      <c r="FI1089" s="18"/>
      <c r="FJ1089" s="18"/>
      <c r="FK1089" s="18"/>
      <c r="FL1089" s="18"/>
      <c r="FM1089" s="18"/>
      <c r="FN1089" s="18"/>
      <c r="FO1089" s="18"/>
      <c r="FP1089" s="18"/>
      <c r="FQ1089" s="18"/>
      <c r="FR1089" s="18"/>
      <c r="FS1089" s="18"/>
      <c r="FT1089" s="18"/>
      <c r="FU1089" s="18"/>
      <c r="FV1089" s="18"/>
      <c r="FW1089" s="18"/>
      <c r="FX1089" s="18"/>
      <c r="FY1089" s="18"/>
      <c r="FZ1089" s="18"/>
      <c r="GA1089" s="18"/>
      <c r="GB1089" s="18"/>
      <c r="GC1089" s="18"/>
      <c r="GD1089" s="18"/>
      <c r="GE1089" s="18"/>
      <c r="GF1089" s="18"/>
      <c r="GG1089" s="18"/>
      <c r="GH1089" s="18"/>
      <c r="GI1089" s="18"/>
      <c r="GJ1089" s="18"/>
      <c r="GK1089" s="18"/>
      <c r="GL1089" s="18"/>
      <c r="GM1089" s="18"/>
      <c r="GN1089" s="18"/>
      <c r="GO1089" s="18"/>
      <c r="GP1089" s="18"/>
      <c r="GQ1089" s="18"/>
      <c r="GR1089" s="18"/>
      <c r="GS1089" s="18"/>
      <c r="GT1089" s="18"/>
      <c r="GU1089" s="18"/>
      <c r="GV1089" s="18"/>
      <c r="GW1089" s="18"/>
      <c r="GX1089" s="18"/>
      <c r="GY1089" s="18"/>
      <c r="GZ1089" s="18"/>
      <c r="HA1089" s="18"/>
      <c r="HB1089" s="18"/>
      <c r="HC1089" s="18"/>
      <c r="HD1089" s="18"/>
      <c r="HE1089" s="18"/>
      <c r="HF1089" s="18"/>
      <c r="HG1089" s="13"/>
      <c r="HH1089" s="13"/>
      <c r="HI1089" s="13"/>
      <c r="HJ1089" s="13"/>
      <c r="HK1089" s="13"/>
      <c r="HL1089" s="13"/>
      <c r="HM1089" s="13"/>
      <c r="HN1089" s="13"/>
      <c r="HO1089" s="13"/>
      <c r="HP1089" s="13"/>
      <c r="HQ1089" s="13"/>
      <c r="HR1089" s="13"/>
      <c r="HS1089" s="13"/>
      <c r="HT1089" s="13"/>
      <c r="HU1089" s="18"/>
      <c r="HV1089" s="18"/>
      <c r="HW1089" s="18"/>
      <c r="HX1089" s="18"/>
      <c r="HY1089" s="18"/>
      <c r="HZ1089" s="18"/>
      <c r="IA1089" s="18"/>
      <c r="IB1089" s="18"/>
      <c r="IC1089" s="18"/>
      <c r="ID1089" s="18"/>
      <c r="IE1089" s="18"/>
      <c r="IF1089" s="18"/>
      <c r="IG1089" s="18"/>
      <c r="IH1089" s="18"/>
      <c r="II1089" s="18"/>
      <c r="IJ1089" s="18"/>
      <c r="IK1089" s="18"/>
      <c r="IL1089" s="18"/>
      <c r="IM1089" s="18"/>
      <c r="IN1089" s="18"/>
      <c r="IO1089" s="18"/>
      <c r="IP1089" s="18"/>
      <c r="IQ1089" s="18"/>
      <c r="IR1089" s="18"/>
      <c r="IS1089" s="18"/>
      <c r="IT1089" s="18"/>
      <c r="IU1089" s="18"/>
      <c r="IV1089" s="18"/>
      <c r="IW1089" s="18"/>
      <c r="IX1089" s="18"/>
      <c r="IY1089" s="18"/>
      <c r="IZ1089" s="18"/>
      <c r="JA1089" s="18"/>
      <c r="JB1089" s="18"/>
      <c r="JC1089" s="18"/>
      <c r="JD1089" s="18"/>
      <c r="JE1089" s="18"/>
      <c r="JF1089" s="18"/>
      <c r="JG1089" s="18"/>
      <c r="JH1089" s="18"/>
      <c r="JI1089" s="18"/>
      <c r="JJ1089" s="18"/>
      <c r="JK1089" s="18"/>
      <c r="JL1089" s="18"/>
      <c r="JM1089" s="18"/>
      <c r="JN1089" s="18"/>
      <c r="JO1089" s="18"/>
      <c r="JP1089" s="18"/>
      <c r="JQ1089" s="18"/>
      <c r="JR1089" s="18"/>
      <c r="JS1089" s="18"/>
      <c r="JT1089" s="18"/>
      <c r="JU1089" s="18"/>
      <c r="JV1089" s="18"/>
      <c r="JW1089" s="18"/>
      <c r="JX1089" s="18"/>
      <c r="JY1089" s="18"/>
      <c r="JZ1089" s="18"/>
      <c r="KA1089" s="18"/>
      <c r="KB1089" s="18"/>
      <c r="KC1089" s="18"/>
      <c r="KD1089" s="18"/>
      <c r="KE1089" s="18"/>
      <c r="KF1089" s="18"/>
      <c r="KG1089" s="18"/>
      <c r="KH1089" s="18"/>
      <c r="KI1089" s="18"/>
      <c r="KJ1089" s="18"/>
      <c r="KK1089" s="18"/>
      <c r="KL1089" s="18"/>
      <c r="KM1089" s="18"/>
      <c r="KN1089" s="18"/>
      <c r="KO1089" s="18"/>
      <c r="KP1089" s="18"/>
    </row>
    <row r="1090" spans="1:302">
      <c r="A1090" s="14"/>
      <c r="B1090" s="14"/>
      <c r="F1090" s="14"/>
      <c r="G1090" s="23"/>
      <c r="H1090" s="23"/>
      <c r="I1090" s="23"/>
      <c r="J1090" s="23"/>
      <c r="K1090" s="14"/>
      <c r="L1090" s="14"/>
      <c r="P1090" s="14"/>
      <c r="AG1090" s="44"/>
      <c r="AH1090" s="44"/>
      <c r="AI1090" s="45"/>
      <c r="AJ1090" s="44"/>
      <c r="AK1090" s="43"/>
      <c r="AS1090" s="14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  <c r="EW1090" s="18"/>
      <c r="EX1090" s="18"/>
      <c r="EY1090" s="18"/>
      <c r="EZ1090" s="18"/>
      <c r="FA1090" s="18"/>
      <c r="FB1090" s="18"/>
      <c r="FC1090" s="18"/>
      <c r="FD1090" s="18"/>
      <c r="FE1090" s="18"/>
      <c r="FF1090" s="18"/>
      <c r="FG1090" s="18"/>
      <c r="FH1090" s="18"/>
      <c r="FI1090" s="18"/>
      <c r="FJ1090" s="18"/>
      <c r="FK1090" s="18"/>
      <c r="FL1090" s="18"/>
      <c r="FM1090" s="18"/>
      <c r="FN1090" s="18"/>
      <c r="FO1090" s="18"/>
      <c r="FP1090" s="18"/>
      <c r="FQ1090" s="18"/>
      <c r="FR1090" s="18"/>
      <c r="FS1090" s="18"/>
      <c r="FT1090" s="18"/>
      <c r="FU1090" s="18"/>
      <c r="FV1090" s="18"/>
      <c r="FW1090" s="18"/>
      <c r="FX1090" s="18"/>
      <c r="FY1090" s="18"/>
      <c r="FZ1090" s="18"/>
      <c r="GA1090" s="18"/>
      <c r="GB1090" s="18"/>
      <c r="GC1090" s="18"/>
      <c r="GD1090" s="18"/>
      <c r="GE1090" s="18"/>
      <c r="GF1090" s="18"/>
      <c r="GG1090" s="18"/>
      <c r="GH1090" s="18"/>
      <c r="GI1090" s="18"/>
      <c r="GJ1090" s="18"/>
      <c r="GK1090" s="18"/>
      <c r="GL1090" s="18"/>
      <c r="GM1090" s="18"/>
      <c r="GN1090" s="18"/>
      <c r="GO1090" s="18"/>
      <c r="GP1090" s="18"/>
      <c r="GQ1090" s="18"/>
      <c r="GR1090" s="18"/>
      <c r="GS1090" s="18"/>
      <c r="GT1090" s="18"/>
      <c r="GU1090" s="18"/>
      <c r="GV1090" s="18"/>
      <c r="GW1090" s="18"/>
      <c r="GX1090" s="18"/>
      <c r="GY1090" s="18"/>
      <c r="GZ1090" s="18"/>
      <c r="HA1090" s="18"/>
      <c r="HB1090" s="18"/>
      <c r="HC1090" s="18"/>
      <c r="HD1090" s="18"/>
      <c r="HE1090" s="18"/>
      <c r="HF1090" s="18"/>
      <c r="HG1090" s="13"/>
      <c r="HH1090" s="13"/>
      <c r="HI1090" s="13"/>
      <c r="HJ1090" s="13"/>
      <c r="HK1090" s="13"/>
      <c r="HL1090" s="13"/>
      <c r="HM1090" s="13"/>
      <c r="HN1090" s="13"/>
      <c r="HO1090" s="13"/>
      <c r="HP1090" s="13"/>
      <c r="HQ1090" s="13"/>
      <c r="HR1090" s="13"/>
      <c r="HS1090" s="13"/>
      <c r="HT1090" s="13"/>
      <c r="HU1090" s="18"/>
      <c r="HV1090" s="18"/>
      <c r="HW1090" s="18"/>
      <c r="HX1090" s="18"/>
      <c r="HY1090" s="18"/>
      <c r="HZ1090" s="18"/>
      <c r="IA1090" s="18"/>
      <c r="IB1090" s="18"/>
      <c r="IC1090" s="18"/>
      <c r="ID1090" s="18"/>
      <c r="IE1090" s="18"/>
      <c r="IF1090" s="18"/>
      <c r="IG1090" s="18"/>
      <c r="IH1090" s="18"/>
      <c r="II1090" s="18"/>
      <c r="IJ1090" s="18"/>
      <c r="IK1090" s="18"/>
      <c r="IL1090" s="18"/>
      <c r="IM1090" s="18"/>
      <c r="IN1090" s="18"/>
      <c r="IO1090" s="18"/>
      <c r="IP1090" s="18"/>
      <c r="IQ1090" s="18"/>
      <c r="IR1090" s="18"/>
      <c r="IS1090" s="18"/>
      <c r="IT1090" s="18"/>
      <c r="IU1090" s="18"/>
      <c r="IV1090" s="18"/>
      <c r="IW1090" s="18"/>
      <c r="IX1090" s="18"/>
      <c r="IY1090" s="18"/>
      <c r="IZ1090" s="18"/>
      <c r="JA1090" s="18"/>
      <c r="JB1090" s="18"/>
      <c r="JC1090" s="18"/>
      <c r="JD1090" s="18"/>
      <c r="JE1090" s="18"/>
      <c r="JF1090" s="18"/>
      <c r="JG1090" s="18"/>
      <c r="JH1090" s="18"/>
      <c r="JI1090" s="18"/>
      <c r="JJ1090" s="18"/>
      <c r="JK1090" s="18"/>
      <c r="JL1090" s="18"/>
      <c r="JM1090" s="18"/>
      <c r="JN1090" s="18"/>
      <c r="JO1090" s="18"/>
      <c r="JP1090" s="18"/>
      <c r="JQ1090" s="18"/>
      <c r="JR1090" s="18"/>
      <c r="JS1090" s="18"/>
      <c r="JT1090" s="18"/>
      <c r="JU1090" s="18"/>
      <c r="JV1090" s="18"/>
      <c r="JW1090" s="18"/>
      <c r="JX1090" s="18"/>
      <c r="JY1090" s="18"/>
      <c r="JZ1090" s="18"/>
      <c r="KA1090" s="18"/>
      <c r="KB1090" s="18"/>
      <c r="KC1090" s="18"/>
      <c r="KD1090" s="18"/>
      <c r="KE1090" s="18"/>
      <c r="KF1090" s="18"/>
      <c r="KG1090" s="18"/>
      <c r="KH1090" s="18"/>
      <c r="KI1090" s="18"/>
      <c r="KJ1090" s="18"/>
      <c r="KK1090" s="18"/>
      <c r="KL1090" s="18"/>
      <c r="KM1090" s="18"/>
      <c r="KN1090" s="18"/>
      <c r="KO1090" s="18"/>
      <c r="KP1090" s="18"/>
    </row>
    <row r="1091" spans="1:302">
      <c r="A1091" s="14"/>
      <c r="B1091" s="14"/>
      <c r="F1091" s="14"/>
      <c r="G1091" s="23"/>
      <c r="H1091" s="23"/>
      <c r="I1091" s="23"/>
      <c r="J1091" s="23"/>
      <c r="K1091" s="14"/>
      <c r="L1091" s="14"/>
      <c r="P1091" s="14"/>
      <c r="AG1091" s="44"/>
      <c r="AH1091" s="44"/>
      <c r="AI1091" s="45"/>
      <c r="AJ1091" s="44"/>
      <c r="AK1091" s="43"/>
      <c r="AS1091" s="14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  <c r="EW1091" s="18"/>
      <c r="EX1091" s="18"/>
      <c r="EY1091" s="18"/>
      <c r="EZ1091" s="18"/>
      <c r="FA1091" s="18"/>
      <c r="FB1091" s="18"/>
      <c r="FC1091" s="18"/>
      <c r="FD1091" s="18"/>
      <c r="FE1091" s="18"/>
      <c r="FF1091" s="18"/>
      <c r="FG1091" s="18"/>
      <c r="FH1091" s="18"/>
      <c r="FI1091" s="18"/>
      <c r="FJ1091" s="18"/>
      <c r="FK1091" s="18"/>
      <c r="FL1091" s="18"/>
      <c r="FM1091" s="18"/>
      <c r="FN1091" s="18"/>
      <c r="FO1091" s="18"/>
      <c r="FP1091" s="18"/>
      <c r="FQ1091" s="18"/>
      <c r="FR1091" s="18"/>
      <c r="FS1091" s="18"/>
      <c r="FT1091" s="18"/>
      <c r="FU1091" s="18"/>
      <c r="FV1091" s="18"/>
      <c r="FW1091" s="18"/>
      <c r="FX1091" s="18"/>
      <c r="FY1091" s="18"/>
      <c r="FZ1091" s="18"/>
      <c r="GA1091" s="18"/>
      <c r="GB1091" s="18"/>
      <c r="GC1091" s="18"/>
      <c r="GD1091" s="18"/>
      <c r="GE1091" s="18"/>
      <c r="GF1091" s="18"/>
      <c r="GG1091" s="18"/>
      <c r="GH1091" s="18"/>
      <c r="GI1091" s="18"/>
      <c r="GJ1091" s="18"/>
      <c r="GK1091" s="18"/>
      <c r="GL1091" s="18"/>
      <c r="GM1091" s="18"/>
      <c r="GN1091" s="18"/>
      <c r="GO1091" s="18"/>
      <c r="GP1091" s="18"/>
      <c r="GQ1091" s="18"/>
      <c r="GR1091" s="18"/>
      <c r="GS1091" s="18"/>
      <c r="GT1091" s="18"/>
      <c r="GU1091" s="18"/>
      <c r="GV1091" s="18"/>
      <c r="GW1091" s="18"/>
      <c r="GX1091" s="18"/>
      <c r="GY1091" s="18"/>
      <c r="GZ1091" s="18"/>
      <c r="HA1091" s="18"/>
      <c r="HB1091" s="18"/>
      <c r="HC1091" s="18"/>
      <c r="HD1091" s="18"/>
      <c r="HE1091" s="18"/>
      <c r="HF1091" s="18"/>
      <c r="HG1091" s="13"/>
      <c r="HH1091" s="13"/>
      <c r="HI1091" s="13"/>
      <c r="HJ1091" s="13"/>
      <c r="HK1091" s="13"/>
      <c r="HL1091" s="13"/>
      <c r="HM1091" s="13"/>
      <c r="HN1091" s="13"/>
      <c r="HO1091" s="13"/>
      <c r="HP1091" s="13"/>
      <c r="HQ1091" s="13"/>
      <c r="HR1091" s="13"/>
      <c r="HS1091" s="13"/>
      <c r="HT1091" s="13"/>
      <c r="HU1091" s="18"/>
      <c r="HV1091" s="18"/>
      <c r="HW1091" s="18"/>
      <c r="HX1091" s="18"/>
      <c r="HY1091" s="18"/>
      <c r="HZ1091" s="18"/>
      <c r="IA1091" s="18"/>
      <c r="IB1091" s="18"/>
      <c r="IC1091" s="18"/>
      <c r="ID1091" s="18"/>
      <c r="IE1091" s="18"/>
      <c r="IF1091" s="18"/>
      <c r="IG1091" s="18"/>
      <c r="IH1091" s="18"/>
      <c r="II1091" s="18"/>
      <c r="IJ1091" s="18"/>
      <c r="IK1091" s="18"/>
      <c r="IL1091" s="18"/>
      <c r="IM1091" s="18"/>
      <c r="IN1091" s="18"/>
      <c r="IO1091" s="18"/>
      <c r="IP1091" s="18"/>
      <c r="IQ1091" s="18"/>
      <c r="IR1091" s="18"/>
      <c r="IS1091" s="18"/>
      <c r="IT1091" s="18"/>
      <c r="IU1091" s="18"/>
      <c r="IV1091" s="18"/>
      <c r="IW1091" s="18"/>
      <c r="IX1091" s="18"/>
      <c r="IY1091" s="18"/>
      <c r="IZ1091" s="18"/>
      <c r="JA1091" s="18"/>
      <c r="JB1091" s="18"/>
      <c r="JC1091" s="18"/>
      <c r="JD1091" s="18"/>
      <c r="JE1091" s="18"/>
      <c r="JF1091" s="18"/>
      <c r="JG1091" s="18"/>
      <c r="JH1091" s="18"/>
      <c r="JI1091" s="18"/>
      <c r="JJ1091" s="18"/>
      <c r="JK1091" s="18"/>
      <c r="JL1091" s="18"/>
      <c r="JM1091" s="18"/>
      <c r="JN1091" s="18"/>
      <c r="JO1091" s="18"/>
      <c r="JP1091" s="18"/>
      <c r="JQ1091" s="18"/>
      <c r="JR1091" s="18"/>
      <c r="JS1091" s="18"/>
      <c r="JT1091" s="18"/>
      <c r="JU1091" s="18"/>
      <c r="JV1091" s="18"/>
      <c r="JW1091" s="18"/>
      <c r="JX1091" s="18"/>
      <c r="JY1091" s="18"/>
      <c r="JZ1091" s="18"/>
      <c r="KA1091" s="18"/>
      <c r="KB1091" s="18"/>
      <c r="KC1091" s="18"/>
      <c r="KD1091" s="18"/>
      <c r="KE1091" s="18"/>
      <c r="KF1091" s="18"/>
      <c r="KG1091" s="18"/>
      <c r="KH1091" s="18"/>
      <c r="KI1091" s="18"/>
      <c r="KJ1091" s="18"/>
      <c r="KK1091" s="18"/>
      <c r="KL1091" s="18"/>
      <c r="KM1091" s="18"/>
      <c r="KN1091" s="18"/>
      <c r="KO1091" s="18"/>
      <c r="KP1091" s="18"/>
    </row>
    <row r="1092" spans="1:302">
      <c r="A1092" s="14"/>
      <c r="B1092" s="14"/>
      <c r="F1092" s="14"/>
      <c r="G1092" s="23"/>
      <c r="H1092" s="23"/>
      <c r="I1092" s="23"/>
      <c r="J1092" s="23"/>
      <c r="K1092" s="14"/>
      <c r="L1092" s="14"/>
      <c r="P1092" s="14"/>
      <c r="AG1092" s="44"/>
      <c r="AH1092" s="44"/>
      <c r="AI1092" s="45"/>
      <c r="AJ1092" s="44"/>
      <c r="AK1092" s="43"/>
      <c r="AS1092" s="14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  <c r="EW1092" s="18"/>
      <c r="EX1092" s="18"/>
      <c r="EY1092" s="18"/>
      <c r="EZ1092" s="18"/>
      <c r="FA1092" s="18"/>
      <c r="FB1092" s="18"/>
      <c r="FC1092" s="18"/>
      <c r="FD1092" s="18"/>
      <c r="FE1092" s="18"/>
      <c r="FF1092" s="18"/>
      <c r="FG1092" s="18"/>
      <c r="FH1092" s="18"/>
      <c r="FI1092" s="18"/>
      <c r="FJ1092" s="18"/>
      <c r="FK1092" s="18"/>
      <c r="FL1092" s="18"/>
      <c r="FM1092" s="18"/>
      <c r="FN1092" s="18"/>
      <c r="FO1092" s="18"/>
      <c r="FP1092" s="18"/>
      <c r="FQ1092" s="18"/>
      <c r="FR1092" s="18"/>
      <c r="FS1092" s="18"/>
      <c r="FT1092" s="18"/>
      <c r="FU1092" s="18"/>
      <c r="FV1092" s="18"/>
      <c r="FW1092" s="18"/>
      <c r="FX1092" s="18"/>
      <c r="FY1092" s="18"/>
      <c r="FZ1092" s="18"/>
      <c r="GA1092" s="18"/>
      <c r="GB1092" s="18"/>
      <c r="GC1092" s="18"/>
      <c r="GD1092" s="18"/>
      <c r="GE1092" s="18"/>
      <c r="GF1092" s="18"/>
      <c r="GG1092" s="18"/>
      <c r="GH1092" s="18"/>
      <c r="GI1092" s="18"/>
      <c r="GJ1092" s="18"/>
      <c r="GK1092" s="18"/>
      <c r="GL1092" s="18"/>
      <c r="GM1092" s="18"/>
      <c r="GN1092" s="18"/>
      <c r="GO1092" s="18"/>
      <c r="GP1092" s="18"/>
      <c r="GQ1092" s="18"/>
      <c r="GR1092" s="18"/>
      <c r="GS1092" s="18"/>
      <c r="GT1092" s="18"/>
      <c r="GU1092" s="18"/>
      <c r="GV1092" s="18"/>
      <c r="GW1092" s="18"/>
      <c r="GX1092" s="18"/>
      <c r="GY1092" s="18"/>
      <c r="GZ1092" s="18"/>
      <c r="HA1092" s="18"/>
      <c r="HB1092" s="18"/>
      <c r="HC1092" s="18"/>
      <c r="HD1092" s="18"/>
      <c r="HE1092" s="18"/>
      <c r="HF1092" s="18"/>
      <c r="HG1092" s="13"/>
      <c r="HH1092" s="13"/>
      <c r="HI1092" s="13"/>
      <c r="HJ1092" s="13"/>
      <c r="HK1092" s="13"/>
      <c r="HL1092" s="13"/>
      <c r="HM1092" s="13"/>
      <c r="HN1092" s="13"/>
      <c r="HO1092" s="13"/>
      <c r="HP1092" s="13"/>
      <c r="HQ1092" s="13"/>
      <c r="HR1092" s="13"/>
      <c r="HS1092" s="13"/>
      <c r="HT1092" s="13"/>
      <c r="HU1092" s="18"/>
      <c r="HV1092" s="18"/>
      <c r="HW1092" s="18"/>
      <c r="HX1092" s="18"/>
      <c r="HY1092" s="18"/>
      <c r="HZ1092" s="18"/>
      <c r="IA1092" s="18"/>
      <c r="IB1092" s="18"/>
      <c r="IC1092" s="18"/>
      <c r="ID1092" s="18"/>
      <c r="IE1092" s="18"/>
      <c r="IF1092" s="18"/>
      <c r="IG1092" s="18"/>
      <c r="IH1092" s="18"/>
      <c r="II1092" s="18"/>
      <c r="IJ1092" s="18"/>
      <c r="IK1092" s="18"/>
      <c r="IL1092" s="18"/>
      <c r="IM1092" s="18"/>
      <c r="IN1092" s="18"/>
      <c r="IO1092" s="18"/>
      <c r="IP1092" s="18"/>
      <c r="IQ1092" s="18"/>
      <c r="IR1092" s="18"/>
      <c r="IS1092" s="18"/>
      <c r="IT1092" s="18"/>
      <c r="IU1092" s="18"/>
      <c r="IV1092" s="18"/>
      <c r="IW1092" s="18"/>
      <c r="IX1092" s="18"/>
      <c r="IY1092" s="18"/>
      <c r="IZ1092" s="18"/>
      <c r="JA1092" s="18"/>
      <c r="JB1092" s="18"/>
      <c r="JC1092" s="18"/>
      <c r="JD1092" s="18"/>
      <c r="JE1092" s="18"/>
      <c r="JF1092" s="18"/>
      <c r="JG1092" s="18"/>
      <c r="JH1092" s="18"/>
      <c r="JI1092" s="18"/>
      <c r="JJ1092" s="18"/>
      <c r="JK1092" s="18"/>
      <c r="JL1092" s="18"/>
      <c r="JM1092" s="18"/>
      <c r="JN1092" s="18"/>
      <c r="JO1092" s="18"/>
      <c r="JP1092" s="18"/>
      <c r="JQ1092" s="18"/>
      <c r="JR1092" s="18"/>
      <c r="JS1092" s="18"/>
      <c r="JT1092" s="18"/>
      <c r="JU1092" s="18"/>
      <c r="JV1092" s="18"/>
      <c r="JW1092" s="18"/>
      <c r="JX1092" s="18"/>
      <c r="JY1092" s="18"/>
      <c r="JZ1092" s="18"/>
      <c r="KA1092" s="18"/>
      <c r="KB1092" s="18"/>
      <c r="KC1092" s="18"/>
      <c r="KD1092" s="18"/>
      <c r="KE1092" s="18"/>
      <c r="KF1092" s="18"/>
      <c r="KG1092" s="18"/>
      <c r="KH1092" s="18"/>
      <c r="KI1092" s="18"/>
      <c r="KJ1092" s="18"/>
      <c r="KK1092" s="18"/>
      <c r="KL1092" s="18"/>
      <c r="KM1092" s="18"/>
      <c r="KN1092" s="18"/>
      <c r="KO1092" s="18"/>
      <c r="KP1092" s="18"/>
    </row>
    <row r="1093" spans="1:302">
      <c r="A1093" s="14"/>
      <c r="B1093" s="14"/>
      <c r="F1093" s="14"/>
      <c r="G1093" s="23"/>
      <c r="H1093" s="23"/>
      <c r="I1093" s="23"/>
      <c r="J1093" s="23"/>
      <c r="K1093" s="14"/>
      <c r="L1093" s="14"/>
      <c r="P1093" s="14"/>
      <c r="AG1093" s="44"/>
      <c r="AH1093" s="44"/>
      <c r="AI1093" s="45"/>
      <c r="AJ1093" s="44"/>
      <c r="AK1093" s="43"/>
      <c r="AS1093" s="14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  <c r="EW1093" s="18"/>
      <c r="EX1093" s="18"/>
      <c r="EY1093" s="18"/>
      <c r="EZ1093" s="18"/>
      <c r="FA1093" s="18"/>
      <c r="FB1093" s="18"/>
      <c r="FC1093" s="18"/>
      <c r="FD1093" s="18"/>
      <c r="FE1093" s="18"/>
      <c r="FF1093" s="18"/>
      <c r="FG1093" s="18"/>
      <c r="FH1093" s="18"/>
      <c r="FI1093" s="18"/>
      <c r="FJ1093" s="18"/>
      <c r="FK1093" s="18"/>
      <c r="FL1093" s="18"/>
      <c r="FM1093" s="18"/>
      <c r="FN1093" s="18"/>
      <c r="FO1093" s="18"/>
      <c r="FP1093" s="18"/>
      <c r="FQ1093" s="18"/>
      <c r="FR1093" s="18"/>
      <c r="FS1093" s="18"/>
      <c r="FT1093" s="18"/>
      <c r="FU1093" s="18"/>
      <c r="FV1093" s="18"/>
      <c r="FW1093" s="18"/>
      <c r="FX1093" s="18"/>
      <c r="FY1093" s="18"/>
      <c r="FZ1093" s="18"/>
      <c r="GA1093" s="18"/>
      <c r="GB1093" s="18"/>
      <c r="GC1093" s="18"/>
      <c r="GD1093" s="18"/>
      <c r="GE1093" s="18"/>
      <c r="GF1093" s="18"/>
      <c r="GG1093" s="18"/>
      <c r="GH1093" s="18"/>
      <c r="GI1093" s="18"/>
      <c r="GJ1093" s="18"/>
      <c r="GK1093" s="18"/>
      <c r="GL1093" s="18"/>
      <c r="GM1093" s="18"/>
      <c r="GN1093" s="18"/>
      <c r="GO1093" s="18"/>
      <c r="GP1093" s="18"/>
      <c r="GQ1093" s="18"/>
      <c r="GR1093" s="18"/>
      <c r="GS1093" s="18"/>
      <c r="GT1093" s="18"/>
      <c r="GU1093" s="18"/>
      <c r="GV1093" s="18"/>
      <c r="GW1093" s="18"/>
      <c r="GX1093" s="18"/>
      <c r="GY1093" s="18"/>
      <c r="GZ1093" s="18"/>
      <c r="HA1093" s="18"/>
      <c r="HB1093" s="18"/>
      <c r="HC1093" s="18"/>
      <c r="HD1093" s="18"/>
      <c r="HE1093" s="18"/>
      <c r="HF1093" s="18"/>
      <c r="HG1093" s="13"/>
      <c r="HH1093" s="13"/>
      <c r="HI1093" s="13"/>
      <c r="HJ1093" s="13"/>
      <c r="HK1093" s="13"/>
      <c r="HL1093" s="13"/>
      <c r="HM1093" s="13"/>
      <c r="HN1093" s="13"/>
      <c r="HO1093" s="13"/>
      <c r="HP1093" s="13"/>
      <c r="HQ1093" s="13"/>
      <c r="HR1093" s="13"/>
      <c r="HS1093" s="13"/>
      <c r="HT1093" s="13"/>
      <c r="HU1093" s="18"/>
      <c r="HV1093" s="18"/>
      <c r="HW1093" s="18"/>
      <c r="HX1093" s="18"/>
      <c r="HY1093" s="18"/>
      <c r="HZ1093" s="18"/>
      <c r="IA1093" s="18"/>
      <c r="IB1093" s="18"/>
      <c r="IC1093" s="18"/>
      <c r="ID1093" s="18"/>
      <c r="IE1093" s="18"/>
      <c r="IF1093" s="18"/>
      <c r="IG1093" s="18"/>
      <c r="IH1093" s="18"/>
      <c r="II1093" s="18"/>
      <c r="IJ1093" s="18"/>
      <c r="IK1093" s="18"/>
      <c r="IL1093" s="18"/>
      <c r="IM1093" s="18"/>
      <c r="IN1093" s="18"/>
      <c r="IO1093" s="18"/>
      <c r="IP1093" s="18"/>
      <c r="IQ1093" s="18"/>
      <c r="IR1093" s="18"/>
      <c r="IS1093" s="18"/>
      <c r="IT1093" s="18"/>
      <c r="IU1093" s="18"/>
      <c r="IV1093" s="18"/>
      <c r="IW1093" s="18"/>
      <c r="IX1093" s="18"/>
      <c r="IY1093" s="18"/>
      <c r="IZ1093" s="18"/>
      <c r="JA1093" s="18"/>
      <c r="JB1093" s="18"/>
      <c r="JC1093" s="18"/>
      <c r="JD1093" s="18"/>
      <c r="JE1093" s="18"/>
      <c r="JF1093" s="18"/>
      <c r="JG1093" s="18"/>
      <c r="JH1093" s="18"/>
      <c r="JI1093" s="18"/>
      <c r="JJ1093" s="18"/>
      <c r="JK1093" s="18"/>
      <c r="JL1093" s="18"/>
      <c r="JM1093" s="18"/>
      <c r="JN1093" s="18"/>
      <c r="JO1093" s="18"/>
      <c r="JP1093" s="18"/>
      <c r="JQ1093" s="18"/>
      <c r="JR1093" s="18"/>
      <c r="JS1093" s="18"/>
      <c r="JT1093" s="18"/>
      <c r="JU1093" s="18"/>
      <c r="JV1093" s="18"/>
      <c r="JW1093" s="18"/>
      <c r="JX1093" s="18"/>
      <c r="JY1093" s="18"/>
      <c r="JZ1093" s="18"/>
      <c r="KA1093" s="18"/>
      <c r="KB1093" s="18"/>
      <c r="KC1093" s="18"/>
      <c r="KD1093" s="18"/>
      <c r="KE1093" s="18"/>
      <c r="KF1093" s="18"/>
      <c r="KG1093" s="18"/>
      <c r="KH1093" s="18"/>
      <c r="KI1093" s="18"/>
      <c r="KJ1093" s="18"/>
      <c r="KK1093" s="18"/>
      <c r="KL1093" s="18"/>
      <c r="KM1093" s="18"/>
      <c r="KN1093" s="18"/>
      <c r="KO1093" s="18"/>
      <c r="KP1093" s="18"/>
    </row>
    <row r="1094" spans="1:302">
      <c r="A1094" s="14"/>
      <c r="B1094" s="14"/>
      <c r="F1094" s="14"/>
      <c r="G1094" s="23"/>
      <c r="H1094" s="23"/>
      <c r="I1094" s="23"/>
      <c r="J1094" s="23"/>
      <c r="K1094" s="14"/>
      <c r="L1094" s="14"/>
      <c r="P1094" s="14"/>
      <c r="AG1094" s="44"/>
      <c r="AH1094" s="44"/>
      <c r="AI1094" s="45"/>
      <c r="AJ1094" s="44"/>
      <c r="AK1094" s="43"/>
      <c r="AS1094" s="14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  <c r="EW1094" s="18"/>
      <c r="EX1094" s="18"/>
      <c r="EY1094" s="18"/>
      <c r="EZ1094" s="18"/>
      <c r="FA1094" s="18"/>
      <c r="FB1094" s="18"/>
      <c r="FC1094" s="18"/>
      <c r="FD1094" s="18"/>
      <c r="FE1094" s="18"/>
      <c r="FF1094" s="18"/>
      <c r="FG1094" s="18"/>
      <c r="FH1094" s="18"/>
      <c r="FI1094" s="18"/>
      <c r="FJ1094" s="18"/>
      <c r="FK1094" s="18"/>
      <c r="FL1094" s="18"/>
      <c r="FM1094" s="18"/>
      <c r="FN1094" s="18"/>
      <c r="FO1094" s="18"/>
      <c r="FP1094" s="18"/>
      <c r="FQ1094" s="18"/>
      <c r="FR1094" s="18"/>
      <c r="FS1094" s="18"/>
      <c r="FT1094" s="18"/>
      <c r="FU1094" s="18"/>
      <c r="FV1094" s="18"/>
      <c r="FW1094" s="18"/>
      <c r="FX1094" s="18"/>
      <c r="FY1094" s="18"/>
      <c r="FZ1094" s="18"/>
      <c r="GA1094" s="18"/>
      <c r="GB1094" s="18"/>
      <c r="GC1094" s="18"/>
      <c r="GD1094" s="18"/>
      <c r="GE1094" s="18"/>
      <c r="GF1094" s="18"/>
      <c r="GG1094" s="18"/>
      <c r="GH1094" s="18"/>
      <c r="GI1094" s="18"/>
      <c r="GJ1094" s="18"/>
      <c r="GK1094" s="18"/>
      <c r="GL1094" s="18"/>
      <c r="GM1094" s="18"/>
      <c r="GN1094" s="18"/>
      <c r="GO1094" s="18"/>
      <c r="GP1094" s="18"/>
      <c r="GQ1094" s="18"/>
      <c r="GR1094" s="18"/>
      <c r="GS1094" s="18"/>
      <c r="GT1094" s="18"/>
      <c r="GU1094" s="18"/>
      <c r="GV1094" s="18"/>
      <c r="GW1094" s="18"/>
      <c r="GX1094" s="18"/>
      <c r="GY1094" s="18"/>
      <c r="GZ1094" s="18"/>
      <c r="HA1094" s="18"/>
      <c r="HB1094" s="18"/>
      <c r="HC1094" s="18"/>
      <c r="HD1094" s="18"/>
      <c r="HE1094" s="18"/>
      <c r="HF1094" s="18"/>
      <c r="HG1094" s="13"/>
      <c r="HH1094" s="13"/>
      <c r="HI1094" s="13"/>
      <c r="HJ1094" s="13"/>
      <c r="HK1094" s="13"/>
      <c r="HL1094" s="13"/>
      <c r="HM1094" s="13"/>
      <c r="HN1094" s="13"/>
      <c r="HO1094" s="13"/>
      <c r="HP1094" s="13"/>
      <c r="HQ1094" s="13"/>
      <c r="HR1094" s="13"/>
      <c r="HS1094" s="13"/>
      <c r="HT1094" s="13"/>
      <c r="HU1094" s="18"/>
      <c r="HV1094" s="18"/>
      <c r="HW1094" s="18"/>
      <c r="HX1094" s="18"/>
      <c r="HY1094" s="18"/>
      <c r="HZ1094" s="18"/>
      <c r="IA1094" s="18"/>
      <c r="IB1094" s="18"/>
      <c r="IC1094" s="18"/>
      <c r="ID1094" s="18"/>
      <c r="IE1094" s="18"/>
      <c r="IF1094" s="18"/>
      <c r="IG1094" s="18"/>
      <c r="IH1094" s="18"/>
      <c r="II1094" s="18"/>
      <c r="IJ1094" s="18"/>
      <c r="IK1094" s="18"/>
      <c r="IL1094" s="18"/>
      <c r="IM1094" s="18"/>
      <c r="IN1094" s="18"/>
      <c r="IO1094" s="18"/>
      <c r="IP1094" s="18"/>
      <c r="IQ1094" s="18"/>
      <c r="IR1094" s="18"/>
      <c r="IS1094" s="18"/>
      <c r="IT1094" s="18"/>
      <c r="IU1094" s="18"/>
      <c r="IV1094" s="18"/>
      <c r="IW1094" s="18"/>
      <c r="IX1094" s="18"/>
      <c r="IY1094" s="18"/>
      <c r="IZ1094" s="18"/>
      <c r="JA1094" s="18"/>
      <c r="JB1094" s="18"/>
      <c r="JC1094" s="18"/>
      <c r="JD1094" s="18"/>
      <c r="JE1094" s="18"/>
      <c r="JF1094" s="18"/>
      <c r="JG1094" s="18"/>
      <c r="JH1094" s="18"/>
      <c r="JI1094" s="18"/>
      <c r="JJ1094" s="18"/>
      <c r="JK1094" s="18"/>
      <c r="JL1094" s="18"/>
      <c r="JM1094" s="18"/>
      <c r="JN1094" s="18"/>
      <c r="JO1094" s="18"/>
      <c r="JP1094" s="18"/>
      <c r="JQ1094" s="18"/>
      <c r="JR1094" s="18"/>
      <c r="JS1094" s="18"/>
      <c r="JT1094" s="18"/>
      <c r="JU1094" s="18"/>
      <c r="JV1094" s="18"/>
      <c r="JW1094" s="18"/>
      <c r="JX1094" s="18"/>
      <c r="JY1094" s="18"/>
      <c r="JZ1094" s="18"/>
      <c r="KA1094" s="18"/>
      <c r="KB1094" s="18"/>
      <c r="KC1094" s="18"/>
      <c r="KD1094" s="18"/>
      <c r="KE1094" s="18"/>
      <c r="KF1094" s="18"/>
      <c r="KG1094" s="18"/>
      <c r="KH1094" s="18"/>
      <c r="KI1094" s="18"/>
      <c r="KJ1094" s="18"/>
      <c r="KK1094" s="18"/>
      <c r="KL1094" s="18"/>
      <c r="KM1094" s="18"/>
      <c r="KN1094" s="18"/>
      <c r="KO1094" s="18"/>
      <c r="KP1094" s="18"/>
    </row>
    <row r="1095" spans="1:302">
      <c r="A1095" s="14"/>
      <c r="B1095" s="14"/>
      <c r="F1095" s="14"/>
      <c r="G1095" s="23"/>
      <c r="H1095" s="23"/>
      <c r="I1095" s="23"/>
      <c r="J1095" s="23"/>
      <c r="K1095" s="14"/>
      <c r="L1095" s="14"/>
      <c r="P1095" s="14"/>
      <c r="AG1095" s="44"/>
      <c r="AH1095" s="44"/>
      <c r="AI1095" s="45"/>
      <c r="AJ1095" s="44"/>
      <c r="AK1095" s="43"/>
      <c r="AS1095" s="14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  <c r="EW1095" s="18"/>
      <c r="EX1095" s="18"/>
      <c r="EY1095" s="18"/>
      <c r="EZ1095" s="18"/>
      <c r="FA1095" s="18"/>
      <c r="FB1095" s="18"/>
      <c r="FC1095" s="18"/>
      <c r="FD1095" s="18"/>
      <c r="FE1095" s="18"/>
      <c r="FF1095" s="18"/>
      <c r="FG1095" s="18"/>
      <c r="FH1095" s="18"/>
      <c r="FI1095" s="18"/>
      <c r="FJ1095" s="18"/>
      <c r="FK1095" s="18"/>
      <c r="FL1095" s="18"/>
      <c r="FM1095" s="18"/>
      <c r="FN1095" s="18"/>
      <c r="FO1095" s="18"/>
      <c r="FP1095" s="18"/>
      <c r="FQ1095" s="18"/>
      <c r="FR1095" s="18"/>
      <c r="FS1095" s="18"/>
      <c r="FT1095" s="18"/>
      <c r="FU1095" s="18"/>
      <c r="FV1095" s="18"/>
      <c r="FW1095" s="18"/>
      <c r="FX1095" s="18"/>
      <c r="FY1095" s="18"/>
      <c r="FZ1095" s="18"/>
      <c r="GA1095" s="18"/>
      <c r="GB1095" s="18"/>
      <c r="GC1095" s="18"/>
      <c r="GD1095" s="18"/>
      <c r="GE1095" s="18"/>
      <c r="GF1095" s="18"/>
      <c r="GG1095" s="18"/>
      <c r="GH1095" s="18"/>
      <c r="GI1095" s="18"/>
      <c r="GJ1095" s="18"/>
      <c r="GK1095" s="18"/>
      <c r="GL1095" s="18"/>
      <c r="GM1095" s="18"/>
      <c r="GN1095" s="18"/>
      <c r="GO1095" s="18"/>
      <c r="GP1095" s="18"/>
      <c r="GQ1095" s="18"/>
      <c r="GR1095" s="18"/>
      <c r="GS1095" s="18"/>
      <c r="GT1095" s="18"/>
      <c r="GU1095" s="18"/>
      <c r="GV1095" s="18"/>
      <c r="GW1095" s="18"/>
      <c r="GX1095" s="18"/>
      <c r="GY1095" s="18"/>
      <c r="GZ1095" s="18"/>
      <c r="HA1095" s="18"/>
      <c r="HB1095" s="18"/>
      <c r="HC1095" s="18"/>
      <c r="HD1095" s="18"/>
      <c r="HE1095" s="18"/>
      <c r="HF1095" s="18"/>
      <c r="HG1095" s="13"/>
      <c r="HH1095" s="13"/>
      <c r="HI1095" s="13"/>
      <c r="HJ1095" s="13"/>
      <c r="HK1095" s="13"/>
      <c r="HL1095" s="13"/>
      <c r="HM1095" s="13"/>
      <c r="HN1095" s="13"/>
      <c r="HO1095" s="13"/>
      <c r="HP1095" s="13"/>
      <c r="HQ1095" s="13"/>
      <c r="HR1095" s="13"/>
      <c r="HS1095" s="13"/>
      <c r="HT1095" s="13"/>
      <c r="HU1095" s="18"/>
      <c r="HV1095" s="18"/>
      <c r="HW1095" s="18"/>
      <c r="HX1095" s="18"/>
      <c r="HY1095" s="18"/>
      <c r="HZ1095" s="18"/>
      <c r="IA1095" s="18"/>
      <c r="IB1095" s="18"/>
      <c r="IC1095" s="18"/>
      <c r="ID1095" s="18"/>
      <c r="IE1095" s="18"/>
      <c r="IF1095" s="18"/>
      <c r="IG1095" s="18"/>
      <c r="IH1095" s="18"/>
      <c r="II1095" s="18"/>
      <c r="IJ1095" s="18"/>
      <c r="IK1095" s="18"/>
      <c r="IL1095" s="18"/>
      <c r="IM1095" s="18"/>
      <c r="IN1095" s="18"/>
      <c r="IO1095" s="18"/>
      <c r="IP1095" s="18"/>
      <c r="IQ1095" s="18"/>
      <c r="IR1095" s="18"/>
      <c r="IS1095" s="18"/>
      <c r="IT1095" s="18"/>
      <c r="IU1095" s="18"/>
      <c r="IV1095" s="18"/>
      <c r="IW1095" s="18"/>
      <c r="IX1095" s="18"/>
      <c r="IY1095" s="18"/>
      <c r="IZ1095" s="18"/>
      <c r="JA1095" s="18"/>
      <c r="JB1095" s="18"/>
      <c r="JC1095" s="18"/>
      <c r="JD1095" s="18"/>
      <c r="JE1095" s="18"/>
      <c r="JF1095" s="18"/>
      <c r="JG1095" s="18"/>
      <c r="JH1095" s="18"/>
      <c r="JI1095" s="18"/>
      <c r="JJ1095" s="18"/>
      <c r="JK1095" s="18"/>
      <c r="JL1095" s="18"/>
      <c r="JM1095" s="18"/>
      <c r="JN1095" s="18"/>
      <c r="JO1095" s="18"/>
      <c r="JP1095" s="18"/>
      <c r="JQ1095" s="18"/>
      <c r="JR1095" s="18"/>
      <c r="JS1095" s="18"/>
      <c r="JT1095" s="18"/>
      <c r="JU1095" s="18"/>
      <c r="JV1095" s="18"/>
      <c r="JW1095" s="18"/>
      <c r="JX1095" s="18"/>
      <c r="JY1095" s="18"/>
      <c r="JZ1095" s="18"/>
      <c r="KA1095" s="18"/>
      <c r="KB1095" s="18"/>
      <c r="KC1095" s="18"/>
      <c r="KD1095" s="18"/>
      <c r="KE1095" s="18"/>
      <c r="KF1095" s="18"/>
      <c r="KG1095" s="18"/>
      <c r="KH1095" s="18"/>
      <c r="KI1095" s="18"/>
      <c r="KJ1095" s="18"/>
      <c r="KK1095" s="18"/>
      <c r="KL1095" s="18"/>
      <c r="KM1095" s="18"/>
      <c r="KN1095" s="18"/>
      <c r="KO1095" s="18"/>
      <c r="KP1095" s="18"/>
    </row>
    <row r="1096" spans="1:302">
      <c r="A1096" s="14"/>
      <c r="B1096" s="14"/>
      <c r="F1096" s="14"/>
      <c r="G1096" s="23"/>
      <c r="H1096" s="23"/>
      <c r="I1096" s="23"/>
      <c r="J1096" s="23"/>
      <c r="K1096" s="14"/>
      <c r="L1096" s="14"/>
      <c r="P1096" s="14"/>
      <c r="AG1096" s="44"/>
      <c r="AH1096" s="44"/>
      <c r="AI1096" s="45"/>
      <c r="AJ1096" s="44"/>
      <c r="AK1096" s="43"/>
      <c r="AS1096" s="14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  <c r="FC1096" s="18"/>
      <c r="FD1096" s="18"/>
      <c r="FE1096" s="18"/>
      <c r="FF1096" s="18"/>
      <c r="FG1096" s="18"/>
      <c r="FH1096" s="18"/>
      <c r="FI1096" s="18"/>
      <c r="FJ1096" s="18"/>
      <c r="FK1096" s="18"/>
      <c r="FL1096" s="18"/>
      <c r="FM1096" s="18"/>
      <c r="FN1096" s="18"/>
      <c r="FO1096" s="18"/>
      <c r="FP1096" s="18"/>
      <c r="FQ1096" s="18"/>
      <c r="FR1096" s="18"/>
      <c r="FS1096" s="18"/>
      <c r="FT1096" s="18"/>
      <c r="FU1096" s="18"/>
      <c r="FV1096" s="18"/>
      <c r="FW1096" s="18"/>
      <c r="FX1096" s="18"/>
      <c r="FY1096" s="18"/>
      <c r="FZ1096" s="18"/>
      <c r="GA1096" s="18"/>
      <c r="GB1096" s="18"/>
      <c r="GC1096" s="18"/>
      <c r="GD1096" s="18"/>
      <c r="GE1096" s="18"/>
      <c r="GF1096" s="18"/>
      <c r="GG1096" s="18"/>
      <c r="GH1096" s="18"/>
      <c r="GI1096" s="18"/>
      <c r="GJ1096" s="18"/>
      <c r="GK1096" s="18"/>
      <c r="GL1096" s="18"/>
      <c r="GM1096" s="18"/>
      <c r="GN1096" s="18"/>
      <c r="GO1096" s="18"/>
      <c r="GP1096" s="18"/>
      <c r="GQ1096" s="18"/>
      <c r="GR1096" s="18"/>
      <c r="GS1096" s="18"/>
      <c r="GT1096" s="18"/>
      <c r="GU1096" s="18"/>
      <c r="GV1096" s="18"/>
      <c r="GW1096" s="18"/>
      <c r="GX1096" s="18"/>
      <c r="GY1096" s="18"/>
      <c r="GZ1096" s="18"/>
      <c r="HA1096" s="18"/>
      <c r="HB1096" s="18"/>
      <c r="HC1096" s="18"/>
      <c r="HD1096" s="18"/>
      <c r="HE1096" s="18"/>
      <c r="HF1096" s="18"/>
      <c r="HG1096" s="13"/>
      <c r="HH1096" s="13"/>
      <c r="HI1096" s="13"/>
      <c r="HJ1096" s="13"/>
      <c r="HK1096" s="13"/>
      <c r="HL1096" s="13"/>
      <c r="HM1096" s="13"/>
      <c r="HN1096" s="13"/>
      <c r="HO1096" s="13"/>
      <c r="HP1096" s="13"/>
      <c r="HQ1096" s="13"/>
      <c r="HR1096" s="13"/>
      <c r="HS1096" s="13"/>
      <c r="HT1096" s="13"/>
      <c r="HU1096" s="18"/>
      <c r="HV1096" s="18"/>
      <c r="HW1096" s="18"/>
      <c r="HX1096" s="18"/>
      <c r="HY1096" s="18"/>
      <c r="HZ1096" s="18"/>
      <c r="IA1096" s="18"/>
      <c r="IB1096" s="18"/>
      <c r="IC1096" s="18"/>
      <c r="ID1096" s="18"/>
      <c r="IE1096" s="18"/>
      <c r="IF1096" s="18"/>
      <c r="IG1096" s="18"/>
      <c r="IH1096" s="18"/>
      <c r="II1096" s="18"/>
      <c r="IJ1096" s="18"/>
      <c r="IK1096" s="18"/>
      <c r="IL1096" s="18"/>
      <c r="IM1096" s="18"/>
      <c r="IN1096" s="18"/>
      <c r="IO1096" s="18"/>
      <c r="IP1096" s="18"/>
      <c r="IQ1096" s="18"/>
      <c r="IR1096" s="18"/>
      <c r="IS1096" s="18"/>
      <c r="IT1096" s="18"/>
      <c r="IU1096" s="18"/>
      <c r="IV1096" s="18"/>
      <c r="IW1096" s="18"/>
      <c r="IX1096" s="18"/>
      <c r="IY1096" s="18"/>
      <c r="IZ1096" s="18"/>
      <c r="JA1096" s="18"/>
      <c r="JB1096" s="18"/>
      <c r="JC1096" s="18"/>
      <c r="JD1096" s="18"/>
      <c r="JE1096" s="18"/>
      <c r="JF1096" s="18"/>
      <c r="JG1096" s="18"/>
      <c r="JH1096" s="18"/>
      <c r="JI1096" s="18"/>
      <c r="JJ1096" s="18"/>
      <c r="JK1096" s="18"/>
      <c r="JL1096" s="18"/>
      <c r="JM1096" s="18"/>
      <c r="JN1096" s="18"/>
      <c r="JO1096" s="18"/>
      <c r="JP1096" s="18"/>
      <c r="JQ1096" s="18"/>
      <c r="JR1096" s="18"/>
      <c r="JS1096" s="18"/>
      <c r="JT1096" s="18"/>
      <c r="JU1096" s="18"/>
      <c r="JV1096" s="18"/>
      <c r="JW1096" s="18"/>
      <c r="JX1096" s="18"/>
      <c r="JY1096" s="18"/>
      <c r="JZ1096" s="18"/>
      <c r="KA1096" s="18"/>
      <c r="KB1096" s="18"/>
      <c r="KC1096" s="18"/>
      <c r="KD1096" s="18"/>
      <c r="KE1096" s="18"/>
      <c r="KF1096" s="18"/>
      <c r="KG1096" s="18"/>
      <c r="KH1096" s="18"/>
      <c r="KI1096" s="18"/>
      <c r="KJ1096" s="18"/>
      <c r="KK1096" s="18"/>
      <c r="KL1096" s="18"/>
      <c r="KM1096" s="18"/>
      <c r="KN1096" s="18"/>
      <c r="KO1096" s="18"/>
      <c r="KP1096" s="18"/>
    </row>
    <row r="1097" spans="1:302">
      <c r="A1097" s="14"/>
      <c r="B1097" s="14"/>
      <c r="F1097" s="14"/>
      <c r="G1097" s="23"/>
      <c r="H1097" s="23"/>
      <c r="I1097" s="23"/>
      <c r="J1097" s="23"/>
      <c r="K1097" s="14"/>
      <c r="L1097" s="14"/>
      <c r="P1097" s="14"/>
      <c r="AG1097" s="44"/>
      <c r="AH1097" s="44"/>
      <c r="AI1097" s="45"/>
      <c r="AJ1097" s="44"/>
      <c r="AK1097" s="43"/>
      <c r="AS1097" s="14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  <c r="EW1097" s="18"/>
      <c r="EX1097" s="18"/>
      <c r="EY1097" s="18"/>
      <c r="EZ1097" s="18"/>
      <c r="FA1097" s="18"/>
      <c r="FB1097" s="18"/>
      <c r="FC1097" s="18"/>
      <c r="FD1097" s="18"/>
      <c r="FE1097" s="18"/>
      <c r="FF1097" s="18"/>
      <c r="FG1097" s="18"/>
      <c r="FH1097" s="18"/>
      <c r="FI1097" s="18"/>
      <c r="FJ1097" s="18"/>
      <c r="FK1097" s="18"/>
      <c r="FL1097" s="18"/>
      <c r="FM1097" s="18"/>
      <c r="FN1097" s="18"/>
      <c r="FO1097" s="18"/>
      <c r="FP1097" s="18"/>
      <c r="FQ1097" s="18"/>
      <c r="FR1097" s="18"/>
      <c r="FS1097" s="18"/>
      <c r="FT1097" s="18"/>
      <c r="FU1097" s="18"/>
      <c r="FV1097" s="18"/>
      <c r="FW1097" s="18"/>
      <c r="FX1097" s="18"/>
      <c r="FY1097" s="18"/>
      <c r="FZ1097" s="18"/>
      <c r="GA1097" s="18"/>
      <c r="GB1097" s="18"/>
      <c r="GC1097" s="18"/>
      <c r="GD1097" s="18"/>
      <c r="GE1097" s="18"/>
      <c r="GF1097" s="18"/>
      <c r="GG1097" s="18"/>
      <c r="GH1097" s="18"/>
      <c r="GI1097" s="18"/>
      <c r="GJ1097" s="18"/>
      <c r="GK1097" s="18"/>
      <c r="GL1097" s="18"/>
      <c r="GM1097" s="18"/>
      <c r="GN1097" s="18"/>
      <c r="GO1097" s="18"/>
      <c r="GP1097" s="18"/>
      <c r="GQ1097" s="18"/>
      <c r="GR1097" s="18"/>
      <c r="GS1097" s="18"/>
      <c r="GT1097" s="18"/>
      <c r="GU1097" s="18"/>
      <c r="GV1097" s="18"/>
      <c r="GW1097" s="18"/>
      <c r="GX1097" s="18"/>
      <c r="GY1097" s="18"/>
      <c r="GZ1097" s="18"/>
      <c r="HA1097" s="18"/>
      <c r="HB1097" s="18"/>
      <c r="HC1097" s="18"/>
      <c r="HD1097" s="18"/>
      <c r="HE1097" s="18"/>
      <c r="HF1097" s="18"/>
      <c r="HG1097" s="13"/>
      <c r="HH1097" s="13"/>
      <c r="HI1097" s="13"/>
      <c r="HJ1097" s="13"/>
      <c r="HK1097" s="13"/>
      <c r="HL1097" s="13"/>
      <c r="HM1097" s="13"/>
      <c r="HN1097" s="13"/>
      <c r="HO1097" s="13"/>
      <c r="HP1097" s="13"/>
      <c r="HQ1097" s="13"/>
      <c r="HR1097" s="13"/>
      <c r="HS1097" s="13"/>
      <c r="HT1097" s="13"/>
      <c r="HU1097" s="18"/>
      <c r="HV1097" s="18"/>
      <c r="HW1097" s="18"/>
      <c r="HX1097" s="18"/>
      <c r="HY1097" s="18"/>
      <c r="HZ1097" s="18"/>
      <c r="IA1097" s="18"/>
      <c r="IB1097" s="18"/>
      <c r="IC1097" s="18"/>
      <c r="ID1097" s="18"/>
      <c r="IE1097" s="18"/>
      <c r="IF1097" s="18"/>
      <c r="IG1097" s="18"/>
      <c r="IH1097" s="18"/>
      <c r="II1097" s="18"/>
      <c r="IJ1097" s="18"/>
      <c r="IK1097" s="18"/>
      <c r="IL1097" s="18"/>
      <c r="IM1097" s="18"/>
      <c r="IN1097" s="18"/>
      <c r="IO1097" s="18"/>
      <c r="IP1097" s="18"/>
      <c r="IQ1097" s="18"/>
      <c r="IR1097" s="18"/>
      <c r="IS1097" s="18"/>
      <c r="IT1097" s="18"/>
      <c r="IU1097" s="18"/>
      <c r="IV1097" s="18"/>
      <c r="IW1097" s="18"/>
      <c r="IX1097" s="18"/>
      <c r="IY1097" s="18"/>
      <c r="IZ1097" s="18"/>
      <c r="JA1097" s="18"/>
      <c r="JB1097" s="18"/>
      <c r="JC1097" s="18"/>
      <c r="JD1097" s="18"/>
      <c r="JE1097" s="18"/>
      <c r="JF1097" s="18"/>
      <c r="JG1097" s="18"/>
      <c r="JH1097" s="18"/>
      <c r="JI1097" s="18"/>
      <c r="JJ1097" s="18"/>
      <c r="JK1097" s="18"/>
      <c r="JL1097" s="18"/>
      <c r="JM1097" s="18"/>
      <c r="JN1097" s="18"/>
      <c r="JO1097" s="18"/>
      <c r="JP1097" s="18"/>
      <c r="JQ1097" s="18"/>
      <c r="JR1097" s="18"/>
      <c r="JS1097" s="18"/>
      <c r="JT1097" s="18"/>
      <c r="JU1097" s="18"/>
      <c r="JV1097" s="18"/>
      <c r="JW1097" s="18"/>
      <c r="JX1097" s="18"/>
      <c r="JY1097" s="18"/>
      <c r="JZ1097" s="18"/>
      <c r="KA1097" s="18"/>
      <c r="KB1097" s="18"/>
      <c r="KC1097" s="18"/>
      <c r="KD1097" s="18"/>
      <c r="KE1097" s="18"/>
      <c r="KF1097" s="18"/>
      <c r="KG1097" s="18"/>
      <c r="KH1097" s="18"/>
      <c r="KI1097" s="18"/>
      <c r="KJ1097" s="18"/>
      <c r="KK1097" s="18"/>
      <c r="KL1097" s="18"/>
      <c r="KM1097" s="18"/>
      <c r="KN1097" s="18"/>
      <c r="KO1097" s="18"/>
      <c r="KP1097" s="18"/>
    </row>
    <row r="1098" spans="1:302">
      <c r="A1098" s="14"/>
      <c r="B1098" s="14"/>
      <c r="F1098" s="14"/>
      <c r="G1098" s="23"/>
      <c r="H1098" s="23"/>
      <c r="I1098" s="23"/>
      <c r="J1098" s="23"/>
      <c r="K1098" s="14"/>
      <c r="L1098" s="14"/>
      <c r="P1098" s="14"/>
      <c r="AG1098" s="44"/>
      <c r="AH1098" s="44"/>
      <c r="AI1098" s="45"/>
      <c r="AJ1098" s="44"/>
      <c r="AK1098" s="43"/>
      <c r="AS1098" s="14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  <c r="EW1098" s="18"/>
      <c r="EX1098" s="18"/>
      <c r="EY1098" s="18"/>
      <c r="EZ1098" s="18"/>
      <c r="FA1098" s="18"/>
      <c r="FB1098" s="18"/>
      <c r="FC1098" s="18"/>
      <c r="FD1098" s="18"/>
      <c r="FE1098" s="18"/>
      <c r="FF1098" s="18"/>
      <c r="FG1098" s="18"/>
      <c r="FH1098" s="18"/>
      <c r="FI1098" s="18"/>
      <c r="FJ1098" s="18"/>
      <c r="FK1098" s="18"/>
      <c r="FL1098" s="18"/>
      <c r="FM1098" s="18"/>
      <c r="FN1098" s="18"/>
      <c r="FO1098" s="18"/>
      <c r="FP1098" s="18"/>
      <c r="FQ1098" s="18"/>
      <c r="FR1098" s="18"/>
      <c r="FS1098" s="18"/>
      <c r="FT1098" s="18"/>
      <c r="FU1098" s="18"/>
      <c r="FV1098" s="18"/>
      <c r="FW1098" s="18"/>
      <c r="FX1098" s="18"/>
      <c r="FY1098" s="18"/>
      <c r="FZ1098" s="18"/>
      <c r="GA1098" s="18"/>
      <c r="GB1098" s="18"/>
      <c r="GC1098" s="18"/>
      <c r="GD1098" s="18"/>
      <c r="GE1098" s="18"/>
      <c r="GF1098" s="18"/>
      <c r="GG1098" s="18"/>
      <c r="GH1098" s="18"/>
      <c r="GI1098" s="18"/>
      <c r="GJ1098" s="18"/>
      <c r="GK1098" s="18"/>
      <c r="GL1098" s="18"/>
      <c r="GM1098" s="18"/>
      <c r="GN1098" s="18"/>
      <c r="GO1098" s="18"/>
      <c r="GP1098" s="18"/>
      <c r="GQ1098" s="18"/>
      <c r="GR1098" s="18"/>
      <c r="GS1098" s="18"/>
      <c r="GT1098" s="18"/>
      <c r="GU1098" s="18"/>
      <c r="GV1098" s="18"/>
      <c r="GW1098" s="18"/>
      <c r="GX1098" s="18"/>
      <c r="GY1098" s="18"/>
      <c r="GZ1098" s="18"/>
      <c r="HA1098" s="18"/>
      <c r="HB1098" s="18"/>
      <c r="HC1098" s="18"/>
      <c r="HD1098" s="18"/>
      <c r="HE1098" s="18"/>
      <c r="HF1098" s="18"/>
      <c r="HG1098" s="13"/>
      <c r="HH1098" s="13"/>
      <c r="HI1098" s="13"/>
      <c r="HJ1098" s="13"/>
      <c r="HK1098" s="13"/>
      <c r="HL1098" s="13"/>
      <c r="HM1098" s="13"/>
      <c r="HN1098" s="13"/>
      <c r="HO1098" s="13"/>
      <c r="HP1098" s="13"/>
      <c r="HQ1098" s="13"/>
      <c r="HR1098" s="13"/>
      <c r="HS1098" s="13"/>
      <c r="HT1098" s="13"/>
      <c r="HU1098" s="18"/>
      <c r="HV1098" s="18"/>
      <c r="HW1098" s="18"/>
      <c r="HX1098" s="18"/>
      <c r="HY1098" s="18"/>
      <c r="HZ1098" s="18"/>
      <c r="IA1098" s="18"/>
      <c r="IB1098" s="18"/>
      <c r="IC1098" s="18"/>
      <c r="ID1098" s="18"/>
      <c r="IE1098" s="18"/>
      <c r="IF1098" s="18"/>
      <c r="IG1098" s="18"/>
      <c r="IH1098" s="18"/>
      <c r="II1098" s="18"/>
      <c r="IJ1098" s="18"/>
      <c r="IK1098" s="18"/>
      <c r="IL1098" s="18"/>
      <c r="IM1098" s="18"/>
      <c r="IN1098" s="18"/>
      <c r="IO1098" s="18"/>
      <c r="IP1098" s="18"/>
      <c r="IQ1098" s="18"/>
      <c r="IR1098" s="18"/>
      <c r="IS1098" s="18"/>
      <c r="IT1098" s="18"/>
      <c r="IU1098" s="18"/>
      <c r="IV1098" s="18"/>
      <c r="IW1098" s="18"/>
      <c r="IX1098" s="18"/>
      <c r="IY1098" s="18"/>
      <c r="IZ1098" s="18"/>
      <c r="JA1098" s="18"/>
      <c r="JB1098" s="18"/>
      <c r="JC1098" s="18"/>
      <c r="JD1098" s="18"/>
      <c r="JE1098" s="18"/>
      <c r="JF1098" s="18"/>
      <c r="JG1098" s="18"/>
      <c r="JH1098" s="18"/>
      <c r="JI1098" s="18"/>
      <c r="JJ1098" s="18"/>
      <c r="JK1098" s="18"/>
      <c r="JL1098" s="18"/>
      <c r="JM1098" s="18"/>
      <c r="JN1098" s="18"/>
      <c r="JO1098" s="18"/>
      <c r="JP1098" s="18"/>
      <c r="JQ1098" s="18"/>
      <c r="JR1098" s="18"/>
      <c r="JS1098" s="18"/>
      <c r="JT1098" s="18"/>
      <c r="JU1098" s="18"/>
      <c r="JV1098" s="18"/>
      <c r="JW1098" s="18"/>
      <c r="JX1098" s="18"/>
      <c r="JY1098" s="18"/>
      <c r="JZ1098" s="18"/>
      <c r="KA1098" s="18"/>
      <c r="KB1098" s="18"/>
      <c r="KC1098" s="18"/>
      <c r="KD1098" s="18"/>
      <c r="KE1098" s="18"/>
      <c r="KF1098" s="18"/>
      <c r="KG1098" s="18"/>
      <c r="KH1098" s="18"/>
      <c r="KI1098" s="18"/>
      <c r="KJ1098" s="18"/>
      <c r="KK1098" s="18"/>
      <c r="KL1098" s="18"/>
      <c r="KM1098" s="18"/>
      <c r="KN1098" s="18"/>
      <c r="KO1098" s="18"/>
      <c r="KP1098" s="18"/>
    </row>
    <row r="1099" spans="1:302">
      <c r="A1099" s="14"/>
      <c r="B1099" s="14"/>
      <c r="F1099" s="14"/>
      <c r="G1099" s="23"/>
      <c r="H1099" s="23"/>
      <c r="I1099" s="23"/>
      <c r="J1099" s="23"/>
      <c r="K1099" s="14"/>
      <c r="L1099" s="14"/>
      <c r="P1099" s="14"/>
      <c r="AG1099" s="44"/>
      <c r="AH1099" s="44"/>
      <c r="AI1099" s="45"/>
      <c r="AJ1099" s="44"/>
      <c r="AK1099" s="43"/>
      <c r="AS1099" s="14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  <c r="EW1099" s="18"/>
      <c r="EX1099" s="18"/>
      <c r="EY1099" s="18"/>
      <c r="EZ1099" s="18"/>
      <c r="FA1099" s="18"/>
      <c r="FB1099" s="18"/>
      <c r="FC1099" s="18"/>
      <c r="FD1099" s="18"/>
      <c r="FE1099" s="18"/>
      <c r="FF1099" s="18"/>
      <c r="FG1099" s="18"/>
      <c r="FH1099" s="18"/>
      <c r="FI1099" s="18"/>
      <c r="FJ1099" s="18"/>
      <c r="FK1099" s="18"/>
      <c r="FL1099" s="18"/>
      <c r="FM1099" s="18"/>
      <c r="FN1099" s="18"/>
      <c r="FO1099" s="18"/>
      <c r="FP1099" s="18"/>
      <c r="FQ1099" s="18"/>
      <c r="FR1099" s="18"/>
      <c r="FS1099" s="18"/>
      <c r="FT1099" s="18"/>
      <c r="FU1099" s="18"/>
      <c r="FV1099" s="18"/>
      <c r="FW1099" s="18"/>
      <c r="FX1099" s="18"/>
      <c r="FY1099" s="18"/>
      <c r="FZ1099" s="18"/>
      <c r="GA1099" s="18"/>
      <c r="GB1099" s="18"/>
      <c r="GC1099" s="18"/>
      <c r="GD1099" s="18"/>
      <c r="GE1099" s="18"/>
      <c r="GF1099" s="18"/>
      <c r="GG1099" s="18"/>
      <c r="GH1099" s="18"/>
      <c r="GI1099" s="18"/>
      <c r="GJ1099" s="18"/>
      <c r="GK1099" s="18"/>
      <c r="GL1099" s="18"/>
      <c r="GM1099" s="18"/>
      <c r="GN1099" s="18"/>
      <c r="GO1099" s="18"/>
      <c r="GP1099" s="18"/>
      <c r="GQ1099" s="18"/>
      <c r="GR1099" s="18"/>
      <c r="GS1099" s="18"/>
      <c r="GT1099" s="18"/>
      <c r="GU1099" s="18"/>
      <c r="GV1099" s="18"/>
      <c r="GW1099" s="18"/>
      <c r="GX1099" s="18"/>
      <c r="GY1099" s="18"/>
      <c r="GZ1099" s="18"/>
      <c r="HA1099" s="18"/>
      <c r="HB1099" s="18"/>
      <c r="HC1099" s="18"/>
      <c r="HD1099" s="18"/>
      <c r="HE1099" s="18"/>
      <c r="HF1099" s="18"/>
      <c r="HG1099" s="13"/>
      <c r="HH1099" s="13"/>
      <c r="HI1099" s="13"/>
      <c r="HJ1099" s="13"/>
      <c r="HK1099" s="13"/>
      <c r="HL1099" s="13"/>
      <c r="HM1099" s="13"/>
      <c r="HN1099" s="13"/>
      <c r="HO1099" s="13"/>
      <c r="HP1099" s="13"/>
      <c r="HQ1099" s="13"/>
      <c r="HR1099" s="13"/>
      <c r="HS1099" s="13"/>
      <c r="HT1099" s="13"/>
      <c r="HU1099" s="18"/>
      <c r="HV1099" s="18"/>
      <c r="HW1099" s="18"/>
      <c r="HX1099" s="18"/>
      <c r="HY1099" s="18"/>
      <c r="HZ1099" s="18"/>
      <c r="IA1099" s="18"/>
      <c r="IB1099" s="18"/>
      <c r="IC1099" s="18"/>
      <c r="ID1099" s="18"/>
      <c r="IE1099" s="18"/>
      <c r="IF1099" s="18"/>
      <c r="IG1099" s="18"/>
      <c r="IH1099" s="18"/>
      <c r="II1099" s="18"/>
      <c r="IJ1099" s="18"/>
      <c r="IK1099" s="18"/>
      <c r="IL1099" s="18"/>
      <c r="IM1099" s="18"/>
      <c r="IN1099" s="18"/>
      <c r="IO1099" s="18"/>
      <c r="IP1099" s="18"/>
      <c r="IQ1099" s="18"/>
      <c r="IR1099" s="18"/>
      <c r="IS1099" s="18"/>
      <c r="IT1099" s="18"/>
      <c r="IU1099" s="18"/>
      <c r="IV1099" s="18"/>
      <c r="IW1099" s="18"/>
      <c r="IX1099" s="18"/>
      <c r="IY1099" s="18"/>
      <c r="IZ1099" s="18"/>
      <c r="JA1099" s="18"/>
      <c r="JB1099" s="18"/>
      <c r="JC1099" s="18"/>
      <c r="JD1099" s="18"/>
      <c r="JE1099" s="18"/>
      <c r="JF1099" s="18"/>
      <c r="JG1099" s="18"/>
      <c r="JH1099" s="18"/>
      <c r="JI1099" s="18"/>
      <c r="JJ1099" s="18"/>
      <c r="JK1099" s="18"/>
      <c r="JL1099" s="18"/>
      <c r="JM1099" s="18"/>
      <c r="JN1099" s="18"/>
      <c r="JO1099" s="18"/>
      <c r="JP1099" s="18"/>
      <c r="JQ1099" s="18"/>
      <c r="JR1099" s="18"/>
      <c r="JS1099" s="18"/>
      <c r="JT1099" s="18"/>
      <c r="JU1099" s="18"/>
      <c r="JV1099" s="18"/>
      <c r="JW1099" s="18"/>
      <c r="JX1099" s="18"/>
      <c r="JY1099" s="18"/>
      <c r="JZ1099" s="18"/>
      <c r="KA1099" s="18"/>
      <c r="KB1099" s="18"/>
      <c r="KC1099" s="18"/>
      <c r="KD1099" s="18"/>
      <c r="KE1099" s="18"/>
      <c r="KF1099" s="18"/>
      <c r="KG1099" s="18"/>
      <c r="KH1099" s="18"/>
      <c r="KI1099" s="18"/>
      <c r="KJ1099" s="18"/>
      <c r="KK1099" s="18"/>
      <c r="KL1099" s="18"/>
      <c r="KM1099" s="18"/>
      <c r="KN1099" s="18"/>
      <c r="KO1099" s="18"/>
      <c r="KP1099" s="18"/>
    </row>
    <row r="1100" spans="1:302">
      <c r="A1100" s="14"/>
      <c r="B1100" s="14"/>
      <c r="F1100" s="14"/>
      <c r="G1100" s="23"/>
      <c r="H1100" s="23"/>
      <c r="I1100" s="23"/>
      <c r="J1100" s="23"/>
      <c r="K1100" s="14"/>
      <c r="L1100" s="14"/>
      <c r="P1100" s="14"/>
      <c r="AG1100" s="44"/>
      <c r="AH1100" s="44"/>
      <c r="AI1100" s="45"/>
      <c r="AJ1100" s="44"/>
      <c r="AK1100" s="43"/>
      <c r="AS1100" s="14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  <c r="EW1100" s="18"/>
      <c r="EX1100" s="18"/>
      <c r="EY1100" s="18"/>
      <c r="EZ1100" s="18"/>
      <c r="FA1100" s="18"/>
      <c r="FB1100" s="18"/>
      <c r="FC1100" s="18"/>
      <c r="FD1100" s="18"/>
      <c r="FE1100" s="18"/>
      <c r="FF1100" s="18"/>
      <c r="FG1100" s="18"/>
      <c r="FH1100" s="18"/>
      <c r="FI1100" s="18"/>
      <c r="FJ1100" s="18"/>
      <c r="FK1100" s="18"/>
      <c r="FL1100" s="18"/>
      <c r="FM1100" s="18"/>
      <c r="FN1100" s="18"/>
      <c r="FO1100" s="18"/>
      <c r="FP1100" s="18"/>
      <c r="FQ1100" s="18"/>
      <c r="FR1100" s="18"/>
      <c r="FS1100" s="18"/>
      <c r="FT1100" s="18"/>
      <c r="FU1100" s="18"/>
      <c r="FV1100" s="18"/>
      <c r="FW1100" s="18"/>
      <c r="FX1100" s="18"/>
      <c r="FY1100" s="18"/>
      <c r="FZ1100" s="18"/>
      <c r="GA1100" s="18"/>
      <c r="GB1100" s="18"/>
      <c r="GC1100" s="18"/>
      <c r="GD1100" s="18"/>
      <c r="GE1100" s="18"/>
      <c r="GF1100" s="18"/>
      <c r="GG1100" s="18"/>
      <c r="GH1100" s="18"/>
      <c r="GI1100" s="18"/>
      <c r="GJ1100" s="18"/>
      <c r="GK1100" s="18"/>
      <c r="GL1100" s="18"/>
      <c r="GM1100" s="18"/>
      <c r="GN1100" s="18"/>
      <c r="GO1100" s="18"/>
      <c r="GP1100" s="18"/>
      <c r="GQ1100" s="18"/>
      <c r="GR1100" s="18"/>
      <c r="GS1100" s="18"/>
      <c r="GT1100" s="18"/>
      <c r="GU1100" s="18"/>
      <c r="GV1100" s="18"/>
      <c r="GW1100" s="18"/>
      <c r="GX1100" s="18"/>
      <c r="GY1100" s="18"/>
      <c r="GZ1100" s="18"/>
      <c r="HA1100" s="18"/>
      <c r="HB1100" s="18"/>
      <c r="HC1100" s="18"/>
      <c r="HD1100" s="18"/>
      <c r="HE1100" s="18"/>
      <c r="HF1100" s="18"/>
      <c r="HG1100" s="13"/>
      <c r="HH1100" s="13"/>
      <c r="HI1100" s="13"/>
      <c r="HJ1100" s="13"/>
      <c r="HK1100" s="13"/>
      <c r="HL1100" s="13"/>
      <c r="HM1100" s="13"/>
      <c r="HN1100" s="13"/>
      <c r="HO1100" s="13"/>
      <c r="HP1100" s="13"/>
      <c r="HQ1100" s="13"/>
      <c r="HR1100" s="13"/>
      <c r="HS1100" s="13"/>
      <c r="HT1100" s="13"/>
      <c r="HU1100" s="18"/>
      <c r="HV1100" s="18"/>
      <c r="HW1100" s="18"/>
      <c r="HX1100" s="18"/>
      <c r="HY1100" s="18"/>
      <c r="HZ1100" s="18"/>
      <c r="IA1100" s="18"/>
      <c r="IB1100" s="18"/>
      <c r="IC1100" s="18"/>
      <c r="ID1100" s="18"/>
      <c r="IE1100" s="18"/>
      <c r="IF1100" s="18"/>
      <c r="IG1100" s="18"/>
      <c r="IH1100" s="18"/>
      <c r="II1100" s="18"/>
      <c r="IJ1100" s="18"/>
      <c r="IK1100" s="18"/>
      <c r="IL1100" s="18"/>
      <c r="IM1100" s="18"/>
      <c r="IN1100" s="18"/>
      <c r="IO1100" s="18"/>
      <c r="IP1100" s="18"/>
      <c r="IQ1100" s="18"/>
      <c r="IR1100" s="18"/>
      <c r="IS1100" s="18"/>
      <c r="IT1100" s="18"/>
      <c r="IU1100" s="18"/>
      <c r="IV1100" s="18"/>
      <c r="IW1100" s="18"/>
      <c r="IX1100" s="18"/>
      <c r="IY1100" s="18"/>
      <c r="IZ1100" s="18"/>
      <c r="JA1100" s="18"/>
      <c r="JB1100" s="18"/>
      <c r="JC1100" s="18"/>
      <c r="JD1100" s="18"/>
      <c r="JE1100" s="18"/>
      <c r="JF1100" s="18"/>
      <c r="JG1100" s="18"/>
      <c r="JH1100" s="18"/>
      <c r="JI1100" s="18"/>
      <c r="JJ1100" s="18"/>
      <c r="JK1100" s="18"/>
      <c r="JL1100" s="18"/>
      <c r="JM1100" s="18"/>
      <c r="JN1100" s="18"/>
      <c r="JO1100" s="18"/>
      <c r="JP1100" s="18"/>
      <c r="JQ1100" s="18"/>
      <c r="JR1100" s="18"/>
      <c r="JS1100" s="18"/>
      <c r="JT1100" s="18"/>
      <c r="JU1100" s="18"/>
      <c r="JV1100" s="18"/>
      <c r="JW1100" s="18"/>
      <c r="JX1100" s="18"/>
      <c r="JY1100" s="18"/>
      <c r="JZ1100" s="18"/>
      <c r="KA1100" s="18"/>
      <c r="KB1100" s="18"/>
      <c r="KC1100" s="18"/>
      <c r="KD1100" s="18"/>
      <c r="KE1100" s="18"/>
      <c r="KF1100" s="18"/>
      <c r="KG1100" s="18"/>
      <c r="KH1100" s="18"/>
      <c r="KI1100" s="18"/>
      <c r="KJ1100" s="18"/>
      <c r="KK1100" s="18"/>
      <c r="KL1100" s="18"/>
      <c r="KM1100" s="18"/>
      <c r="KN1100" s="18"/>
      <c r="KO1100" s="18"/>
      <c r="KP1100" s="18"/>
    </row>
    <row r="1101" spans="1:302">
      <c r="A1101" s="14"/>
      <c r="B1101" s="14"/>
      <c r="F1101" s="14"/>
      <c r="G1101" s="23"/>
      <c r="H1101" s="23"/>
      <c r="I1101" s="23"/>
      <c r="J1101" s="23"/>
      <c r="K1101" s="14"/>
      <c r="L1101" s="14"/>
      <c r="P1101" s="14"/>
      <c r="AG1101" s="44"/>
      <c r="AH1101" s="44"/>
      <c r="AI1101" s="45"/>
      <c r="AJ1101" s="44"/>
      <c r="AK1101" s="43"/>
      <c r="AS1101" s="14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  <c r="EW1101" s="18"/>
      <c r="EX1101" s="18"/>
      <c r="EY1101" s="18"/>
      <c r="EZ1101" s="18"/>
      <c r="FA1101" s="18"/>
      <c r="FB1101" s="18"/>
      <c r="FC1101" s="18"/>
      <c r="FD1101" s="18"/>
      <c r="FE1101" s="18"/>
      <c r="FF1101" s="18"/>
      <c r="FG1101" s="18"/>
      <c r="FH1101" s="18"/>
      <c r="FI1101" s="18"/>
      <c r="FJ1101" s="18"/>
      <c r="FK1101" s="18"/>
      <c r="FL1101" s="18"/>
      <c r="FM1101" s="18"/>
      <c r="FN1101" s="18"/>
      <c r="FO1101" s="18"/>
      <c r="FP1101" s="18"/>
      <c r="FQ1101" s="18"/>
      <c r="FR1101" s="18"/>
      <c r="FS1101" s="18"/>
      <c r="FT1101" s="18"/>
      <c r="FU1101" s="18"/>
      <c r="FV1101" s="18"/>
      <c r="FW1101" s="18"/>
      <c r="FX1101" s="18"/>
      <c r="FY1101" s="18"/>
      <c r="FZ1101" s="18"/>
      <c r="GA1101" s="18"/>
      <c r="GB1101" s="18"/>
      <c r="GC1101" s="18"/>
      <c r="GD1101" s="18"/>
      <c r="GE1101" s="18"/>
      <c r="GF1101" s="18"/>
      <c r="GG1101" s="18"/>
      <c r="GH1101" s="18"/>
      <c r="GI1101" s="18"/>
      <c r="GJ1101" s="18"/>
      <c r="GK1101" s="18"/>
      <c r="GL1101" s="18"/>
      <c r="GM1101" s="18"/>
      <c r="GN1101" s="18"/>
      <c r="GO1101" s="18"/>
      <c r="GP1101" s="18"/>
      <c r="GQ1101" s="18"/>
      <c r="GR1101" s="18"/>
      <c r="GS1101" s="18"/>
      <c r="GT1101" s="18"/>
      <c r="GU1101" s="18"/>
      <c r="GV1101" s="18"/>
      <c r="GW1101" s="18"/>
      <c r="GX1101" s="18"/>
      <c r="GY1101" s="18"/>
      <c r="GZ1101" s="18"/>
      <c r="HA1101" s="18"/>
      <c r="HB1101" s="18"/>
      <c r="HC1101" s="18"/>
      <c r="HD1101" s="18"/>
      <c r="HE1101" s="18"/>
      <c r="HF1101" s="18"/>
      <c r="HG1101" s="13"/>
      <c r="HH1101" s="13"/>
      <c r="HI1101" s="13"/>
      <c r="HJ1101" s="13"/>
      <c r="HK1101" s="13"/>
      <c r="HL1101" s="13"/>
      <c r="HM1101" s="13"/>
      <c r="HN1101" s="13"/>
      <c r="HO1101" s="13"/>
      <c r="HP1101" s="13"/>
      <c r="HQ1101" s="13"/>
      <c r="HR1101" s="13"/>
      <c r="HS1101" s="13"/>
      <c r="HT1101" s="13"/>
      <c r="HU1101" s="18"/>
      <c r="HV1101" s="18"/>
      <c r="HW1101" s="18"/>
      <c r="HX1101" s="18"/>
      <c r="HY1101" s="18"/>
      <c r="HZ1101" s="18"/>
      <c r="IA1101" s="18"/>
      <c r="IB1101" s="18"/>
      <c r="IC1101" s="18"/>
      <c r="ID1101" s="18"/>
      <c r="IE1101" s="18"/>
      <c r="IF1101" s="18"/>
      <c r="IG1101" s="18"/>
      <c r="IH1101" s="18"/>
      <c r="II1101" s="18"/>
      <c r="IJ1101" s="18"/>
      <c r="IK1101" s="18"/>
      <c r="IL1101" s="18"/>
      <c r="IM1101" s="18"/>
      <c r="IN1101" s="18"/>
      <c r="IO1101" s="18"/>
      <c r="IP1101" s="18"/>
      <c r="IQ1101" s="18"/>
      <c r="IR1101" s="18"/>
      <c r="IS1101" s="18"/>
      <c r="IT1101" s="18"/>
      <c r="IU1101" s="18"/>
      <c r="IV1101" s="18"/>
      <c r="IW1101" s="18"/>
      <c r="IX1101" s="18"/>
      <c r="IY1101" s="18"/>
      <c r="IZ1101" s="18"/>
      <c r="JA1101" s="18"/>
      <c r="JB1101" s="18"/>
      <c r="JC1101" s="18"/>
      <c r="JD1101" s="18"/>
      <c r="JE1101" s="18"/>
      <c r="JF1101" s="18"/>
      <c r="JG1101" s="18"/>
      <c r="JH1101" s="18"/>
      <c r="JI1101" s="18"/>
      <c r="JJ1101" s="18"/>
      <c r="JK1101" s="18"/>
      <c r="JL1101" s="18"/>
      <c r="JM1101" s="18"/>
      <c r="JN1101" s="18"/>
      <c r="JO1101" s="18"/>
      <c r="JP1101" s="18"/>
      <c r="JQ1101" s="18"/>
      <c r="JR1101" s="18"/>
      <c r="JS1101" s="18"/>
      <c r="JT1101" s="18"/>
      <c r="JU1101" s="18"/>
      <c r="JV1101" s="18"/>
      <c r="JW1101" s="18"/>
      <c r="JX1101" s="18"/>
      <c r="JY1101" s="18"/>
      <c r="JZ1101" s="18"/>
      <c r="KA1101" s="18"/>
      <c r="KB1101" s="18"/>
      <c r="KC1101" s="18"/>
      <c r="KD1101" s="18"/>
      <c r="KE1101" s="18"/>
      <c r="KF1101" s="18"/>
      <c r="KG1101" s="18"/>
      <c r="KH1101" s="18"/>
      <c r="KI1101" s="18"/>
      <c r="KJ1101" s="18"/>
      <c r="KK1101" s="18"/>
      <c r="KL1101" s="18"/>
      <c r="KM1101" s="18"/>
      <c r="KN1101" s="18"/>
      <c r="KO1101" s="18"/>
      <c r="KP1101" s="18"/>
    </row>
    <row r="1102" spans="1:302">
      <c r="A1102" s="14"/>
      <c r="B1102" s="14"/>
      <c r="F1102" s="14"/>
      <c r="G1102" s="23"/>
      <c r="H1102" s="23"/>
      <c r="I1102" s="23"/>
      <c r="J1102" s="23"/>
      <c r="K1102" s="14"/>
      <c r="L1102" s="14"/>
      <c r="P1102" s="14"/>
      <c r="AG1102" s="44"/>
      <c r="AH1102" s="44"/>
      <c r="AI1102" s="45"/>
      <c r="AJ1102" s="44"/>
      <c r="AK1102" s="43"/>
      <c r="AS1102" s="14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  <c r="EW1102" s="18"/>
      <c r="EX1102" s="18"/>
      <c r="EY1102" s="18"/>
      <c r="EZ1102" s="18"/>
      <c r="FA1102" s="18"/>
      <c r="FB1102" s="18"/>
      <c r="FC1102" s="18"/>
      <c r="FD1102" s="18"/>
      <c r="FE1102" s="18"/>
      <c r="FF1102" s="18"/>
      <c r="FG1102" s="18"/>
      <c r="FH1102" s="18"/>
      <c r="FI1102" s="18"/>
      <c r="FJ1102" s="18"/>
      <c r="FK1102" s="18"/>
      <c r="FL1102" s="18"/>
      <c r="FM1102" s="18"/>
      <c r="FN1102" s="18"/>
      <c r="FO1102" s="18"/>
      <c r="FP1102" s="18"/>
      <c r="FQ1102" s="18"/>
      <c r="FR1102" s="18"/>
      <c r="FS1102" s="18"/>
      <c r="FT1102" s="18"/>
      <c r="FU1102" s="18"/>
      <c r="FV1102" s="18"/>
      <c r="FW1102" s="18"/>
      <c r="FX1102" s="18"/>
      <c r="FY1102" s="18"/>
      <c r="FZ1102" s="18"/>
      <c r="GA1102" s="18"/>
      <c r="GB1102" s="18"/>
      <c r="GC1102" s="18"/>
      <c r="GD1102" s="18"/>
      <c r="GE1102" s="18"/>
      <c r="GF1102" s="18"/>
      <c r="GG1102" s="18"/>
      <c r="GH1102" s="18"/>
      <c r="GI1102" s="18"/>
      <c r="GJ1102" s="18"/>
      <c r="GK1102" s="18"/>
      <c r="GL1102" s="18"/>
      <c r="GM1102" s="18"/>
      <c r="GN1102" s="18"/>
      <c r="GO1102" s="18"/>
      <c r="GP1102" s="18"/>
      <c r="GQ1102" s="18"/>
      <c r="GR1102" s="18"/>
      <c r="GS1102" s="18"/>
      <c r="GT1102" s="18"/>
      <c r="GU1102" s="18"/>
      <c r="GV1102" s="18"/>
      <c r="GW1102" s="18"/>
      <c r="GX1102" s="18"/>
      <c r="GY1102" s="18"/>
      <c r="GZ1102" s="18"/>
      <c r="HA1102" s="18"/>
      <c r="HB1102" s="18"/>
      <c r="HC1102" s="18"/>
      <c r="HD1102" s="18"/>
      <c r="HE1102" s="18"/>
      <c r="HF1102" s="18"/>
      <c r="HG1102" s="13"/>
      <c r="HH1102" s="13"/>
      <c r="HI1102" s="13"/>
      <c r="HJ1102" s="13"/>
      <c r="HK1102" s="13"/>
      <c r="HL1102" s="13"/>
      <c r="HM1102" s="13"/>
      <c r="HN1102" s="13"/>
      <c r="HO1102" s="13"/>
      <c r="HP1102" s="13"/>
      <c r="HQ1102" s="13"/>
      <c r="HR1102" s="13"/>
      <c r="HS1102" s="13"/>
      <c r="HT1102" s="13"/>
      <c r="HU1102" s="18"/>
      <c r="HV1102" s="18"/>
      <c r="HW1102" s="18"/>
      <c r="HX1102" s="18"/>
      <c r="HY1102" s="18"/>
      <c r="HZ1102" s="18"/>
      <c r="IA1102" s="18"/>
      <c r="IB1102" s="18"/>
      <c r="IC1102" s="18"/>
      <c r="ID1102" s="18"/>
      <c r="IE1102" s="18"/>
      <c r="IF1102" s="18"/>
      <c r="IG1102" s="18"/>
      <c r="IH1102" s="18"/>
      <c r="II1102" s="18"/>
      <c r="IJ1102" s="18"/>
      <c r="IK1102" s="18"/>
      <c r="IL1102" s="18"/>
      <c r="IM1102" s="18"/>
      <c r="IN1102" s="18"/>
      <c r="IO1102" s="18"/>
      <c r="IP1102" s="18"/>
      <c r="IQ1102" s="18"/>
      <c r="IR1102" s="18"/>
      <c r="IS1102" s="18"/>
      <c r="IT1102" s="18"/>
      <c r="IU1102" s="18"/>
      <c r="IV1102" s="18"/>
      <c r="IW1102" s="18"/>
      <c r="IX1102" s="18"/>
      <c r="IY1102" s="18"/>
      <c r="IZ1102" s="18"/>
      <c r="JA1102" s="18"/>
      <c r="JB1102" s="18"/>
      <c r="JC1102" s="18"/>
      <c r="JD1102" s="18"/>
      <c r="JE1102" s="18"/>
      <c r="JF1102" s="18"/>
      <c r="JG1102" s="18"/>
      <c r="JH1102" s="18"/>
      <c r="JI1102" s="18"/>
      <c r="JJ1102" s="18"/>
      <c r="JK1102" s="18"/>
      <c r="JL1102" s="18"/>
      <c r="JM1102" s="18"/>
      <c r="JN1102" s="18"/>
      <c r="JO1102" s="18"/>
      <c r="JP1102" s="18"/>
      <c r="JQ1102" s="18"/>
      <c r="JR1102" s="18"/>
      <c r="JS1102" s="18"/>
      <c r="JT1102" s="18"/>
      <c r="JU1102" s="18"/>
      <c r="JV1102" s="18"/>
      <c r="JW1102" s="18"/>
      <c r="JX1102" s="18"/>
      <c r="JY1102" s="18"/>
      <c r="JZ1102" s="18"/>
      <c r="KA1102" s="18"/>
      <c r="KB1102" s="18"/>
      <c r="KC1102" s="18"/>
      <c r="KD1102" s="18"/>
      <c r="KE1102" s="18"/>
      <c r="KF1102" s="18"/>
      <c r="KG1102" s="18"/>
      <c r="KH1102" s="18"/>
      <c r="KI1102" s="18"/>
      <c r="KJ1102" s="18"/>
      <c r="KK1102" s="18"/>
      <c r="KL1102" s="18"/>
      <c r="KM1102" s="18"/>
      <c r="KN1102" s="18"/>
      <c r="KO1102" s="18"/>
      <c r="KP1102" s="18"/>
    </row>
    <row r="1103" spans="1:302">
      <c r="A1103" s="14"/>
      <c r="B1103" s="14"/>
      <c r="F1103" s="14"/>
      <c r="G1103" s="23"/>
      <c r="H1103" s="23"/>
      <c r="I1103" s="23"/>
      <c r="J1103" s="23"/>
      <c r="K1103" s="14"/>
      <c r="L1103" s="14"/>
      <c r="P1103" s="14"/>
      <c r="AG1103" s="44"/>
      <c r="AH1103" s="44"/>
      <c r="AI1103" s="45"/>
      <c r="AJ1103" s="44"/>
      <c r="AK1103" s="43"/>
      <c r="AS1103" s="14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  <c r="EW1103" s="18"/>
      <c r="EX1103" s="18"/>
      <c r="EY1103" s="18"/>
      <c r="EZ1103" s="18"/>
      <c r="FA1103" s="18"/>
      <c r="FB1103" s="18"/>
      <c r="FC1103" s="18"/>
      <c r="FD1103" s="18"/>
      <c r="FE1103" s="18"/>
      <c r="FF1103" s="18"/>
      <c r="FG1103" s="18"/>
      <c r="FH1103" s="18"/>
      <c r="FI1103" s="18"/>
      <c r="FJ1103" s="18"/>
      <c r="FK1103" s="18"/>
      <c r="FL1103" s="18"/>
      <c r="FM1103" s="18"/>
      <c r="FN1103" s="18"/>
      <c r="FO1103" s="18"/>
      <c r="FP1103" s="18"/>
      <c r="FQ1103" s="18"/>
      <c r="FR1103" s="18"/>
      <c r="FS1103" s="18"/>
      <c r="FT1103" s="18"/>
      <c r="FU1103" s="18"/>
      <c r="FV1103" s="18"/>
      <c r="FW1103" s="18"/>
      <c r="FX1103" s="18"/>
      <c r="FY1103" s="18"/>
      <c r="FZ1103" s="18"/>
      <c r="GA1103" s="18"/>
      <c r="GB1103" s="18"/>
      <c r="GC1103" s="18"/>
      <c r="GD1103" s="18"/>
      <c r="GE1103" s="18"/>
      <c r="GF1103" s="18"/>
      <c r="GG1103" s="18"/>
      <c r="GH1103" s="18"/>
      <c r="GI1103" s="18"/>
      <c r="GJ1103" s="18"/>
      <c r="GK1103" s="18"/>
      <c r="GL1103" s="18"/>
      <c r="GM1103" s="18"/>
      <c r="GN1103" s="18"/>
      <c r="GO1103" s="18"/>
      <c r="GP1103" s="18"/>
      <c r="GQ1103" s="18"/>
      <c r="GR1103" s="18"/>
      <c r="GS1103" s="18"/>
      <c r="GT1103" s="18"/>
      <c r="GU1103" s="18"/>
      <c r="GV1103" s="18"/>
      <c r="GW1103" s="18"/>
      <c r="GX1103" s="18"/>
      <c r="GY1103" s="18"/>
      <c r="GZ1103" s="18"/>
      <c r="HA1103" s="18"/>
      <c r="HB1103" s="18"/>
      <c r="HC1103" s="18"/>
      <c r="HD1103" s="18"/>
      <c r="HE1103" s="18"/>
      <c r="HF1103" s="18"/>
      <c r="HG1103" s="13"/>
      <c r="HH1103" s="13"/>
      <c r="HI1103" s="13"/>
      <c r="HJ1103" s="13"/>
      <c r="HK1103" s="13"/>
      <c r="HL1103" s="13"/>
      <c r="HM1103" s="13"/>
      <c r="HN1103" s="13"/>
      <c r="HO1103" s="13"/>
      <c r="HP1103" s="13"/>
      <c r="HQ1103" s="13"/>
      <c r="HR1103" s="13"/>
      <c r="HS1103" s="13"/>
      <c r="HT1103" s="13"/>
      <c r="HU1103" s="18"/>
      <c r="HV1103" s="18"/>
      <c r="HW1103" s="18"/>
      <c r="HX1103" s="18"/>
      <c r="HY1103" s="18"/>
      <c r="HZ1103" s="18"/>
      <c r="IA1103" s="18"/>
      <c r="IB1103" s="18"/>
      <c r="IC1103" s="18"/>
      <c r="ID1103" s="18"/>
      <c r="IE1103" s="18"/>
      <c r="IF1103" s="18"/>
      <c r="IG1103" s="18"/>
      <c r="IH1103" s="18"/>
      <c r="II1103" s="18"/>
      <c r="IJ1103" s="18"/>
      <c r="IK1103" s="18"/>
      <c r="IL1103" s="18"/>
      <c r="IM1103" s="18"/>
      <c r="IN1103" s="18"/>
      <c r="IO1103" s="18"/>
      <c r="IP1103" s="18"/>
      <c r="IQ1103" s="18"/>
      <c r="IR1103" s="18"/>
      <c r="IS1103" s="18"/>
      <c r="IT1103" s="18"/>
      <c r="IU1103" s="18"/>
      <c r="IV1103" s="18"/>
      <c r="IW1103" s="18"/>
      <c r="IX1103" s="18"/>
      <c r="IY1103" s="18"/>
      <c r="IZ1103" s="18"/>
      <c r="JA1103" s="18"/>
      <c r="JB1103" s="18"/>
      <c r="JC1103" s="18"/>
      <c r="JD1103" s="18"/>
      <c r="JE1103" s="18"/>
      <c r="JF1103" s="18"/>
      <c r="JG1103" s="18"/>
      <c r="JH1103" s="18"/>
      <c r="JI1103" s="18"/>
      <c r="JJ1103" s="18"/>
      <c r="JK1103" s="18"/>
      <c r="JL1103" s="18"/>
      <c r="JM1103" s="18"/>
      <c r="JN1103" s="18"/>
      <c r="JO1103" s="18"/>
      <c r="JP1103" s="18"/>
      <c r="JQ1103" s="18"/>
      <c r="JR1103" s="18"/>
      <c r="JS1103" s="18"/>
      <c r="JT1103" s="18"/>
      <c r="JU1103" s="18"/>
      <c r="JV1103" s="18"/>
      <c r="JW1103" s="18"/>
      <c r="JX1103" s="18"/>
      <c r="JY1103" s="18"/>
      <c r="JZ1103" s="18"/>
      <c r="KA1103" s="18"/>
      <c r="KB1103" s="18"/>
      <c r="KC1103" s="18"/>
      <c r="KD1103" s="18"/>
      <c r="KE1103" s="18"/>
      <c r="KF1103" s="18"/>
      <c r="KG1103" s="18"/>
      <c r="KH1103" s="18"/>
      <c r="KI1103" s="18"/>
      <c r="KJ1103" s="18"/>
      <c r="KK1103" s="18"/>
      <c r="KL1103" s="18"/>
      <c r="KM1103" s="18"/>
      <c r="KN1103" s="18"/>
      <c r="KO1103" s="18"/>
      <c r="KP1103" s="18"/>
    </row>
    <row r="1104" spans="1:302">
      <c r="A1104" s="14"/>
      <c r="B1104" s="14"/>
      <c r="F1104" s="14"/>
      <c r="G1104" s="23"/>
      <c r="H1104" s="23"/>
      <c r="I1104" s="23"/>
      <c r="J1104" s="23"/>
      <c r="K1104" s="14"/>
      <c r="L1104" s="14"/>
      <c r="P1104" s="14"/>
      <c r="AG1104" s="44"/>
      <c r="AH1104" s="44"/>
      <c r="AI1104" s="45"/>
      <c r="AJ1104" s="44"/>
      <c r="AK1104" s="43"/>
      <c r="AS1104" s="14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  <c r="EW1104" s="18"/>
      <c r="EX1104" s="18"/>
      <c r="EY1104" s="18"/>
      <c r="EZ1104" s="18"/>
      <c r="FA1104" s="18"/>
      <c r="FB1104" s="18"/>
      <c r="FC1104" s="18"/>
      <c r="FD1104" s="18"/>
      <c r="FE1104" s="18"/>
      <c r="FF1104" s="18"/>
      <c r="FG1104" s="18"/>
      <c r="FH1104" s="18"/>
      <c r="FI1104" s="18"/>
      <c r="FJ1104" s="18"/>
      <c r="FK1104" s="18"/>
      <c r="FL1104" s="18"/>
      <c r="FM1104" s="18"/>
      <c r="FN1104" s="18"/>
      <c r="FO1104" s="18"/>
      <c r="FP1104" s="18"/>
      <c r="FQ1104" s="18"/>
      <c r="FR1104" s="18"/>
      <c r="FS1104" s="18"/>
      <c r="FT1104" s="18"/>
      <c r="FU1104" s="18"/>
      <c r="FV1104" s="18"/>
      <c r="FW1104" s="18"/>
      <c r="FX1104" s="18"/>
      <c r="FY1104" s="18"/>
      <c r="FZ1104" s="18"/>
      <c r="GA1104" s="18"/>
      <c r="GB1104" s="18"/>
      <c r="GC1104" s="18"/>
      <c r="GD1104" s="18"/>
      <c r="GE1104" s="18"/>
      <c r="GF1104" s="18"/>
      <c r="GG1104" s="18"/>
      <c r="GH1104" s="18"/>
      <c r="GI1104" s="18"/>
      <c r="GJ1104" s="18"/>
      <c r="GK1104" s="18"/>
      <c r="GL1104" s="18"/>
      <c r="GM1104" s="18"/>
      <c r="GN1104" s="18"/>
      <c r="GO1104" s="18"/>
      <c r="GP1104" s="18"/>
      <c r="GQ1104" s="18"/>
      <c r="GR1104" s="18"/>
      <c r="GS1104" s="18"/>
      <c r="GT1104" s="18"/>
      <c r="GU1104" s="18"/>
      <c r="GV1104" s="18"/>
      <c r="GW1104" s="18"/>
      <c r="GX1104" s="18"/>
      <c r="GY1104" s="18"/>
      <c r="GZ1104" s="18"/>
      <c r="HA1104" s="18"/>
      <c r="HB1104" s="18"/>
      <c r="HC1104" s="18"/>
      <c r="HD1104" s="18"/>
      <c r="HE1104" s="18"/>
      <c r="HF1104" s="18"/>
      <c r="HG1104" s="13"/>
      <c r="HH1104" s="13"/>
      <c r="HI1104" s="13"/>
      <c r="HJ1104" s="13"/>
      <c r="HK1104" s="13"/>
      <c r="HL1104" s="13"/>
      <c r="HM1104" s="13"/>
      <c r="HN1104" s="13"/>
      <c r="HO1104" s="13"/>
      <c r="HP1104" s="13"/>
      <c r="HQ1104" s="13"/>
      <c r="HR1104" s="13"/>
      <c r="HS1104" s="13"/>
      <c r="HT1104" s="13"/>
      <c r="HU1104" s="18"/>
      <c r="HV1104" s="18"/>
      <c r="HW1104" s="18"/>
      <c r="HX1104" s="18"/>
      <c r="HY1104" s="18"/>
      <c r="HZ1104" s="18"/>
      <c r="IA1104" s="18"/>
      <c r="IB1104" s="18"/>
      <c r="IC1104" s="18"/>
      <c r="ID1104" s="18"/>
      <c r="IE1104" s="18"/>
      <c r="IF1104" s="18"/>
      <c r="IG1104" s="18"/>
      <c r="IH1104" s="18"/>
      <c r="II1104" s="18"/>
      <c r="IJ1104" s="18"/>
      <c r="IK1104" s="18"/>
      <c r="IL1104" s="18"/>
      <c r="IM1104" s="18"/>
      <c r="IN1104" s="18"/>
      <c r="IO1104" s="18"/>
      <c r="IP1104" s="18"/>
      <c r="IQ1104" s="18"/>
      <c r="IR1104" s="18"/>
      <c r="IS1104" s="18"/>
      <c r="IT1104" s="18"/>
      <c r="IU1104" s="18"/>
      <c r="IV1104" s="18"/>
      <c r="IW1104" s="18"/>
      <c r="IX1104" s="18"/>
      <c r="IY1104" s="18"/>
      <c r="IZ1104" s="18"/>
      <c r="JA1104" s="18"/>
      <c r="JB1104" s="18"/>
      <c r="JC1104" s="18"/>
      <c r="JD1104" s="18"/>
      <c r="JE1104" s="18"/>
      <c r="JF1104" s="18"/>
      <c r="JG1104" s="18"/>
      <c r="JH1104" s="18"/>
      <c r="JI1104" s="18"/>
      <c r="JJ1104" s="18"/>
      <c r="JK1104" s="18"/>
      <c r="JL1104" s="18"/>
      <c r="JM1104" s="18"/>
      <c r="JN1104" s="18"/>
      <c r="JO1104" s="18"/>
      <c r="JP1104" s="18"/>
      <c r="JQ1104" s="18"/>
      <c r="JR1104" s="18"/>
      <c r="JS1104" s="18"/>
      <c r="JT1104" s="18"/>
      <c r="JU1104" s="18"/>
      <c r="JV1104" s="18"/>
      <c r="JW1104" s="18"/>
      <c r="JX1104" s="18"/>
      <c r="JY1104" s="18"/>
      <c r="JZ1104" s="18"/>
      <c r="KA1104" s="18"/>
      <c r="KB1104" s="18"/>
      <c r="KC1104" s="18"/>
      <c r="KD1104" s="18"/>
      <c r="KE1104" s="18"/>
      <c r="KF1104" s="18"/>
      <c r="KG1104" s="18"/>
      <c r="KH1104" s="18"/>
      <c r="KI1104" s="18"/>
      <c r="KJ1104" s="18"/>
      <c r="KK1104" s="18"/>
      <c r="KL1104" s="18"/>
      <c r="KM1104" s="18"/>
      <c r="KN1104" s="18"/>
      <c r="KO1104" s="18"/>
      <c r="KP1104" s="18"/>
    </row>
    <row r="1105" spans="1:302">
      <c r="A1105" s="14"/>
      <c r="B1105" s="14"/>
      <c r="F1105" s="14"/>
      <c r="G1105" s="23"/>
      <c r="H1105" s="23"/>
      <c r="I1105" s="23"/>
      <c r="J1105" s="23"/>
      <c r="K1105" s="14"/>
      <c r="L1105" s="14"/>
      <c r="P1105" s="14"/>
      <c r="AG1105" s="44"/>
      <c r="AH1105" s="44"/>
      <c r="AI1105" s="45"/>
      <c r="AJ1105" s="44"/>
      <c r="AK1105" s="43"/>
      <c r="AS1105" s="14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  <c r="FR1105" s="18"/>
      <c r="FS1105" s="18"/>
      <c r="FT1105" s="18"/>
      <c r="FU1105" s="18"/>
      <c r="FV1105" s="18"/>
      <c r="FW1105" s="18"/>
      <c r="FX1105" s="18"/>
      <c r="FY1105" s="18"/>
      <c r="FZ1105" s="18"/>
      <c r="GA1105" s="18"/>
      <c r="GB1105" s="18"/>
      <c r="GC1105" s="18"/>
      <c r="GD1105" s="18"/>
      <c r="GE1105" s="18"/>
      <c r="GF1105" s="18"/>
      <c r="GG1105" s="18"/>
      <c r="GH1105" s="18"/>
      <c r="GI1105" s="18"/>
      <c r="GJ1105" s="18"/>
      <c r="GK1105" s="18"/>
      <c r="GL1105" s="18"/>
      <c r="GM1105" s="18"/>
      <c r="GN1105" s="18"/>
      <c r="GO1105" s="18"/>
      <c r="GP1105" s="18"/>
      <c r="GQ1105" s="18"/>
      <c r="GR1105" s="18"/>
      <c r="GS1105" s="18"/>
      <c r="GT1105" s="18"/>
      <c r="GU1105" s="18"/>
      <c r="GV1105" s="18"/>
      <c r="GW1105" s="18"/>
      <c r="GX1105" s="18"/>
      <c r="GY1105" s="18"/>
      <c r="GZ1105" s="18"/>
      <c r="HA1105" s="18"/>
      <c r="HB1105" s="18"/>
      <c r="HC1105" s="18"/>
      <c r="HD1105" s="18"/>
      <c r="HE1105" s="18"/>
      <c r="HF1105" s="18"/>
      <c r="HG1105" s="13"/>
      <c r="HH1105" s="13"/>
      <c r="HI1105" s="13"/>
      <c r="HJ1105" s="13"/>
      <c r="HK1105" s="13"/>
      <c r="HL1105" s="13"/>
      <c r="HM1105" s="13"/>
      <c r="HN1105" s="13"/>
      <c r="HO1105" s="13"/>
      <c r="HP1105" s="13"/>
      <c r="HQ1105" s="13"/>
      <c r="HR1105" s="13"/>
      <c r="HS1105" s="13"/>
      <c r="HT1105" s="13"/>
      <c r="HU1105" s="18"/>
      <c r="HV1105" s="18"/>
      <c r="HW1105" s="18"/>
      <c r="HX1105" s="18"/>
      <c r="HY1105" s="18"/>
      <c r="HZ1105" s="18"/>
      <c r="IA1105" s="18"/>
      <c r="IB1105" s="18"/>
      <c r="IC1105" s="18"/>
      <c r="ID1105" s="18"/>
      <c r="IE1105" s="18"/>
      <c r="IF1105" s="18"/>
      <c r="IG1105" s="18"/>
      <c r="IH1105" s="18"/>
      <c r="II1105" s="18"/>
      <c r="IJ1105" s="18"/>
      <c r="IK1105" s="18"/>
      <c r="IL1105" s="18"/>
      <c r="IM1105" s="18"/>
      <c r="IN1105" s="18"/>
      <c r="IO1105" s="18"/>
      <c r="IP1105" s="18"/>
      <c r="IQ1105" s="18"/>
      <c r="IR1105" s="18"/>
      <c r="IS1105" s="18"/>
      <c r="IT1105" s="18"/>
      <c r="IU1105" s="18"/>
      <c r="IV1105" s="18"/>
      <c r="IW1105" s="18"/>
      <c r="IX1105" s="18"/>
      <c r="IY1105" s="18"/>
      <c r="IZ1105" s="18"/>
      <c r="JA1105" s="18"/>
      <c r="JB1105" s="18"/>
      <c r="JC1105" s="18"/>
      <c r="JD1105" s="18"/>
      <c r="JE1105" s="18"/>
      <c r="JF1105" s="18"/>
      <c r="JG1105" s="18"/>
      <c r="JH1105" s="18"/>
      <c r="JI1105" s="18"/>
      <c r="JJ1105" s="18"/>
      <c r="JK1105" s="18"/>
      <c r="JL1105" s="18"/>
      <c r="JM1105" s="18"/>
      <c r="JN1105" s="18"/>
      <c r="JO1105" s="18"/>
      <c r="JP1105" s="18"/>
      <c r="JQ1105" s="18"/>
      <c r="JR1105" s="18"/>
      <c r="JS1105" s="18"/>
      <c r="JT1105" s="18"/>
      <c r="JU1105" s="18"/>
      <c r="JV1105" s="18"/>
      <c r="JW1105" s="18"/>
      <c r="JX1105" s="18"/>
      <c r="JY1105" s="18"/>
      <c r="JZ1105" s="18"/>
      <c r="KA1105" s="18"/>
      <c r="KB1105" s="18"/>
      <c r="KC1105" s="18"/>
      <c r="KD1105" s="18"/>
      <c r="KE1105" s="18"/>
      <c r="KF1105" s="18"/>
      <c r="KG1105" s="18"/>
      <c r="KH1105" s="18"/>
      <c r="KI1105" s="18"/>
      <c r="KJ1105" s="18"/>
      <c r="KK1105" s="18"/>
      <c r="KL1105" s="18"/>
      <c r="KM1105" s="18"/>
      <c r="KN1105" s="18"/>
      <c r="KO1105" s="18"/>
      <c r="KP1105" s="18"/>
    </row>
    <row r="1106" spans="1:302">
      <c r="A1106" s="14"/>
      <c r="B1106" s="14"/>
      <c r="F1106" s="14"/>
      <c r="G1106" s="23"/>
      <c r="H1106" s="23"/>
      <c r="I1106" s="23"/>
      <c r="J1106" s="23"/>
      <c r="K1106" s="14"/>
      <c r="L1106" s="14"/>
      <c r="P1106" s="14"/>
      <c r="AG1106" s="44"/>
      <c r="AH1106" s="44"/>
      <c r="AI1106" s="45"/>
      <c r="AJ1106" s="44"/>
      <c r="AK1106" s="43"/>
      <c r="AS1106" s="14"/>
      <c r="AT1106" s="18"/>
      <c r="AU1106" s="18"/>
      <c r="AV1106" s="18"/>
      <c r="AW1106" s="18"/>
      <c r="AX1106" s="18"/>
      <c r="AY1106" s="18"/>
      <c r="AZ1106" s="18"/>
      <c r="BA1106" s="18"/>
      <c r="BB1106" s="18"/>
      <c r="BC1106" s="18"/>
      <c r="BD1106" s="18"/>
      <c r="BE1106" s="18"/>
      <c r="BF1106" s="18"/>
      <c r="BG1106" s="18"/>
      <c r="BH1106" s="18"/>
      <c r="BI1106" s="18"/>
      <c r="BJ1106" s="18"/>
      <c r="BK1106" s="18"/>
      <c r="BL1106" s="18"/>
      <c r="BM1106" s="18"/>
      <c r="BN1106" s="18"/>
      <c r="BO1106" s="18"/>
      <c r="BP1106" s="18"/>
      <c r="BQ1106" s="18"/>
      <c r="BR1106" s="18"/>
      <c r="BS1106" s="18"/>
      <c r="BT1106" s="18"/>
      <c r="BU1106" s="18"/>
      <c r="BV1106" s="18"/>
      <c r="BW1106" s="18"/>
      <c r="BX1106" s="18"/>
      <c r="BY1106" s="18"/>
      <c r="BZ1106" s="18"/>
      <c r="CA1106" s="18"/>
      <c r="CB1106" s="18"/>
      <c r="CC1106" s="18"/>
      <c r="CD1106" s="18"/>
      <c r="CE1106" s="18"/>
      <c r="CF1106" s="18"/>
      <c r="CG1106" s="18"/>
      <c r="CH1106" s="18"/>
      <c r="CI1106" s="18"/>
      <c r="CJ1106" s="18"/>
      <c r="CK1106" s="18"/>
      <c r="CL1106" s="18"/>
      <c r="CM1106" s="18"/>
      <c r="CN1106" s="18"/>
      <c r="CO1106" s="18"/>
      <c r="CP1106" s="18"/>
      <c r="CQ1106" s="18"/>
      <c r="CR1106" s="18"/>
      <c r="CS1106" s="18"/>
      <c r="CT1106" s="18"/>
      <c r="CU1106" s="18"/>
      <c r="CV1106" s="18"/>
      <c r="CW1106" s="18"/>
      <c r="CX1106" s="18"/>
      <c r="CY1106" s="18"/>
      <c r="CZ1106" s="18"/>
      <c r="DA1106" s="18"/>
      <c r="DB1106" s="18"/>
      <c r="DC1106" s="18"/>
      <c r="DD1106" s="18"/>
      <c r="DE1106" s="18"/>
      <c r="DF1106" s="18"/>
      <c r="DG1106" s="18"/>
      <c r="DH1106" s="18"/>
      <c r="DI1106" s="18"/>
      <c r="DJ1106" s="18"/>
      <c r="DK1106" s="18"/>
      <c r="DL1106" s="18"/>
      <c r="DM1106" s="18"/>
      <c r="DN1106" s="18"/>
      <c r="DO1106" s="18"/>
      <c r="DP1106" s="18"/>
      <c r="DQ1106" s="18"/>
      <c r="DR1106" s="18"/>
      <c r="DS1106" s="18"/>
      <c r="DT1106" s="18"/>
      <c r="DU1106" s="18"/>
      <c r="DV1106" s="18"/>
      <c r="DW1106" s="18"/>
      <c r="DX1106" s="18"/>
      <c r="DY1106" s="18"/>
      <c r="DZ1106" s="18"/>
      <c r="EA1106" s="18"/>
      <c r="EB1106" s="18"/>
      <c r="EC1106" s="18"/>
      <c r="ED1106" s="18"/>
      <c r="EE1106" s="18"/>
      <c r="EF1106" s="18"/>
      <c r="EG1106" s="18"/>
      <c r="EH1106" s="18"/>
      <c r="EI1106" s="18"/>
      <c r="EJ1106" s="18"/>
      <c r="EK1106" s="18"/>
      <c r="EL1106" s="18"/>
      <c r="EM1106" s="18"/>
      <c r="EN1106" s="18"/>
      <c r="EO1106" s="18"/>
      <c r="EP1106" s="18"/>
      <c r="EQ1106" s="18"/>
      <c r="ER1106" s="18"/>
      <c r="ES1106" s="18"/>
      <c r="ET1106" s="18"/>
      <c r="EU1106" s="18"/>
      <c r="EV1106" s="18"/>
      <c r="EW1106" s="18"/>
      <c r="EX1106" s="18"/>
      <c r="EY1106" s="18"/>
      <c r="EZ1106" s="18"/>
      <c r="FA1106" s="18"/>
      <c r="FB1106" s="18"/>
      <c r="FC1106" s="18"/>
      <c r="FD1106" s="18"/>
      <c r="FE1106" s="18"/>
      <c r="FF1106" s="18"/>
      <c r="FG1106" s="18"/>
      <c r="FH1106" s="18"/>
      <c r="FI1106" s="18"/>
      <c r="FJ1106" s="18"/>
      <c r="FK1106" s="18"/>
      <c r="FL1106" s="18"/>
      <c r="FM1106" s="18"/>
      <c r="FN1106" s="18"/>
      <c r="FO1106" s="18"/>
      <c r="FP1106" s="18"/>
      <c r="FQ1106" s="18"/>
      <c r="FR1106" s="18"/>
      <c r="FS1106" s="18"/>
      <c r="FT1106" s="18"/>
      <c r="FU1106" s="18"/>
      <c r="FV1106" s="18"/>
      <c r="FW1106" s="18"/>
      <c r="FX1106" s="18"/>
      <c r="FY1106" s="18"/>
      <c r="FZ1106" s="18"/>
      <c r="GA1106" s="18"/>
      <c r="GB1106" s="18"/>
      <c r="GC1106" s="18"/>
      <c r="GD1106" s="18"/>
      <c r="GE1106" s="18"/>
      <c r="GF1106" s="18"/>
      <c r="GG1106" s="18"/>
      <c r="GH1106" s="18"/>
      <c r="GI1106" s="18"/>
      <c r="GJ1106" s="18"/>
      <c r="GK1106" s="18"/>
      <c r="GL1106" s="18"/>
      <c r="GM1106" s="18"/>
      <c r="GN1106" s="18"/>
      <c r="GO1106" s="18"/>
      <c r="GP1106" s="18"/>
      <c r="GQ1106" s="18"/>
      <c r="GR1106" s="18"/>
      <c r="GS1106" s="18"/>
      <c r="GT1106" s="18"/>
      <c r="GU1106" s="18"/>
      <c r="GV1106" s="18"/>
      <c r="GW1106" s="18"/>
      <c r="GX1106" s="18"/>
      <c r="GY1106" s="18"/>
      <c r="GZ1106" s="18"/>
      <c r="HA1106" s="18"/>
      <c r="HB1106" s="18"/>
      <c r="HC1106" s="18"/>
      <c r="HD1106" s="18"/>
      <c r="HE1106" s="18"/>
      <c r="HF1106" s="18"/>
      <c r="HG1106" s="13"/>
      <c r="HH1106" s="13"/>
      <c r="HI1106" s="13"/>
      <c r="HJ1106" s="13"/>
      <c r="HK1106" s="13"/>
      <c r="HL1106" s="13"/>
      <c r="HM1106" s="13"/>
      <c r="HN1106" s="13"/>
      <c r="HO1106" s="13"/>
      <c r="HP1106" s="13"/>
      <c r="HQ1106" s="13"/>
      <c r="HR1106" s="13"/>
      <c r="HS1106" s="13"/>
      <c r="HT1106" s="13"/>
      <c r="HU1106" s="18"/>
      <c r="HV1106" s="18"/>
      <c r="HW1106" s="18"/>
      <c r="HX1106" s="18"/>
      <c r="HY1106" s="18"/>
      <c r="HZ1106" s="18"/>
      <c r="IA1106" s="18"/>
      <c r="IB1106" s="18"/>
      <c r="IC1106" s="18"/>
      <c r="ID1106" s="18"/>
      <c r="IE1106" s="18"/>
      <c r="IF1106" s="18"/>
      <c r="IG1106" s="18"/>
      <c r="IH1106" s="18"/>
      <c r="II1106" s="18"/>
      <c r="IJ1106" s="18"/>
      <c r="IK1106" s="18"/>
      <c r="IL1106" s="18"/>
      <c r="IM1106" s="18"/>
      <c r="IN1106" s="18"/>
      <c r="IO1106" s="18"/>
      <c r="IP1106" s="18"/>
      <c r="IQ1106" s="18"/>
      <c r="IR1106" s="18"/>
      <c r="IS1106" s="18"/>
      <c r="IT1106" s="18"/>
      <c r="IU1106" s="18"/>
      <c r="IV1106" s="18"/>
      <c r="IW1106" s="18"/>
      <c r="IX1106" s="18"/>
      <c r="IY1106" s="18"/>
      <c r="IZ1106" s="18"/>
      <c r="JA1106" s="18"/>
      <c r="JB1106" s="18"/>
      <c r="JC1106" s="18"/>
      <c r="JD1106" s="18"/>
      <c r="JE1106" s="18"/>
      <c r="JF1106" s="18"/>
      <c r="JG1106" s="18"/>
      <c r="JH1106" s="18"/>
      <c r="JI1106" s="18"/>
      <c r="JJ1106" s="18"/>
      <c r="JK1106" s="18"/>
      <c r="JL1106" s="18"/>
      <c r="JM1106" s="18"/>
      <c r="JN1106" s="18"/>
      <c r="JO1106" s="18"/>
      <c r="JP1106" s="18"/>
      <c r="JQ1106" s="18"/>
      <c r="JR1106" s="18"/>
      <c r="JS1106" s="18"/>
      <c r="JT1106" s="18"/>
      <c r="JU1106" s="18"/>
      <c r="JV1106" s="18"/>
      <c r="JW1106" s="18"/>
      <c r="JX1106" s="18"/>
      <c r="JY1106" s="18"/>
      <c r="JZ1106" s="18"/>
      <c r="KA1106" s="18"/>
      <c r="KB1106" s="18"/>
      <c r="KC1106" s="18"/>
      <c r="KD1106" s="18"/>
      <c r="KE1106" s="18"/>
      <c r="KF1106" s="18"/>
      <c r="KG1106" s="18"/>
      <c r="KH1106" s="18"/>
      <c r="KI1106" s="18"/>
      <c r="KJ1106" s="18"/>
      <c r="KK1106" s="18"/>
      <c r="KL1106" s="18"/>
      <c r="KM1106" s="18"/>
      <c r="KN1106" s="18"/>
      <c r="KO1106" s="18"/>
      <c r="KP1106" s="18"/>
    </row>
    <row r="1107" spans="1:302">
      <c r="A1107" s="14"/>
      <c r="B1107" s="14"/>
      <c r="F1107" s="14"/>
      <c r="G1107" s="23"/>
      <c r="H1107" s="23"/>
      <c r="I1107" s="23"/>
      <c r="J1107" s="23"/>
      <c r="K1107" s="14"/>
      <c r="L1107" s="14"/>
      <c r="P1107" s="14"/>
      <c r="AG1107" s="44"/>
      <c r="AH1107" s="44"/>
      <c r="AI1107" s="45"/>
      <c r="AJ1107" s="44"/>
      <c r="AK1107" s="43"/>
      <c r="AS1107" s="14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  <c r="GK1107" s="18"/>
      <c r="GL1107" s="18"/>
      <c r="GM1107" s="18"/>
      <c r="GN1107" s="18"/>
      <c r="GO1107" s="18"/>
      <c r="GP1107" s="18"/>
      <c r="GQ1107" s="18"/>
      <c r="GR1107" s="18"/>
      <c r="GS1107" s="18"/>
      <c r="GT1107" s="18"/>
      <c r="GU1107" s="18"/>
      <c r="GV1107" s="18"/>
      <c r="GW1107" s="18"/>
      <c r="GX1107" s="18"/>
      <c r="GY1107" s="18"/>
      <c r="GZ1107" s="18"/>
      <c r="HA1107" s="18"/>
      <c r="HB1107" s="18"/>
      <c r="HC1107" s="18"/>
      <c r="HD1107" s="18"/>
      <c r="HE1107" s="18"/>
      <c r="HF1107" s="18"/>
      <c r="HG1107" s="13"/>
      <c r="HH1107" s="13"/>
      <c r="HI1107" s="13"/>
      <c r="HJ1107" s="13"/>
      <c r="HK1107" s="13"/>
      <c r="HL1107" s="13"/>
      <c r="HM1107" s="13"/>
      <c r="HN1107" s="13"/>
      <c r="HO1107" s="13"/>
      <c r="HP1107" s="13"/>
      <c r="HQ1107" s="13"/>
      <c r="HR1107" s="13"/>
      <c r="HS1107" s="13"/>
      <c r="HT1107" s="13"/>
      <c r="HU1107" s="18"/>
      <c r="HV1107" s="18"/>
      <c r="HW1107" s="18"/>
      <c r="HX1107" s="18"/>
      <c r="HY1107" s="18"/>
      <c r="HZ1107" s="18"/>
      <c r="IA1107" s="18"/>
      <c r="IB1107" s="18"/>
      <c r="IC1107" s="18"/>
      <c r="ID1107" s="18"/>
      <c r="IE1107" s="18"/>
      <c r="IF1107" s="18"/>
      <c r="IG1107" s="18"/>
      <c r="IH1107" s="18"/>
      <c r="II1107" s="18"/>
      <c r="IJ1107" s="18"/>
      <c r="IK1107" s="18"/>
      <c r="IL1107" s="18"/>
      <c r="IM1107" s="18"/>
      <c r="IN1107" s="18"/>
      <c r="IO1107" s="18"/>
      <c r="IP1107" s="18"/>
      <c r="IQ1107" s="18"/>
      <c r="IR1107" s="18"/>
      <c r="IS1107" s="18"/>
      <c r="IT1107" s="18"/>
      <c r="IU1107" s="18"/>
      <c r="IV1107" s="18"/>
      <c r="IW1107" s="18"/>
      <c r="IX1107" s="18"/>
      <c r="IY1107" s="18"/>
      <c r="IZ1107" s="18"/>
      <c r="JA1107" s="18"/>
      <c r="JB1107" s="18"/>
      <c r="JC1107" s="18"/>
      <c r="JD1107" s="18"/>
      <c r="JE1107" s="18"/>
      <c r="JF1107" s="18"/>
      <c r="JG1107" s="18"/>
      <c r="JH1107" s="18"/>
      <c r="JI1107" s="18"/>
      <c r="JJ1107" s="18"/>
      <c r="JK1107" s="18"/>
      <c r="JL1107" s="18"/>
      <c r="JM1107" s="18"/>
      <c r="JN1107" s="18"/>
      <c r="JO1107" s="18"/>
      <c r="JP1107" s="18"/>
      <c r="JQ1107" s="18"/>
      <c r="JR1107" s="18"/>
      <c r="JS1107" s="18"/>
      <c r="JT1107" s="18"/>
      <c r="JU1107" s="18"/>
      <c r="JV1107" s="18"/>
      <c r="JW1107" s="18"/>
      <c r="JX1107" s="18"/>
      <c r="JY1107" s="18"/>
      <c r="JZ1107" s="18"/>
      <c r="KA1107" s="18"/>
      <c r="KB1107" s="18"/>
      <c r="KC1107" s="18"/>
      <c r="KD1107" s="18"/>
      <c r="KE1107" s="18"/>
      <c r="KF1107" s="18"/>
      <c r="KG1107" s="18"/>
      <c r="KH1107" s="18"/>
      <c r="KI1107" s="18"/>
      <c r="KJ1107" s="18"/>
      <c r="KK1107" s="18"/>
      <c r="KL1107" s="18"/>
      <c r="KM1107" s="18"/>
      <c r="KN1107" s="18"/>
      <c r="KO1107" s="18"/>
      <c r="KP1107" s="18"/>
    </row>
    <row r="1108" spans="1:302">
      <c r="A1108" s="14"/>
      <c r="B1108" s="14"/>
      <c r="F1108" s="14"/>
      <c r="G1108" s="23"/>
      <c r="H1108" s="23"/>
      <c r="I1108" s="23"/>
      <c r="J1108" s="23"/>
      <c r="K1108" s="14"/>
      <c r="L1108" s="14"/>
      <c r="P1108" s="14"/>
      <c r="AG1108" s="44"/>
      <c r="AH1108" s="44"/>
      <c r="AI1108" s="45"/>
      <c r="AJ1108" s="44"/>
      <c r="AK1108" s="43"/>
      <c r="AS1108" s="14"/>
      <c r="AT1108" s="18"/>
      <c r="AU1108" s="18"/>
      <c r="AV1108" s="18"/>
      <c r="AW1108" s="18"/>
      <c r="AX1108" s="18"/>
      <c r="AY1108" s="18"/>
      <c r="AZ1108" s="18"/>
      <c r="BA1108" s="18"/>
      <c r="BB1108" s="18"/>
      <c r="BC1108" s="18"/>
      <c r="BD1108" s="18"/>
      <c r="BE1108" s="18"/>
      <c r="BF1108" s="18"/>
      <c r="BG1108" s="18"/>
      <c r="BH1108" s="18"/>
      <c r="BI1108" s="18"/>
      <c r="BJ1108" s="18"/>
      <c r="BK1108" s="18"/>
      <c r="BL1108" s="18"/>
      <c r="BM1108" s="18"/>
      <c r="BN1108" s="18"/>
      <c r="BO1108" s="18"/>
      <c r="BP1108" s="18"/>
      <c r="BQ1108" s="18"/>
      <c r="BR1108" s="18"/>
      <c r="BS1108" s="18"/>
      <c r="BT1108" s="18"/>
      <c r="BU1108" s="18"/>
      <c r="BV1108" s="18"/>
      <c r="BW1108" s="18"/>
      <c r="BX1108" s="18"/>
      <c r="BY1108" s="18"/>
      <c r="BZ1108" s="18"/>
      <c r="CA1108" s="18"/>
      <c r="CB1108" s="18"/>
      <c r="CC1108" s="18"/>
      <c r="CD1108" s="18"/>
      <c r="CE1108" s="18"/>
      <c r="CF1108" s="18"/>
      <c r="CG1108" s="18"/>
      <c r="CH1108" s="18"/>
      <c r="CI1108" s="18"/>
      <c r="CJ1108" s="18"/>
      <c r="CK1108" s="18"/>
      <c r="CL1108" s="18"/>
      <c r="CM1108" s="18"/>
      <c r="CN1108" s="18"/>
      <c r="CO1108" s="18"/>
      <c r="CP1108" s="18"/>
      <c r="CQ1108" s="18"/>
      <c r="CR1108" s="18"/>
      <c r="CS1108" s="18"/>
      <c r="CT1108" s="18"/>
      <c r="CU1108" s="18"/>
      <c r="CV1108" s="18"/>
      <c r="CW1108" s="18"/>
      <c r="CX1108" s="18"/>
      <c r="CY1108" s="18"/>
      <c r="CZ1108" s="18"/>
      <c r="DA1108" s="18"/>
      <c r="DB1108" s="18"/>
      <c r="DC1108" s="18"/>
      <c r="DD1108" s="18"/>
      <c r="DE1108" s="18"/>
      <c r="DF1108" s="18"/>
      <c r="DG1108" s="18"/>
      <c r="DH1108" s="18"/>
      <c r="DI1108" s="18"/>
      <c r="DJ1108" s="18"/>
      <c r="DK1108" s="18"/>
      <c r="DL1108" s="18"/>
      <c r="DM1108" s="18"/>
      <c r="DN1108" s="18"/>
      <c r="DO1108" s="18"/>
      <c r="DP1108" s="18"/>
      <c r="DQ1108" s="18"/>
      <c r="DR1108" s="18"/>
      <c r="DS1108" s="18"/>
      <c r="DT1108" s="18"/>
      <c r="DU1108" s="18"/>
      <c r="DV1108" s="18"/>
      <c r="DW1108" s="18"/>
      <c r="DX1108" s="18"/>
      <c r="DY1108" s="18"/>
      <c r="DZ1108" s="18"/>
      <c r="EA1108" s="18"/>
      <c r="EB1108" s="18"/>
      <c r="EC1108" s="18"/>
      <c r="ED1108" s="18"/>
      <c r="EE1108" s="18"/>
      <c r="EF1108" s="18"/>
      <c r="EG1108" s="18"/>
      <c r="EH1108" s="18"/>
      <c r="EI1108" s="18"/>
      <c r="EJ1108" s="18"/>
      <c r="EK1108" s="18"/>
      <c r="EL1108" s="18"/>
      <c r="EM1108" s="18"/>
      <c r="EN1108" s="18"/>
      <c r="EO1108" s="18"/>
      <c r="EP1108" s="18"/>
      <c r="EQ1108" s="18"/>
      <c r="ER1108" s="18"/>
      <c r="ES1108" s="18"/>
      <c r="ET1108" s="18"/>
      <c r="EU1108" s="18"/>
      <c r="EV1108" s="18"/>
      <c r="EW1108" s="18"/>
      <c r="EX1108" s="18"/>
      <c r="EY1108" s="18"/>
      <c r="EZ1108" s="18"/>
      <c r="FA1108" s="18"/>
      <c r="FB1108" s="18"/>
      <c r="FC1108" s="18"/>
      <c r="FD1108" s="18"/>
      <c r="FE1108" s="18"/>
      <c r="FF1108" s="18"/>
      <c r="FG1108" s="18"/>
      <c r="FH1108" s="18"/>
      <c r="FI1108" s="18"/>
      <c r="FJ1108" s="18"/>
      <c r="FK1108" s="18"/>
      <c r="FL1108" s="18"/>
      <c r="FM1108" s="18"/>
      <c r="FN1108" s="18"/>
      <c r="FO1108" s="18"/>
      <c r="FP1108" s="18"/>
      <c r="FQ1108" s="18"/>
      <c r="FR1108" s="18"/>
      <c r="FS1108" s="18"/>
      <c r="FT1108" s="18"/>
      <c r="FU1108" s="18"/>
      <c r="FV1108" s="18"/>
      <c r="FW1108" s="18"/>
      <c r="FX1108" s="18"/>
      <c r="FY1108" s="18"/>
      <c r="FZ1108" s="18"/>
      <c r="GA1108" s="18"/>
      <c r="GB1108" s="18"/>
      <c r="GC1108" s="18"/>
      <c r="GD1108" s="18"/>
      <c r="GE1108" s="18"/>
      <c r="GF1108" s="18"/>
      <c r="GG1108" s="18"/>
      <c r="GH1108" s="18"/>
      <c r="GI1108" s="18"/>
      <c r="GJ1108" s="18"/>
      <c r="GK1108" s="18"/>
      <c r="GL1108" s="18"/>
      <c r="GM1108" s="18"/>
      <c r="GN1108" s="18"/>
      <c r="GO1108" s="18"/>
      <c r="GP1108" s="18"/>
      <c r="GQ1108" s="18"/>
      <c r="GR1108" s="18"/>
      <c r="GS1108" s="18"/>
      <c r="GT1108" s="18"/>
      <c r="GU1108" s="18"/>
      <c r="GV1108" s="18"/>
      <c r="GW1108" s="18"/>
      <c r="GX1108" s="18"/>
      <c r="GY1108" s="18"/>
      <c r="GZ1108" s="18"/>
      <c r="HA1108" s="18"/>
      <c r="HB1108" s="18"/>
      <c r="HC1108" s="18"/>
      <c r="HD1108" s="18"/>
      <c r="HE1108" s="18"/>
      <c r="HF1108" s="18"/>
      <c r="HG1108" s="13"/>
      <c r="HH1108" s="13"/>
      <c r="HI1108" s="13"/>
      <c r="HJ1108" s="13"/>
      <c r="HK1108" s="13"/>
      <c r="HL1108" s="13"/>
      <c r="HM1108" s="13"/>
      <c r="HN1108" s="13"/>
      <c r="HO1108" s="13"/>
      <c r="HP1108" s="13"/>
      <c r="HQ1108" s="13"/>
      <c r="HR1108" s="13"/>
      <c r="HS1108" s="13"/>
      <c r="HT1108" s="13"/>
      <c r="HU1108" s="18"/>
      <c r="HV1108" s="18"/>
      <c r="HW1108" s="18"/>
      <c r="HX1108" s="18"/>
      <c r="HY1108" s="18"/>
      <c r="HZ1108" s="18"/>
      <c r="IA1108" s="18"/>
      <c r="IB1108" s="18"/>
      <c r="IC1108" s="18"/>
      <c r="ID1108" s="18"/>
      <c r="IE1108" s="18"/>
      <c r="IF1108" s="18"/>
      <c r="IG1108" s="18"/>
      <c r="IH1108" s="18"/>
      <c r="II1108" s="18"/>
      <c r="IJ1108" s="18"/>
      <c r="IK1108" s="18"/>
      <c r="IL1108" s="18"/>
      <c r="IM1108" s="18"/>
      <c r="IN1108" s="18"/>
      <c r="IO1108" s="18"/>
      <c r="IP1108" s="18"/>
      <c r="IQ1108" s="18"/>
      <c r="IR1108" s="18"/>
      <c r="IS1108" s="18"/>
      <c r="IT1108" s="18"/>
      <c r="IU1108" s="18"/>
      <c r="IV1108" s="18"/>
      <c r="IW1108" s="18"/>
      <c r="IX1108" s="18"/>
      <c r="IY1108" s="18"/>
      <c r="IZ1108" s="18"/>
      <c r="JA1108" s="18"/>
      <c r="JB1108" s="18"/>
      <c r="JC1108" s="18"/>
      <c r="JD1108" s="18"/>
      <c r="JE1108" s="18"/>
      <c r="JF1108" s="18"/>
      <c r="JG1108" s="18"/>
      <c r="JH1108" s="18"/>
      <c r="JI1108" s="18"/>
      <c r="JJ1108" s="18"/>
      <c r="JK1108" s="18"/>
      <c r="JL1108" s="18"/>
      <c r="JM1108" s="18"/>
      <c r="JN1108" s="18"/>
      <c r="JO1108" s="18"/>
      <c r="JP1108" s="18"/>
      <c r="JQ1108" s="18"/>
      <c r="JR1108" s="18"/>
      <c r="JS1108" s="18"/>
      <c r="JT1108" s="18"/>
      <c r="JU1108" s="18"/>
      <c r="JV1108" s="18"/>
      <c r="JW1108" s="18"/>
      <c r="JX1108" s="18"/>
      <c r="JY1108" s="18"/>
      <c r="JZ1108" s="18"/>
      <c r="KA1108" s="18"/>
      <c r="KB1108" s="18"/>
      <c r="KC1108" s="18"/>
      <c r="KD1108" s="18"/>
      <c r="KE1108" s="18"/>
      <c r="KF1108" s="18"/>
      <c r="KG1108" s="18"/>
      <c r="KH1108" s="18"/>
      <c r="KI1108" s="18"/>
      <c r="KJ1108" s="18"/>
      <c r="KK1108" s="18"/>
      <c r="KL1108" s="18"/>
      <c r="KM1108" s="18"/>
      <c r="KN1108" s="18"/>
      <c r="KO1108" s="18"/>
      <c r="KP1108" s="18"/>
    </row>
    <row r="1109" spans="1:302">
      <c r="A1109" s="14"/>
      <c r="B1109" s="14"/>
      <c r="F1109" s="14"/>
      <c r="G1109" s="23"/>
      <c r="H1109" s="23"/>
      <c r="I1109" s="23"/>
      <c r="J1109" s="23"/>
      <c r="K1109" s="14"/>
      <c r="L1109" s="14"/>
      <c r="P1109" s="14"/>
      <c r="AG1109" s="44"/>
      <c r="AH1109" s="44"/>
      <c r="AI1109" s="45"/>
      <c r="AJ1109" s="44"/>
      <c r="AK1109" s="43"/>
      <c r="AS1109" s="14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  <c r="EW1109" s="18"/>
      <c r="EX1109" s="18"/>
      <c r="EY1109" s="18"/>
      <c r="EZ1109" s="18"/>
      <c r="FA1109" s="18"/>
      <c r="FB1109" s="18"/>
      <c r="FC1109" s="18"/>
      <c r="FD1109" s="18"/>
      <c r="FE1109" s="18"/>
      <c r="FF1109" s="18"/>
      <c r="FG1109" s="18"/>
      <c r="FH1109" s="18"/>
      <c r="FI1109" s="18"/>
      <c r="FJ1109" s="18"/>
      <c r="FK1109" s="18"/>
      <c r="FL1109" s="18"/>
      <c r="FM1109" s="18"/>
      <c r="FN1109" s="18"/>
      <c r="FO1109" s="18"/>
      <c r="FP1109" s="18"/>
      <c r="FQ1109" s="18"/>
      <c r="FR1109" s="18"/>
      <c r="FS1109" s="18"/>
      <c r="FT1109" s="18"/>
      <c r="FU1109" s="18"/>
      <c r="FV1109" s="18"/>
      <c r="FW1109" s="18"/>
      <c r="FX1109" s="18"/>
      <c r="FY1109" s="18"/>
      <c r="FZ1109" s="18"/>
      <c r="GA1109" s="18"/>
      <c r="GB1109" s="18"/>
      <c r="GC1109" s="18"/>
      <c r="GD1109" s="18"/>
      <c r="GE1109" s="18"/>
      <c r="GF1109" s="18"/>
      <c r="GG1109" s="18"/>
      <c r="GH1109" s="18"/>
      <c r="GI1109" s="18"/>
      <c r="GJ1109" s="18"/>
      <c r="GK1109" s="18"/>
      <c r="GL1109" s="18"/>
      <c r="GM1109" s="18"/>
      <c r="GN1109" s="18"/>
      <c r="GO1109" s="18"/>
      <c r="GP1109" s="18"/>
      <c r="GQ1109" s="18"/>
      <c r="GR1109" s="18"/>
      <c r="GS1109" s="18"/>
      <c r="GT1109" s="18"/>
      <c r="GU1109" s="18"/>
      <c r="GV1109" s="18"/>
      <c r="GW1109" s="18"/>
      <c r="GX1109" s="18"/>
      <c r="GY1109" s="18"/>
      <c r="GZ1109" s="18"/>
      <c r="HA1109" s="18"/>
      <c r="HB1109" s="18"/>
      <c r="HC1109" s="18"/>
      <c r="HD1109" s="18"/>
      <c r="HE1109" s="18"/>
      <c r="HF1109" s="18"/>
      <c r="HG1109" s="13"/>
      <c r="HH1109" s="13"/>
      <c r="HI1109" s="13"/>
      <c r="HJ1109" s="13"/>
      <c r="HK1109" s="13"/>
      <c r="HL1109" s="13"/>
      <c r="HM1109" s="13"/>
      <c r="HN1109" s="13"/>
      <c r="HO1109" s="13"/>
      <c r="HP1109" s="13"/>
      <c r="HQ1109" s="13"/>
      <c r="HR1109" s="13"/>
      <c r="HS1109" s="13"/>
      <c r="HT1109" s="13"/>
      <c r="HU1109" s="18"/>
      <c r="HV1109" s="18"/>
      <c r="HW1109" s="18"/>
      <c r="HX1109" s="18"/>
      <c r="HY1109" s="18"/>
      <c r="HZ1109" s="18"/>
      <c r="IA1109" s="18"/>
      <c r="IB1109" s="18"/>
      <c r="IC1109" s="18"/>
      <c r="ID1109" s="18"/>
      <c r="IE1109" s="18"/>
      <c r="IF1109" s="18"/>
      <c r="IG1109" s="18"/>
      <c r="IH1109" s="18"/>
      <c r="II1109" s="18"/>
      <c r="IJ1109" s="18"/>
      <c r="IK1109" s="18"/>
      <c r="IL1109" s="18"/>
      <c r="IM1109" s="18"/>
      <c r="IN1109" s="18"/>
      <c r="IO1109" s="18"/>
      <c r="IP1109" s="18"/>
      <c r="IQ1109" s="18"/>
      <c r="IR1109" s="18"/>
      <c r="IS1109" s="18"/>
      <c r="IT1109" s="18"/>
      <c r="IU1109" s="18"/>
      <c r="IV1109" s="18"/>
      <c r="IW1109" s="18"/>
      <c r="IX1109" s="18"/>
      <c r="IY1109" s="18"/>
      <c r="IZ1109" s="18"/>
      <c r="JA1109" s="18"/>
      <c r="JB1109" s="18"/>
      <c r="JC1109" s="18"/>
      <c r="JD1109" s="18"/>
      <c r="JE1109" s="18"/>
      <c r="JF1109" s="18"/>
      <c r="JG1109" s="18"/>
      <c r="JH1109" s="18"/>
      <c r="JI1109" s="18"/>
      <c r="JJ1109" s="18"/>
      <c r="JK1109" s="18"/>
      <c r="JL1109" s="18"/>
      <c r="JM1109" s="18"/>
      <c r="JN1109" s="18"/>
      <c r="JO1109" s="18"/>
      <c r="JP1109" s="18"/>
      <c r="JQ1109" s="18"/>
      <c r="JR1109" s="18"/>
      <c r="JS1109" s="18"/>
      <c r="JT1109" s="18"/>
      <c r="JU1109" s="18"/>
      <c r="JV1109" s="18"/>
      <c r="JW1109" s="18"/>
      <c r="JX1109" s="18"/>
      <c r="JY1109" s="18"/>
      <c r="JZ1109" s="18"/>
      <c r="KA1109" s="18"/>
      <c r="KB1109" s="18"/>
      <c r="KC1109" s="18"/>
      <c r="KD1109" s="18"/>
      <c r="KE1109" s="18"/>
      <c r="KF1109" s="18"/>
      <c r="KG1109" s="18"/>
      <c r="KH1109" s="18"/>
      <c r="KI1109" s="18"/>
      <c r="KJ1109" s="18"/>
      <c r="KK1109" s="18"/>
      <c r="KL1109" s="18"/>
      <c r="KM1109" s="18"/>
      <c r="KN1109" s="18"/>
      <c r="KO1109" s="18"/>
      <c r="KP1109" s="18"/>
    </row>
    <row r="1110" spans="1:302">
      <c r="A1110" s="14"/>
      <c r="B1110" s="14"/>
      <c r="F1110" s="14"/>
      <c r="G1110" s="23"/>
      <c r="H1110" s="23"/>
      <c r="I1110" s="23"/>
      <c r="J1110" s="23"/>
      <c r="K1110" s="14"/>
      <c r="L1110" s="14"/>
      <c r="P1110" s="14"/>
      <c r="AG1110" s="44"/>
      <c r="AH1110" s="44"/>
      <c r="AI1110" s="45"/>
      <c r="AJ1110" s="44"/>
      <c r="AK1110" s="43"/>
      <c r="AS1110" s="14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  <c r="EW1110" s="18"/>
      <c r="EX1110" s="18"/>
      <c r="EY1110" s="18"/>
      <c r="EZ1110" s="18"/>
      <c r="FA1110" s="18"/>
      <c r="FB1110" s="18"/>
      <c r="FC1110" s="18"/>
      <c r="FD1110" s="18"/>
      <c r="FE1110" s="18"/>
      <c r="FF1110" s="18"/>
      <c r="FG1110" s="18"/>
      <c r="FH1110" s="18"/>
      <c r="FI1110" s="18"/>
      <c r="FJ1110" s="18"/>
      <c r="FK1110" s="18"/>
      <c r="FL1110" s="18"/>
      <c r="FM1110" s="18"/>
      <c r="FN1110" s="18"/>
      <c r="FO1110" s="18"/>
      <c r="FP1110" s="18"/>
      <c r="FQ1110" s="18"/>
      <c r="FR1110" s="18"/>
      <c r="FS1110" s="18"/>
      <c r="FT1110" s="18"/>
      <c r="FU1110" s="18"/>
      <c r="FV1110" s="18"/>
      <c r="FW1110" s="18"/>
      <c r="FX1110" s="18"/>
      <c r="FY1110" s="18"/>
      <c r="FZ1110" s="18"/>
      <c r="GA1110" s="18"/>
      <c r="GB1110" s="18"/>
      <c r="GC1110" s="18"/>
      <c r="GD1110" s="18"/>
      <c r="GE1110" s="18"/>
      <c r="GF1110" s="18"/>
      <c r="GG1110" s="18"/>
      <c r="GH1110" s="18"/>
      <c r="GI1110" s="18"/>
      <c r="GJ1110" s="18"/>
      <c r="GK1110" s="18"/>
      <c r="GL1110" s="18"/>
      <c r="GM1110" s="18"/>
      <c r="GN1110" s="18"/>
      <c r="GO1110" s="18"/>
      <c r="GP1110" s="18"/>
      <c r="GQ1110" s="18"/>
      <c r="GR1110" s="18"/>
      <c r="GS1110" s="18"/>
      <c r="GT1110" s="18"/>
      <c r="GU1110" s="18"/>
      <c r="GV1110" s="18"/>
      <c r="GW1110" s="18"/>
      <c r="GX1110" s="18"/>
      <c r="GY1110" s="18"/>
      <c r="GZ1110" s="18"/>
      <c r="HA1110" s="18"/>
      <c r="HB1110" s="18"/>
      <c r="HC1110" s="18"/>
      <c r="HD1110" s="18"/>
      <c r="HE1110" s="18"/>
      <c r="HF1110" s="18"/>
      <c r="HG1110" s="13"/>
      <c r="HH1110" s="13"/>
      <c r="HI1110" s="13"/>
      <c r="HJ1110" s="13"/>
      <c r="HK1110" s="13"/>
      <c r="HL1110" s="13"/>
      <c r="HM1110" s="13"/>
      <c r="HN1110" s="13"/>
      <c r="HO1110" s="13"/>
      <c r="HP1110" s="13"/>
      <c r="HQ1110" s="13"/>
      <c r="HR1110" s="13"/>
      <c r="HS1110" s="13"/>
      <c r="HT1110" s="13"/>
      <c r="HU1110" s="18"/>
      <c r="HV1110" s="18"/>
      <c r="HW1110" s="18"/>
      <c r="HX1110" s="18"/>
      <c r="HY1110" s="18"/>
      <c r="HZ1110" s="18"/>
      <c r="IA1110" s="18"/>
      <c r="IB1110" s="18"/>
      <c r="IC1110" s="18"/>
      <c r="ID1110" s="18"/>
      <c r="IE1110" s="18"/>
      <c r="IF1110" s="18"/>
      <c r="IG1110" s="18"/>
      <c r="IH1110" s="18"/>
      <c r="II1110" s="18"/>
      <c r="IJ1110" s="18"/>
      <c r="IK1110" s="18"/>
      <c r="IL1110" s="18"/>
      <c r="IM1110" s="18"/>
      <c r="IN1110" s="18"/>
      <c r="IO1110" s="18"/>
      <c r="IP1110" s="18"/>
      <c r="IQ1110" s="18"/>
      <c r="IR1110" s="18"/>
      <c r="IS1110" s="18"/>
      <c r="IT1110" s="18"/>
      <c r="IU1110" s="18"/>
      <c r="IV1110" s="18"/>
      <c r="IW1110" s="18"/>
      <c r="IX1110" s="18"/>
      <c r="IY1110" s="18"/>
      <c r="IZ1110" s="18"/>
      <c r="JA1110" s="18"/>
      <c r="JB1110" s="18"/>
      <c r="JC1110" s="18"/>
      <c r="JD1110" s="18"/>
      <c r="JE1110" s="18"/>
      <c r="JF1110" s="18"/>
      <c r="JG1110" s="18"/>
      <c r="JH1110" s="18"/>
      <c r="JI1110" s="18"/>
      <c r="JJ1110" s="18"/>
      <c r="JK1110" s="18"/>
      <c r="JL1110" s="18"/>
      <c r="JM1110" s="18"/>
      <c r="JN1110" s="18"/>
      <c r="JO1110" s="18"/>
      <c r="JP1110" s="18"/>
      <c r="JQ1110" s="18"/>
      <c r="JR1110" s="18"/>
      <c r="JS1110" s="18"/>
      <c r="JT1110" s="18"/>
      <c r="JU1110" s="18"/>
      <c r="JV1110" s="18"/>
      <c r="JW1110" s="18"/>
      <c r="JX1110" s="18"/>
      <c r="JY1110" s="18"/>
      <c r="JZ1110" s="18"/>
      <c r="KA1110" s="18"/>
      <c r="KB1110" s="18"/>
      <c r="KC1110" s="18"/>
      <c r="KD1110" s="18"/>
      <c r="KE1110" s="18"/>
      <c r="KF1110" s="18"/>
      <c r="KG1110" s="18"/>
      <c r="KH1110" s="18"/>
      <c r="KI1110" s="18"/>
      <c r="KJ1110" s="18"/>
      <c r="KK1110" s="18"/>
      <c r="KL1110" s="18"/>
      <c r="KM1110" s="18"/>
      <c r="KN1110" s="18"/>
      <c r="KO1110" s="18"/>
      <c r="KP1110" s="18"/>
    </row>
    <row r="1111" spans="1:302">
      <c r="A1111" s="14"/>
      <c r="B1111" s="14"/>
      <c r="F1111" s="14"/>
      <c r="G1111" s="23"/>
      <c r="H1111" s="23"/>
      <c r="I1111" s="23"/>
      <c r="J1111" s="23"/>
      <c r="K1111" s="14"/>
      <c r="L1111" s="14"/>
      <c r="P1111" s="14"/>
      <c r="AG1111" s="44"/>
      <c r="AH1111" s="44"/>
      <c r="AI1111" s="45"/>
      <c r="AJ1111" s="44"/>
      <c r="AK1111" s="43"/>
      <c r="AS1111" s="14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  <c r="EW1111" s="18"/>
      <c r="EX1111" s="18"/>
      <c r="EY1111" s="18"/>
      <c r="EZ1111" s="18"/>
      <c r="FA1111" s="18"/>
      <c r="FB1111" s="18"/>
      <c r="FC1111" s="18"/>
      <c r="FD1111" s="18"/>
      <c r="FE1111" s="18"/>
      <c r="FF1111" s="18"/>
      <c r="FG1111" s="18"/>
      <c r="FH1111" s="18"/>
      <c r="FI1111" s="18"/>
      <c r="FJ1111" s="18"/>
      <c r="FK1111" s="18"/>
      <c r="FL1111" s="18"/>
      <c r="FM1111" s="18"/>
      <c r="FN1111" s="18"/>
      <c r="FO1111" s="18"/>
      <c r="FP1111" s="18"/>
      <c r="FQ1111" s="18"/>
      <c r="FR1111" s="18"/>
      <c r="FS1111" s="18"/>
      <c r="FT1111" s="18"/>
      <c r="FU1111" s="18"/>
      <c r="FV1111" s="18"/>
      <c r="FW1111" s="18"/>
      <c r="FX1111" s="18"/>
      <c r="FY1111" s="18"/>
      <c r="FZ1111" s="18"/>
      <c r="GA1111" s="18"/>
      <c r="GB1111" s="18"/>
      <c r="GC1111" s="18"/>
      <c r="GD1111" s="18"/>
      <c r="GE1111" s="18"/>
      <c r="GF1111" s="18"/>
      <c r="GG1111" s="18"/>
      <c r="GH1111" s="18"/>
      <c r="GI1111" s="18"/>
      <c r="GJ1111" s="18"/>
      <c r="GK1111" s="18"/>
      <c r="GL1111" s="18"/>
      <c r="GM1111" s="18"/>
      <c r="GN1111" s="18"/>
      <c r="GO1111" s="18"/>
      <c r="GP1111" s="18"/>
      <c r="GQ1111" s="18"/>
      <c r="GR1111" s="18"/>
      <c r="GS1111" s="18"/>
      <c r="GT1111" s="18"/>
      <c r="GU1111" s="18"/>
      <c r="GV1111" s="18"/>
      <c r="GW1111" s="18"/>
      <c r="GX1111" s="18"/>
      <c r="GY1111" s="18"/>
      <c r="GZ1111" s="18"/>
      <c r="HA1111" s="18"/>
      <c r="HB1111" s="18"/>
      <c r="HC1111" s="18"/>
      <c r="HD1111" s="18"/>
      <c r="HE1111" s="18"/>
      <c r="HF1111" s="18"/>
      <c r="HG1111" s="13"/>
      <c r="HH1111" s="13"/>
      <c r="HI1111" s="13"/>
      <c r="HJ1111" s="13"/>
      <c r="HK1111" s="13"/>
      <c r="HL1111" s="13"/>
      <c r="HM1111" s="13"/>
      <c r="HN1111" s="13"/>
      <c r="HO1111" s="13"/>
      <c r="HP1111" s="13"/>
      <c r="HQ1111" s="13"/>
      <c r="HR1111" s="13"/>
      <c r="HS1111" s="13"/>
      <c r="HT1111" s="13"/>
      <c r="HU1111" s="18"/>
      <c r="HV1111" s="18"/>
      <c r="HW1111" s="18"/>
      <c r="HX1111" s="18"/>
      <c r="HY1111" s="18"/>
      <c r="HZ1111" s="18"/>
      <c r="IA1111" s="18"/>
      <c r="IB1111" s="18"/>
      <c r="IC1111" s="18"/>
      <c r="ID1111" s="18"/>
      <c r="IE1111" s="18"/>
      <c r="IF1111" s="18"/>
      <c r="IG1111" s="18"/>
      <c r="IH1111" s="18"/>
      <c r="II1111" s="18"/>
      <c r="IJ1111" s="18"/>
      <c r="IK1111" s="18"/>
      <c r="IL1111" s="18"/>
      <c r="IM1111" s="18"/>
      <c r="IN1111" s="18"/>
      <c r="IO1111" s="18"/>
      <c r="IP1111" s="18"/>
      <c r="IQ1111" s="18"/>
      <c r="IR1111" s="18"/>
      <c r="IS1111" s="18"/>
      <c r="IT1111" s="18"/>
      <c r="IU1111" s="18"/>
      <c r="IV1111" s="18"/>
      <c r="IW1111" s="18"/>
      <c r="IX1111" s="18"/>
      <c r="IY1111" s="18"/>
      <c r="IZ1111" s="18"/>
      <c r="JA1111" s="18"/>
      <c r="JB1111" s="18"/>
      <c r="JC1111" s="18"/>
      <c r="JD1111" s="18"/>
      <c r="JE1111" s="18"/>
      <c r="JF1111" s="18"/>
      <c r="JG1111" s="18"/>
      <c r="JH1111" s="18"/>
      <c r="JI1111" s="18"/>
      <c r="JJ1111" s="18"/>
      <c r="JK1111" s="18"/>
      <c r="JL1111" s="18"/>
      <c r="JM1111" s="18"/>
      <c r="JN1111" s="18"/>
      <c r="JO1111" s="18"/>
      <c r="JP1111" s="18"/>
      <c r="JQ1111" s="18"/>
      <c r="JR1111" s="18"/>
      <c r="JS1111" s="18"/>
      <c r="JT1111" s="18"/>
      <c r="JU1111" s="18"/>
      <c r="JV1111" s="18"/>
      <c r="JW1111" s="18"/>
      <c r="JX1111" s="18"/>
      <c r="JY1111" s="18"/>
      <c r="JZ1111" s="18"/>
      <c r="KA1111" s="18"/>
      <c r="KB1111" s="18"/>
      <c r="KC1111" s="18"/>
      <c r="KD1111" s="18"/>
      <c r="KE1111" s="18"/>
      <c r="KF1111" s="18"/>
      <c r="KG1111" s="18"/>
      <c r="KH1111" s="18"/>
      <c r="KI1111" s="18"/>
      <c r="KJ1111" s="18"/>
      <c r="KK1111" s="18"/>
      <c r="KL1111" s="18"/>
      <c r="KM1111" s="18"/>
      <c r="KN1111" s="18"/>
      <c r="KO1111" s="18"/>
      <c r="KP1111" s="18"/>
    </row>
    <row r="1112" spans="1:302">
      <c r="A1112" s="14"/>
      <c r="B1112" s="14"/>
      <c r="F1112" s="14"/>
      <c r="G1112" s="23"/>
      <c r="H1112" s="23"/>
      <c r="I1112" s="23"/>
      <c r="J1112" s="23"/>
      <c r="K1112" s="14"/>
      <c r="L1112" s="14"/>
      <c r="P1112" s="14"/>
      <c r="AG1112" s="44"/>
      <c r="AH1112" s="44"/>
      <c r="AI1112" s="45"/>
      <c r="AJ1112" s="44"/>
      <c r="AK1112" s="43"/>
      <c r="AS1112" s="14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  <c r="EW1112" s="18"/>
      <c r="EX1112" s="18"/>
      <c r="EY1112" s="18"/>
      <c r="EZ1112" s="18"/>
      <c r="FA1112" s="18"/>
      <c r="FB1112" s="18"/>
      <c r="FC1112" s="18"/>
      <c r="FD1112" s="18"/>
      <c r="FE1112" s="18"/>
      <c r="FF1112" s="18"/>
      <c r="FG1112" s="18"/>
      <c r="FH1112" s="18"/>
      <c r="FI1112" s="18"/>
      <c r="FJ1112" s="18"/>
      <c r="FK1112" s="18"/>
      <c r="FL1112" s="18"/>
      <c r="FM1112" s="18"/>
      <c r="FN1112" s="18"/>
      <c r="FO1112" s="18"/>
      <c r="FP1112" s="18"/>
      <c r="FQ1112" s="18"/>
      <c r="FR1112" s="18"/>
      <c r="FS1112" s="18"/>
      <c r="FT1112" s="18"/>
      <c r="FU1112" s="18"/>
      <c r="FV1112" s="18"/>
      <c r="FW1112" s="18"/>
      <c r="FX1112" s="18"/>
      <c r="FY1112" s="18"/>
      <c r="FZ1112" s="18"/>
      <c r="GA1112" s="18"/>
      <c r="GB1112" s="18"/>
      <c r="GC1112" s="18"/>
      <c r="GD1112" s="18"/>
      <c r="GE1112" s="18"/>
      <c r="GF1112" s="18"/>
      <c r="GG1112" s="18"/>
      <c r="GH1112" s="18"/>
      <c r="GI1112" s="18"/>
      <c r="GJ1112" s="18"/>
      <c r="GK1112" s="18"/>
      <c r="GL1112" s="18"/>
      <c r="GM1112" s="18"/>
      <c r="GN1112" s="18"/>
      <c r="GO1112" s="18"/>
      <c r="GP1112" s="18"/>
      <c r="GQ1112" s="18"/>
      <c r="GR1112" s="18"/>
      <c r="GS1112" s="18"/>
      <c r="GT1112" s="18"/>
      <c r="GU1112" s="18"/>
      <c r="GV1112" s="18"/>
      <c r="GW1112" s="18"/>
      <c r="GX1112" s="18"/>
      <c r="GY1112" s="18"/>
      <c r="GZ1112" s="18"/>
      <c r="HA1112" s="18"/>
      <c r="HB1112" s="18"/>
      <c r="HC1112" s="18"/>
      <c r="HD1112" s="18"/>
      <c r="HE1112" s="18"/>
      <c r="HF1112" s="18"/>
      <c r="HG1112" s="13"/>
      <c r="HH1112" s="13"/>
      <c r="HI1112" s="13"/>
      <c r="HJ1112" s="13"/>
      <c r="HK1112" s="13"/>
      <c r="HL1112" s="13"/>
      <c r="HM1112" s="13"/>
      <c r="HN1112" s="13"/>
      <c r="HO1112" s="13"/>
      <c r="HP1112" s="13"/>
      <c r="HQ1112" s="13"/>
      <c r="HR1112" s="13"/>
      <c r="HS1112" s="13"/>
      <c r="HT1112" s="13"/>
      <c r="HU1112" s="18"/>
      <c r="HV1112" s="18"/>
      <c r="HW1112" s="18"/>
      <c r="HX1112" s="18"/>
      <c r="HY1112" s="18"/>
      <c r="HZ1112" s="18"/>
      <c r="IA1112" s="18"/>
      <c r="IB1112" s="18"/>
      <c r="IC1112" s="18"/>
      <c r="ID1112" s="18"/>
      <c r="IE1112" s="18"/>
      <c r="IF1112" s="18"/>
      <c r="IG1112" s="18"/>
      <c r="IH1112" s="18"/>
      <c r="II1112" s="18"/>
      <c r="IJ1112" s="18"/>
      <c r="IK1112" s="18"/>
      <c r="IL1112" s="18"/>
      <c r="IM1112" s="18"/>
      <c r="IN1112" s="18"/>
      <c r="IO1112" s="18"/>
      <c r="IP1112" s="18"/>
      <c r="IQ1112" s="18"/>
      <c r="IR1112" s="18"/>
      <c r="IS1112" s="18"/>
      <c r="IT1112" s="18"/>
      <c r="IU1112" s="18"/>
      <c r="IV1112" s="18"/>
      <c r="IW1112" s="18"/>
      <c r="IX1112" s="18"/>
      <c r="IY1112" s="18"/>
      <c r="IZ1112" s="18"/>
      <c r="JA1112" s="18"/>
      <c r="JB1112" s="18"/>
      <c r="JC1112" s="18"/>
      <c r="JD1112" s="18"/>
      <c r="JE1112" s="18"/>
      <c r="JF1112" s="18"/>
      <c r="JG1112" s="18"/>
      <c r="JH1112" s="18"/>
      <c r="JI1112" s="18"/>
      <c r="JJ1112" s="18"/>
      <c r="JK1112" s="18"/>
      <c r="JL1112" s="18"/>
      <c r="JM1112" s="18"/>
      <c r="JN1112" s="18"/>
      <c r="JO1112" s="18"/>
      <c r="JP1112" s="18"/>
      <c r="JQ1112" s="18"/>
      <c r="JR1112" s="18"/>
      <c r="JS1112" s="18"/>
      <c r="JT1112" s="18"/>
      <c r="JU1112" s="18"/>
      <c r="JV1112" s="18"/>
      <c r="JW1112" s="18"/>
      <c r="JX1112" s="18"/>
      <c r="JY1112" s="18"/>
      <c r="JZ1112" s="18"/>
      <c r="KA1112" s="18"/>
      <c r="KB1112" s="18"/>
      <c r="KC1112" s="18"/>
      <c r="KD1112" s="18"/>
      <c r="KE1112" s="18"/>
      <c r="KF1112" s="18"/>
      <c r="KG1112" s="18"/>
      <c r="KH1112" s="18"/>
      <c r="KI1112" s="18"/>
      <c r="KJ1112" s="18"/>
      <c r="KK1112" s="18"/>
      <c r="KL1112" s="18"/>
      <c r="KM1112" s="18"/>
      <c r="KN1112" s="18"/>
      <c r="KO1112" s="18"/>
      <c r="KP1112" s="18"/>
    </row>
    <row r="1113" spans="1:302">
      <c r="A1113" s="14"/>
      <c r="B1113" s="14"/>
      <c r="F1113" s="14"/>
      <c r="G1113" s="23"/>
      <c r="H1113" s="23"/>
      <c r="I1113" s="23"/>
      <c r="J1113" s="23"/>
      <c r="K1113" s="14"/>
      <c r="L1113" s="14"/>
      <c r="P1113" s="14"/>
      <c r="AG1113" s="44"/>
      <c r="AH1113" s="44"/>
      <c r="AI1113" s="45"/>
      <c r="AJ1113" s="44"/>
      <c r="AK1113" s="43"/>
      <c r="AS1113" s="14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  <c r="EW1113" s="18"/>
      <c r="EX1113" s="18"/>
      <c r="EY1113" s="18"/>
      <c r="EZ1113" s="18"/>
      <c r="FA1113" s="18"/>
      <c r="FB1113" s="18"/>
      <c r="FC1113" s="18"/>
      <c r="FD1113" s="18"/>
      <c r="FE1113" s="18"/>
      <c r="FF1113" s="18"/>
      <c r="FG1113" s="18"/>
      <c r="FH1113" s="18"/>
      <c r="FI1113" s="18"/>
      <c r="FJ1113" s="18"/>
      <c r="FK1113" s="18"/>
      <c r="FL1113" s="18"/>
      <c r="FM1113" s="18"/>
      <c r="FN1113" s="18"/>
      <c r="FO1113" s="18"/>
      <c r="FP1113" s="18"/>
      <c r="FQ1113" s="18"/>
      <c r="FR1113" s="18"/>
      <c r="FS1113" s="18"/>
      <c r="FT1113" s="18"/>
      <c r="FU1113" s="18"/>
      <c r="FV1113" s="18"/>
      <c r="FW1113" s="18"/>
      <c r="FX1113" s="18"/>
      <c r="FY1113" s="18"/>
      <c r="FZ1113" s="18"/>
      <c r="GA1113" s="18"/>
      <c r="GB1113" s="18"/>
      <c r="GC1113" s="18"/>
      <c r="GD1113" s="18"/>
      <c r="GE1113" s="18"/>
      <c r="GF1113" s="18"/>
      <c r="GG1113" s="18"/>
      <c r="GH1113" s="18"/>
      <c r="GI1113" s="18"/>
      <c r="GJ1113" s="18"/>
      <c r="GK1113" s="18"/>
      <c r="GL1113" s="18"/>
      <c r="GM1113" s="18"/>
      <c r="GN1113" s="18"/>
      <c r="GO1113" s="18"/>
      <c r="GP1113" s="18"/>
      <c r="GQ1113" s="18"/>
      <c r="GR1113" s="18"/>
      <c r="GS1113" s="18"/>
      <c r="GT1113" s="18"/>
      <c r="GU1113" s="18"/>
      <c r="GV1113" s="18"/>
      <c r="GW1113" s="18"/>
      <c r="GX1113" s="18"/>
      <c r="GY1113" s="18"/>
      <c r="GZ1113" s="18"/>
      <c r="HA1113" s="18"/>
      <c r="HB1113" s="18"/>
      <c r="HC1113" s="18"/>
      <c r="HD1113" s="18"/>
      <c r="HE1113" s="18"/>
      <c r="HF1113" s="18"/>
      <c r="HG1113" s="13"/>
      <c r="HH1113" s="13"/>
      <c r="HI1113" s="13"/>
      <c r="HJ1113" s="13"/>
      <c r="HK1113" s="13"/>
      <c r="HL1113" s="13"/>
      <c r="HM1113" s="13"/>
      <c r="HN1113" s="13"/>
      <c r="HO1113" s="13"/>
      <c r="HP1113" s="13"/>
      <c r="HQ1113" s="13"/>
      <c r="HR1113" s="13"/>
      <c r="HS1113" s="13"/>
      <c r="HT1113" s="13"/>
      <c r="HU1113" s="18"/>
      <c r="HV1113" s="18"/>
      <c r="HW1113" s="18"/>
      <c r="HX1113" s="18"/>
      <c r="HY1113" s="18"/>
      <c r="HZ1113" s="18"/>
      <c r="IA1113" s="18"/>
      <c r="IB1113" s="18"/>
      <c r="IC1113" s="18"/>
      <c r="ID1113" s="18"/>
      <c r="IE1113" s="18"/>
      <c r="IF1113" s="18"/>
      <c r="IG1113" s="18"/>
      <c r="IH1113" s="18"/>
      <c r="II1113" s="18"/>
      <c r="IJ1113" s="18"/>
      <c r="IK1113" s="18"/>
      <c r="IL1113" s="18"/>
      <c r="IM1113" s="18"/>
      <c r="IN1113" s="18"/>
      <c r="IO1113" s="18"/>
      <c r="IP1113" s="18"/>
      <c r="IQ1113" s="18"/>
      <c r="IR1113" s="18"/>
      <c r="IS1113" s="18"/>
      <c r="IT1113" s="18"/>
      <c r="IU1113" s="18"/>
      <c r="IV1113" s="18"/>
      <c r="IW1113" s="18"/>
      <c r="IX1113" s="18"/>
      <c r="IY1113" s="18"/>
      <c r="IZ1113" s="18"/>
      <c r="JA1113" s="18"/>
      <c r="JB1113" s="18"/>
      <c r="JC1113" s="18"/>
      <c r="JD1113" s="18"/>
      <c r="JE1113" s="18"/>
      <c r="JF1113" s="18"/>
      <c r="JG1113" s="18"/>
      <c r="JH1113" s="18"/>
      <c r="JI1113" s="18"/>
      <c r="JJ1113" s="18"/>
      <c r="JK1113" s="18"/>
      <c r="JL1113" s="18"/>
      <c r="JM1113" s="18"/>
      <c r="JN1113" s="18"/>
      <c r="JO1113" s="18"/>
      <c r="JP1113" s="18"/>
      <c r="JQ1113" s="18"/>
      <c r="JR1113" s="18"/>
      <c r="JS1113" s="18"/>
      <c r="JT1113" s="18"/>
      <c r="JU1113" s="18"/>
      <c r="JV1113" s="18"/>
      <c r="JW1113" s="18"/>
      <c r="JX1113" s="18"/>
      <c r="JY1113" s="18"/>
      <c r="JZ1113" s="18"/>
      <c r="KA1113" s="18"/>
      <c r="KB1113" s="18"/>
      <c r="KC1113" s="18"/>
      <c r="KD1113" s="18"/>
      <c r="KE1113" s="18"/>
      <c r="KF1113" s="18"/>
      <c r="KG1113" s="18"/>
      <c r="KH1113" s="18"/>
      <c r="KI1113" s="18"/>
      <c r="KJ1113" s="18"/>
      <c r="KK1113" s="18"/>
      <c r="KL1113" s="18"/>
      <c r="KM1113" s="18"/>
      <c r="KN1113" s="18"/>
      <c r="KO1113" s="18"/>
      <c r="KP1113" s="18"/>
    </row>
    <row r="1114" spans="1:302">
      <c r="A1114" s="14"/>
      <c r="B1114" s="14"/>
      <c r="F1114" s="14"/>
      <c r="G1114" s="23"/>
      <c r="H1114" s="23"/>
      <c r="I1114" s="23"/>
      <c r="J1114" s="23"/>
      <c r="K1114" s="14"/>
      <c r="L1114" s="14"/>
      <c r="P1114" s="14"/>
      <c r="AG1114" s="44"/>
      <c r="AH1114" s="44"/>
      <c r="AI1114" s="45"/>
      <c r="AJ1114" s="44"/>
      <c r="AK1114" s="43"/>
      <c r="AS1114" s="14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  <c r="EW1114" s="18"/>
      <c r="EX1114" s="18"/>
      <c r="EY1114" s="18"/>
      <c r="EZ1114" s="18"/>
      <c r="FA1114" s="18"/>
      <c r="FB1114" s="18"/>
      <c r="FC1114" s="18"/>
      <c r="FD1114" s="18"/>
      <c r="FE1114" s="18"/>
      <c r="FF1114" s="18"/>
      <c r="FG1114" s="18"/>
      <c r="FH1114" s="18"/>
      <c r="FI1114" s="18"/>
      <c r="FJ1114" s="18"/>
      <c r="FK1114" s="18"/>
      <c r="FL1114" s="18"/>
      <c r="FM1114" s="18"/>
      <c r="FN1114" s="18"/>
      <c r="FO1114" s="18"/>
      <c r="FP1114" s="18"/>
      <c r="FQ1114" s="18"/>
      <c r="FR1114" s="18"/>
      <c r="FS1114" s="18"/>
      <c r="FT1114" s="18"/>
      <c r="FU1114" s="18"/>
      <c r="FV1114" s="18"/>
      <c r="FW1114" s="18"/>
      <c r="FX1114" s="18"/>
      <c r="FY1114" s="18"/>
      <c r="FZ1114" s="18"/>
      <c r="GA1114" s="18"/>
      <c r="GB1114" s="18"/>
      <c r="GC1114" s="18"/>
      <c r="GD1114" s="18"/>
      <c r="GE1114" s="18"/>
      <c r="GF1114" s="18"/>
      <c r="GG1114" s="18"/>
      <c r="GH1114" s="18"/>
      <c r="GI1114" s="18"/>
      <c r="GJ1114" s="18"/>
      <c r="GK1114" s="18"/>
      <c r="GL1114" s="18"/>
      <c r="GM1114" s="18"/>
      <c r="GN1114" s="18"/>
      <c r="GO1114" s="18"/>
      <c r="GP1114" s="18"/>
      <c r="GQ1114" s="18"/>
      <c r="GR1114" s="18"/>
      <c r="GS1114" s="18"/>
      <c r="GT1114" s="18"/>
      <c r="GU1114" s="18"/>
      <c r="GV1114" s="18"/>
      <c r="GW1114" s="18"/>
      <c r="GX1114" s="18"/>
      <c r="GY1114" s="18"/>
      <c r="GZ1114" s="18"/>
      <c r="HA1114" s="18"/>
      <c r="HB1114" s="18"/>
      <c r="HC1114" s="18"/>
      <c r="HD1114" s="18"/>
      <c r="HE1114" s="18"/>
      <c r="HF1114" s="18"/>
      <c r="HG1114" s="13"/>
      <c r="HH1114" s="13"/>
      <c r="HI1114" s="13"/>
      <c r="HJ1114" s="13"/>
      <c r="HK1114" s="13"/>
      <c r="HL1114" s="13"/>
      <c r="HM1114" s="13"/>
      <c r="HN1114" s="13"/>
      <c r="HO1114" s="13"/>
      <c r="HP1114" s="13"/>
      <c r="HQ1114" s="13"/>
      <c r="HR1114" s="13"/>
      <c r="HS1114" s="13"/>
      <c r="HT1114" s="13"/>
      <c r="HU1114" s="18"/>
      <c r="HV1114" s="18"/>
      <c r="HW1114" s="18"/>
      <c r="HX1114" s="18"/>
      <c r="HY1114" s="18"/>
      <c r="HZ1114" s="18"/>
      <c r="IA1114" s="18"/>
      <c r="IB1114" s="18"/>
      <c r="IC1114" s="18"/>
      <c r="ID1114" s="18"/>
      <c r="IE1114" s="18"/>
      <c r="IF1114" s="18"/>
      <c r="IG1114" s="18"/>
      <c r="IH1114" s="18"/>
      <c r="II1114" s="18"/>
      <c r="IJ1114" s="18"/>
      <c r="IK1114" s="18"/>
      <c r="IL1114" s="18"/>
      <c r="IM1114" s="18"/>
      <c r="IN1114" s="18"/>
      <c r="IO1114" s="18"/>
      <c r="IP1114" s="18"/>
      <c r="IQ1114" s="18"/>
      <c r="IR1114" s="18"/>
      <c r="IS1114" s="18"/>
      <c r="IT1114" s="18"/>
      <c r="IU1114" s="18"/>
      <c r="IV1114" s="18"/>
      <c r="IW1114" s="18"/>
      <c r="IX1114" s="18"/>
      <c r="IY1114" s="18"/>
      <c r="IZ1114" s="18"/>
      <c r="JA1114" s="18"/>
      <c r="JB1114" s="18"/>
      <c r="JC1114" s="18"/>
      <c r="JD1114" s="18"/>
      <c r="JE1114" s="18"/>
      <c r="JF1114" s="18"/>
      <c r="JG1114" s="18"/>
      <c r="JH1114" s="18"/>
      <c r="JI1114" s="18"/>
      <c r="JJ1114" s="18"/>
      <c r="JK1114" s="18"/>
      <c r="JL1114" s="18"/>
      <c r="JM1114" s="18"/>
      <c r="JN1114" s="18"/>
      <c r="JO1114" s="18"/>
      <c r="JP1114" s="18"/>
      <c r="JQ1114" s="18"/>
      <c r="JR1114" s="18"/>
      <c r="JS1114" s="18"/>
      <c r="JT1114" s="18"/>
      <c r="JU1114" s="18"/>
      <c r="JV1114" s="18"/>
      <c r="JW1114" s="18"/>
      <c r="JX1114" s="18"/>
      <c r="JY1114" s="18"/>
      <c r="JZ1114" s="18"/>
      <c r="KA1114" s="18"/>
      <c r="KB1114" s="18"/>
      <c r="KC1114" s="18"/>
      <c r="KD1114" s="18"/>
      <c r="KE1114" s="18"/>
      <c r="KF1114" s="18"/>
      <c r="KG1114" s="18"/>
      <c r="KH1114" s="18"/>
      <c r="KI1114" s="18"/>
      <c r="KJ1114" s="18"/>
      <c r="KK1114" s="18"/>
      <c r="KL1114" s="18"/>
      <c r="KM1114" s="18"/>
      <c r="KN1114" s="18"/>
      <c r="KO1114" s="18"/>
      <c r="KP1114" s="18"/>
    </row>
    <row r="1115" spans="1:302">
      <c r="A1115" s="14"/>
      <c r="B1115" s="14"/>
      <c r="F1115" s="14"/>
      <c r="G1115" s="23"/>
      <c r="H1115" s="23"/>
      <c r="I1115" s="23"/>
      <c r="J1115" s="23"/>
      <c r="K1115" s="14"/>
      <c r="L1115" s="14"/>
      <c r="P1115" s="14"/>
      <c r="AG1115" s="44"/>
      <c r="AH1115" s="44"/>
      <c r="AI1115" s="45"/>
      <c r="AJ1115" s="44"/>
      <c r="AK1115" s="43"/>
      <c r="AS1115" s="14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  <c r="EW1115" s="18"/>
      <c r="EX1115" s="18"/>
      <c r="EY1115" s="18"/>
      <c r="EZ1115" s="18"/>
      <c r="FA1115" s="18"/>
      <c r="FB1115" s="18"/>
      <c r="FC1115" s="18"/>
      <c r="FD1115" s="18"/>
      <c r="FE1115" s="18"/>
      <c r="FF1115" s="18"/>
      <c r="FG1115" s="18"/>
      <c r="FH1115" s="18"/>
      <c r="FI1115" s="18"/>
      <c r="FJ1115" s="18"/>
      <c r="FK1115" s="18"/>
      <c r="FL1115" s="18"/>
      <c r="FM1115" s="18"/>
      <c r="FN1115" s="18"/>
      <c r="FO1115" s="18"/>
      <c r="FP1115" s="18"/>
      <c r="FQ1115" s="18"/>
      <c r="FR1115" s="18"/>
      <c r="FS1115" s="18"/>
      <c r="FT1115" s="18"/>
      <c r="FU1115" s="18"/>
      <c r="FV1115" s="18"/>
      <c r="FW1115" s="18"/>
      <c r="FX1115" s="18"/>
      <c r="FY1115" s="18"/>
      <c r="FZ1115" s="18"/>
      <c r="GA1115" s="18"/>
      <c r="GB1115" s="18"/>
      <c r="GC1115" s="18"/>
      <c r="GD1115" s="18"/>
      <c r="GE1115" s="18"/>
      <c r="GF1115" s="18"/>
      <c r="GG1115" s="18"/>
      <c r="GH1115" s="18"/>
      <c r="GI1115" s="18"/>
      <c r="GJ1115" s="18"/>
      <c r="GK1115" s="18"/>
      <c r="GL1115" s="18"/>
      <c r="GM1115" s="18"/>
      <c r="GN1115" s="18"/>
      <c r="GO1115" s="18"/>
      <c r="GP1115" s="18"/>
      <c r="GQ1115" s="18"/>
      <c r="GR1115" s="18"/>
      <c r="GS1115" s="18"/>
      <c r="GT1115" s="18"/>
      <c r="GU1115" s="18"/>
      <c r="GV1115" s="18"/>
      <c r="GW1115" s="18"/>
      <c r="GX1115" s="18"/>
      <c r="GY1115" s="18"/>
      <c r="GZ1115" s="18"/>
      <c r="HA1115" s="18"/>
      <c r="HB1115" s="18"/>
      <c r="HC1115" s="18"/>
      <c r="HD1115" s="18"/>
      <c r="HE1115" s="18"/>
      <c r="HF1115" s="18"/>
      <c r="HG1115" s="13"/>
      <c r="HH1115" s="13"/>
      <c r="HI1115" s="13"/>
      <c r="HJ1115" s="13"/>
      <c r="HK1115" s="13"/>
      <c r="HL1115" s="13"/>
      <c r="HM1115" s="13"/>
      <c r="HN1115" s="13"/>
      <c r="HO1115" s="13"/>
      <c r="HP1115" s="13"/>
      <c r="HQ1115" s="13"/>
      <c r="HR1115" s="13"/>
      <c r="HS1115" s="13"/>
      <c r="HT1115" s="13"/>
      <c r="HU1115" s="18"/>
      <c r="HV1115" s="18"/>
      <c r="HW1115" s="18"/>
      <c r="HX1115" s="18"/>
      <c r="HY1115" s="18"/>
      <c r="HZ1115" s="18"/>
      <c r="IA1115" s="18"/>
      <c r="IB1115" s="18"/>
      <c r="IC1115" s="18"/>
      <c r="ID1115" s="18"/>
      <c r="IE1115" s="18"/>
      <c r="IF1115" s="18"/>
      <c r="IG1115" s="18"/>
      <c r="IH1115" s="18"/>
      <c r="II1115" s="18"/>
      <c r="IJ1115" s="18"/>
      <c r="IK1115" s="18"/>
      <c r="IL1115" s="18"/>
      <c r="IM1115" s="18"/>
      <c r="IN1115" s="18"/>
      <c r="IO1115" s="18"/>
      <c r="IP1115" s="18"/>
      <c r="IQ1115" s="18"/>
      <c r="IR1115" s="18"/>
      <c r="IS1115" s="18"/>
      <c r="IT1115" s="18"/>
      <c r="IU1115" s="18"/>
      <c r="IV1115" s="18"/>
      <c r="IW1115" s="18"/>
      <c r="IX1115" s="18"/>
      <c r="IY1115" s="18"/>
      <c r="IZ1115" s="18"/>
      <c r="JA1115" s="18"/>
      <c r="JB1115" s="18"/>
      <c r="JC1115" s="18"/>
      <c r="JD1115" s="18"/>
      <c r="JE1115" s="18"/>
      <c r="JF1115" s="18"/>
      <c r="JG1115" s="18"/>
      <c r="JH1115" s="18"/>
      <c r="JI1115" s="18"/>
      <c r="JJ1115" s="18"/>
      <c r="JK1115" s="18"/>
      <c r="JL1115" s="18"/>
      <c r="JM1115" s="18"/>
      <c r="JN1115" s="18"/>
      <c r="JO1115" s="18"/>
      <c r="JP1115" s="18"/>
      <c r="JQ1115" s="18"/>
      <c r="JR1115" s="18"/>
      <c r="JS1115" s="18"/>
      <c r="JT1115" s="18"/>
      <c r="JU1115" s="18"/>
      <c r="JV1115" s="18"/>
      <c r="JW1115" s="18"/>
      <c r="JX1115" s="18"/>
      <c r="JY1115" s="18"/>
      <c r="JZ1115" s="18"/>
      <c r="KA1115" s="18"/>
      <c r="KB1115" s="18"/>
      <c r="KC1115" s="18"/>
      <c r="KD1115" s="18"/>
      <c r="KE1115" s="18"/>
      <c r="KF1115" s="18"/>
      <c r="KG1115" s="18"/>
      <c r="KH1115" s="18"/>
      <c r="KI1115" s="18"/>
      <c r="KJ1115" s="18"/>
      <c r="KK1115" s="18"/>
      <c r="KL1115" s="18"/>
      <c r="KM1115" s="18"/>
      <c r="KN1115" s="18"/>
      <c r="KO1115" s="18"/>
      <c r="KP1115" s="18"/>
    </row>
    <row r="1116" spans="1:302">
      <c r="A1116" s="14"/>
      <c r="B1116" s="14"/>
      <c r="F1116" s="14"/>
      <c r="G1116" s="23"/>
      <c r="H1116" s="23"/>
      <c r="I1116" s="23"/>
      <c r="J1116" s="23"/>
      <c r="K1116" s="14"/>
      <c r="L1116" s="14"/>
      <c r="P1116" s="14"/>
      <c r="AG1116" s="44"/>
      <c r="AH1116" s="44"/>
      <c r="AI1116" s="45"/>
      <c r="AJ1116" s="44"/>
      <c r="AK1116" s="43"/>
      <c r="AS1116" s="14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  <c r="EW1116" s="18"/>
      <c r="EX1116" s="18"/>
      <c r="EY1116" s="18"/>
      <c r="EZ1116" s="18"/>
      <c r="FA1116" s="18"/>
      <c r="FB1116" s="18"/>
      <c r="FC1116" s="18"/>
      <c r="FD1116" s="18"/>
      <c r="FE1116" s="18"/>
      <c r="FF1116" s="18"/>
      <c r="FG1116" s="18"/>
      <c r="FH1116" s="18"/>
      <c r="FI1116" s="18"/>
      <c r="FJ1116" s="18"/>
      <c r="FK1116" s="18"/>
      <c r="FL1116" s="18"/>
      <c r="FM1116" s="18"/>
      <c r="FN1116" s="18"/>
      <c r="FO1116" s="18"/>
      <c r="FP1116" s="18"/>
      <c r="FQ1116" s="18"/>
      <c r="FR1116" s="18"/>
      <c r="FS1116" s="18"/>
      <c r="FT1116" s="18"/>
      <c r="FU1116" s="18"/>
      <c r="FV1116" s="18"/>
      <c r="FW1116" s="18"/>
      <c r="FX1116" s="18"/>
      <c r="FY1116" s="18"/>
      <c r="FZ1116" s="18"/>
      <c r="GA1116" s="18"/>
      <c r="GB1116" s="18"/>
      <c r="GC1116" s="18"/>
      <c r="GD1116" s="18"/>
      <c r="GE1116" s="18"/>
      <c r="GF1116" s="18"/>
      <c r="GG1116" s="18"/>
      <c r="GH1116" s="18"/>
      <c r="GI1116" s="18"/>
      <c r="GJ1116" s="18"/>
      <c r="GK1116" s="18"/>
      <c r="GL1116" s="18"/>
      <c r="GM1116" s="18"/>
      <c r="GN1116" s="18"/>
      <c r="GO1116" s="18"/>
      <c r="GP1116" s="18"/>
      <c r="GQ1116" s="18"/>
      <c r="GR1116" s="18"/>
      <c r="GS1116" s="18"/>
      <c r="GT1116" s="18"/>
      <c r="GU1116" s="18"/>
      <c r="GV1116" s="18"/>
      <c r="GW1116" s="18"/>
      <c r="GX1116" s="18"/>
      <c r="GY1116" s="18"/>
      <c r="GZ1116" s="18"/>
      <c r="HA1116" s="18"/>
      <c r="HB1116" s="18"/>
      <c r="HC1116" s="18"/>
      <c r="HD1116" s="18"/>
      <c r="HE1116" s="18"/>
      <c r="HF1116" s="18"/>
      <c r="HG1116" s="13"/>
      <c r="HH1116" s="13"/>
      <c r="HI1116" s="13"/>
      <c r="HJ1116" s="13"/>
      <c r="HK1116" s="13"/>
      <c r="HL1116" s="13"/>
      <c r="HM1116" s="13"/>
      <c r="HN1116" s="13"/>
      <c r="HO1116" s="13"/>
      <c r="HP1116" s="13"/>
      <c r="HQ1116" s="13"/>
      <c r="HR1116" s="13"/>
      <c r="HS1116" s="13"/>
      <c r="HT1116" s="13"/>
      <c r="HU1116" s="18"/>
      <c r="HV1116" s="18"/>
      <c r="HW1116" s="18"/>
      <c r="HX1116" s="18"/>
      <c r="HY1116" s="18"/>
      <c r="HZ1116" s="18"/>
      <c r="IA1116" s="18"/>
      <c r="IB1116" s="18"/>
      <c r="IC1116" s="18"/>
      <c r="ID1116" s="18"/>
      <c r="IE1116" s="18"/>
      <c r="IF1116" s="18"/>
      <c r="IG1116" s="18"/>
      <c r="IH1116" s="18"/>
      <c r="II1116" s="18"/>
      <c r="IJ1116" s="18"/>
      <c r="IK1116" s="18"/>
      <c r="IL1116" s="18"/>
      <c r="IM1116" s="18"/>
      <c r="IN1116" s="18"/>
      <c r="IO1116" s="18"/>
      <c r="IP1116" s="18"/>
      <c r="IQ1116" s="18"/>
      <c r="IR1116" s="18"/>
      <c r="IS1116" s="18"/>
      <c r="IT1116" s="18"/>
      <c r="IU1116" s="18"/>
      <c r="IV1116" s="18"/>
      <c r="IW1116" s="18"/>
      <c r="IX1116" s="18"/>
      <c r="IY1116" s="18"/>
      <c r="IZ1116" s="18"/>
      <c r="JA1116" s="18"/>
      <c r="JB1116" s="18"/>
      <c r="JC1116" s="18"/>
      <c r="JD1116" s="18"/>
      <c r="JE1116" s="18"/>
      <c r="JF1116" s="18"/>
      <c r="JG1116" s="18"/>
      <c r="JH1116" s="18"/>
      <c r="JI1116" s="18"/>
      <c r="JJ1116" s="18"/>
      <c r="JK1116" s="18"/>
      <c r="JL1116" s="18"/>
      <c r="JM1116" s="18"/>
      <c r="JN1116" s="18"/>
      <c r="JO1116" s="18"/>
      <c r="JP1116" s="18"/>
      <c r="JQ1116" s="18"/>
      <c r="JR1116" s="18"/>
      <c r="JS1116" s="18"/>
      <c r="JT1116" s="18"/>
      <c r="JU1116" s="18"/>
      <c r="JV1116" s="18"/>
      <c r="JW1116" s="18"/>
      <c r="JX1116" s="18"/>
      <c r="JY1116" s="18"/>
      <c r="JZ1116" s="18"/>
      <c r="KA1116" s="18"/>
      <c r="KB1116" s="18"/>
      <c r="KC1116" s="18"/>
      <c r="KD1116" s="18"/>
      <c r="KE1116" s="18"/>
      <c r="KF1116" s="18"/>
      <c r="KG1116" s="18"/>
      <c r="KH1116" s="18"/>
      <c r="KI1116" s="18"/>
      <c r="KJ1116" s="18"/>
      <c r="KK1116" s="18"/>
      <c r="KL1116" s="18"/>
      <c r="KM1116" s="18"/>
      <c r="KN1116" s="18"/>
      <c r="KO1116" s="18"/>
      <c r="KP1116" s="18"/>
    </row>
    <row r="1117" spans="1:302">
      <c r="A1117" s="14"/>
      <c r="B1117" s="14"/>
      <c r="F1117" s="14"/>
      <c r="G1117" s="23"/>
      <c r="H1117" s="23"/>
      <c r="I1117" s="23"/>
      <c r="J1117" s="23"/>
      <c r="K1117" s="14"/>
      <c r="L1117" s="14"/>
      <c r="P1117" s="14"/>
      <c r="AG1117" s="44"/>
      <c r="AH1117" s="44"/>
      <c r="AI1117" s="45"/>
      <c r="AJ1117" s="44"/>
      <c r="AK1117" s="43"/>
      <c r="AS1117" s="14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  <c r="EW1117" s="18"/>
      <c r="EX1117" s="18"/>
      <c r="EY1117" s="18"/>
      <c r="EZ1117" s="18"/>
      <c r="FA1117" s="18"/>
      <c r="FB1117" s="18"/>
      <c r="FC1117" s="18"/>
      <c r="FD1117" s="18"/>
      <c r="FE1117" s="18"/>
      <c r="FF1117" s="18"/>
      <c r="FG1117" s="18"/>
      <c r="FH1117" s="18"/>
      <c r="FI1117" s="18"/>
      <c r="FJ1117" s="18"/>
      <c r="FK1117" s="18"/>
      <c r="FL1117" s="18"/>
      <c r="FM1117" s="18"/>
      <c r="FN1117" s="18"/>
      <c r="FO1117" s="18"/>
      <c r="FP1117" s="18"/>
      <c r="FQ1117" s="18"/>
      <c r="FR1117" s="18"/>
      <c r="FS1117" s="18"/>
      <c r="FT1117" s="18"/>
      <c r="FU1117" s="18"/>
      <c r="FV1117" s="18"/>
      <c r="FW1117" s="18"/>
      <c r="FX1117" s="18"/>
      <c r="FY1117" s="18"/>
      <c r="FZ1117" s="18"/>
      <c r="GA1117" s="18"/>
      <c r="GB1117" s="18"/>
      <c r="GC1117" s="18"/>
      <c r="GD1117" s="18"/>
      <c r="GE1117" s="18"/>
      <c r="GF1117" s="18"/>
      <c r="GG1117" s="18"/>
      <c r="GH1117" s="18"/>
      <c r="GI1117" s="18"/>
      <c r="GJ1117" s="18"/>
      <c r="GK1117" s="18"/>
      <c r="GL1117" s="18"/>
      <c r="GM1117" s="18"/>
      <c r="GN1117" s="18"/>
      <c r="GO1117" s="18"/>
      <c r="GP1117" s="18"/>
      <c r="GQ1117" s="18"/>
      <c r="GR1117" s="18"/>
      <c r="GS1117" s="18"/>
      <c r="GT1117" s="18"/>
      <c r="GU1117" s="18"/>
      <c r="GV1117" s="18"/>
      <c r="GW1117" s="18"/>
      <c r="GX1117" s="18"/>
      <c r="GY1117" s="18"/>
      <c r="GZ1117" s="18"/>
      <c r="HA1117" s="18"/>
      <c r="HB1117" s="18"/>
      <c r="HC1117" s="18"/>
      <c r="HD1117" s="18"/>
      <c r="HE1117" s="18"/>
      <c r="HF1117" s="18"/>
      <c r="HG1117" s="13"/>
      <c r="HH1117" s="13"/>
      <c r="HI1117" s="13"/>
      <c r="HJ1117" s="13"/>
      <c r="HK1117" s="13"/>
      <c r="HL1117" s="13"/>
      <c r="HM1117" s="13"/>
      <c r="HN1117" s="13"/>
      <c r="HO1117" s="13"/>
      <c r="HP1117" s="13"/>
      <c r="HQ1117" s="13"/>
      <c r="HR1117" s="13"/>
      <c r="HS1117" s="13"/>
      <c r="HT1117" s="13"/>
      <c r="HU1117" s="18"/>
      <c r="HV1117" s="18"/>
      <c r="HW1117" s="18"/>
      <c r="HX1117" s="18"/>
      <c r="HY1117" s="18"/>
      <c r="HZ1117" s="18"/>
      <c r="IA1117" s="18"/>
      <c r="IB1117" s="18"/>
      <c r="IC1117" s="18"/>
      <c r="ID1117" s="18"/>
      <c r="IE1117" s="18"/>
      <c r="IF1117" s="18"/>
      <c r="IG1117" s="18"/>
      <c r="IH1117" s="18"/>
      <c r="II1117" s="18"/>
      <c r="IJ1117" s="18"/>
      <c r="IK1117" s="18"/>
      <c r="IL1117" s="18"/>
      <c r="IM1117" s="18"/>
      <c r="IN1117" s="18"/>
      <c r="IO1117" s="18"/>
      <c r="IP1117" s="18"/>
      <c r="IQ1117" s="18"/>
      <c r="IR1117" s="18"/>
      <c r="IS1117" s="18"/>
      <c r="IT1117" s="18"/>
      <c r="IU1117" s="18"/>
      <c r="IV1117" s="18"/>
      <c r="IW1117" s="18"/>
      <c r="IX1117" s="18"/>
      <c r="IY1117" s="18"/>
      <c r="IZ1117" s="18"/>
      <c r="JA1117" s="18"/>
      <c r="JB1117" s="18"/>
      <c r="JC1117" s="18"/>
      <c r="JD1117" s="18"/>
      <c r="JE1117" s="18"/>
      <c r="JF1117" s="18"/>
      <c r="JG1117" s="18"/>
      <c r="JH1117" s="18"/>
      <c r="JI1117" s="18"/>
      <c r="JJ1117" s="18"/>
      <c r="JK1117" s="18"/>
      <c r="JL1117" s="18"/>
      <c r="JM1117" s="18"/>
      <c r="JN1117" s="18"/>
      <c r="JO1117" s="18"/>
      <c r="JP1117" s="18"/>
      <c r="JQ1117" s="18"/>
      <c r="JR1117" s="18"/>
      <c r="JS1117" s="18"/>
      <c r="JT1117" s="18"/>
      <c r="JU1117" s="18"/>
      <c r="JV1117" s="18"/>
      <c r="JW1117" s="18"/>
      <c r="JX1117" s="18"/>
      <c r="JY1117" s="18"/>
      <c r="JZ1117" s="18"/>
      <c r="KA1117" s="18"/>
      <c r="KB1117" s="18"/>
      <c r="KC1117" s="18"/>
      <c r="KD1117" s="18"/>
      <c r="KE1117" s="18"/>
      <c r="KF1117" s="18"/>
      <c r="KG1117" s="18"/>
      <c r="KH1117" s="18"/>
      <c r="KI1117" s="18"/>
      <c r="KJ1117" s="18"/>
      <c r="KK1117" s="18"/>
      <c r="KL1117" s="18"/>
      <c r="KM1117" s="18"/>
      <c r="KN1117" s="18"/>
      <c r="KO1117" s="18"/>
      <c r="KP1117" s="18"/>
    </row>
    <row r="1118" spans="1:302">
      <c r="A1118" s="14"/>
      <c r="B1118" s="14"/>
      <c r="F1118" s="14"/>
      <c r="G1118" s="23"/>
      <c r="H1118" s="23"/>
      <c r="I1118" s="23"/>
      <c r="J1118" s="23"/>
      <c r="K1118" s="14"/>
      <c r="L1118" s="14"/>
      <c r="P1118" s="14"/>
      <c r="AG1118" s="44"/>
      <c r="AH1118" s="44"/>
      <c r="AI1118" s="45"/>
      <c r="AJ1118" s="44"/>
      <c r="AK1118" s="43"/>
      <c r="AS1118" s="14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  <c r="EW1118" s="18"/>
      <c r="EX1118" s="18"/>
      <c r="EY1118" s="18"/>
      <c r="EZ1118" s="18"/>
      <c r="FA1118" s="18"/>
      <c r="FB1118" s="18"/>
      <c r="FC1118" s="18"/>
      <c r="FD1118" s="18"/>
      <c r="FE1118" s="18"/>
      <c r="FF1118" s="18"/>
      <c r="FG1118" s="18"/>
      <c r="FH1118" s="18"/>
      <c r="FI1118" s="18"/>
      <c r="FJ1118" s="18"/>
      <c r="FK1118" s="18"/>
      <c r="FL1118" s="18"/>
      <c r="FM1118" s="18"/>
      <c r="FN1118" s="18"/>
      <c r="FO1118" s="18"/>
      <c r="FP1118" s="18"/>
      <c r="FQ1118" s="18"/>
      <c r="FR1118" s="18"/>
      <c r="FS1118" s="18"/>
      <c r="FT1118" s="18"/>
      <c r="FU1118" s="18"/>
      <c r="FV1118" s="18"/>
      <c r="FW1118" s="18"/>
      <c r="FX1118" s="18"/>
      <c r="FY1118" s="18"/>
      <c r="FZ1118" s="18"/>
      <c r="GA1118" s="18"/>
      <c r="GB1118" s="18"/>
      <c r="GC1118" s="18"/>
      <c r="GD1118" s="18"/>
      <c r="GE1118" s="18"/>
      <c r="GF1118" s="18"/>
      <c r="GG1118" s="18"/>
      <c r="GH1118" s="18"/>
      <c r="GI1118" s="18"/>
      <c r="GJ1118" s="18"/>
      <c r="GK1118" s="18"/>
      <c r="GL1118" s="18"/>
      <c r="GM1118" s="18"/>
      <c r="GN1118" s="18"/>
      <c r="GO1118" s="18"/>
      <c r="GP1118" s="18"/>
      <c r="GQ1118" s="18"/>
      <c r="GR1118" s="18"/>
      <c r="GS1118" s="18"/>
      <c r="GT1118" s="18"/>
      <c r="GU1118" s="18"/>
      <c r="GV1118" s="18"/>
      <c r="GW1118" s="18"/>
      <c r="GX1118" s="18"/>
      <c r="GY1118" s="18"/>
      <c r="GZ1118" s="18"/>
      <c r="HA1118" s="18"/>
      <c r="HB1118" s="18"/>
      <c r="HC1118" s="18"/>
      <c r="HD1118" s="18"/>
      <c r="HE1118" s="18"/>
      <c r="HF1118" s="18"/>
      <c r="HG1118" s="13"/>
      <c r="HH1118" s="13"/>
      <c r="HI1118" s="13"/>
      <c r="HJ1118" s="13"/>
      <c r="HK1118" s="13"/>
      <c r="HL1118" s="13"/>
      <c r="HM1118" s="13"/>
      <c r="HN1118" s="13"/>
      <c r="HO1118" s="13"/>
      <c r="HP1118" s="13"/>
      <c r="HQ1118" s="13"/>
      <c r="HR1118" s="13"/>
      <c r="HS1118" s="13"/>
      <c r="HT1118" s="13"/>
      <c r="HU1118" s="18"/>
      <c r="HV1118" s="18"/>
      <c r="HW1118" s="18"/>
      <c r="HX1118" s="18"/>
      <c r="HY1118" s="18"/>
      <c r="HZ1118" s="18"/>
      <c r="IA1118" s="18"/>
      <c r="IB1118" s="18"/>
      <c r="IC1118" s="18"/>
      <c r="ID1118" s="18"/>
      <c r="IE1118" s="18"/>
      <c r="IF1118" s="18"/>
      <c r="IG1118" s="18"/>
      <c r="IH1118" s="18"/>
      <c r="II1118" s="18"/>
      <c r="IJ1118" s="18"/>
      <c r="IK1118" s="18"/>
      <c r="IL1118" s="18"/>
      <c r="IM1118" s="18"/>
      <c r="IN1118" s="18"/>
      <c r="IO1118" s="18"/>
      <c r="IP1118" s="18"/>
      <c r="IQ1118" s="18"/>
      <c r="IR1118" s="18"/>
      <c r="IS1118" s="18"/>
      <c r="IT1118" s="18"/>
      <c r="IU1118" s="18"/>
      <c r="IV1118" s="18"/>
      <c r="IW1118" s="18"/>
      <c r="IX1118" s="18"/>
      <c r="IY1118" s="18"/>
      <c r="IZ1118" s="18"/>
      <c r="JA1118" s="18"/>
      <c r="JB1118" s="18"/>
      <c r="JC1118" s="18"/>
      <c r="JD1118" s="18"/>
      <c r="JE1118" s="18"/>
      <c r="JF1118" s="18"/>
      <c r="JG1118" s="18"/>
      <c r="JH1118" s="18"/>
      <c r="JI1118" s="18"/>
      <c r="JJ1118" s="18"/>
      <c r="JK1118" s="18"/>
      <c r="JL1118" s="18"/>
      <c r="JM1118" s="18"/>
      <c r="JN1118" s="18"/>
      <c r="JO1118" s="18"/>
      <c r="JP1118" s="18"/>
      <c r="JQ1118" s="18"/>
      <c r="JR1118" s="18"/>
      <c r="JS1118" s="18"/>
      <c r="JT1118" s="18"/>
      <c r="JU1118" s="18"/>
      <c r="JV1118" s="18"/>
      <c r="JW1118" s="18"/>
      <c r="JX1118" s="18"/>
      <c r="JY1118" s="18"/>
      <c r="JZ1118" s="18"/>
      <c r="KA1118" s="18"/>
      <c r="KB1118" s="18"/>
      <c r="KC1118" s="18"/>
      <c r="KD1118" s="18"/>
      <c r="KE1118" s="18"/>
      <c r="KF1118" s="18"/>
      <c r="KG1118" s="18"/>
      <c r="KH1118" s="18"/>
      <c r="KI1118" s="18"/>
      <c r="KJ1118" s="18"/>
      <c r="KK1118" s="18"/>
      <c r="KL1118" s="18"/>
      <c r="KM1118" s="18"/>
      <c r="KN1118" s="18"/>
      <c r="KO1118" s="18"/>
      <c r="KP1118" s="18"/>
    </row>
    <row r="1119" spans="1:302">
      <c r="A1119" s="14"/>
      <c r="B1119" s="14"/>
      <c r="F1119" s="14"/>
      <c r="G1119" s="23"/>
      <c r="H1119" s="23"/>
      <c r="I1119" s="23"/>
      <c r="J1119" s="23"/>
      <c r="K1119" s="14"/>
      <c r="L1119" s="14"/>
      <c r="P1119" s="14"/>
      <c r="AG1119" s="44"/>
      <c r="AH1119" s="44"/>
      <c r="AI1119" s="45"/>
      <c r="AJ1119" s="44"/>
      <c r="AK1119" s="43"/>
      <c r="AS1119" s="14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  <c r="EW1119" s="18"/>
      <c r="EX1119" s="18"/>
      <c r="EY1119" s="18"/>
      <c r="EZ1119" s="18"/>
      <c r="FA1119" s="18"/>
      <c r="FB1119" s="18"/>
      <c r="FC1119" s="18"/>
      <c r="FD1119" s="18"/>
      <c r="FE1119" s="18"/>
      <c r="FF1119" s="18"/>
      <c r="FG1119" s="18"/>
      <c r="FH1119" s="18"/>
      <c r="FI1119" s="18"/>
      <c r="FJ1119" s="18"/>
      <c r="FK1119" s="18"/>
      <c r="FL1119" s="18"/>
      <c r="FM1119" s="18"/>
      <c r="FN1119" s="18"/>
      <c r="FO1119" s="18"/>
      <c r="FP1119" s="18"/>
      <c r="FQ1119" s="18"/>
      <c r="FR1119" s="18"/>
      <c r="FS1119" s="18"/>
      <c r="FT1119" s="18"/>
      <c r="FU1119" s="18"/>
      <c r="FV1119" s="18"/>
      <c r="FW1119" s="18"/>
      <c r="FX1119" s="18"/>
      <c r="FY1119" s="18"/>
      <c r="FZ1119" s="18"/>
      <c r="GA1119" s="18"/>
      <c r="GB1119" s="18"/>
      <c r="GC1119" s="18"/>
      <c r="GD1119" s="18"/>
      <c r="GE1119" s="18"/>
      <c r="GF1119" s="18"/>
      <c r="GG1119" s="18"/>
      <c r="GH1119" s="18"/>
      <c r="GI1119" s="18"/>
      <c r="GJ1119" s="18"/>
      <c r="GK1119" s="18"/>
      <c r="GL1119" s="18"/>
      <c r="GM1119" s="18"/>
      <c r="GN1119" s="18"/>
      <c r="GO1119" s="18"/>
      <c r="GP1119" s="18"/>
      <c r="GQ1119" s="18"/>
      <c r="GR1119" s="18"/>
      <c r="GS1119" s="18"/>
      <c r="GT1119" s="18"/>
      <c r="GU1119" s="18"/>
      <c r="GV1119" s="18"/>
      <c r="GW1119" s="18"/>
      <c r="GX1119" s="18"/>
      <c r="GY1119" s="18"/>
      <c r="GZ1119" s="18"/>
      <c r="HA1119" s="18"/>
      <c r="HB1119" s="18"/>
      <c r="HC1119" s="18"/>
      <c r="HD1119" s="18"/>
      <c r="HE1119" s="18"/>
      <c r="HF1119" s="18"/>
      <c r="HG1119" s="13"/>
      <c r="HH1119" s="13"/>
      <c r="HI1119" s="13"/>
      <c r="HJ1119" s="13"/>
      <c r="HK1119" s="13"/>
      <c r="HL1119" s="13"/>
      <c r="HM1119" s="13"/>
      <c r="HN1119" s="13"/>
      <c r="HO1119" s="13"/>
      <c r="HP1119" s="13"/>
      <c r="HQ1119" s="13"/>
      <c r="HR1119" s="13"/>
      <c r="HS1119" s="13"/>
      <c r="HT1119" s="13"/>
      <c r="HU1119" s="18"/>
      <c r="HV1119" s="18"/>
      <c r="HW1119" s="18"/>
      <c r="HX1119" s="18"/>
      <c r="HY1119" s="18"/>
      <c r="HZ1119" s="18"/>
      <c r="IA1119" s="18"/>
      <c r="IB1119" s="18"/>
      <c r="IC1119" s="18"/>
      <c r="ID1119" s="18"/>
      <c r="IE1119" s="18"/>
      <c r="IF1119" s="18"/>
      <c r="IG1119" s="18"/>
      <c r="IH1119" s="18"/>
      <c r="II1119" s="18"/>
      <c r="IJ1119" s="18"/>
      <c r="IK1119" s="18"/>
      <c r="IL1119" s="18"/>
      <c r="IM1119" s="18"/>
      <c r="IN1119" s="18"/>
      <c r="IO1119" s="18"/>
      <c r="IP1119" s="18"/>
      <c r="IQ1119" s="18"/>
      <c r="IR1119" s="18"/>
      <c r="IS1119" s="18"/>
      <c r="IT1119" s="18"/>
      <c r="IU1119" s="18"/>
      <c r="IV1119" s="18"/>
      <c r="IW1119" s="18"/>
      <c r="IX1119" s="18"/>
      <c r="IY1119" s="18"/>
      <c r="IZ1119" s="18"/>
      <c r="JA1119" s="18"/>
      <c r="JB1119" s="18"/>
      <c r="JC1119" s="18"/>
      <c r="JD1119" s="18"/>
      <c r="JE1119" s="18"/>
      <c r="JF1119" s="18"/>
      <c r="JG1119" s="18"/>
      <c r="JH1119" s="18"/>
      <c r="JI1119" s="18"/>
      <c r="JJ1119" s="18"/>
      <c r="JK1119" s="18"/>
      <c r="JL1119" s="18"/>
      <c r="JM1119" s="18"/>
      <c r="JN1119" s="18"/>
      <c r="JO1119" s="18"/>
      <c r="JP1119" s="18"/>
      <c r="JQ1119" s="18"/>
      <c r="JR1119" s="18"/>
      <c r="JS1119" s="18"/>
      <c r="JT1119" s="18"/>
      <c r="JU1119" s="18"/>
      <c r="JV1119" s="18"/>
      <c r="JW1119" s="18"/>
      <c r="JX1119" s="18"/>
      <c r="JY1119" s="18"/>
      <c r="JZ1119" s="18"/>
      <c r="KA1119" s="18"/>
      <c r="KB1119" s="18"/>
      <c r="KC1119" s="18"/>
      <c r="KD1119" s="18"/>
      <c r="KE1119" s="18"/>
      <c r="KF1119" s="18"/>
      <c r="KG1119" s="18"/>
      <c r="KH1119" s="18"/>
      <c r="KI1119" s="18"/>
      <c r="KJ1119" s="18"/>
      <c r="KK1119" s="18"/>
      <c r="KL1119" s="18"/>
      <c r="KM1119" s="18"/>
      <c r="KN1119" s="18"/>
      <c r="KO1119" s="18"/>
      <c r="KP1119" s="18"/>
    </row>
    <row r="1120" spans="1:302">
      <c r="A1120" s="14"/>
      <c r="B1120" s="14"/>
      <c r="F1120" s="14"/>
      <c r="G1120" s="23"/>
      <c r="H1120" s="23"/>
      <c r="I1120" s="23"/>
      <c r="J1120" s="23"/>
      <c r="K1120" s="14"/>
      <c r="L1120" s="14"/>
      <c r="P1120" s="14"/>
      <c r="AG1120" s="44"/>
      <c r="AH1120" s="44"/>
      <c r="AI1120" s="45"/>
      <c r="AJ1120" s="44"/>
      <c r="AK1120" s="43"/>
      <c r="AS1120" s="14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  <c r="EW1120" s="18"/>
      <c r="EX1120" s="18"/>
      <c r="EY1120" s="18"/>
      <c r="EZ1120" s="18"/>
      <c r="FA1120" s="18"/>
      <c r="FB1120" s="18"/>
      <c r="FC1120" s="18"/>
      <c r="FD1120" s="18"/>
      <c r="FE1120" s="18"/>
      <c r="FF1120" s="18"/>
      <c r="FG1120" s="18"/>
      <c r="FH1120" s="18"/>
      <c r="FI1120" s="18"/>
      <c r="FJ1120" s="18"/>
      <c r="FK1120" s="18"/>
      <c r="FL1120" s="18"/>
      <c r="FM1120" s="18"/>
      <c r="FN1120" s="18"/>
      <c r="FO1120" s="18"/>
      <c r="FP1120" s="18"/>
      <c r="FQ1120" s="18"/>
      <c r="FR1120" s="18"/>
      <c r="FS1120" s="18"/>
      <c r="FT1120" s="18"/>
      <c r="FU1120" s="18"/>
      <c r="FV1120" s="18"/>
      <c r="FW1120" s="18"/>
      <c r="FX1120" s="18"/>
      <c r="FY1120" s="18"/>
      <c r="FZ1120" s="18"/>
      <c r="GA1120" s="18"/>
      <c r="GB1120" s="18"/>
      <c r="GC1120" s="18"/>
      <c r="GD1120" s="18"/>
      <c r="GE1120" s="18"/>
      <c r="GF1120" s="18"/>
      <c r="GG1120" s="18"/>
      <c r="GH1120" s="18"/>
      <c r="GI1120" s="18"/>
      <c r="GJ1120" s="18"/>
      <c r="GK1120" s="18"/>
      <c r="GL1120" s="18"/>
      <c r="GM1120" s="18"/>
      <c r="GN1120" s="18"/>
      <c r="GO1120" s="18"/>
      <c r="GP1120" s="18"/>
      <c r="GQ1120" s="18"/>
      <c r="GR1120" s="18"/>
      <c r="GS1120" s="18"/>
      <c r="GT1120" s="18"/>
      <c r="GU1120" s="18"/>
      <c r="GV1120" s="18"/>
      <c r="GW1120" s="18"/>
      <c r="GX1120" s="18"/>
      <c r="GY1120" s="18"/>
      <c r="GZ1120" s="18"/>
      <c r="HA1120" s="18"/>
      <c r="HB1120" s="18"/>
      <c r="HC1120" s="18"/>
      <c r="HD1120" s="18"/>
      <c r="HE1120" s="18"/>
      <c r="HF1120" s="18"/>
      <c r="HG1120" s="13"/>
      <c r="HH1120" s="13"/>
      <c r="HI1120" s="13"/>
      <c r="HJ1120" s="13"/>
      <c r="HK1120" s="13"/>
      <c r="HL1120" s="13"/>
      <c r="HM1120" s="13"/>
      <c r="HN1120" s="13"/>
      <c r="HO1120" s="13"/>
      <c r="HP1120" s="13"/>
      <c r="HQ1120" s="13"/>
      <c r="HR1120" s="13"/>
      <c r="HS1120" s="13"/>
      <c r="HT1120" s="13"/>
      <c r="HU1120" s="18"/>
      <c r="HV1120" s="18"/>
      <c r="HW1120" s="18"/>
      <c r="HX1120" s="18"/>
      <c r="HY1120" s="18"/>
      <c r="HZ1120" s="18"/>
      <c r="IA1120" s="18"/>
      <c r="IB1120" s="18"/>
      <c r="IC1120" s="18"/>
      <c r="ID1120" s="18"/>
      <c r="IE1120" s="18"/>
      <c r="IF1120" s="18"/>
      <c r="IG1120" s="18"/>
      <c r="IH1120" s="18"/>
      <c r="II1120" s="18"/>
      <c r="IJ1120" s="18"/>
      <c r="IK1120" s="18"/>
      <c r="IL1120" s="18"/>
      <c r="IM1120" s="18"/>
      <c r="IN1120" s="18"/>
      <c r="IO1120" s="18"/>
      <c r="IP1120" s="18"/>
      <c r="IQ1120" s="18"/>
      <c r="IR1120" s="18"/>
      <c r="IS1120" s="18"/>
      <c r="IT1120" s="18"/>
      <c r="IU1120" s="18"/>
      <c r="IV1120" s="18"/>
      <c r="IW1120" s="18"/>
      <c r="IX1120" s="18"/>
      <c r="IY1120" s="18"/>
      <c r="IZ1120" s="18"/>
      <c r="JA1120" s="18"/>
      <c r="JB1120" s="18"/>
      <c r="JC1120" s="18"/>
      <c r="JD1120" s="18"/>
      <c r="JE1120" s="18"/>
      <c r="JF1120" s="18"/>
      <c r="JG1120" s="18"/>
      <c r="JH1120" s="18"/>
      <c r="JI1120" s="18"/>
      <c r="JJ1120" s="18"/>
      <c r="JK1120" s="18"/>
      <c r="JL1120" s="18"/>
      <c r="JM1120" s="18"/>
      <c r="JN1120" s="18"/>
      <c r="JO1120" s="18"/>
      <c r="JP1120" s="18"/>
      <c r="JQ1120" s="18"/>
      <c r="JR1120" s="18"/>
      <c r="JS1120" s="18"/>
      <c r="JT1120" s="18"/>
      <c r="JU1120" s="18"/>
      <c r="JV1120" s="18"/>
      <c r="JW1120" s="18"/>
      <c r="JX1120" s="18"/>
      <c r="JY1120" s="18"/>
      <c r="JZ1120" s="18"/>
      <c r="KA1120" s="18"/>
      <c r="KB1120" s="18"/>
      <c r="KC1120" s="18"/>
      <c r="KD1120" s="18"/>
      <c r="KE1120" s="18"/>
      <c r="KF1120" s="18"/>
      <c r="KG1120" s="18"/>
      <c r="KH1120" s="18"/>
      <c r="KI1120" s="18"/>
      <c r="KJ1120" s="18"/>
      <c r="KK1120" s="18"/>
      <c r="KL1120" s="18"/>
      <c r="KM1120" s="18"/>
      <c r="KN1120" s="18"/>
      <c r="KO1120" s="18"/>
      <c r="KP1120" s="18"/>
    </row>
    <row r="1121" spans="1:302">
      <c r="A1121" s="14"/>
      <c r="B1121" s="14"/>
      <c r="F1121" s="14"/>
      <c r="G1121" s="23"/>
      <c r="H1121" s="23"/>
      <c r="I1121" s="23"/>
      <c r="J1121" s="23"/>
      <c r="K1121" s="14"/>
      <c r="L1121" s="14"/>
      <c r="P1121" s="14"/>
      <c r="AG1121" s="44"/>
      <c r="AH1121" s="44"/>
      <c r="AI1121" s="45"/>
      <c r="AJ1121" s="44"/>
      <c r="AK1121" s="43"/>
      <c r="AS1121" s="14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  <c r="EW1121" s="18"/>
      <c r="EX1121" s="18"/>
      <c r="EY1121" s="18"/>
      <c r="EZ1121" s="18"/>
      <c r="FA1121" s="18"/>
      <c r="FB1121" s="18"/>
      <c r="FC1121" s="18"/>
      <c r="FD1121" s="18"/>
      <c r="FE1121" s="18"/>
      <c r="FF1121" s="18"/>
      <c r="FG1121" s="18"/>
      <c r="FH1121" s="18"/>
      <c r="FI1121" s="18"/>
      <c r="FJ1121" s="18"/>
      <c r="FK1121" s="18"/>
      <c r="FL1121" s="18"/>
      <c r="FM1121" s="18"/>
      <c r="FN1121" s="18"/>
      <c r="FO1121" s="18"/>
      <c r="FP1121" s="18"/>
      <c r="FQ1121" s="18"/>
      <c r="FR1121" s="18"/>
      <c r="FS1121" s="18"/>
      <c r="FT1121" s="18"/>
      <c r="FU1121" s="18"/>
      <c r="FV1121" s="18"/>
      <c r="FW1121" s="18"/>
      <c r="FX1121" s="18"/>
      <c r="FY1121" s="18"/>
      <c r="FZ1121" s="18"/>
      <c r="GA1121" s="18"/>
      <c r="GB1121" s="18"/>
      <c r="GC1121" s="18"/>
      <c r="GD1121" s="18"/>
      <c r="GE1121" s="18"/>
      <c r="GF1121" s="18"/>
      <c r="GG1121" s="18"/>
      <c r="GH1121" s="18"/>
      <c r="GI1121" s="18"/>
      <c r="GJ1121" s="18"/>
      <c r="GK1121" s="18"/>
      <c r="GL1121" s="18"/>
      <c r="GM1121" s="18"/>
      <c r="GN1121" s="18"/>
      <c r="GO1121" s="18"/>
      <c r="GP1121" s="18"/>
      <c r="GQ1121" s="18"/>
      <c r="GR1121" s="18"/>
      <c r="GS1121" s="18"/>
      <c r="GT1121" s="18"/>
      <c r="GU1121" s="18"/>
      <c r="GV1121" s="18"/>
      <c r="GW1121" s="18"/>
      <c r="GX1121" s="18"/>
      <c r="GY1121" s="18"/>
      <c r="GZ1121" s="18"/>
      <c r="HA1121" s="18"/>
      <c r="HB1121" s="18"/>
      <c r="HC1121" s="18"/>
      <c r="HD1121" s="18"/>
      <c r="HE1121" s="18"/>
      <c r="HF1121" s="18"/>
      <c r="HG1121" s="13"/>
      <c r="HH1121" s="13"/>
      <c r="HI1121" s="13"/>
      <c r="HJ1121" s="13"/>
      <c r="HK1121" s="13"/>
      <c r="HL1121" s="13"/>
      <c r="HM1121" s="13"/>
      <c r="HN1121" s="13"/>
      <c r="HO1121" s="13"/>
      <c r="HP1121" s="13"/>
      <c r="HQ1121" s="13"/>
      <c r="HR1121" s="13"/>
      <c r="HS1121" s="13"/>
      <c r="HT1121" s="13"/>
      <c r="HU1121" s="18"/>
      <c r="HV1121" s="18"/>
      <c r="HW1121" s="18"/>
      <c r="HX1121" s="18"/>
      <c r="HY1121" s="18"/>
      <c r="HZ1121" s="18"/>
      <c r="IA1121" s="18"/>
      <c r="IB1121" s="18"/>
      <c r="IC1121" s="18"/>
      <c r="ID1121" s="18"/>
      <c r="IE1121" s="18"/>
      <c r="IF1121" s="18"/>
      <c r="IG1121" s="18"/>
      <c r="IH1121" s="18"/>
      <c r="II1121" s="18"/>
      <c r="IJ1121" s="18"/>
      <c r="IK1121" s="18"/>
      <c r="IL1121" s="18"/>
      <c r="IM1121" s="18"/>
      <c r="IN1121" s="18"/>
      <c r="IO1121" s="18"/>
      <c r="IP1121" s="18"/>
      <c r="IQ1121" s="18"/>
      <c r="IR1121" s="18"/>
      <c r="IS1121" s="18"/>
      <c r="IT1121" s="18"/>
      <c r="IU1121" s="18"/>
      <c r="IV1121" s="18"/>
      <c r="IW1121" s="18"/>
      <c r="IX1121" s="18"/>
      <c r="IY1121" s="18"/>
      <c r="IZ1121" s="18"/>
      <c r="JA1121" s="18"/>
      <c r="JB1121" s="18"/>
      <c r="JC1121" s="18"/>
      <c r="JD1121" s="18"/>
      <c r="JE1121" s="18"/>
      <c r="JF1121" s="18"/>
      <c r="JG1121" s="18"/>
      <c r="JH1121" s="18"/>
      <c r="JI1121" s="18"/>
      <c r="JJ1121" s="18"/>
      <c r="JK1121" s="18"/>
      <c r="JL1121" s="18"/>
      <c r="JM1121" s="18"/>
      <c r="JN1121" s="18"/>
      <c r="JO1121" s="18"/>
      <c r="JP1121" s="18"/>
      <c r="JQ1121" s="18"/>
      <c r="JR1121" s="18"/>
      <c r="JS1121" s="18"/>
      <c r="JT1121" s="18"/>
      <c r="JU1121" s="18"/>
      <c r="JV1121" s="18"/>
      <c r="JW1121" s="18"/>
      <c r="JX1121" s="18"/>
      <c r="JY1121" s="18"/>
      <c r="JZ1121" s="18"/>
      <c r="KA1121" s="18"/>
      <c r="KB1121" s="18"/>
      <c r="KC1121" s="18"/>
      <c r="KD1121" s="18"/>
      <c r="KE1121" s="18"/>
      <c r="KF1121" s="18"/>
      <c r="KG1121" s="18"/>
      <c r="KH1121" s="18"/>
      <c r="KI1121" s="18"/>
      <c r="KJ1121" s="18"/>
      <c r="KK1121" s="18"/>
      <c r="KL1121" s="18"/>
      <c r="KM1121" s="18"/>
      <c r="KN1121" s="18"/>
      <c r="KO1121" s="18"/>
      <c r="KP1121" s="18"/>
    </row>
    <row r="1122" spans="1:302">
      <c r="A1122" s="14"/>
      <c r="B1122" s="14"/>
      <c r="F1122" s="14"/>
      <c r="G1122" s="23"/>
      <c r="H1122" s="23"/>
      <c r="I1122" s="23"/>
      <c r="J1122" s="23"/>
      <c r="K1122" s="14"/>
      <c r="L1122" s="14"/>
      <c r="P1122" s="14"/>
      <c r="AG1122" s="44"/>
      <c r="AH1122" s="44"/>
      <c r="AI1122" s="45"/>
      <c r="AJ1122" s="44"/>
      <c r="AK1122" s="43"/>
      <c r="AS1122" s="14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  <c r="EW1122" s="18"/>
      <c r="EX1122" s="18"/>
      <c r="EY1122" s="18"/>
      <c r="EZ1122" s="18"/>
      <c r="FA1122" s="18"/>
      <c r="FB1122" s="18"/>
      <c r="FC1122" s="18"/>
      <c r="FD1122" s="18"/>
      <c r="FE1122" s="18"/>
      <c r="FF1122" s="18"/>
      <c r="FG1122" s="18"/>
      <c r="FH1122" s="18"/>
      <c r="FI1122" s="18"/>
      <c r="FJ1122" s="18"/>
      <c r="FK1122" s="18"/>
      <c r="FL1122" s="18"/>
      <c r="FM1122" s="18"/>
      <c r="FN1122" s="18"/>
      <c r="FO1122" s="18"/>
      <c r="FP1122" s="18"/>
      <c r="FQ1122" s="18"/>
      <c r="FR1122" s="18"/>
      <c r="FS1122" s="18"/>
      <c r="FT1122" s="18"/>
      <c r="FU1122" s="18"/>
      <c r="FV1122" s="18"/>
      <c r="FW1122" s="18"/>
      <c r="FX1122" s="18"/>
      <c r="FY1122" s="18"/>
      <c r="FZ1122" s="18"/>
      <c r="GA1122" s="18"/>
      <c r="GB1122" s="18"/>
      <c r="GC1122" s="18"/>
      <c r="GD1122" s="18"/>
      <c r="GE1122" s="18"/>
      <c r="GF1122" s="18"/>
      <c r="GG1122" s="18"/>
      <c r="GH1122" s="18"/>
      <c r="GI1122" s="18"/>
      <c r="GJ1122" s="18"/>
      <c r="GK1122" s="18"/>
      <c r="GL1122" s="18"/>
      <c r="GM1122" s="18"/>
      <c r="GN1122" s="18"/>
      <c r="GO1122" s="18"/>
      <c r="GP1122" s="18"/>
      <c r="GQ1122" s="18"/>
      <c r="GR1122" s="18"/>
      <c r="GS1122" s="18"/>
      <c r="GT1122" s="18"/>
      <c r="GU1122" s="18"/>
      <c r="GV1122" s="18"/>
      <c r="GW1122" s="18"/>
      <c r="GX1122" s="18"/>
      <c r="GY1122" s="18"/>
      <c r="GZ1122" s="18"/>
      <c r="HA1122" s="18"/>
      <c r="HB1122" s="18"/>
      <c r="HC1122" s="18"/>
      <c r="HD1122" s="18"/>
      <c r="HE1122" s="18"/>
      <c r="HF1122" s="18"/>
      <c r="HG1122" s="13"/>
      <c r="HH1122" s="13"/>
      <c r="HI1122" s="13"/>
      <c r="HJ1122" s="13"/>
      <c r="HK1122" s="13"/>
      <c r="HL1122" s="13"/>
      <c r="HM1122" s="13"/>
      <c r="HN1122" s="13"/>
      <c r="HO1122" s="13"/>
      <c r="HP1122" s="13"/>
      <c r="HQ1122" s="13"/>
      <c r="HR1122" s="13"/>
      <c r="HS1122" s="13"/>
      <c r="HT1122" s="13"/>
      <c r="HU1122" s="18"/>
      <c r="HV1122" s="18"/>
      <c r="HW1122" s="18"/>
      <c r="HX1122" s="18"/>
      <c r="HY1122" s="18"/>
      <c r="HZ1122" s="18"/>
      <c r="IA1122" s="18"/>
      <c r="IB1122" s="18"/>
      <c r="IC1122" s="18"/>
      <c r="ID1122" s="18"/>
      <c r="IE1122" s="18"/>
      <c r="IF1122" s="18"/>
      <c r="IG1122" s="18"/>
      <c r="IH1122" s="18"/>
      <c r="II1122" s="18"/>
      <c r="IJ1122" s="18"/>
      <c r="IK1122" s="18"/>
      <c r="IL1122" s="18"/>
      <c r="IM1122" s="18"/>
      <c r="IN1122" s="18"/>
      <c r="IO1122" s="18"/>
      <c r="IP1122" s="18"/>
      <c r="IQ1122" s="18"/>
      <c r="IR1122" s="18"/>
      <c r="IS1122" s="18"/>
      <c r="IT1122" s="18"/>
      <c r="IU1122" s="18"/>
      <c r="IV1122" s="18"/>
      <c r="IW1122" s="18"/>
      <c r="IX1122" s="18"/>
      <c r="IY1122" s="18"/>
      <c r="IZ1122" s="18"/>
      <c r="JA1122" s="18"/>
      <c r="JB1122" s="18"/>
      <c r="JC1122" s="18"/>
      <c r="JD1122" s="18"/>
      <c r="JE1122" s="18"/>
      <c r="JF1122" s="18"/>
      <c r="JG1122" s="18"/>
      <c r="JH1122" s="18"/>
      <c r="JI1122" s="18"/>
      <c r="JJ1122" s="18"/>
      <c r="JK1122" s="18"/>
      <c r="JL1122" s="18"/>
      <c r="JM1122" s="18"/>
      <c r="JN1122" s="18"/>
      <c r="JO1122" s="18"/>
      <c r="JP1122" s="18"/>
      <c r="JQ1122" s="18"/>
      <c r="JR1122" s="18"/>
      <c r="JS1122" s="18"/>
      <c r="JT1122" s="18"/>
      <c r="JU1122" s="18"/>
      <c r="JV1122" s="18"/>
      <c r="JW1122" s="18"/>
      <c r="JX1122" s="18"/>
      <c r="JY1122" s="18"/>
      <c r="JZ1122" s="18"/>
      <c r="KA1122" s="18"/>
      <c r="KB1122" s="18"/>
      <c r="KC1122" s="18"/>
      <c r="KD1122" s="18"/>
      <c r="KE1122" s="18"/>
      <c r="KF1122" s="18"/>
      <c r="KG1122" s="18"/>
      <c r="KH1122" s="18"/>
      <c r="KI1122" s="18"/>
      <c r="KJ1122" s="18"/>
      <c r="KK1122" s="18"/>
      <c r="KL1122" s="18"/>
      <c r="KM1122" s="18"/>
      <c r="KN1122" s="18"/>
      <c r="KO1122" s="18"/>
      <c r="KP1122" s="18"/>
    </row>
    <row r="1123" spans="1:302">
      <c r="A1123" s="14"/>
      <c r="B1123" s="14"/>
      <c r="F1123" s="14"/>
      <c r="G1123" s="23"/>
      <c r="H1123" s="23"/>
      <c r="I1123" s="23"/>
      <c r="J1123" s="23"/>
      <c r="K1123" s="14"/>
      <c r="L1123" s="14"/>
      <c r="P1123" s="14"/>
      <c r="AG1123" s="44"/>
      <c r="AH1123" s="44"/>
      <c r="AI1123" s="45"/>
      <c r="AJ1123" s="44"/>
      <c r="AK1123" s="43"/>
      <c r="AS1123" s="14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  <c r="EW1123" s="18"/>
      <c r="EX1123" s="18"/>
      <c r="EY1123" s="18"/>
      <c r="EZ1123" s="18"/>
      <c r="FA1123" s="18"/>
      <c r="FB1123" s="18"/>
      <c r="FC1123" s="18"/>
      <c r="FD1123" s="18"/>
      <c r="FE1123" s="18"/>
      <c r="FF1123" s="18"/>
      <c r="FG1123" s="18"/>
      <c r="FH1123" s="18"/>
      <c r="FI1123" s="18"/>
      <c r="FJ1123" s="18"/>
      <c r="FK1123" s="18"/>
      <c r="FL1123" s="18"/>
      <c r="FM1123" s="18"/>
      <c r="FN1123" s="18"/>
      <c r="FO1123" s="18"/>
      <c r="FP1123" s="18"/>
      <c r="FQ1123" s="18"/>
      <c r="FR1123" s="18"/>
      <c r="FS1123" s="18"/>
      <c r="FT1123" s="18"/>
      <c r="FU1123" s="18"/>
      <c r="FV1123" s="18"/>
      <c r="FW1123" s="18"/>
      <c r="FX1123" s="18"/>
      <c r="FY1123" s="18"/>
      <c r="FZ1123" s="18"/>
      <c r="GA1123" s="18"/>
      <c r="GB1123" s="18"/>
      <c r="GC1123" s="18"/>
      <c r="GD1123" s="18"/>
      <c r="GE1123" s="18"/>
      <c r="GF1123" s="18"/>
      <c r="GG1123" s="18"/>
      <c r="GH1123" s="18"/>
      <c r="GI1123" s="18"/>
      <c r="GJ1123" s="18"/>
      <c r="GK1123" s="18"/>
      <c r="GL1123" s="18"/>
      <c r="GM1123" s="18"/>
      <c r="GN1123" s="18"/>
      <c r="GO1123" s="18"/>
      <c r="GP1123" s="18"/>
      <c r="GQ1123" s="18"/>
      <c r="GR1123" s="18"/>
      <c r="GS1123" s="18"/>
      <c r="GT1123" s="18"/>
      <c r="GU1123" s="18"/>
      <c r="GV1123" s="18"/>
      <c r="GW1123" s="18"/>
      <c r="GX1123" s="18"/>
      <c r="GY1123" s="18"/>
      <c r="GZ1123" s="18"/>
      <c r="HA1123" s="18"/>
      <c r="HB1123" s="18"/>
      <c r="HC1123" s="18"/>
      <c r="HD1123" s="18"/>
      <c r="HE1123" s="18"/>
      <c r="HF1123" s="18"/>
      <c r="HG1123" s="13"/>
      <c r="HH1123" s="13"/>
      <c r="HI1123" s="13"/>
      <c r="HJ1123" s="13"/>
      <c r="HK1123" s="13"/>
      <c r="HL1123" s="13"/>
      <c r="HM1123" s="13"/>
      <c r="HN1123" s="13"/>
      <c r="HO1123" s="13"/>
      <c r="HP1123" s="13"/>
      <c r="HQ1123" s="13"/>
      <c r="HR1123" s="13"/>
      <c r="HS1123" s="13"/>
      <c r="HT1123" s="13"/>
      <c r="HU1123" s="18"/>
      <c r="HV1123" s="18"/>
      <c r="HW1123" s="18"/>
      <c r="HX1123" s="18"/>
      <c r="HY1123" s="18"/>
      <c r="HZ1123" s="18"/>
      <c r="IA1123" s="18"/>
      <c r="IB1123" s="18"/>
      <c r="IC1123" s="18"/>
      <c r="ID1123" s="18"/>
      <c r="IE1123" s="18"/>
      <c r="IF1123" s="18"/>
      <c r="IG1123" s="18"/>
      <c r="IH1123" s="18"/>
      <c r="II1123" s="18"/>
      <c r="IJ1123" s="18"/>
      <c r="IK1123" s="18"/>
      <c r="IL1123" s="18"/>
      <c r="IM1123" s="18"/>
      <c r="IN1123" s="18"/>
      <c r="IO1123" s="18"/>
      <c r="IP1123" s="18"/>
      <c r="IQ1123" s="18"/>
      <c r="IR1123" s="18"/>
      <c r="IS1123" s="18"/>
      <c r="IT1123" s="18"/>
      <c r="IU1123" s="18"/>
      <c r="IV1123" s="18"/>
      <c r="IW1123" s="18"/>
      <c r="IX1123" s="18"/>
      <c r="IY1123" s="18"/>
      <c r="IZ1123" s="18"/>
      <c r="JA1123" s="18"/>
      <c r="JB1123" s="18"/>
      <c r="JC1123" s="18"/>
      <c r="JD1123" s="18"/>
      <c r="JE1123" s="18"/>
      <c r="JF1123" s="18"/>
      <c r="JG1123" s="18"/>
      <c r="JH1123" s="18"/>
      <c r="JI1123" s="18"/>
      <c r="JJ1123" s="18"/>
      <c r="JK1123" s="18"/>
      <c r="JL1123" s="18"/>
      <c r="JM1123" s="18"/>
      <c r="JN1123" s="18"/>
      <c r="JO1123" s="18"/>
      <c r="JP1123" s="18"/>
      <c r="JQ1123" s="18"/>
      <c r="JR1123" s="18"/>
      <c r="JS1123" s="18"/>
      <c r="JT1123" s="18"/>
      <c r="JU1123" s="18"/>
      <c r="JV1123" s="18"/>
      <c r="JW1123" s="18"/>
      <c r="JX1123" s="18"/>
      <c r="JY1123" s="18"/>
      <c r="JZ1123" s="18"/>
      <c r="KA1123" s="18"/>
      <c r="KB1123" s="18"/>
      <c r="KC1123" s="18"/>
      <c r="KD1123" s="18"/>
      <c r="KE1123" s="18"/>
      <c r="KF1123" s="18"/>
      <c r="KG1123" s="18"/>
      <c r="KH1123" s="18"/>
      <c r="KI1123" s="18"/>
      <c r="KJ1123" s="18"/>
      <c r="KK1123" s="18"/>
      <c r="KL1123" s="18"/>
      <c r="KM1123" s="18"/>
      <c r="KN1123" s="18"/>
      <c r="KO1123" s="18"/>
      <c r="KP1123" s="18"/>
    </row>
    <row r="1124" spans="1:302">
      <c r="A1124" s="14"/>
      <c r="B1124" s="14"/>
      <c r="F1124" s="14"/>
      <c r="G1124" s="23"/>
      <c r="H1124" s="23"/>
      <c r="I1124" s="23"/>
      <c r="J1124" s="23"/>
      <c r="K1124" s="14"/>
      <c r="L1124" s="14"/>
      <c r="P1124" s="14"/>
      <c r="AG1124" s="44"/>
      <c r="AH1124" s="44"/>
      <c r="AI1124" s="45"/>
      <c r="AJ1124" s="44"/>
      <c r="AK1124" s="43"/>
      <c r="AS1124" s="14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  <c r="FN1124" s="18"/>
      <c r="FO1124" s="18"/>
      <c r="FP1124" s="18"/>
      <c r="FQ1124" s="18"/>
      <c r="FR1124" s="18"/>
      <c r="FS1124" s="18"/>
      <c r="FT1124" s="18"/>
      <c r="FU1124" s="18"/>
      <c r="FV1124" s="18"/>
      <c r="FW1124" s="18"/>
      <c r="FX1124" s="18"/>
      <c r="FY1124" s="18"/>
      <c r="FZ1124" s="18"/>
      <c r="GA1124" s="18"/>
      <c r="GB1124" s="18"/>
      <c r="GC1124" s="18"/>
      <c r="GD1124" s="18"/>
      <c r="GE1124" s="18"/>
      <c r="GF1124" s="18"/>
      <c r="GG1124" s="18"/>
      <c r="GH1124" s="18"/>
      <c r="GI1124" s="18"/>
      <c r="GJ1124" s="18"/>
      <c r="GK1124" s="18"/>
      <c r="GL1124" s="18"/>
      <c r="GM1124" s="18"/>
      <c r="GN1124" s="18"/>
      <c r="GO1124" s="18"/>
      <c r="GP1124" s="18"/>
      <c r="GQ1124" s="18"/>
      <c r="GR1124" s="18"/>
      <c r="GS1124" s="18"/>
      <c r="GT1124" s="18"/>
      <c r="GU1124" s="18"/>
      <c r="GV1124" s="18"/>
      <c r="GW1124" s="18"/>
      <c r="GX1124" s="18"/>
      <c r="GY1124" s="18"/>
      <c r="GZ1124" s="18"/>
      <c r="HA1124" s="18"/>
      <c r="HB1124" s="18"/>
      <c r="HC1124" s="18"/>
      <c r="HD1124" s="18"/>
      <c r="HE1124" s="18"/>
      <c r="HF1124" s="18"/>
      <c r="HG1124" s="13"/>
      <c r="HH1124" s="13"/>
      <c r="HI1124" s="13"/>
      <c r="HJ1124" s="13"/>
      <c r="HK1124" s="13"/>
      <c r="HL1124" s="13"/>
      <c r="HM1124" s="13"/>
      <c r="HN1124" s="13"/>
      <c r="HO1124" s="13"/>
      <c r="HP1124" s="13"/>
      <c r="HQ1124" s="13"/>
      <c r="HR1124" s="13"/>
      <c r="HS1124" s="13"/>
      <c r="HT1124" s="13"/>
      <c r="HU1124" s="18"/>
      <c r="HV1124" s="18"/>
      <c r="HW1124" s="18"/>
      <c r="HX1124" s="18"/>
      <c r="HY1124" s="18"/>
      <c r="HZ1124" s="18"/>
      <c r="IA1124" s="18"/>
      <c r="IB1124" s="18"/>
      <c r="IC1124" s="18"/>
      <c r="ID1124" s="18"/>
      <c r="IE1124" s="18"/>
      <c r="IF1124" s="18"/>
      <c r="IG1124" s="18"/>
      <c r="IH1124" s="18"/>
      <c r="II1124" s="18"/>
      <c r="IJ1124" s="18"/>
      <c r="IK1124" s="18"/>
      <c r="IL1124" s="18"/>
      <c r="IM1124" s="18"/>
      <c r="IN1124" s="18"/>
      <c r="IO1124" s="18"/>
      <c r="IP1124" s="18"/>
      <c r="IQ1124" s="18"/>
      <c r="IR1124" s="18"/>
      <c r="IS1124" s="18"/>
      <c r="IT1124" s="18"/>
      <c r="IU1124" s="18"/>
      <c r="IV1124" s="18"/>
      <c r="IW1124" s="18"/>
      <c r="IX1124" s="18"/>
      <c r="IY1124" s="18"/>
      <c r="IZ1124" s="18"/>
      <c r="JA1124" s="18"/>
      <c r="JB1124" s="18"/>
      <c r="JC1124" s="18"/>
      <c r="JD1124" s="18"/>
      <c r="JE1124" s="18"/>
      <c r="JF1124" s="18"/>
      <c r="JG1124" s="18"/>
      <c r="JH1124" s="18"/>
      <c r="JI1124" s="18"/>
      <c r="JJ1124" s="18"/>
      <c r="JK1124" s="18"/>
      <c r="JL1124" s="18"/>
      <c r="JM1124" s="18"/>
      <c r="JN1124" s="18"/>
      <c r="JO1124" s="18"/>
      <c r="JP1124" s="18"/>
      <c r="JQ1124" s="18"/>
      <c r="JR1124" s="18"/>
      <c r="JS1124" s="18"/>
      <c r="JT1124" s="18"/>
      <c r="JU1124" s="18"/>
      <c r="JV1124" s="18"/>
      <c r="JW1124" s="18"/>
      <c r="JX1124" s="18"/>
      <c r="JY1124" s="18"/>
      <c r="JZ1124" s="18"/>
      <c r="KA1124" s="18"/>
      <c r="KB1124" s="18"/>
      <c r="KC1124" s="18"/>
      <c r="KD1124" s="18"/>
      <c r="KE1124" s="18"/>
      <c r="KF1124" s="18"/>
      <c r="KG1124" s="18"/>
      <c r="KH1124" s="18"/>
      <c r="KI1124" s="18"/>
      <c r="KJ1124" s="18"/>
      <c r="KK1124" s="18"/>
      <c r="KL1124" s="18"/>
      <c r="KM1124" s="18"/>
      <c r="KN1124" s="18"/>
      <c r="KO1124" s="18"/>
      <c r="KP1124" s="18"/>
    </row>
    <row r="1125" spans="1:302">
      <c r="A1125" s="14"/>
      <c r="B1125" s="14"/>
      <c r="F1125" s="14"/>
      <c r="G1125" s="23"/>
      <c r="H1125" s="23"/>
      <c r="I1125" s="23"/>
      <c r="J1125" s="23"/>
      <c r="K1125" s="14"/>
      <c r="L1125" s="14"/>
      <c r="P1125" s="14"/>
      <c r="AG1125" s="44"/>
      <c r="AH1125" s="44"/>
      <c r="AI1125" s="45"/>
      <c r="AJ1125" s="44"/>
      <c r="AK1125" s="43"/>
      <c r="AS1125" s="14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  <c r="EW1125" s="18"/>
      <c r="EX1125" s="18"/>
      <c r="EY1125" s="18"/>
      <c r="EZ1125" s="18"/>
      <c r="FA1125" s="18"/>
      <c r="FB1125" s="18"/>
      <c r="FC1125" s="18"/>
      <c r="FD1125" s="18"/>
      <c r="FE1125" s="18"/>
      <c r="FF1125" s="18"/>
      <c r="FG1125" s="18"/>
      <c r="FH1125" s="18"/>
      <c r="FI1125" s="18"/>
      <c r="FJ1125" s="18"/>
      <c r="FK1125" s="18"/>
      <c r="FL1125" s="18"/>
      <c r="FM1125" s="18"/>
      <c r="FN1125" s="18"/>
      <c r="FO1125" s="18"/>
      <c r="FP1125" s="18"/>
      <c r="FQ1125" s="18"/>
      <c r="FR1125" s="18"/>
      <c r="FS1125" s="18"/>
      <c r="FT1125" s="18"/>
      <c r="FU1125" s="18"/>
      <c r="FV1125" s="18"/>
      <c r="FW1125" s="18"/>
      <c r="FX1125" s="18"/>
      <c r="FY1125" s="18"/>
      <c r="FZ1125" s="18"/>
      <c r="GA1125" s="18"/>
      <c r="GB1125" s="18"/>
      <c r="GC1125" s="18"/>
      <c r="GD1125" s="18"/>
      <c r="GE1125" s="18"/>
      <c r="GF1125" s="18"/>
      <c r="GG1125" s="18"/>
      <c r="GH1125" s="18"/>
      <c r="GI1125" s="18"/>
      <c r="GJ1125" s="18"/>
      <c r="GK1125" s="18"/>
      <c r="GL1125" s="18"/>
      <c r="GM1125" s="18"/>
      <c r="GN1125" s="18"/>
      <c r="GO1125" s="18"/>
      <c r="GP1125" s="18"/>
      <c r="GQ1125" s="18"/>
      <c r="GR1125" s="18"/>
      <c r="GS1125" s="18"/>
      <c r="GT1125" s="18"/>
      <c r="GU1125" s="18"/>
      <c r="GV1125" s="18"/>
      <c r="GW1125" s="18"/>
      <c r="GX1125" s="18"/>
      <c r="GY1125" s="18"/>
      <c r="GZ1125" s="18"/>
      <c r="HA1125" s="18"/>
      <c r="HB1125" s="18"/>
      <c r="HC1125" s="18"/>
      <c r="HD1125" s="18"/>
      <c r="HE1125" s="18"/>
      <c r="HF1125" s="18"/>
      <c r="HG1125" s="13"/>
      <c r="HH1125" s="13"/>
      <c r="HI1125" s="13"/>
      <c r="HJ1125" s="13"/>
      <c r="HK1125" s="13"/>
      <c r="HL1125" s="13"/>
      <c r="HM1125" s="13"/>
      <c r="HN1125" s="13"/>
      <c r="HO1125" s="13"/>
      <c r="HP1125" s="13"/>
      <c r="HQ1125" s="13"/>
      <c r="HR1125" s="13"/>
      <c r="HS1125" s="13"/>
      <c r="HT1125" s="13"/>
      <c r="HU1125" s="18"/>
      <c r="HV1125" s="18"/>
      <c r="HW1125" s="18"/>
      <c r="HX1125" s="18"/>
      <c r="HY1125" s="18"/>
      <c r="HZ1125" s="18"/>
      <c r="IA1125" s="18"/>
      <c r="IB1125" s="18"/>
      <c r="IC1125" s="18"/>
      <c r="ID1125" s="18"/>
      <c r="IE1125" s="18"/>
      <c r="IF1125" s="18"/>
      <c r="IG1125" s="18"/>
      <c r="IH1125" s="18"/>
      <c r="II1125" s="18"/>
      <c r="IJ1125" s="18"/>
      <c r="IK1125" s="18"/>
      <c r="IL1125" s="18"/>
      <c r="IM1125" s="18"/>
      <c r="IN1125" s="18"/>
      <c r="IO1125" s="18"/>
      <c r="IP1125" s="18"/>
      <c r="IQ1125" s="18"/>
      <c r="IR1125" s="18"/>
      <c r="IS1125" s="18"/>
      <c r="IT1125" s="18"/>
      <c r="IU1125" s="18"/>
      <c r="IV1125" s="18"/>
      <c r="IW1125" s="18"/>
      <c r="IX1125" s="18"/>
      <c r="IY1125" s="18"/>
      <c r="IZ1125" s="18"/>
      <c r="JA1125" s="18"/>
      <c r="JB1125" s="18"/>
      <c r="JC1125" s="18"/>
      <c r="JD1125" s="18"/>
      <c r="JE1125" s="18"/>
      <c r="JF1125" s="18"/>
      <c r="JG1125" s="18"/>
      <c r="JH1125" s="18"/>
      <c r="JI1125" s="18"/>
      <c r="JJ1125" s="18"/>
      <c r="JK1125" s="18"/>
      <c r="JL1125" s="18"/>
      <c r="JM1125" s="18"/>
      <c r="JN1125" s="18"/>
      <c r="JO1125" s="18"/>
      <c r="JP1125" s="18"/>
      <c r="JQ1125" s="18"/>
      <c r="JR1125" s="18"/>
      <c r="JS1125" s="18"/>
      <c r="JT1125" s="18"/>
      <c r="JU1125" s="18"/>
      <c r="JV1125" s="18"/>
      <c r="JW1125" s="18"/>
      <c r="JX1125" s="18"/>
      <c r="JY1125" s="18"/>
      <c r="JZ1125" s="18"/>
      <c r="KA1125" s="18"/>
      <c r="KB1125" s="18"/>
      <c r="KC1125" s="18"/>
      <c r="KD1125" s="18"/>
      <c r="KE1125" s="18"/>
      <c r="KF1125" s="18"/>
      <c r="KG1125" s="18"/>
      <c r="KH1125" s="18"/>
      <c r="KI1125" s="18"/>
      <c r="KJ1125" s="18"/>
      <c r="KK1125" s="18"/>
      <c r="KL1125" s="18"/>
      <c r="KM1125" s="18"/>
      <c r="KN1125" s="18"/>
      <c r="KO1125" s="18"/>
      <c r="KP1125" s="18"/>
    </row>
    <row r="1126" spans="1:302">
      <c r="A1126" s="14"/>
      <c r="B1126" s="14"/>
      <c r="F1126" s="14"/>
      <c r="G1126" s="23"/>
      <c r="H1126" s="23"/>
      <c r="I1126" s="23"/>
      <c r="J1126" s="23"/>
      <c r="K1126" s="14"/>
      <c r="L1126" s="14"/>
      <c r="P1126" s="14"/>
      <c r="AG1126" s="44"/>
      <c r="AH1126" s="44"/>
      <c r="AI1126" s="45"/>
      <c r="AJ1126" s="44"/>
      <c r="AK1126" s="43"/>
      <c r="AS1126" s="14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  <c r="EW1126" s="18"/>
      <c r="EX1126" s="18"/>
      <c r="EY1126" s="18"/>
      <c r="EZ1126" s="18"/>
      <c r="FA1126" s="18"/>
      <c r="FB1126" s="18"/>
      <c r="FC1126" s="18"/>
      <c r="FD1126" s="18"/>
      <c r="FE1126" s="18"/>
      <c r="FF1126" s="18"/>
      <c r="FG1126" s="18"/>
      <c r="FH1126" s="18"/>
      <c r="FI1126" s="18"/>
      <c r="FJ1126" s="18"/>
      <c r="FK1126" s="18"/>
      <c r="FL1126" s="18"/>
      <c r="FM1126" s="18"/>
      <c r="FN1126" s="18"/>
      <c r="FO1126" s="18"/>
      <c r="FP1126" s="18"/>
      <c r="FQ1126" s="18"/>
      <c r="FR1126" s="18"/>
      <c r="FS1126" s="18"/>
      <c r="FT1126" s="18"/>
      <c r="FU1126" s="18"/>
      <c r="FV1126" s="18"/>
      <c r="FW1126" s="18"/>
      <c r="FX1126" s="18"/>
      <c r="FY1126" s="18"/>
      <c r="FZ1126" s="18"/>
      <c r="GA1126" s="18"/>
      <c r="GB1126" s="18"/>
      <c r="GC1126" s="18"/>
      <c r="GD1126" s="18"/>
      <c r="GE1126" s="18"/>
      <c r="GF1126" s="18"/>
      <c r="GG1126" s="18"/>
      <c r="GH1126" s="18"/>
      <c r="GI1126" s="18"/>
      <c r="GJ1126" s="18"/>
      <c r="GK1126" s="18"/>
      <c r="GL1126" s="18"/>
      <c r="GM1126" s="18"/>
      <c r="GN1126" s="18"/>
      <c r="GO1126" s="18"/>
      <c r="GP1126" s="18"/>
      <c r="GQ1126" s="18"/>
      <c r="GR1126" s="18"/>
      <c r="GS1126" s="18"/>
      <c r="GT1126" s="18"/>
      <c r="GU1126" s="18"/>
      <c r="GV1126" s="18"/>
      <c r="GW1126" s="18"/>
      <c r="GX1126" s="18"/>
      <c r="GY1126" s="18"/>
      <c r="GZ1126" s="18"/>
      <c r="HA1126" s="18"/>
      <c r="HB1126" s="18"/>
      <c r="HC1126" s="18"/>
      <c r="HD1126" s="18"/>
      <c r="HE1126" s="18"/>
      <c r="HF1126" s="18"/>
      <c r="HG1126" s="13"/>
      <c r="HH1126" s="13"/>
      <c r="HI1126" s="13"/>
      <c r="HJ1126" s="13"/>
      <c r="HK1126" s="13"/>
      <c r="HL1126" s="13"/>
      <c r="HM1126" s="13"/>
      <c r="HN1126" s="13"/>
      <c r="HO1126" s="13"/>
      <c r="HP1126" s="13"/>
      <c r="HQ1126" s="13"/>
      <c r="HR1126" s="13"/>
      <c r="HS1126" s="13"/>
      <c r="HT1126" s="13"/>
      <c r="HU1126" s="18"/>
      <c r="HV1126" s="18"/>
      <c r="HW1126" s="18"/>
      <c r="HX1126" s="18"/>
      <c r="HY1126" s="18"/>
      <c r="HZ1126" s="18"/>
      <c r="IA1126" s="18"/>
      <c r="IB1126" s="18"/>
      <c r="IC1126" s="18"/>
      <c r="ID1126" s="18"/>
      <c r="IE1126" s="18"/>
      <c r="IF1126" s="18"/>
      <c r="IG1126" s="18"/>
      <c r="IH1126" s="18"/>
      <c r="II1126" s="18"/>
      <c r="IJ1126" s="18"/>
      <c r="IK1126" s="18"/>
      <c r="IL1126" s="18"/>
      <c r="IM1126" s="18"/>
      <c r="IN1126" s="18"/>
      <c r="IO1126" s="18"/>
      <c r="IP1126" s="18"/>
      <c r="IQ1126" s="18"/>
      <c r="IR1126" s="18"/>
      <c r="IS1126" s="18"/>
      <c r="IT1126" s="18"/>
      <c r="IU1126" s="18"/>
      <c r="IV1126" s="18"/>
      <c r="IW1126" s="18"/>
      <c r="IX1126" s="18"/>
      <c r="IY1126" s="18"/>
      <c r="IZ1126" s="18"/>
      <c r="JA1126" s="18"/>
      <c r="JB1126" s="18"/>
      <c r="JC1126" s="18"/>
      <c r="JD1126" s="18"/>
      <c r="JE1126" s="18"/>
      <c r="JF1126" s="18"/>
      <c r="JG1126" s="18"/>
      <c r="JH1126" s="18"/>
      <c r="JI1126" s="18"/>
      <c r="JJ1126" s="18"/>
      <c r="JK1126" s="18"/>
      <c r="JL1126" s="18"/>
      <c r="JM1126" s="18"/>
      <c r="JN1126" s="18"/>
      <c r="JO1126" s="18"/>
      <c r="JP1126" s="18"/>
      <c r="JQ1126" s="18"/>
      <c r="JR1126" s="18"/>
      <c r="JS1126" s="18"/>
      <c r="JT1126" s="18"/>
      <c r="JU1126" s="18"/>
      <c r="JV1126" s="18"/>
      <c r="JW1126" s="18"/>
      <c r="JX1126" s="18"/>
      <c r="JY1126" s="18"/>
      <c r="JZ1126" s="18"/>
      <c r="KA1126" s="18"/>
      <c r="KB1126" s="18"/>
      <c r="KC1126" s="18"/>
      <c r="KD1126" s="18"/>
      <c r="KE1126" s="18"/>
      <c r="KF1126" s="18"/>
      <c r="KG1126" s="18"/>
      <c r="KH1126" s="18"/>
      <c r="KI1126" s="18"/>
      <c r="KJ1126" s="18"/>
      <c r="KK1126" s="18"/>
      <c r="KL1126" s="18"/>
      <c r="KM1126" s="18"/>
      <c r="KN1126" s="18"/>
      <c r="KO1126" s="18"/>
      <c r="KP1126" s="18"/>
    </row>
    <row r="1127" spans="1:302">
      <c r="A1127" s="14"/>
      <c r="B1127" s="14"/>
      <c r="F1127" s="14"/>
      <c r="G1127" s="23"/>
      <c r="H1127" s="23"/>
      <c r="I1127" s="23"/>
      <c r="J1127" s="23"/>
      <c r="K1127" s="14"/>
      <c r="L1127" s="14"/>
      <c r="P1127" s="14"/>
      <c r="AG1127" s="44"/>
      <c r="AH1127" s="44"/>
      <c r="AI1127" s="45"/>
      <c r="AJ1127" s="44"/>
      <c r="AK1127" s="43"/>
      <c r="AS1127" s="14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  <c r="EW1127" s="18"/>
      <c r="EX1127" s="18"/>
      <c r="EY1127" s="18"/>
      <c r="EZ1127" s="18"/>
      <c r="FA1127" s="18"/>
      <c r="FB1127" s="18"/>
      <c r="FC1127" s="18"/>
      <c r="FD1127" s="18"/>
      <c r="FE1127" s="18"/>
      <c r="FF1127" s="18"/>
      <c r="FG1127" s="18"/>
      <c r="FH1127" s="18"/>
      <c r="FI1127" s="18"/>
      <c r="FJ1127" s="18"/>
      <c r="FK1127" s="18"/>
      <c r="FL1127" s="18"/>
      <c r="FM1127" s="18"/>
      <c r="FN1127" s="18"/>
      <c r="FO1127" s="18"/>
      <c r="FP1127" s="18"/>
      <c r="FQ1127" s="18"/>
      <c r="FR1127" s="18"/>
      <c r="FS1127" s="18"/>
      <c r="FT1127" s="18"/>
      <c r="FU1127" s="18"/>
      <c r="FV1127" s="18"/>
      <c r="FW1127" s="18"/>
      <c r="FX1127" s="18"/>
      <c r="FY1127" s="18"/>
      <c r="FZ1127" s="18"/>
      <c r="GA1127" s="18"/>
      <c r="GB1127" s="18"/>
      <c r="GC1127" s="18"/>
      <c r="GD1127" s="18"/>
      <c r="GE1127" s="18"/>
      <c r="GF1127" s="18"/>
      <c r="GG1127" s="18"/>
      <c r="GH1127" s="18"/>
      <c r="GI1127" s="18"/>
      <c r="GJ1127" s="18"/>
      <c r="GK1127" s="18"/>
      <c r="GL1127" s="18"/>
      <c r="GM1127" s="18"/>
      <c r="GN1127" s="18"/>
      <c r="GO1127" s="18"/>
      <c r="GP1127" s="18"/>
      <c r="GQ1127" s="18"/>
      <c r="GR1127" s="18"/>
      <c r="GS1127" s="18"/>
      <c r="GT1127" s="18"/>
      <c r="GU1127" s="18"/>
      <c r="GV1127" s="18"/>
      <c r="GW1127" s="18"/>
      <c r="GX1127" s="18"/>
      <c r="GY1127" s="18"/>
      <c r="GZ1127" s="18"/>
      <c r="HA1127" s="18"/>
      <c r="HB1127" s="18"/>
      <c r="HC1127" s="18"/>
      <c r="HD1127" s="18"/>
      <c r="HE1127" s="18"/>
      <c r="HF1127" s="18"/>
      <c r="HG1127" s="13"/>
      <c r="HH1127" s="13"/>
      <c r="HI1127" s="13"/>
      <c r="HJ1127" s="13"/>
      <c r="HK1127" s="13"/>
      <c r="HL1127" s="13"/>
      <c r="HM1127" s="13"/>
      <c r="HN1127" s="13"/>
      <c r="HO1127" s="13"/>
      <c r="HP1127" s="13"/>
      <c r="HQ1127" s="13"/>
      <c r="HR1127" s="13"/>
      <c r="HS1127" s="13"/>
      <c r="HT1127" s="13"/>
      <c r="HU1127" s="18"/>
      <c r="HV1127" s="18"/>
      <c r="HW1127" s="18"/>
      <c r="HX1127" s="18"/>
      <c r="HY1127" s="18"/>
      <c r="HZ1127" s="18"/>
      <c r="IA1127" s="18"/>
      <c r="IB1127" s="18"/>
      <c r="IC1127" s="18"/>
      <c r="ID1127" s="18"/>
      <c r="IE1127" s="18"/>
      <c r="IF1127" s="18"/>
      <c r="IG1127" s="18"/>
      <c r="IH1127" s="18"/>
      <c r="II1127" s="18"/>
      <c r="IJ1127" s="18"/>
      <c r="IK1127" s="18"/>
      <c r="IL1127" s="18"/>
      <c r="IM1127" s="18"/>
      <c r="IN1127" s="18"/>
      <c r="IO1127" s="18"/>
      <c r="IP1127" s="18"/>
      <c r="IQ1127" s="18"/>
      <c r="IR1127" s="18"/>
      <c r="IS1127" s="18"/>
      <c r="IT1127" s="18"/>
      <c r="IU1127" s="18"/>
      <c r="IV1127" s="18"/>
      <c r="IW1127" s="18"/>
      <c r="IX1127" s="18"/>
      <c r="IY1127" s="18"/>
      <c r="IZ1127" s="18"/>
      <c r="JA1127" s="18"/>
      <c r="JB1127" s="18"/>
      <c r="JC1127" s="18"/>
      <c r="JD1127" s="18"/>
      <c r="JE1127" s="18"/>
      <c r="JF1127" s="18"/>
      <c r="JG1127" s="18"/>
      <c r="JH1127" s="18"/>
      <c r="JI1127" s="18"/>
      <c r="JJ1127" s="18"/>
      <c r="JK1127" s="18"/>
      <c r="JL1127" s="18"/>
      <c r="JM1127" s="18"/>
      <c r="JN1127" s="18"/>
      <c r="JO1127" s="18"/>
      <c r="JP1127" s="18"/>
      <c r="JQ1127" s="18"/>
      <c r="JR1127" s="18"/>
      <c r="JS1127" s="18"/>
      <c r="JT1127" s="18"/>
      <c r="JU1127" s="18"/>
      <c r="JV1127" s="18"/>
      <c r="JW1127" s="18"/>
      <c r="JX1127" s="18"/>
      <c r="JY1127" s="18"/>
      <c r="JZ1127" s="18"/>
      <c r="KA1127" s="18"/>
      <c r="KB1127" s="18"/>
      <c r="KC1127" s="18"/>
      <c r="KD1127" s="18"/>
      <c r="KE1127" s="18"/>
      <c r="KF1127" s="18"/>
      <c r="KG1127" s="18"/>
      <c r="KH1127" s="18"/>
      <c r="KI1127" s="18"/>
      <c r="KJ1127" s="18"/>
      <c r="KK1127" s="18"/>
      <c r="KL1127" s="18"/>
      <c r="KM1127" s="18"/>
      <c r="KN1127" s="18"/>
      <c r="KO1127" s="18"/>
      <c r="KP1127" s="18"/>
    </row>
    <row r="1128" spans="1:302">
      <c r="A1128" s="14"/>
      <c r="B1128" s="14"/>
      <c r="F1128" s="14"/>
      <c r="G1128" s="23"/>
      <c r="H1128" s="23"/>
      <c r="I1128" s="23"/>
      <c r="J1128" s="23"/>
      <c r="K1128" s="14"/>
      <c r="L1128" s="14"/>
      <c r="P1128" s="14"/>
      <c r="AG1128" s="44"/>
      <c r="AH1128" s="44"/>
      <c r="AI1128" s="45"/>
      <c r="AJ1128" s="44"/>
      <c r="AK1128" s="43"/>
      <c r="AS1128" s="14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  <c r="EW1128" s="18"/>
      <c r="EX1128" s="18"/>
      <c r="EY1128" s="18"/>
      <c r="EZ1128" s="18"/>
      <c r="FA1128" s="18"/>
      <c r="FB1128" s="18"/>
      <c r="FC1128" s="18"/>
      <c r="FD1128" s="18"/>
      <c r="FE1128" s="18"/>
      <c r="FF1128" s="18"/>
      <c r="FG1128" s="18"/>
      <c r="FH1128" s="18"/>
      <c r="FI1128" s="18"/>
      <c r="FJ1128" s="18"/>
      <c r="FK1128" s="18"/>
      <c r="FL1128" s="18"/>
      <c r="FM1128" s="18"/>
      <c r="FN1128" s="18"/>
      <c r="FO1128" s="18"/>
      <c r="FP1128" s="18"/>
      <c r="FQ1128" s="18"/>
      <c r="FR1128" s="18"/>
      <c r="FS1128" s="18"/>
      <c r="FT1128" s="18"/>
      <c r="FU1128" s="18"/>
      <c r="FV1128" s="18"/>
      <c r="FW1128" s="18"/>
      <c r="FX1128" s="18"/>
      <c r="FY1128" s="18"/>
      <c r="FZ1128" s="18"/>
      <c r="GA1128" s="18"/>
      <c r="GB1128" s="18"/>
      <c r="GC1128" s="18"/>
      <c r="GD1128" s="18"/>
      <c r="GE1128" s="18"/>
      <c r="GF1128" s="18"/>
      <c r="GG1128" s="18"/>
      <c r="GH1128" s="18"/>
      <c r="GI1128" s="18"/>
      <c r="GJ1128" s="18"/>
      <c r="GK1128" s="18"/>
      <c r="GL1128" s="18"/>
      <c r="GM1128" s="18"/>
      <c r="GN1128" s="18"/>
      <c r="GO1128" s="18"/>
      <c r="GP1128" s="18"/>
      <c r="GQ1128" s="18"/>
      <c r="GR1128" s="18"/>
      <c r="GS1128" s="18"/>
      <c r="GT1128" s="18"/>
      <c r="GU1128" s="18"/>
      <c r="GV1128" s="18"/>
      <c r="GW1128" s="18"/>
      <c r="GX1128" s="18"/>
      <c r="GY1128" s="18"/>
      <c r="GZ1128" s="18"/>
      <c r="HA1128" s="18"/>
      <c r="HB1128" s="18"/>
      <c r="HC1128" s="18"/>
      <c r="HD1128" s="18"/>
      <c r="HE1128" s="18"/>
      <c r="HF1128" s="18"/>
      <c r="HG1128" s="13"/>
      <c r="HH1128" s="13"/>
      <c r="HI1128" s="13"/>
      <c r="HJ1128" s="13"/>
      <c r="HK1128" s="13"/>
      <c r="HL1128" s="13"/>
      <c r="HM1128" s="13"/>
      <c r="HN1128" s="13"/>
      <c r="HO1128" s="13"/>
      <c r="HP1128" s="13"/>
      <c r="HQ1128" s="13"/>
      <c r="HR1128" s="13"/>
      <c r="HS1128" s="13"/>
      <c r="HT1128" s="13"/>
      <c r="HU1128" s="18"/>
      <c r="HV1128" s="18"/>
      <c r="HW1128" s="18"/>
      <c r="HX1128" s="18"/>
      <c r="HY1128" s="18"/>
      <c r="HZ1128" s="18"/>
      <c r="IA1128" s="18"/>
      <c r="IB1128" s="18"/>
      <c r="IC1128" s="18"/>
      <c r="ID1128" s="18"/>
      <c r="IE1128" s="18"/>
      <c r="IF1128" s="18"/>
      <c r="IG1128" s="18"/>
      <c r="IH1128" s="18"/>
      <c r="II1128" s="18"/>
      <c r="IJ1128" s="18"/>
      <c r="IK1128" s="18"/>
      <c r="IL1128" s="18"/>
      <c r="IM1128" s="18"/>
      <c r="IN1128" s="18"/>
      <c r="IO1128" s="18"/>
      <c r="IP1128" s="18"/>
      <c r="IQ1128" s="18"/>
      <c r="IR1128" s="18"/>
      <c r="IS1128" s="18"/>
      <c r="IT1128" s="18"/>
      <c r="IU1128" s="18"/>
      <c r="IV1128" s="18"/>
      <c r="IW1128" s="18"/>
      <c r="IX1128" s="18"/>
      <c r="IY1128" s="18"/>
      <c r="IZ1128" s="18"/>
      <c r="JA1128" s="18"/>
      <c r="JB1128" s="18"/>
      <c r="JC1128" s="18"/>
      <c r="JD1128" s="18"/>
      <c r="JE1128" s="18"/>
      <c r="JF1128" s="18"/>
      <c r="JG1128" s="18"/>
      <c r="JH1128" s="18"/>
      <c r="JI1128" s="18"/>
      <c r="JJ1128" s="18"/>
      <c r="JK1128" s="18"/>
      <c r="JL1128" s="18"/>
      <c r="JM1128" s="18"/>
      <c r="JN1128" s="18"/>
      <c r="JO1128" s="18"/>
      <c r="JP1128" s="18"/>
      <c r="JQ1128" s="18"/>
      <c r="JR1128" s="18"/>
      <c r="JS1128" s="18"/>
      <c r="JT1128" s="18"/>
      <c r="JU1128" s="18"/>
      <c r="JV1128" s="18"/>
      <c r="JW1128" s="18"/>
      <c r="JX1128" s="18"/>
      <c r="JY1128" s="18"/>
      <c r="JZ1128" s="18"/>
      <c r="KA1128" s="18"/>
      <c r="KB1128" s="18"/>
      <c r="KC1128" s="18"/>
      <c r="KD1128" s="18"/>
      <c r="KE1128" s="18"/>
      <c r="KF1128" s="18"/>
      <c r="KG1128" s="18"/>
      <c r="KH1128" s="18"/>
      <c r="KI1128" s="18"/>
      <c r="KJ1128" s="18"/>
      <c r="KK1128" s="18"/>
      <c r="KL1128" s="18"/>
      <c r="KM1128" s="18"/>
      <c r="KN1128" s="18"/>
      <c r="KO1128" s="18"/>
      <c r="KP1128" s="18"/>
    </row>
    <row r="1129" spans="1:302">
      <c r="A1129" s="14"/>
      <c r="B1129" s="14"/>
      <c r="F1129" s="14"/>
      <c r="G1129" s="23"/>
      <c r="H1129" s="23"/>
      <c r="I1129" s="23"/>
      <c r="J1129" s="23"/>
      <c r="K1129" s="14"/>
      <c r="L1129" s="14"/>
      <c r="P1129" s="14"/>
      <c r="AG1129" s="44"/>
      <c r="AH1129" s="44"/>
      <c r="AI1129" s="45"/>
      <c r="AJ1129" s="44"/>
      <c r="AK1129" s="43"/>
      <c r="AS1129" s="14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  <c r="EW1129" s="18"/>
      <c r="EX1129" s="18"/>
      <c r="EY1129" s="18"/>
      <c r="EZ1129" s="18"/>
      <c r="FA1129" s="18"/>
      <c r="FB1129" s="18"/>
      <c r="FC1129" s="18"/>
      <c r="FD1129" s="18"/>
      <c r="FE1129" s="18"/>
      <c r="FF1129" s="18"/>
      <c r="FG1129" s="18"/>
      <c r="FH1129" s="18"/>
      <c r="FI1129" s="18"/>
      <c r="FJ1129" s="18"/>
      <c r="FK1129" s="18"/>
      <c r="FL1129" s="18"/>
      <c r="FM1129" s="18"/>
      <c r="FN1129" s="18"/>
      <c r="FO1129" s="18"/>
      <c r="FP1129" s="18"/>
      <c r="FQ1129" s="18"/>
      <c r="FR1129" s="18"/>
      <c r="FS1129" s="18"/>
      <c r="FT1129" s="18"/>
      <c r="FU1129" s="18"/>
      <c r="FV1129" s="18"/>
      <c r="FW1129" s="18"/>
      <c r="FX1129" s="18"/>
      <c r="FY1129" s="18"/>
      <c r="FZ1129" s="18"/>
      <c r="GA1129" s="18"/>
      <c r="GB1129" s="18"/>
      <c r="GC1129" s="18"/>
      <c r="GD1129" s="18"/>
      <c r="GE1129" s="18"/>
      <c r="GF1129" s="18"/>
      <c r="GG1129" s="18"/>
      <c r="GH1129" s="18"/>
      <c r="GI1129" s="18"/>
      <c r="GJ1129" s="18"/>
      <c r="GK1129" s="18"/>
      <c r="GL1129" s="18"/>
      <c r="GM1129" s="18"/>
      <c r="GN1129" s="18"/>
      <c r="GO1129" s="18"/>
      <c r="GP1129" s="18"/>
      <c r="GQ1129" s="18"/>
      <c r="GR1129" s="18"/>
      <c r="GS1129" s="18"/>
      <c r="GT1129" s="18"/>
      <c r="GU1129" s="18"/>
      <c r="GV1129" s="18"/>
      <c r="GW1129" s="18"/>
      <c r="GX1129" s="18"/>
      <c r="GY1129" s="18"/>
      <c r="GZ1129" s="18"/>
      <c r="HA1129" s="18"/>
      <c r="HB1129" s="18"/>
      <c r="HC1129" s="18"/>
      <c r="HD1129" s="18"/>
      <c r="HE1129" s="18"/>
      <c r="HF1129" s="18"/>
      <c r="HG1129" s="13"/>
      <c r="HH1129" s="13"/>
      <c r="HI1129" s="13"/>
      <c r="HJ1129" s="13"/>
      <c r="HK1129" s="13"/>
      <c r="HL1129" s="13"/>
      <c r="HM1129" s="13"/>
      <c r="HN1129" s="13"/>
      <c r="HO1129" s="13"/>
      <c r="HP1129" s="13"/>
      <c r="HQ1129" s="13"/>
      <c r="HR1129" s="13"/>
      <c r="HS1129" s="13"/>
      <c r="HT1129" s="13"/>
      <c r="HU1129" s="18"/>
      <c r="HV1129" s="18"/>
      <c r="HW1129" s="18"/>
      <c r="HX1129" s="18"/>
      <c r="HY1129" s="18"/>
      <c r="HZ1129" s="18"/>
      <c r="IA1129" s="18"/>
      <c r="IB1129" s="18"/>
      <c r="IC1129" s="18"/>
      <c r="ID1129" s="18"/>
      <c r="IE1129" s="18"/>
      <c r="IF1129" s="18"/>
      <c r="IG1129" s="18"/>
      <c r="IH1129" s="18"/>
      <c r="II1129" s="18"/>
      <c r="IJ1129" s="18"/>
      <c r="IK1129" s="18"/>
      <c r="IL1129" s="18"/>
      <c r="IM1129" s="18"/>
      <c r="IN1129" s="18"/>
      <c r="IO1129" s="18"/>
      <c r="IP1129" s="18"/>
      <c r="IQ1129" s="18"/>
      <c r="IR1129" s="18"/>
      <c r="IS1129" s="18"/>
      <c r="IT1129" s="18"/>
      <c r="IU1129" s="18"/>
      <c r="IV1129" s="18"/>
      <c r="IW1129" s="18"/>
      <c r="IX1129" s="18"/>
      <c r="IY1129" s="18"/>
      <c r="IZ1129" s="18"/>
      <c r="JA1129" s="18"/>
      <c r="JB1129" s="18"/>
      <c r="JC1129" s="18"/>
      <c r="JD1129" s="18"/>
      <c r="JE1129" s="18"/>
      <c r="JF1129" s="18"/>
      <c r="JG1129" s="18"/>
      <c r="JH1129" s="18"/>
      <c r="JI1129" s="18"/>
      <c r="JJ1129" s="18"/>
      <c r="JK1129" s="18"/>
      <c r="JL1129" s="18"/>
      <c r="JM1129" s="18"/>
      <c r="JN1129" s="18"/>
      <c r="JO1129" s="18"/>
      <c r="JP1129" s="18"/>
      <c r="JQ1129" s="18"/>
      <c r="JR1129" s="18"/>
      <c r="JS1129" s="18"/>
      <c r="JT1129" s="18"/>
      <c r="JU1129" s="18"/>
      <c r="JV1129" s="18"/>
      <c r="JW1129" s="18"/>
      <c r="JX1129" s="18"/>
      <c r="JY1129" s="18"/>
      <c r="JZ1129" s="18"/>
      <c r="KA1129" s="18"/>
      <c r="KB1129" s="18"/>
      <c r="KC1129" s="18"/>
      <c r="KD1129" s="18"/>
      <c r="KE1129" s="18"/>
      <c r="KF1129" s="18"/>
      <c r="KG1129" s="18"/>
      <c r="KH1129" s="18"/>
      <c r="KI1129" s="18"/>
      <c r="KJ1129" s="18"/>
      <c r="KK1129" s="18"/>
      <c r="KL1129" s="18"/>
      <c r="KM1129" s="18"/>
      <c r="KN1129" s="18"/>
      <c r="KO1129" s="18"/>
      <c r="KP1129" s="18"/>
    </row>
    <row r="1130" spans="1:302">
      <c r="A1130" s="14"/>
      <c r="B1130" s="14"/>
      <c r="F1130" s="14"/>
      <c r="G1130" s="23"/>
      <c r="H1130" s="23"/>
      <c r="I1130" s="23"/>
      <c r="J1130" s="23"/>
      <c r="K1130" s="14"/>
      <c r="L1130" s="14"/>
      <c r="P1130" s="14"/>
      <c r="AG1130" s="44"/>
      <c r="AH1130" s="44"/>
      <c r="AI1130" s="45"/>
      <c r="AJ1130" s="44"/>
      <c r="AK1130" s="43"/>
      <c r="AS1130" s="14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  <c r="EW1130" s="18"/>
      <c r="EX1130" s="18"/>
      <c r="EY1130" s="18"/>
      <c r="EZ1130" s="18"/>
      <c r="FA1130" s="18"/>
      <c r="FB1130" s="18"/>
      <c r="FC1130" s="18"/>
      <c r="FD1130" s="18"/>
      <c r="FE1130" s="18"/>
      <c r="FF1130" s="18"/>
      <c r="FG1130" s="18"/>
      <c r="FH1130" s="18"/>
      <c r="FI1130" s="18"/>
      <c r="FJ1130" s="18"/>
      <c r="FK1130" s="18"/>
      <c r="FL1130" s="18"/>
      <c r="FM1130" s="18"/>
      <c r="FN1130" s="18"/>
      <c r="FO1130" s="18"/>
      <c r="FP1130" s="18"/>
      <c r="FQ1130" s="18"/>
      <c r="FR1130" s="18"/>
      <c r="FS1130" s="18"/>
      <c r="FT1130" s="18"/>
      <c r="FU1130" s="18"/>
      <c r="FV1130" s="18"/>
      <c r="FW1130" s="18"/>
      <c r="FX1130" s="18"/>
      <c r="FY1130" s="18"/>
      <c r="FZ1130" s="18"/>
      <c r="GA1130" s="18"/>
      <c r="GB1130" s="18"/>
      <c r="GC1130" s="18"/>
      <c r="GD1130" s="18"/>
      <c r="GE1130" s="18"/>
      <c r="GF1130" s="18"/>
      <c r="GG1130" s="18"/>
      <c r="GH1130" s="18"/>
      <c r="GI1130" s="18"/>
      <c r="GJ1130" s="18"/>
      <c r="GK1130" s="18"/>
      <c r="GL1130" s="18"/>
      <c r="GM1130" s="18"/>
      <c r="GN1130" s="18"/>
      <c r="GO1130" s="18"/>
      <c r="GP1130" s="18"/>
      <c r="GQ1130" s="18"/>
      <c r="GR1130" s="18"/>
      <c r="GS1130" s="18"/>
      <c r="GT1130" s="18"/>
      <c r="GU1130" s="18"/>
      <c r="GV1130" s="18"/>
      <c r="GW1130" s="18"/>
      <c r="GX1130" s="18"/>
      <c r="GY1130" s="18"/>
      <c r="GZ1130" s="18"/>
      <c r="HA1130" s="18"/>
      <c r="HB1130" s="18"/>
      <c r="HC1130" s="18"/>
      <c r="HD1130" s="18"/>
      <c r="HE1130" s="18"/>
      <c r="HF1130" s="18"/>
      <c r="HG1130" s="13"/>
      <c r="HH1130" s="13"/>
      <c r="HI1130" s="13"/>
      <c r="HJ1130" s="13"/>
      <c r="HK1130" s="13"/>
      <c r="HL1130" s="13"/>
      <c r="HM1130" s="13"/>
      <c r="HN1130" s="13"/>
      <c r="HO1130" s="13"/>
      <c r="HP1130" s="13"/>
      <c r="HQ1130" s="13"/>
      <c r="HR1130" s="13"/>
      <c r="HS1130" s="13"/>
      <c r="HT1130" s="13"/>
      <c r="HU1130" s="18"/>
      <c r="HV1130" s="18"/>
      <c r="HW1130" s="18"/>
      <c r="HX1130" s="18"/>
      <c r="HY1130" s="18"/>
      <c r="HZ1130" s="18"/>
      <c r="IA1130" s="18"/>
      <c r="IB1130" s="18"/>
      <c r="IC1130" s="18"/>
      <c r="ID1130" s="18"/>
      <c r="IE1130" s="18"/>
      <c r="IF1130" s="18"/>
      <c r="IG1130" s="18"/>
      <c r="IH1130" s="18"/>
      <c r="II1130" s="18"/>
      <c r="IJ1130" s="18"/>
      <c r="IK1130" s="18"/>
      <c r="IL1130" s="18"/>
      <c r="IM1130" s="18"/>
      <c r="IN1130" s="18"/>
      <c r="IO1130" s="18"/>
      <c r="IP1130" s="18"/>
      <c r="IQ1130" s="18"/>
      <c r="IR1130" s="18"/>
      <c r="IS1130" s="18"/>
      <c r="IT1130" s="18"/>
      <c r="IU1130" s="18"/>
      <c r="IV1130" s="18"/>
      <c r="IW1130" s="18"/>
      <c r="IX1130" s="18"/>
      <c r="IY1130" s="18"/>
      <c r="IZ1130" s="18"/>
      <c r="JA1130" s="18"/>
      <c r="JB1130" s="18"/>
      <c r="JC1130" s="18"/>
      <c r="JD1130" s="18"/>
      <c r="JE1130" s="18"/>
      <c r="JF1130" s="18"/>
      <c r="JG1130" s="18"/>
      <c r="JH1130" s="18"/>
      <c r="JI1130" s="18"/>
      <c r="JJ1130" s="18"/>
      <c r="JK1130" s="18"/>
      <c r="JL1130" s="18"/>
      <c r="JM1130" s="18"/>
      <c r="JN1130" s="18"/>
      <c r="JO1130" s="18"/>
      <c r="JP1130" s="18"/>
      <c r="JQ1130" s="18"/>
      <c r="JR1130" s="18"/>
      <c r="JS1130" s="18"/>
      <c r="JT1130" s="18"/>
      <c r="JU1130" s="18"/>
      <c r="JV1130" s="18"/>
      <c r="JW1130" s="18"/>
      <c r="JX1130" s="18"/>
      <c r="JY1130" s="18"/>
      <c r="JZ1130" s="18"/>
      <c r="KA1130" s="18"/>
      <c r="KB1130" s="18"/>
      <c r="KC1130" s="18"/>
      <c r="KD1130" s="18"/>
      <c r="KE1130" s="18"/>
      <c r="KF1130" s="18"/>
      <c r="KG1130" s="18"/>
      <c r="KH1130" s="18"/>
      <c r="KI1130" s="18"/>
      <c r="KJ1130" s="18"/>
      <c r="KK1130" s="18"/>
      <c r="KL1130" s="18"/>
      <c r="KM1130" s="18"/>
      <c r="KN1130" s="18"/>
      <c r="KO1130" s="18"/>
      <c r="KP1130" s="18"/>
    </row>
    <row r="1131" spans="1:302">
      <c r="A1131" s="14"/>
      <c r="B1131" s="14"/>
      <c r="F1131" s="14"/>
      <c r="G1131" s="23"/>
      <c r="H1131" s="23"/>
      <c r="I1131" s="23"/>
      <c r="J1131" s="23"/>
      <c r="K1131" s="14"/>
      <c r="L1131" s="14"/>
      <c r="P1131" s="14"/>
      <c r="AG1131" s="44"/>
      <c r="AH1131" s="44"/>
      <c r="AI1131" s="45"/>
      <c r="AJ1131" s="44"/>
      <c r="AK1131" s="43"/>
      <c r="AS1131" s="14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  <c r="EW1131" s="18"/>
      <c r="EX1131" s="18"/>
      <c r="EY1131" s="18"/>
      <c r="EZ1131" s="18"/>
      <c r="FA1131" s="18"/>
      <c r="FB1131" s="18"/>
      <c r="FC1131" s="18"/>
      <c r="FD1131" s="18"/>
      <c r="FE1131" s="18"/>
      <c r="FF1131" s="18"/>
      <c r="FG1131" s="18"/>
      <c r="FH1131" s="18"/>
      <c r="FI1131" s="18"/>
      <c r="FJ1131" s="18"/>
      <c r="FK1131" s="18"/>
      <c r="FL1131" s="18"/>
      <c r="FM1131" s="18"/>
      <c r="FN1131" s="18"/>
      <c r="FO1131" s="18"/>
      <c r="FP1131" s="18"/>
      <c r="FQ1131" s="18"/>
      <c r="FR1131" s="18"/>
      <c r="FS1131" s="18"/>
      <c r="FT1131" s="18"/>
      <c r="FU1131" s="18"/>
      <c r="FV1131" s="18"/>
      <c r="FW1131" s="18"/>
      <c r="FX1131" s="18"/>
      <c r="FY1131" s="18"/>
      <c r="FZ1131" s="18"/>
      <c r="GA1131" s="18"/>
      <c r="GB1131" s="18"/>
      <c r="GC1131" s="18"/>
      <c r="GD1131" s="18"/>
      <c r="GE1131" s="18"/>
      <c r="GF1131" s="18"/>
      <c r="GG1131" s="18"/>
      <c r="GH1131" s="18"/>
      <c r="GI1131" s="18"/>
      <c r="GJ1131" s="18"/>
      <c r="GK1131" s="18"/>
      <c r="GL1131" s="18"/>
      <c r="GM1131" s="18"/>
      <c r="GN1131" s="18"/>
      <c r="GO1131" s="18"/>
      <c r="GP1131" s="18"/>
      <c r="GQ1131" s="18"/>
      <c r="GR1131" s="18"/>
      <c r="GS1131" s="18"/>
      <c r="GT1131" s="18"/>
      <c r="GU1131" s="18"/>
      <c r="GV1131" s="18"/>
      <c r="GW1131" s="18"/>
      <c r="GX1131" s="18"/>
      <c r="GY1131" s="18"/>
      <c r="GZ1131" s="18"/>
      <c r="HA1131" s="18"/>
      <c r="HB1131" s="18"/>
      <c r="HC1131" s="18"/>
      <c r="HD1131" s="18"/>
      <c r="HE1131" s="18"/>
      <c r="HF1131" s="18"/>
      <c r="HG1131" s="13"/>
      <c r="HH1131" s="13"/>
      <c r="HI1131" s="13"/>
      <c r="HJ1131" s="13"/>
      <c r="HK1131" s="13"/>
      <c r="HL1131" s="13"/>
      <c r="HM1131" s="13"/>
      <c r="HN1131" s="13"/>
      <c r="HO1131" s="13"/>
      <c r="HP1131" s="13"/>
      <c r="HQ1131" s="13"/>
      <c r="HR1131" s="13"/>
      <c r="HS1131" s="13"/>
      <c r="HT1131" s="13"/>
      <c r="HU1131" s="18"/>
      <c r="HV1131" s="18"/>
      <c r="HW1131" s="18"/>
      <c r="HX1131" s="18"/>
      <c r="HY1131" s="18"/>
      <c r="HZ1131" s="18"/>
      <c r="IA1131" s="18"/>
      <c r="IB1131" s="18"/>
      <c r="IC1131" s="18"/>
      <c r="ID1131" s="18"/>
      <c r="IE1131" s="18"/>
      <c r="IF1131" s="18"/>
      <c r="IG1131" s="18"/>
      <c r="IH1131" s="18"/>
      <c r="II1131" s="18"/>
      <c r="IJ1131" s="18"/>
      <c r="IK1131" s="18"/>
      <c r="IL1131" s="18"/>
      <c r="IM1131" s="18"/>
      <c r="IN1131" s="18"/>
      <c r="IO1131" s="18"/>
      <c r="IP1131" s="18"/>
      <c r="IQ1131" s="18"/>
      <c r="IR1131" s="18"/>
      <c r="IS1131" s="18"/>
      <c r="IT1131" s="18"/>
      <c r="IU1131" s="18"/>
      <c r="IV1131" s="18"/>
      <c r="IW1131" s="18"/>
      <c r="IX1131" s="18"/>
      <c r="IY1131" s="18"/>
      <c r="IZ1131" s="18"/>
      <c r="JA1131" s="18"/>
      <c r="JB1131" s="18"/>
      <c r="JC1131" s="18"/>
      <c r="JD1131" s="18"/>
      <c r="JE1131" s="18"/>
      <c r="JF1131" s="18"/>
      <c r="JG1131" s="18"/>
      <c r="JH1131" s="18"/>
      <c r="JI1131" s="18"/>
      <c r="JJ1131" s="18"/>
      <c r="JK1131" s="18"/>
      <c r="JL1131" s="18"/>
      <c r="JM1131" s="18"/>
      <c r="JN1131" s="18"/>
      <c r="JO1131" s="18"/>
      <c r="JP1131" s="18"/>
      <c r="JQ1131" s="18"/>
      <c r="JR1131" s="18"/>
      <c r="JS1131" s="18"/>
      <c r="JT1131" s="18"/>
      <c r="JU1131" s="18"/>
      <c r="JV1131" s="18"/>
      <c r="JW1131" s="18"/>
      <c r="JX1131" s="18"/>
      <c r="JY1131" s="18"/>
      <c r="JZ1131" s="18"/>
      <c r="KA1131" s="18"/>
      <c r="KB1131" s="18"/>
      <c r="KC1131" s="18"/>
      <c r="KD1131" s="18"/>
      <c r="KE1131" s="18"/>
      <c r="KF1131" s="18"/>
      <c r="KG1131" s="18"/>
      <c r="KH1131" s="18"/>
      <c r="KI1131" s="18"/>
      <c r="KJ1131" s="18"/>
      <c r="KK1131" s="18"/>
      <c r="KL1131" s="18"/>
      <c r="KM1131" s="18"/>
      <c r="KN1131" s="18"/>
      <c r="KO1131" s="18"/>
      <c r="KP1131" s="18"/>
    </row>
    <row r="1132" spans="1:302">
      <c r="A1132" s="14"/>
      <c r="B1132" s="14"/>
      <c r="F1132" s="14"/>
      <c r="G1132" s="23"/>
      <c r="H1132" s="23"/>
      <c r="I1132" s="23"/>
      <c r="J1132" s="23"/>
      <c r="K1132" s="14"/>
      <c r="L1132" s="14"/>
      <c r="P1132" s="14"/>
      <c r="AG1132" s="44"/>
      <c r="AH1132" s="44"/>
      <c r="AI1132" s="45"/>
      <c r="AJ1132" s="44"/>
      <c r="AK1132" s="43"/>
      <c r="AS1132" s="14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  <c r="EW1132" s="18"/>
      <c r="EX1132" s="18"/>
      <c r="EY1132" s="18"/>
      <c r="EZ1132" s="18"/>
      <c r="FA1132" s="18"/>
      <c r="FB1132" s="18"/>
      <c r="FC1132" s="18"/>
      <c r="FD1132" s="18"/>
      <c r="FE1132" s="18"/>
      <c r="FF1132" s="18"/>
      <c r="FG1132" s="18"/>
      <c r="FH1132" s="18"/>
      <c r="FI1132" s="18"/>
      <c r="FJ1132" s="18"/>
      <c r="FK1132" s="18"/>
      <c r="FL1132" s="18"/>
      <c r="FM1132" s="18"/>
      <c r="FN1132" s="18"/>
      <c r="FO1132" s="18"/>
      <c r="FP1132" s="18"/>
      <c r="FQ1132" s="18"/>
      <c r="FR1132" s="18"/>
      <c r="FS1132" s="18"/>
      <c r="FT1132" s="18"/>
      <c r="FU1132" s="18"/>
      <c r="FV1132" s="18"/>
      <c r="FW1132" s="18"/>
      <c r="FX1132" s="18"/>
      <c r="FY1132" s="18"/>
      <c r="FZ1132" s="18"/>
      <c r="GA1132" s="18"/>
      <c r="GB1132" s="18"/>
      <c r="GC1132" s="18"/>
      <c r="GD1132" s="18"/>
      <c r="GE1132" s="18"/>
      <c r="GF1132" s="18"/>
      <c r="GG1132" s="18"/>
      <c r="GH1132" s="18"/>
      <c r="GI1132" s="18"/>
      <c r="GJ1132" s="18"/>
      <c r="GK1132" s="18"/>
      <c r="GL1132" s="18"/>
      <c r="GM1132" s="18"/>
      <c r="GN1132" s="18"/>
      <c r="GO1132" s="18"/>
      <c r="GP1132" s="18"/>
      <c r="GQ1132" s="18"/>
      <c r="GR1132" s="18"/>
      <c r="GS1132" s="18"/>
      <c r="GT1132" s="18"/>
      <c r="GU1132" s="18"/>
      <c r="GV1132" s="18"/>
      <c r="GW1132" s="18"/>
      <c r="GX1132" s="18"/>
      <c r="GY1132" s="18"/>
      <c r="GZ1132" s="18"/>
      <c r="HA1132" s="18"/>
      <c r="HB1132" s="18"/>
      <c r="HC1132" s="18"/>
      <c r="HD1132" s="18"/>
      <c r="HE1132" s="18"/>
      <c r="HF1132" s="18"/>
      <c r="HG1132" s="13"/>
      <c r="HH1132" s="13"/>
      <c r="HI1132" s="13"/>
      <c r="HJ1132" s="13"/>
      <c r="HK1132" s="13"/>
      <c r="HL1132" s="13"/>
      <c r="HM1132" s="13"/>
      <c r="HN1132" s="13"/>
      <c r="HO1132" s="13"/>
      <c r="HP1132" s="13"/>
      <c r="HQ1132" s="13"/>
      <c r="HR1132" s="13"/>
      <c r="HS1132" s="13"/>
      <c r="HT1132" s="13"/>
      <c r="HU1132" s="18"/>
      <c r="HV1132" s="18"/>
      <c r="HW1132" s="18"/>
      <c r="HX1132" s="18"/>
      <c r="HY1132" s="18"/>
      <c r="HZ1132" s="18"/>
      <c r="IA1132" s="18"/>
      <c r="IB1132" s="18"/>
      <c r="IC1132" s="18"/>
      <c r="ID1132" s="18"/>
      <c r="IE1132" s="18"/>
      <c r="IF1132" s="18"/>
      <c r="IG1132" s="18"/>
      <c r="IH1132" s="18"/>
      <c r="II1132" s="18"/>
      <c r="IJ1132" s="18"/>
      <c r="IK1132" s="18"/>
      <c r="IL1132" s="18"/>
      <c r="IM1132" s="18"/>
      <c r="IN1132" s="18"/>
      <c r="IO1132" s="18"/>
      <c r="IP1132" s="18"/>
      <c r="IQ1132" s="18"/>
      <c r="IR1132" s="18"/>
      <c r="IS1132" s="18"/>
      <c r="IT1132" s="18"/>
      <c r="IU1132" s="18"/>
      <c r="IV1132" s="18"/>
      <c r="IW1132" s="18"/>
      <c r="IX1132" s="18"/>
      <c r="IY1132" s="18"/>
      <c r="IZ1132" s="18"/>
      <c r="JA1132" s="18"/>
      <c r="JB1132" s="18"/>
      <c r="JC1132" s="18"/>
      <c r="JD1132" s="18"/>
      <c r="JE1132" s="18"/>
      <c r="JF1132" s="18"/>
      <c r="JG1132" s="18"/>
      <c r="JH1132" s="18"/>
      <c r="JI1132" s="18"/>
      <c r="JJ1132" s="18"/>
      <c r="JK1132" s="18"/>
      <c r="JL1132" s="18"/>
      <c r="JM1132" s="18"/>
      <c r="JN1132" s="18"/>
      <c r="JO1132" s="18"/>
      <c r="JP1132" s="18"/>
      <c r="JQ1132" s="18"/>
      <c r="JR1132" s="18"/>
      <c r="JS1132" s="18"/>
      <c r="JT1132" s="18"/>
      <c r="JU1132" s="18"/>
      <c r="JV1132" s="18"/>
      <c r="JW1132" s="18"/>
      <c r="JX1132" s="18"/>
      <c r="JY1132" s="18"/>
      <c r="JZ1132" s="18"/>
      <c r="KA1132" s="18"/>
      <c r="KB1132" s="18"/>
      <c r="KC1132" s="18"/>
      <c r="KD1132" s="18"/>
      <c r="KE1132" s="18"/>
      <c r="KF1132" s="18"/>
      <c r="KG1132" s="18"/>
      <c r="KH1132" s="18"/>
      <c r="KI1132" s="18"/>
      <c r="KJ1132" s="18"/>
      <c r="KK1132" s="18"/>
      <c r="KL1132" s="18"/>
      <c r="KM1132" s="18"/>
      <c r="KN1132" s="18"/>
      <c r="KO1132" s="18"/>
      <c r="KP1132" s="18"/>
    </row>
    <row r="1133" spans="1:302">
      <c r="A1133" s="14"/>
      <c r="B1133" s="14"/>
      <c r="F1133" s="14"/>
      <c r="G1133" s="23"/>
      <c r="H1133" s="23"/>
      <c r="I1133" s="23"/>
      <c r="J1133" s="23"/>
      <c r="K1133" s="14"/>
      <c r="L1133" s="14"/>
      <c r="P1133" s="14"/>
      <c r="AG1133" s="44"/>
      <c r="AH1133" s="44"/>
      <c r="AI1133" s="45"/>
      <c r="AJ1133" s="44"/>
      <c r="AK1133" s="43"/>
      <c r="AS1133" s="14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  <c r="EW1133" s="18"/>
      <c r="EX1133" s="18"/>
      <c r="EY1133" s="18"/>
      <c r="EZ1133" s="18"/>
      <c r="FA1133" s="18"/>
      <c r="FB1133" s="18"/>
      <c r="FC1133" s="18"/>
      <c r="FD1133" s="18"/>
      <c r="FE1133" s="18"/>
      <c r="FF1133" s="18"/>
      <c r="FG1133" s="18"/>
      <c r="FH1133" s="18"/>
      <c r="FI1133" s="18"/>
      <c r="FJ1133" s="18"/>
      <c r="FK1133" s="18"/>
      <c r="FL1133" s="18"/>
      <c r="FM1133" s="18"/>
      <c r="FN1133" s="18"/>
      <c r="FO1133" s="18"/>
      <c r="FP1133" s="18"/>
      <c r="FQ1133" s="18"/>
      <c r="FR1133" s="18"/>
      <c r="FS1133" s="18"/>
      <c r="FT1133" s="18"/>
      <c r="FU1133" s="18"/>
      <c r="FV1133" s="18"/>
      <c r="FW1133" s="18"/>
      <c r="FX1133" s="18"/>
      <c r="FY1133" s="18"/>
      <c r="FZ1133" s="18"/>
      <c r="GA1133" s="18"/>
      <c r="GB1133" s="18"/>
      <c r="GC1133" s="18"/>
      <c r="GD1133" s="18"/>
      <c r="GE1133" s="18"/>
      <c r="GF1133" s="18"/>
      <c r="GG1133" s="18"/>
      <c r="GH1133" s="18"/>
      <c r="GI1133" s="18"/>
      <c r="GJ1133" s="18"/>
      <c r="GK1133" s="18"/>
      <c r="GL1133" s="18"/>
      <c r="GM1133" s="18"/>
      <c r="GN1133" s="18"/>
      <c r="GO1133" s="18"/>
      <c r="GP1133" s="18"/>
      <c r="GQ1133" s="18"/>
      <c r="GR1133" s="18"/>
      <c r="GS1133" s="18"/>
      <c r="GT1133" s="18"/>
      <c r="GU1133" s="18"/>
      <c r="GV1133" s="18"/>
      <c r="GW1133" s="18"/>
      <c r="GX1133" s="18"/>
      <c r="GY1133" s="18"/>
      <c r="GZ1133" s="18"/>
      <c r="HA1133" s="18"/>
      <c r="HB1133" s="18"/>
      <c r="HC1133" s="18"/>
      <c r="HD1133" s="18"/>
      <c r="HE1133" s="18"/>
      <c r="HF1133" s="18"/>
      <c r="HG1133" s="13"/>
      <c r="HH1133" s="13"/>
      <c r="HI1133" s="13"/>
      <c r="HJ1133" s="13"/>
      <c r="HK1133" s="13"/>
      <c r="HL1133" s="13"/>
      <c r="HM1133" s="13"/>
      <c r="HN1133" s="13"/>
      <c r="HO1133" s="13"/>
      <c r="HP1133" s="13"/>
      <c r="HQ1133" s="13"/>
      <c r="HR1133" s="13"/>
      <c r="HS1133" s="13"/>
      <c r="HT1133" s="13"/>
      <c r="HU1133" s="18"/>
      <c r="HV1133" s="18"/>
      <c r="HW1133" s="18"/>
      <c r="HX1133" s="18"/>
      <c r="HY1133" s="18"/>
      <c r="HZ1133" s="18"/>
      <c r="IA1133" s="18"/>
      <c r="IB1133" s="18"/>
      <c r="IC1133" s="18"/>
      <c r="ID1133" s="18"/>
      <c r="IE1133" s="18"/>
      <c r="IF1133" s="18"/>
      <c r="IG1133" s="18"/>
      <c r="IH1133" s="18"/>
      <c r="II1133" s="18"/>
      <c r="IJ1133" s="18"/>
      <c r="IK1133" s="18"/>
      <c r="IL1133" s="18"/>
      <c r="IM1133" s="18"/>
      <c r="IN1133" s="18"/>
      <c r="IO1133" s="18"/>
      <c r="IP1133" s="18"/>
      <c r="IQ1133" s="18"/>
      <c r="IR1133" s="18"/>
      <c r="IS1133" s="18"/>
      <c r="IT1133" s="18"/>
      <c r="IU1133" s="18"/>
      <c r="IV1133" s="18"/>
      <c r="IW1133" s="18"/>
      <c r="IX1133" s="18"/>
      <c r="IY1133" s="18"/>
      <c r="IZ1133" s="18"/>
      <c r="JA1133" s="18"/>
      <c r="JB1133" s="18"/>
      <c r="JC1133" s="18"/>
      <c r="JD1133" s="18"/>
      <c r="JE1133" s="18"/>
      <c r="JF1133" s="18"/>
      <c r="JG1133" s="18"/>
      <c r="JH1133" s="18"/>
      <c r="JI1133" s="18"/>
      <c r="JJ1133" s="18"/>
      <c r="JK1133" s="18"/>
      <c r="JL1133" s="18"/>
      <c r="JM1133" s="18"/>
      <c r="JN1133" s="18"/>
      <c r="JO1133" s="18"/>
      <c r="JP1133" s="18"/>
      <c r="JQ1133" s="18"/>
      <c r="JR1133" s="18"/>
      <c r="JS1133" s="18"/>
      <c r="JT1133" s="18"/>
      <c r="JU1133" s="18"/>
      <c r="JV1133" s="18"/>
      <c r="JW1133" s="18"/>
      <c r="JX1133" s="18"/>
      <c r="JY1133" s="18"/>
      <c r="JZ1133" s="18"/>
      <c r="KA1133" s="18"/>
      <c r="KB1133" s="18"/>
      <c r="KC1133" s="18"/>
      <c r="KD1133" s="18"/>
      <c r="KE1133" s="18"/>
      <c r="KF1133" s="18"/>
      <c r="KG1133" s="18"/>
      <c r="KH1133" s="18"/>
      <c r="KI1133" s="18"/>
      <c r="KJ1133" s="18"/>
      <c r="KK1133" s="18"/>
      <c r="KL1133" s="18"/>
      <c r="KM1133" s="18"/>
      <c r="KN1133" s="18"/>
      <c r="KO1133" s="18"/>
      <c r="KP1133" s="18"/>
    </row>
    <row r="1134" spans="1:302">
      <c r="A1134" s="14"/>
      <c r="B1134" s="14"/>
      <c r="F1134" s="14"/>
      <c r="G1134" s="23"/>
      <c r="H1134" s="23"/>
      <c r="I1134" s="23"/>
      <c r="J1134" s="23"/>
      <c r="K1134" s="14"/>
      <c r="L1134" s="14"/>
      <c r="P1134" s="14"/>
      <c r="AG1134" s="44"/>
      <c r="AH1134" s="44"/>
      <c r="AI1134" s="45"/>
      <c r="AJ1134" s="44"/>
      <c r="AK1134" s="43"/>
      <c r="AS1134" s="14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  <c r="EW1134" s="18"/>
      <c r="EX1134" s="18"/>
      <c r="EY1134" s="18"/>
      <c r="EZ1134" s="18"/>
      <c r="FA1134" s="18"/>
      <c r="FB1134" s="18"/>
      <c r="FC1134" s="18"/>
      <c r="FD1134" s="18"/>
      <c r="FE1134" s="18"/>
      <c r="FF1134" s="18"/>
      <c r="FG1134" s="18"/>
      <c r="FH1134" s="18"/>
      <c r="FI1134" s="18"/>
      <c r="FJ1134" s="18"/>
      <c r="FK1134" s="18"/>
      <c r="FL1134" s="18"/>
      <c r="FM1134" s="18"/>
      <c r="FN1134" s="18"/>
      <c r="FO1134" s="18"/>
      <c r="FP1134" s="18"/>
      <c r="FQ1134" s="18"/>
      <c r="FR1134" s="18"/>
      <c r="FS1134" s="18"/>
      <c r="FT1134" s="18"/>
      <c r="FU1134" s="18"/>
      <c r="FV1134" s="18"/>
      <c r="FW1134" s="18"/>
      <c r="FX1134" s="18"/>
      <c r="FY1134" s="18"/>
      <c r="FZ1134" s="18"/>
      <c r="GA1134" s="18"/>
      <c r="GB1134" s="18"/>
      <c r="GC1134" s="18"/>
      <c r="GD1134" s="18"/>
      <c r="GE1134" s="18"/>
      <c r="GF1134" s="18"/>
      <c r="GG1134" s="18"/>
      <c r="GH1134" s="18"/>
      <c r="GI1134" s="18"/>
      <c r="GJ1134" s="18"/>
      <c r="GK1134" s="18"/>
      <c r="GL1134" s="18"/>
      <c r="GM1134" s="18"/>
      <c r="GN1134" s="18"/>
      <c r="GO1134" s="18"/>
      <c r="GP1134" s="18"/>
      <c r="GQ1134" s="18"/>
      <c r="GR1134" s="18"/>
      <c r="GS1134" s="18"/>
      <c r="GT1134" s="18"/>
      <c r="GU1134" s="18"/>
      <c r="GV1134" s="18"/>
      <c r="GW1134" s="18"/>
      <c r="GX1134" s="18"/>
      <c r="GY1134" s="18"/>
      <c r="GZ1134" s="18"/>
      <c r="HA1134" s="18"/>
      <c r="HB1134" s="18"/>
      <c r="HC1134" s="18"/>
      <c r="HD1134" s="18"/>
      <c r="HE1134" s="18"/>
      <c r="HF1134" s="18"/>
      <c r="HG1134" s="13"/>
      <c r="HH1134" s="13"/>
      <c r="HI1134" s="13"/>
      <c r="HJ1134" s="13"/>
      <c r="HK1134" s="13"/>
      <c r="HL1134" s="13"/>
      <c r="HM1134" s="13"/>
      <c r="HN1134" s="13"/>
      <c r="HO1134" s="13"/>
      <c r="HP1134" s="13"/>
      <c r="HQ1134" s="13"/>
      <c r="HR1134" s="13"/>
      <c r="HS1134" s="13"/>
      <c r="HT1134" s="13"/>
      <c r="HU1134" s="18"/>
      <c r="HV1134" s="18"/>
      <c r="HW1134" s="18"/>
      <c r="HX1134" s="18"/>
      <c r="HY1134" s="18"/>
      <c r="HZ1134" s="18"/>
      <c r="IA1134" s="18"/>
      <c r="IB1134" s="18"/>
      <c r="IC1134" s="18"/>
      <c r="ID1134" s="18"/>
      <c r="IE1134" s="18"/>
      <c r="IF1134" s="18"/>
      <c r="IG1134" s="18"/>
      <c r="IH1134" s="18"/>
      <c r="II1134" s="18"/>
      <c r="IJ1134" s="18"/>
      <c r="IK1134" s="18"/>
      <c r="IL1134" s="18"/>
      <c r="IM1134" s="18"/>
      <c r="IN1134" s="18"/>
      <c r="IO1134" s="18"/>
      <c r="IP1134" s="18"/>
      <c r="IQ1134" s="18"/>
      <c r="IR1134" s="18"/>
      <c r="IS1134" s="18"/>
      <c r="IT1134" s="18"/>
      <c r="IU1134" s="18"/>
      <c r="IV1134" s="18"/>
      <c r="IW1134" s="18"/>
      <c r="IX1134" s="18"/>
      <c r="IY1134" s="18"/>
      <c r="IZ1134" s="18"/>
      <c r="JA1134" s="18"/>
      <c r="JB1134" s="18"/>
      <c r="JC1134" s="18"/>
      <c r="JD1134" s="18"/>
      <c r="JE1134" s="18"/>
      <c r="JF1134" s="18"/>
      <c r="JG1134" s="18"/>
      <c r="JH1134" s="18"/>
      <c r="JI1134" s="18"/>
      <c r="JJ1134" s="18"/>
      <c r="JK1134" s="18"/>
      <c r="JL1134" s="18"/>
      <c r="JM1134" s="18"/>
      <c r="JN1134" s="18"/>
      <c r="JO1134" s="18"/>
      <c r="JP1134" s="18"/>
      <c r="JQ1134" s="18"/>
      <c r="JR1134" s="18"/>
      <c r="JS1134" s="18"/>
      <c r="JT1134" s="18"/>
      <c r="JU1134" s="18"/>
      <c r="JV1134" s="18"/>
      <c r="JW1134" s="18"/>
      <c r="JX1134" s="18"/>
      <c r="JY1134" s="18"/>
      <c r="JZ1134" s="18"/>
      <c r="KA1134" s="18"/>
      <c r="KB1134" s="18"/>
      <c r="KC1134" s="18"/>
      <c r="KD1134" s="18"/>
      <c r="KE1134" s="18"/>
      <c r="KF1134" s="18"/>
      <c r="KG1134" s="18"/>
      <c r="KH1134" s="18"/>
      <c r="KI1134" s="18"/>
      <c r="KJ1134" s="18"/>
      <c r="KK1134" s="18"/>
      <c r="KL1134" s="18"/>
      <c r="KM1134" s="18"/>
      <c r="KN1134" s="18"/>
      <c r="KO1134" s="18"/>
      <c r="KP1134" s="18"/>
    </row>
    <row r="1135" spans="1:302">
      <c r="A1135" s="14"/>
      <c r="B1135" s="14"/>
      <c r="F1135" s="14"/>
      <c r="G1135" s="23"/>
      <c r="H1135" s="23"/>
      <c r="I1135" s="23"/>
      <c r="J1135" s="23"/>
      <c r="K1135" s="14"/>
      <c r="L1135" s="14"/>
      <c r="P1135" s="14"/>
      <c r="AG1135" s="44"/>
      <c r="AH1135" s="44"/>
      <c r="AI1135" s="45"/>
      <c r="AJ1135" s="44"/>
      <c r="AK1135" s="43"/>
      <c r="AS1135" s="14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  <c r="EW1135" s="18"/>
      <c r="EX1135" s="18"/>
      <c r="EY1135" s="18"/>
      <c r="EZ1135" s="18"/>
      <c r="FA1135" s="18"/>
      <c r="FB1135" s="18"/>
      <c r="FC1135" s="18"/>
      <c r="FD1135" s="18"/>
      <c r="FE1135" s="18"/>
      <c r="FF1135" s="18"/>
      <c r="FG1135" s="18"/>
      <c r="FH1135" s="18"/>
      <c r="FI1135" s="18"/>
      <c r="FJ1135" s="18"/>
      <c r="FK1135" s="18"/>
      <c r="FL1135" s="18"/>
      <c r="FM1135" s="18"/>
      <c r="FN1135" s="18"/>
      <c r="FO1135" s="18"/>
      <c r="FP1135" s="18"/>
      <c r="FQ1135" s="18"/>
      <c r="FR1135" s="18"/>
      <c r="FS1135" s="18"/>
      <c r="FT1135" s="18"/>
      <c r="FU1135" s="18"/>
      <c r="FV1135" s="18"/>
      <c r="FW1135" s="18"/>
      <c r="FX1135" s="18"/>
      <c r="FY1135" s="18"/>
      <c r="FZ1135" s="18"/>
      <c r="GA1135" s="18"/>
      <c r="GB1135" s="18"/>
      <c r="GC1135" s="18"/>
      <c r="GD1135" s="18"/>
      <c r="GE1135" s="18"/>
      <c r="GF1135" s="18"/>
      <c r="GG1135" s="18"/>
      <c r="GH1135" s="18"/>
      <c r="GI1135" s="18"/>
      <c r="GJ1135" s="18"/>
      <c r="GK1135" s="18"/>
      <c r="GL1135" s="18"/>
      <c r="GM1135" s="18"/>
      <c r="GN1135" s="18"/>
      <c r="GO1135" s="18"/>
      <c r="GP1135" s="18"/>
      <c r="GQ1135" s="18"/>
      <c r="GR1135" s="18"/>
      <c r="GS1135" s="18"/>
      <c r="GT1135" s="18"/>
      <c r="GU1135" s="18"/>
      <c r="GV1135" s="18"/>
      <c r="GW1135" s="18"/>
      <c r="GX1135" s="18"/>
      <c r="GY1135" s="18"/>
      <c r="GZ1135" s="18"/>
      <c r="HA1135" s="18"/>
      <c r="HB1135" s="18"/>
      <c r="HC1135" s="18"/>
      <c r="HD1135" s="18"/>
      <c r="HE1135" s="18"/>
      <c r="HF1135" s="18"/>
      <c r="HG1135" s="13"/>
      <c r="HH1135" s="13"/>
      <c r="HI1135" s="13"/>
      <c r="HJ1135" s="13"/>
      <c r="HK1135" s="13"/>
      <c r="HL1135" s="13"/>
      <c r="HM1135" s="13"/>
      <c r="HN1135" s="13"/>
      <c r="HO1135" s="13"/>
      <c r="HP1135" s="13"/>
      <c r="HQ1135" s="13"/>
      <c r="HR1135" s="13"/>
      <c r="HS1135" s="13"/>
      <c r="HT1135" s="13"/>
      <c r="HU1135" s="18"/>
      <c r="HV1135" s="18"/>
      <c r="HW1135" s="18"/>
      <c r="HX1135" s="18"/>
      <c r="HY1135" s="18"/>
      <c r="HZ1135" s="18"/>
      <c r="IA1135" s="18"/>
      <c r="IB1135" s="18"/>
      <c r="IC1135" s="18"/>
      <c r="ID1135" s="18"/>
      <c r="IE1135" s="18"/>
      <c r="IF1135" s="18"/>
      <c r="IG1135" s="18"/>
      <c r="IH1135" s="18"/>
      <c r="II1135" s="18"/>
      <c r="IJ1135" s="18"/>
      <c r="IK1135" s="18"/>
      <c r="IL1135" s="18"/>
      <c r="IM1135" s="18"/>
      <c r="IN1135" s="18"/>
      <c r="IO1135" s="18"/>
      <c r="IP1135" s="18"/>
      <c r="IQ1135" s="18"/>
      <c r="IR1135" s="18"/>
      <c r="IS1135" s="18"/>
      <c r="IT1135" s="18"/>
      <c r="IU1135" s="18"/>
      <c r="IV1135" s="18"/>
      <c r="IW1135" s="18"/>
      <c r="IX1135" s="18"/>
      <c r="IY1135" s="18"/>
      <c r="IZ1135" s="18"/>
      <c r="JA1135" s="18"/>
      <c r="JB1135" s="18"/>
      <c r="JC1135" s="18"/>
      <c r="JD1135" s="18"/>
      <c r="JE1135" s="18"/>
      <c r="JF1135" s="18"/>
      <c r="JG1135" s="18"/>
      <c r="JH1135" s="18"/>
      <c r="JI1135" s="18"/>
      <c r="JJ1135" s="18"/>
      <c r="JK1135" s="18"/>
      <c r="JL1135" s="18"/>
      <c r="JM1135" s="18"/>
      <c r="JN1135" s="18"/>
      <c r="JO1135" s="18"/>
      <c r="JP1135" s="18"/>
      <c r="JQ1135" s="18"/>
      <c r="JR1135" s="18"/>
      <c r="JS1135" s="18"/>
      <c r="JT1135" s="18"/>
      <c r="JU1135" s="18"/>
      <c r="JV1135" s="18"/>
      <c r="JW1135" s="18"/>
      <c r="JX1135" s="18"/>
      <c r="JY1135" s="18"/>
      <c r="JZ1135" s="18"/>
      <c r="KA1135" s="18"/>
      <c r="KB1135" s="18"/>
      <c r="KC1135" s="18"/>
      <c r="KD1135" s="18"/>
      <c r="KE1135" s="18"/>
      <c r="KF1135" s="18"/>
      <c r="KG1135" s="18"/>
      <c r="KH1135" s="18"/>
      <c r="KI1135" s="18"/>
      <c r="KJ1135" s="18"/>
      <c r="KK1135" s="18"/>
      <c r="KL1135" s="18"/>
      <c r="KM1135" s="18"/>
      <c r="KN1135" s="18"/>
      <c r="KO1135" s="18"/>
      <c r="KP1135" s="18"/>
    </row>
    <row r="1136" spans="1:302">
      <c r="A1136" s="14"/>
      <c r="B1136" s="14"/>
      <c r="F1136" s="14"/>
      <c r="G1136" s="23"/>
      <c r="H1136" s="23"/>
      <c r="I1136" s="23"/>
      <c r="J1136" s="23"/>
      <c r="K1136" s="14"/>
      <c r="L1136" s="14"/>
      <c r="P1136" s="14"/>
      <c r="AG1136" s="44"/>
      <c r="AH1136" s="44"/>
      <c r="AI1136" s="45"/>
      <c r="AJ1136" s="44"/>
      <c r="AK1136" s="43"/>
      <c r="AS1136" s="14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  <c r="EW1136" s="18"/>
      <c r="EX1136" s="18"/>
      <c r="EY1136" s="18"/>
      <c r="EZ1136" s="18"/>
      <c r="FA1136" s="18"/>
      <c r="FB1136" s="18"/>
      <c r="FC1136" s="18"/>
      <c r="FD1136" s="18"/>
      <c r="FE1136" s="18"/>
      <c r="FF1136" s="18"/>
      <c r="FG1136" s="18"/>
      <c r="FH1136" s="18"/>
      <c r="FI1136" s="18"/>
      <c r="FJ1136" s="18"/>
      <c r="FK1136" s="18"/>
      <c r="FL1136" s="18"/>
      <c r="FM1136" s="18"/>
      <c r="FN1136" s="18"/>
      <c r="FO1136" s="18"/>
      <c r="FP1136" s="18"/>
      <c r="FQ1136" s="18"/>
      <c r="FR1136" s="18"/>
      <c r="FS1136" s="18"/>
      <c r="FT1136" s="18"/>
      <c r="FU1136" s="18"/>
      <c r="FV1136" s="18"/>
      <c r="FW1136" s="18"/>
      <c r="FX1136" s="18"/>
      <c r="FY1136" s="18"/>
      <c r="FZ1136" s="18"/>
      <c r="GA1136" s="18"/>
      <c r="GB1136" s="18"/>
      <c r="GC1136" s="18"/>
      <c r="GD1136" s="18"/>
      <c r="GE1136" s="18"/>
      <c r="GF1136" s="18"/>
      <c r="GG1136" s="18"/>
      <c r="GH1136" s="18"/>
      <c r="GI1136" s="18"/>
      <c r="GJ1136" s="18"/>
      <c r="GK1136" s="18"/>
      <c r="GL1136" s="18"/>
      <c r="GM1136" s="18"/>
      <c r="GN1136" s="18"/>
      <c r="GO1136" s="18"/>
      <c r="GP1136" s="18"/>
      <c r="GQ1136" s="18"/>
      <c r="GR1136" s="18"/>
      <c r="GS1136" s="18"/>
      <c r="GT1136" s="18"/>
      <c r="GU1136" s="18"/>
      <c r="GV1136" s="18"/>
      <c r="GW1136" s="18"/>
      <c r="GX1136" s="18"/>
      <c r="GY1136" s="18"/>
      <c r="GZ1136" s="18"/>
      <c r="HA1136" s="18"/>
      <c r="HB1136" s="18"/>
      <c r="HC1136" s="18"/>
      <c r="HD1136" s="18"/>
      <c r="HE1136" s="18"/>
      <c r="HF1136" s="18"/>
      <c r="HG1136" s="13"/>
      <c r="HH1136" s="13"/>
      <c r="HI1136" s="13"/>
      <c r="HJ1136" s="13"/>
      <c r="HK1136" s="13"/>
      <c r="HL1136" s="13"/>
      <c r="HM1136" s="13"/>
      <c r="HN1136" s="13"/>
      <c r="HO1136" s="13"/>
      <c r="HP1136" s="13"/>
      <c r="HQ1136" s="13"/>
      <c r="HR1136" s="13"/>
      <c r="HS1136" s="13"/>
      <c r="HT1136" s="13"/>
      <c r="HU1136" s="18"/>
      <c r="HV1136" s="18"/>
      <c r="HW1136" s="18"/>
      <c r="HX1136" s="18"/>
      <c r="HY1136" s="18"/>
      <c r="HZ1136" s="18"/>
      <c r="IA1136" s="18"/>
      <c r="IB1136" s="18"/>
      <c r="IC1136" s="18"/>
      <c r="ID1136" s="18"/>
      <c r="IE1136" s="18"/>
      <c r="IF1136" s="18"/>
      <c r="IG1136" s="18"/>
      <c r="IH1136" s="18"/>
      <c r="II1136" s="18"/>
      <c r="IJ1136" s="18"/>
      <c r="IK1136" s="18"/>
      <c r="IL1136" s="18"/>
      <c r="IM1136" s="18"/>
      <c r="IN1136" s="18"/>
      <c r="IO1136" s="18"/>
      <c r="IP1136" s="18"/>
      <c r="IQ1136" s="18"/>
      <c r="IR1136" s="18"/>
      <c r="IS1136" s="18"/>
      <c r="IT1136" s="18"/>
      <c r="IU1136" s="18"/>
      <c r="IV1136" s="18"/>
      <c r="IW1136" s="18"/>
      <c r="IX1136" s="18"/>
      <c r="IY1136" s="18"/>
      <c r="IZ1136" s="18"/>
      <c r="JA1136" s="18"/>
      <c r="JB1136" s="18"/>
      <c r="JC1136" s="18"/>
      <c r="JD1136" s="18"/>
      <c r="JE1136" s="18"/>
      <c r="JF1136" s="18"/>
      <c r="JG1136" s="18"/>
      <c r="JH1136" s="18"/>
      <c r="JI1136" s="18"/>
      <c r="JJ1136" s="18"/>
      <c r="JK1136" s="18"/>
      <c r="JL1136" s="18"/>
      <c r="JM1136" s="18"/>
      <c r="JN1136" s="18"/>
      <c r="JO1136" s="18"/>
      <c r="JP1136" s="18"/>
      <c r="JQ1136" s="18"/>
      <c r="JR1136" s="18"/>
      <c r="JS1136" s="18"/>
      <c r="JT1136" s="18"/>
      <c r="JU1136" s="18"/>
      <c r="JV1136" s="18"/>
      <c r="JW1136" s="18"/>
      <c r="JX1136" s="18"/>
      <c r="JY1136" s="18"/>
      <c r="JZ1136" s="18"/>
      <c r="KA1136" s="18"/>
      <c r="KB1136" s="18"/>
      <c r="KC1136" s="18"/>
      <c r="KD1136" s="18"/>
      <c r="KE1136" s="18"/>
      <c r="KF1136" s="18"/>
      <c r="KG1136" s="18"/>
      <c r="KH1136" s="18"/>
      <c r="KI1136" s="18"/>
      <c r="KJ1136" s="18"/>
      <c r="KK1136" s="18"/>
      <c r="KL1136" s="18"/>
      <c r="KM1136" s="18"/>
      <c r="KN1136" s="18"/>
      <c r="KO1136" s="18"/>
      <c r="KP1136" s="18"/>
    </row>
    <row r="1137" spans="1:302">
      <c r="A1137" s="14"/>
      <c r="B1137" s="14"/>
      <c r="F1137" s="14"/>
      <c r="G1137" s="23"/>
      <c r="H1137" s="23"/>
      <c r="I1137" s="23"/>
      <c r="J1137" s="23"/>
      <c r="K1137" s="14"/>
      <c r="L1137" s="14"/>
      <c r="P1137" s="14"/>
      <c r="AG1137" s="44"/>
      <c r="AH1137" s="44"/>
      <c r="AI1137" s="45"/>
      <c r="AJ1137" s="44"/>
      <c r="AK1137" s="43"/>
      <c r="AS1137" s="14"/>
      <c r="AT1137" s="18"/>
      <c r="AU1137" s="18"/>
      <c r="AV1137" s="18"/>
      <c r="AW1137" s="18"/>
      <c r="AX1137" s="18"/>
      <c r="AY1137" s="18"/>
      <c r="AZ1137" s="18"/>
      <c r="BA1137" s="18"/>
      <c r="BB1137" s="18"/>
      <c r="BC1137" s="18"/>
      <c r="BD1137" s="18"/>
      <c r="BE1137" s="18"/>
      <c r="BF1137" s="18"/>
      <c r="BG1137" s="18"/>
      <c r="BH1137" s="18"/>
      <c r="BI1137" s="18"/>
      <c r="BJ1137" s="18"/>
      <c r="BK1137" s="18"/>
      <c r="BL1137" s="18"/>
      <c r="BM1137" s="18"/>
      <c r="BN1137" s="18"/>
      <c r="BO1137" s="18"/>
      <c r="BP1137" s="18"/>
      <c r="BQ1137" s="18"/>
      <c r="BR1137" s="18"/>
      <c r="BS1137" s="18"/>
      <c r="BT1137" s="18"/>
      <c r="BU1137" s="18"/>
      <c r="BV1137" s="18"/>
      <c r="BW1137" s="18"/>
      <c r="BX1137" s="18"/>
      <c r="BY1137" s="18"/>
      <c r="BZ1137" s="18"/>
      <c r="CA1137" s="18"/>
      <c r="CB1137" s="18"/>
      <c r="CC1137" s="18"/>
      <c r="CD1137" s="18"/>
      <c r="CE1137" s="18"/>
      <c r="CF1137" s="18"/>
      <c r="CG1137" s="18"/>
      <c r="CH1137" s="18"/>
      <c r="CI1137" s="18"/>
      <c r="CJ1137" s="18"/>
      <c r="CK1137" s="18"/>
      <c r="CL1137" s="18"/>
      <c r="CM1137" s="18"/>
      <c r="CN1137" s="18"/>
      <c r="CO1137" s="18"/>
      <c r="CP1137" s="18"/>
      <c r="CQ1137" s="18"/>
      <c r="CR1137" s="18"/>
      <c r="CS1137" s="18"/>
      <c r="CT1137" s="18"/>
      <c r="CU1137" s="18"/>
      <c r="CV1137" s="18"/>
      <c r="CW1137" s="18"/>
      <c r="CX1137" s="18"/>
      <c r="CY1137" s="18"/>
      <c r="CZ1137" s="18"/>
      <c r="DA1137" s="18"/>
      <c r="DB1137" s="18"/>
      <c r="DC1137" s="18"/>
      <c r="DD1137" s="18"/>
      <c r="DE1137" s="18"/>
      <c r="DF1137" s="18"/>
      <c r="DG1137" s="18"/>
      <c r="DH1137" s="18"/>
      <c r="DI1137" s="18"/>
      <c r="DJ1137" s="18"/>
      <c r="DK1137" s="18"/>
      <c r="DL1137" s="18"/>
      <c r="DM1137" s="18"/>
      <c r="DN1137" s="18"/>
      <c r="DO1137" s="18"/>
      <c r="DP1137" s="18"/>
      <c r="DQ1137" s="18"/>
      <c r="DR1137" s="18"/>
      <c r="DS1137" s="18"/>
      <c r="DT1137" s="18"/>
      <c r="DU1137" s="18"/>
      <c r="DV1137" s="18"/>
      <c r="DW1137" s="18"/>
      <c r="DX1137" s="18"/>
      <c r="DY1137" s="18"/>
      <c r="DZ1137" s="18"/>
      <c r="EA1137" s="18"/>
      <c r="EB1137" s="18"/>
      <c r="EC1137" s="18"/>
      <c r="ED1137" s="18"/>
      <c r="EE1137" s="18"/>
      <c r="EF1137" s="18"/>
      <c r="EG1137" s="18"/>
      <c r="EH1137" s="18"/>
      <c r="EI1137" s="18"/>
      <c r="EJ1137" s="18"/>
      <c r="EK1137" s="18"/>
      <c r="EL1137" s="18"/>
      <c r="EM1137" s="18"/>
      <c r="EN1137" s="18"/>
      <c r="EO1137" s="18"/>
      <c r="EP1137" s="18"/>
      <c r="EQ1137" s="18"/>
      <c r="ER1137" s="18"/>
      <c r="ES1137" s="18"/>
      <c r="ET1137" s="18"/>
      <c r="EU1137" s="18"/>
      <c r="EV1137" s="18"/>
      <c r="EW1137" s="18"/>
      <c r="EX1137" s="18"/>
      <c r="EY1137" s="18"/>
      <c r="EZ1137" s="18"/>
      <c r="FA1137" s="18"/>
      <c r="FB1137" s="18"/>
      <c r="FC1137" s="18"/>
      <c r="FD1137" s="18"/>
      <c r="FE1137" s="18"/>
      <c r="FF1137" s="18"/>
      <c r="FG1137" s="18"/>
      <c r="FH1137" s="18"/>
      <c r="FI1137" s="18"/>
      <c r="FJ1137" s="18"/>
      <c r="FK1137" s="18"/>
      <c r="FL1137" s="18"/>
      <c r="FM1137" s="18"/>
      <c r="FN1137" s="18"/>
      <c r="FO1137" s="18"/>
      <c r="FP1137" s="18"/>
      <c r="FQ1137" s="18"/>
      <c r="FR1137" s="18"/>
      <c r="FS1137" s="18"/>
      <c r="FT1137" s="18"/>
      <c r="FU1137" s="18"/>
      <c r="FV1137" s="18"/>
      <c r="FW1137" s="18"/>
      <c r="FX1137" s="18"/>
      <c r="FY1137" s="18"/>
      <c r="FZ1137" s="18"/>
      <c r="GA1137" s="18"/>
      <c r="GB1137" s="18"/>
      <c r="GC1137" s="18"/>
      <c r="GD1137" s="18"/>
      <c r="GE1137" s="18"/>
      <c r="GF1137" s="18"/>
      <c r="GG1137" s="18"/>
      <c r="GH1137" s="18"/>
      <c r="GI1137" s="18"/>
      <c r="GJ1137" s="18"/>
      <c r="GK1137" s="18"/>
      <c r="GL1137" s="18"/>
      <c r="GM1137" s="18"/>
      <c r="GN1137" s="18"/>
      <c r="GO1137" s="18"/>
      <c r="GP1137" s="18"/>
      <c r="GQ1137" s="18"/>
      <c r="GR1137" s="18"/>
      <c r="GS1137" s="18"/>
      <c r="GT1137" s="18"/>
      <c r="GU1137" s="18"/>
      <c r="GV1137" s="18"/>
      <c r="GW1137" s="18"/>
      <c r="GX1137" s="18"/>
      <c r="GY1137" s="18"/>
      <c r="GZ1137" s="18"/>
      <c r="HA1137" s="18"/>
      <c r="HB1137" s="18"/>
      <c r="HC1137" s="18"/>
      <c r="HD1137" s="18"/>
      <c r="HE1137" s="18"/>
      <c r="HF1137" s="18"/>
      <c r="HG1137" s="13"/>
      <c r="HH1137" s="13"/>
      <c r="HI1137" s="13"/>
      <c r="HJ1137" s="13"/>
      <c r="HK1137" s="13"/>
      <c r="HL1137" s="13"/>
      <c r="HM1137" s="13"/>
      <c r="HN1137" s="13"/>
      <c r="HO1137" s="13"/>
      <c r="HP1137" s="13"/>
      <c r="HQ1137" s="13"/>
      <c r="HR1137" s="13"/>
      <c r="HS1137" s="13"/>
      <c r="HT1137" s="13"/>
      <c r="HU1137" s="18"/>
      <c r="HV1137" s="18"/>
      <c r="HW1137" s="18"/>
      <c r="HX1137" s="18"/>
      <c r="HY1137" s="18"/>
      <c r="HZ1137" s="18"/>
      <c r="IA1137" s="18"/>
      <c r="IB1137" s="18"/>
      <c r="IC1137" s="18"/>
      <c r="ID1137" s="18"/>
      <c r="IE1137" s="18"/>
      <c r="IF1137" s="18"/>
      <c r="IG1137" s="18"/>
      <c r="IH1137" s="18"/>
      <c r="II1137" s="18"/>
      <c r="IJ1137" s="18"/>
      <c r="IK1137" s="18"/>
      <c r="IL1137" s="18"/>
      <c r="IM1137" s="18"/>
      <c r="IN1137" s="18"/>
      <c r="IO1137" s="18"/>
      <c r="IP1137" s="18"/>
      <c r="IQ1137" s="18"/>
      <c r="IR1137" s="18"/>
      <c r="IS1137" s="18"/>
      <c r="IT1137" s="18"/>
      <c r="IU1137" s="18"/>
      <c r="IV1137" s="18"/>
      <c r="IW1137" s="18"/>
      <c r="IX1137" s="18"/>
      <c r="IY1137" s="18"/>
      <c r="IZ1137" s="18"/>
      <c r="JA1137" s="18"/>
      <c r="JB1137" s="18"/>
      <c r="JC1137" s="18"/>
      <c r="JD1137" s="18"/>
      <c r="JE1137" s="18"/>
      <c r="JF1137" s="18"/>
      <c r="JG1137" s="18"/>
      <c r="JH1137" s="18"/>
      <c r="JI1137" s="18"/>
      <c r="JJ1137" s="18"/>
      <c r="JK1137" s="18"/>
      <c r="JL1137" s="18"/>
      <c r="JM1137" s="18"/>
      <c r="JN1137" s="18"/>
      <c r="JO1137" s="18"/>
      <c r="JP1137" s="18"/>
      <c r="JQ1137" s="18"/>
      <c r="JR1137" s="18"/>
      <c r="JS1137" s="18"/>
      <c r="JT1137" s="18"/>
      <c r="JU1137" s="18"/>
      <c r="JV1137" s="18"/>
      <c r="JW1137" s="18"/>
      <c r="JX1137" s="18"/>
      <c r="JY1137" s="18"/>
      <c r="JZ1137" s="18"/>
      <c r="KA1137" s="18"/>
      <c r="KB1137" s="18"/>
      <c r="KC1137" s="18"/>
      <c r="KD1137" s="18"/>
      <c r="KE1137" s="18"/>
      <c r="KF1137" s="18"/>
      <c r="KG1137" s="18"/>
      <c r="KH1137" s="18"/>
      <c r="KI1137" s="18"/>
      <c r="KJ1137" s="18"/>
      <c r="KK1137" s="18"/>
      <c r="KL1137" s="18"/>
      <c r="KM1137" s="18"/>
      <c r="KN1137" s="18"/>
      <c r="KO1137" s="18"/>
      <c r="KP1137" s="18"/>
    </row>
    <row r="1138" spans="1:302">
      <c r="A1138" s="14"/>
      <c r="B1138" s="14"/>
      <c r="F1138" s="14"/>
      <c r="G1138" s="23"/>
      <c r="H1138" s="23"/>
      <c r="I1138" s="23"/>
      <c r="J1138" s="23"/>
      <c r="K1138" s="14"/>
      <c r="L1138" s="14"/>
      <c r="P1138" s="14"/>
      <c r="AG1138" s="44"/>
      <c r="AH1138" s="44"/>
      <c r="AI1138" s="45"/>
      <c r="AJ1138" s="44"/>
      <c r="AK1138" s="43"/>
      <c r="AS1138" s="14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  <c r="EW1138" s="18"/>
      <c r="EX1138" s="18"/>
      <c r="EY1138" s="18"/>
      <c r="EZ1138" s="18"/>
      <c r="FA1138" s="18"/>
      <c r="FB1138" s="18"/>
      <c r="FC1138" s="18"/>
      <c r="FD1138" s="18"/>
      <c r="FE1138" s="18"/>
      <c r="FF1138" s="18"/>
      <c r="FG1138" s="18"/>
      <c r="FH1138" s="18"/>
      <c r="FI1138" s="18"/>
      <c r="FJ1138" s="18"/>
      <c r="FK1138" s="18"/>
      <c r="FL1138" s="18"/>
      <c r="FM1138" s="18"/>
      <c r="FN1138" s="18"/>
      <c r="FO1138" s="18"/>
      <c r="FP1138" s="18"/>
      <c r="FQ1138" s="18"/>
      <c r="FR1138" s="18"/>
      <c r="FS1138" s="18"/>
      <c r="FT1138" s="18"/>
      <c r="FU1138" s="18"/>
      <c r="FV1138" s="18"/>
      <c r="FW1138" s="18"/>
      <c r="FX1138" s="18"/>
      <c r="FY1138" s="18"/>
      <c r="FZ1138" s="18"/>
      <c r="GA1138" s="18"/>
      <c r="GB1138" s="18"/>
      <c r="GC1138" s="18"/>
      <c r="GD1138" s="18"/>
      <c r="GE1138" s="18"/>
      <c r="GF1138" s="18"/>
      <c r="GG1138" s="18"/>
      <c r="GH1138" s="18"/>
      <c r="GI1138" s="18"/>
      <c r="GJ1138" s="18"/>
      <c r="GK1138" s="18"/>
      <c r="GL1138" s="18"/>
      <c r="GM1138" s="18"/>
      <c r="GN1138" s="18"/>
      <c r="GO1138" s="18"/>
      <c r="GP1138" s="18"/>
      <c r="GQ1138" s="18"/>
      <c r="GR1138" s="18"/>
      <c r="GS1138" s="18"/>
      <c r="GT1138" s="18"/>
      <c r="GU1138" s="18"/>
      <c r="GV1138" s="18"/>
      <c r="GW1138" s="18"/>
      <c r="GX1138" s="18"/>
      <c r="GY1138" s="18"/>
      <c r="GZ1138" s="18"/>
      <c r="HA1138" s="18"/>
      <c r="HB1138" s="18"/>
      <c r="HC1138" s="18"/>
      <c r="HD1138" s="18"/>
      <c r="HE1138" s="18"/>
      <c r="HF1138" s="18"/>
      <c r="HG1138" s="13"/>
      <c r="HH1138" s="13"/>
      <c r="HI1138" s="13"/>
      <c r="HJ1138" s="13"/>
      <c r="HK1138" s="13"/>
      <c r="HL1138" s="13"/>
      <c r="HM1138" s="13"/>
      <c r="HN1138" s="13"/>
      <c r="HO1138" s="13"/>
      <c r="HP1138" s="13"/>
      <c r="HQ1138" s="13"/>
      <c r="HR1138" s="13"/>
      <c r="HS1138" s="13"/>
      <c r="HT1138" s="13"/>
      <c r="HU1138" s="18"/>
      <c r="HV1138" s="18"/>
      <c r="HW1138" s="18"/>
      <c r="HX1138" s="18"/>
      <c r="HY1138" s="18"/>
      <c r="HZ1138" s="18"/>
      <c r="IA1138" s="18"/>
      <c r="IB1138" s="18"/>
      <c r="IC1138" s="18"/>
      <c r="ID1138" s="18"/>
      <c r="IE1138" s="18"/>
      <c r="IF1138" s="18"/>
      <c r="IG1138" s="18"/>
      <c r="IH1138" s="18"/>
      <c r="II1138" s="18"/>
      <c r="IJ1138" s="18"/>
      <c r="IK1138" s="18"/>
      <c r="IL1138" s="18"/>
      <c r="IM1138" s="18"/>
      <c r="IN1138" s="18"/>
      <c r="IO1138" s="18"/>
      <c r="IP1138" s="18"/>
      <c r="IQ1138" s="18"/>
      <c r="IR1138" s="18"/>
      <c r="IS1138" s="18"/>
      <c r="IT1138" s="18"/>
      <c r="IU1138" s="18"/>
      <c r="IV1138" s="18"/>
      <c r="IW1138" s="18"/>
      <c r="IX1138" s="18"/>
      <c r="IY1138" s="18"/>
      <c r="IZ1138" s="18"/>
      <c r="JA1138" s="18"/>
      <c r="JB1138" s="18"/>
      <c r="JC1138" s="18"/>
      <c r="JD1138" s="18"/>
      <c r="JE1138" s="18"/>
      <c r="JF1138" s="18"/>
      <c r="JG1138" s="18"/>
      <c r="JH1138" s="18"/>
      <c r="JI1138" s="18"/>
      <c r="JJ1138" s="18"/>
      <c r="JK1138" s="18"/>
      <c r="JL1138" s="18"/>
      <c r="JM1138" s="18"/>
      <c r="JN1138" s="18"/>
      <c r="JO1138" s="18"/>
      <c r="JP1138" s="18"/>
      <c r="JQ1138" s="18"/>
      <c r="JR1138" s="18"/>
      <c r="JS1138" s="18"/>
      <c r="JT1138" s="18"/>
      <c r="JU1138" s="18"/>
      <c r="JV1138" s="18"/>
      <c r="JW1138" s="18"/>
      <c r="JX1138" s="18"/>
      <c r="JY1138" s="18"/>
      <c r="JZ1138" s="18"/>
      <c r="KA1138" s="18"/>
      <c r="KB1138" s="18"/>
      <c r="KC1138" s="18"/>
      <c r="KD1138" s="18"/>
      <c r="KE1138" s="18"/>
      <c r="KF1138" s="18"/>
      <c r="KG1138" s="18"/>
      <c r="KH1138" s="18"/>
      <c r="KI1138" s="18"/>
      <c r="KJ1138" s="18"/>
      <c r="KK1138" s="18"/>
      <c r="KL1138" s="18"/>
      <c r="KM1138" s="18"/>
      <c r="KN1138" s="18"/>
      <c r="KO1138" s="18"/>
      <c r="KP1138" s="18"/>
    </row>
    <row r="1139" spans="1:302">
      <c r="A1139" s="14"/>
      <c r="B1139" s="14"/>
      <c r="F1139" s="14"/>
      <c r="G1139" s="23"/>
      <c r="H1139" s="23"/>
      <c r="I1139" s="23"/>
      <c r="J1139" s="23"/>
      <c r="K1139" s="14"/>
      <c r="L1139" s="14"/>
      <c r="P1139" s="14"/>
      <c r="AG1139" s="44"/>
      <c r="AH1139" s="44"/>
      <c r="AI1139" s="45"/>
      <c r="AJ1139" s="44"/>
      <c r="AK1139" s="43"/>
      <c r="AS1139" s="14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  <c r="EW1139" s="18"/>
      <c r="EX1139" s="18"/>
      <c r="EY1139" s="18"/>
      <c r="EZ1139" s="18"/>
      <c r="FA1139" s="18"/>
      <c r="FB1139" s="18"/>
      <c r="FC1139" s="18"/>
      <c r="FD1139" s="18"/>
      <c r="FE1139" s="18"/>
      <c r="FF1139" s="18"/>
      <c r="FG1139" s="18"/>
      <c r="FH1139" s="18"/>
      <c r="FI1139" s="18"/>
      <c r="FJ1139" s="18"/>
      <c r="FK1139" s="18"/>
      <c r="FL1139" s="18"/>
      <c r="FM1139" s="18"/>
      <c r="FN1139" s="18"/>
      <c r="FO1139" s="18"/>
      <c r="FP1139" s="18"/>
      <c r="FQ1139" s="18"/>
      <c r="FR1139" s="18"/>
      <c r="FS1139" s="18"/>
      <c r="FT1139" s="18"/>
      <c r="FU1139" s="18"/>
      <c r="FV1139" s="18"/>
      <c r="FW1139" s="18"/>
      <c r="FX1139" s="18"/>
      <c r="FY1139" s="18"/>
      <c r="FZ1139" s="18"/>
      <c r="GA1139" s="18"/>
      <c r="GB1139" s="18"/>
      <c r="GC1139" s="18"/>
      <c r="GD1139" s="18"/>
      <c r="GE1139" s="18"/>
      <c r="GF1139" s="18"/>
      <c r="GG1139" s="18"/>
      <c r="GH1139" s="18"/>
      <c r="GI1139" s="18"/>
      <c r="GJ1139" s="18"/>
      <c r="GK1139" s="18"/>
      <c r="GL1139" s="18"/>
      <c r="GM1139" s="18"/>
      <c r="GN1139" s="18"/>
      <c r="GO1139" s="18"/>
      <c r="GP1139" s="18"/>
      <c r="GQ1139" s="18"/>
      <c r="GR1139" s="18"/>
      <c r="GS1139" s="18"/>
      <c r="GT1139" s="18"/>
      <c r="GU1139" s="18"/>
      <c r="GV1139" s="18"/>
      <c r="GW1139" s="18"/>
      <c r="GX1139" s="18"/>
      <c r="GY1139" s="18"/>
      <c r="GZ1139" s="18"/>
      <c r="HA1139" s="18"/>
      <c r="HB1139" s="18"/>
      <c r="HC1139" s="18"/>
      <c r="HD1139" s="18"/>
      <c r="HE1139" s="18"/>
      <c r="HF1139" s="18"/>
      <c r="HG1139" s="13"/>
      <c r="HH1139" s="13"/>
      <c r="HI1139" s="13"/>
      <c r="HJ1139" s="13"/>
      <c r="HK1139" s="13"/>
      <c r="HL1139" s="13"/>
      <c r="HM1139" s="13"/>
      <c r="HN1139" s="13"/>
      <c r="HO1139" s="13"/>
      <c r="HP1139" s="13"/>
      <c r="HQ1139" s="13"/>
      <c r="HR1139" s="13"/>
      <c r="HS1139" s="13"/>
      <c r="HT1139" s="13"/>
      <c r="HU1139" s="18"/>
      <c r="HV1139" s="18"/>
      <c r="HW1139" s="18"/>
      <c r="HX1139" s="18"/>
      <c r="HY1139" s="18"/>
      <c r="HZ1139" s="18"/>
      <c r="IA1139" s="18"/>
      <c r="IB1139" s="18"/>
      <c r="IC1139" s="18"/>
      <c r="ID1139" s="18"/>
      <c r="IE1139" s="18"/>
      <c r="IF1139" s="18"/>
      <c r="IG1139" s="18"/>
      <c r="IH1139" s="18"/>
      <c r="II1139" s="18"/>
      <c r="IJ1139" s="18"/>
      <c r="IK1139" s="18"/>
      <c r="IL1139" s="18"/>
      <c r="IM1139" s="18"/>
      <c r="IN1139" s="18"/>
      <c r="IO1139" s="18"/>
      <c r="IP1139" s="18"/>
      <c r="IQ1139" s="18"/>
      <c r="IR1139" s="18"/>
      <c r="IS1139" s="18"/>
      <c r="IT1139" s="18"/>
      <c r="IU1139" s="18"/>
      <c r="IV1139" s="18"/>
      <c r="IW1139" s="18"/>
      <c r="IX1139" s="18"/>
      <c r="IY1139" s="18"/>
      <c r="IZ1139" s="18"/>
      <c r="JA1139" s="18"/>
      <c r="JB1139" s="18"/>
      <c r="JC1139" s="18"/>
      <c r="JD1139" s="18"/>
      <c r="JE1139" s="18"/>
      <c r="JF1139" s="18"/>
      <c r="JG1139" s="18"/>
      <c r="JH1139" s="18"/>
      <c r="JI1139" s="18"/>
      <c r="JJ1139" s="18"/>
      <c r="JK1139" s="18"/>
      <c r="JL1139" s="18"/>
      <c r="JM1139" s="18"/>
      <c r="JN1139" s="18"/>
      <c r="JO1139" s="18"/>
      <c r="JP1139" s="18"/>
      <c r="JQ1139" s="18"/>
      <c r="JR1139" s="18"/>
      <c r="JS1139" s="18"/>
      <c r="JT1139" s="18"/>
      <c r="JU1139" s="18"/>
      <c r="JV1139" s="18"/>
      <c r="JW1139" s="18"/>
      <c r="JX1139" s="18"/>
      <c r="JY1139" s="18"/>
      <c r="JZ1139" s="18"/>
      <c r="KA1139" s="18"/>
      <c r="KB1139" s="18"/>
      <c r="KC1139" s="18"/>
      <c r="KD1139" s="18"/>
      <c r="KE1139" s="18"/>
      <c r="KF1139" s="18"/>
      <c r="KG1139" s="18"/>
      <c r="KH1139" s="18"/>
      <c r="KI1139" s="18"/>
      <c r="KJ1139" s="18"/>
      <c r="KK1139" s="18"/>
      <c r="KL1139" s="18"/>
      <c r="KM1139" s="18"/>
      <c r="KN1139" s="18"/>
      <c r="KO1139" s="18"/>
      <c r="KP1139" s="18"/>
    </row>
    <row r="1140" spans="1:302">
      <c r="A1140" s="14"/>
      <c r="B1140" s="14"/>
      <c r="F1140" s="14"/>
      <c r="G1140" s="23"/>
      <c r="H1140" s="23"/>
      <c r="I1140" s="23"/>
      <c r="J1140" s="23"/>
      <c r="K1140" s="14"/>
      <c r="L1140" s="14"/>
      <c r="P1140" s="14"/>
      <c r="AG1140" s="44"/>
      <c r="AH1140" s="44"/>
      <c r="AI1140" s="45"/>
      <c r="AJ1140" s="44"/>
      <c r="AK1140" s="43"/>
      <c r="AS1140" s="14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  <c r="EW1140" s="18"/>
      <c r="EX1140" s="18"/>
      <c r="EY1140" s="18"/>
      <c r="EZ1140" s="18"/>
      <c r="FA1140" s="18"/>
      <c r="FB1140" s="18"/>
      <c r="FC1140" s="18"/>
      <c r="FD1140" s="18"/>
      <c r="FE1140" s="18"/>
      <c r="FF1140" s="18"/>
      <c r="FG1140" s="18"/>
      <c r="FH1140" s="18"/>
      <c r="FI1140" s="18"/>
      <c r="FJ1140" s="18"/>
      <c r="FK1140" s="18"/>
      <c r="FL1140" s="18"/>
      <c r="FM1140" s="18"/>
      <c r="FN1140" s="18"/>
      <c r="FO1140" s="18"/>
      <c r="FP1140" s="18"/>
      <c r="FQ1140" s="18"/>
      <c r="FR1140" s="18"/>
      <c r="FS1140" s="18"/>
      <c r="FT1140" s="18"/>
      <c r="FU1140" s="18"/>
      <c r="FV1140" s="18"/>
      <c r="FW1140" s="18"/>
      <c r="FX1140" s="18"/>
      <c r="FY1140" s="18"/>
      <c r="FZ1140" s="18"/>
      <c r="GA1140" s="18"/>
      <c r="GB1140" s="18"/>
      <c r="GC1140" s="18"/>
      <c r="GD1140" s="18"/>
      <c r="GE1140" s="18"/>
      <c r="GF1140" s="18"/>
      <c r="GG1140" s="18"/>
      <c r="GH1140" s="18"/>
      <c r="GI1140" s="18"/>
      <c r="GJ1140" s="18"/>
      <c r="GK1140" s="18"/>
      <c r="GL1140" s="18"/>
      <c r="GM1140" s="18"/>
      <c r="GN1140" s="18"/>
      <c r="GO1140" s="18"/>
      <c r="GP1140" s="18"/>
      <c r="GQ1140" s="18"/>
      <c r="GR1140" s="18"/>
      <c r="GS1140" s="18"/>
      <c r="GT1140" s="18"/>
      <c r="GU1140" s="18"/>
      <c r="GV1140" s="18"/>
      <c r="GW1140" s="18"/>
      <c r="GX1140" s="18"/>
      <c r="GY1140" s="18"/>
      <c r="GZ1140" s="18"/>
      <c r="HA1140" s="18"/>
      <c r="HB1140" s="18"/>
      <c r="HC1140" s="18"/>
      <c r="HD1140" s="18"/>
      <c r="HE1140" s="18"/>
      <c r="HF1140" s="18"/>
      <c r="HG1140" s="13"/>
      <c r="HH1140" s="13"/>
      <c r="HI1140" s="13"/>
      <c r="HJ1140" s="13"/>
      <c r="HK1140" s="13"/>
      <c r="HL1140" s="13"/>
      <c r="HM1140" s="13"/>
      <c r="HN1140" s="13"/>
      <c r="HO1140" s="13"/>
      <c r="HP1140" s="13"/>
      <c r="HQ1140" s="13"/>
      <c r="HR1140" s="13"/>
      <c r="HS1140" s="13"/>
      <c r="HT1140" s="13"/>
      <c r="HU1140" s="18"/>
      <c r="HV1140" s="18"/>
      <c r="HW1140" s="18"/>
      <c r="HX1140" s="18"/>
      <c r="HY1140" s="18"/>
      <c r="HZ1140" s="18"/>
      <c r="IA1140" s="18"/>
      <c r="IB1140" s="18"/>
      <c r="IC1140" s="18"/>
      <c r="ID1140" s="18"/>
      <c r="IE1140" s="18"/>
      <c r="IF1140" s="18"/>
      <c r="IG1140" s="18"/>
      <c r="IH1140" s="18"/>
      <c r="II1140" s="18"/>
      <c r="IJ1140" s="18"/>
      <c r="IK1140" s="18"/>
      <c r="IL1140" s="18"/>
      <c r="IM1140" s="18"/>
      <c r="IN1140" s="18"/>
      <c r="IO1140" s="18"/>
      <c r="IP1140" s="18"/>
      <c r="IQ1140" s="18"/>
      <c r="IR1140" s="18"/>
      <c r="IS1140" s="18"/>
      <c r="IT1140" s="18"/>
      <c r="IU1140" s="18"/>
      <c r="IV1140" s="18"/>
      <c r="IW1140" s="18"/>
      <c r="IX1140" s="18"/>
      <c r="IY1140" s="18"/>
      <c r="IZ1140" s="18"/>
      <c r="JA1140" s="18"/>
      <c r="JB1140" s="18"/>
      <c r="JC1140" s="18"/>
      <c r="JD1140" s="18"/>
      <c r="JE1140" s="18"/>
      <c r="JF1140" s="18"/>
      <c r="JG1140" s="18"/>
      <c r="JH1140" s="18"/>
      <c r="JI1140" s="18"/>
      <c r="JJ1140" s="18"/>
      <c r="JK1140" s="18"/>
      <c r="JL1140" s="18"/>
      <c r="JM1140" s="18"/>
      <c r="JN1140" s="18"/>
      <c r="JO1140" s="18"/>
      <c r="JP1140" s="18"/>
      <c r="JQ1140" s="18"/>
      <c r="JR1140" s="18"/>
      <c r="JS1140" s="18"/>
      <c r="JT1140" s="18"/>
      <c r="JU1140" s="18"/>
      <c r="JV1140" s="18"/>
      <c r="JW1140" s="18"/>
      <c r="JX1140" s="18"/>
      <c r="JY1140" s="18"/>
      <c r="JZ1140" s="18"/>
      <c r="KA1140" s="18"/>
      <c r="KB1140" s="18"/>
      <c r="KC1140" s="18"/>
      <c r="KD1140" s="18"/>
      <c r="KE1140" s="18"/>
      <c r="KF1140" s="18"/>
      <c r="KG1140" s="18"/>
      <c r="KH1140" s="18"/>
      <c r="KI1140" s="18"/>
      <c r="KJ1140" s="18"/>
      <c r="KK1140" s="18"/>
      <c r="KL1140" s="18"/>
      <c r="KM1140" s="18"/>
      <c r="KN1140" s="18"/>
      <c r="KO1140" s="18"/>
      <c r="KP1140" s="18"/>
    </row>
    <row r="1141" spans="1:302">
      <c r="A1141" s="14"/>
      <c r="B1141" s="14"/>
      <c r="F1141" s="14"/>
      <c r="G1141" s="23"/>
      <c r="H1141" s="23"/>
      <c r="I1141" s="23"/>
      <c r="J1141" s="23"/>
      <c r="K1141" s="14"/>
      <c r="L1141" s="14"/>
      <c r="P1141" s="14"/>
      <c r="AG1141" s="44"/>
      <c r="AH1141" s="44"/>
      <c r="AI1141" s="45"/>
      <c r="AJ1141" s="44"/>
      <c r="AK1141" s="43"/>
      <c r="AS1141" s="14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  <c r="EW1141" s="18"/>
      <c r="EX1141" s="18"/>
      <c r="EY1141" s="18"/>
      <c r="EZ1141" s="18"/>
      <c r="FA1141" s="18"/>
      <c r="FB1141" s="18"/>
      <c r="FC1141" s="18"/>
      <c r="FD1141" s="18"/>
      <c r="FE1141" s="18"/>
      <c r="FF1141" s="18"/>
      <c r="FG1141" s="18"/>
      <c r="FH1141" s="18"/>
      <c r="FI1141" s="18"/>
      <c r="FJ1141" s="18"/>
      <c r="FK1141" s="18"/>
      <c r="FL1141" s="18"/>
      <c r="FM1141" s="18"/>
      <c r="FN1141" s="18"/>
      <c r="FO1141" s="18"/>
      <c r="FP1141" s="18"/>
      <c r="FQ1141" s="18"/>
      <c r="FR1141" s="18"/>
      <c r="FS1141" s="18"/>
      <c r="FT1141" s="18"/>
      <c r="FU1141" s="18"/>
      <c r="FV1141" s="18"/>
      <c r="FW1141" s="18"/>
      <c r="FX1141" s="18"/>
      <c r="FY1141" s="18"/>
      <c r="FZ1141" s="18"/>
      <c r="GA1141" s="18"/>
      <c r="GB1141" s="18"/>
      <c r="GC1141" s="18"/>
      <c r="GD1141" s="18"/>
      <c r="GE1141" s="18"/>
      <c r="GF1141" s="18"/>
      <c r="GG1141" s="18"/>
      <c r="GH1141" s="18"/>
      <c r="GI1141" s="18"/>
      <c r="GJ1141" s="18"/>
      <c r="GK1141" s="18"/>
      <c r="GL1141" s="18"/>
      <c r="GM1141" s="18"/>
      <c r="GN1141" s="18"/>
      <c r="GO1141" s="18"/>
      <c r="GP1141" s="18"/>
      <c r="GQ1141" s="18"/>
      <c r="GR1141" s="18"/>
      <c r="GS1141" s="18"/>
      <c r="GT1141" s="18"/>
      <c r="GU1141" s="18"/>
      <c r="GV1141" s="18"/>
      <c r="GW1141" s="18"/>
      <c r="GX1141" s="18"/>
      <c r="GY1141" s="18"/>
      <c r="GZ1141" s="18"/>
      <c r="HA1141" s="18"/>
      <c r="HB1141" s="18"/>
      <c r="HC1141" s="18"/>
      <c r="HD1141" s="18"/>
      <c r="HE1141" s="18"/>
      <c r="HF1141" s="18"/>
      <c r="HG1141" s="13"/>
      <c r="HH1141" s="13"/>
      <c r="HI1141" s="13"/>
      <c r="HJ1141" s="13"/>
      <c r="HK1141" s="13"/>
      <c r="HL1141" s="13"/>
      <c r="HM1141" s="13"/>
      <c r="HN1141" s="13"/>
      <c r="HO1141" s="13"/>
      <c r="HP1141" s="13"/>
      <c r="HQ1141" s="13"/>
      <c r="HR1141" s="13"/>
      <c r="HS1141" s="13"/>
      <c r="HT1141" s="13"/>
      <c r="HU1141" s="18"/>
      <c r="HV1141" s="18"/>
      <c r="HW1141" s="18"/>
      <c r="HX1141" s="18"/>
      <c r="HY1141" s="18"/>
      <c r="HZ1141" s="18"/>
      <c r="IA1141" s="18"/>
      <c r="IB1141" s="18"/>
      <c r="IC1141" s="18"/>
      <c r="ID1141" s="18"/>
      <c r="IE1141" s="18"/>
      <c r="IF1141" s="18"/>
      <c r="IG1141" s="18"/>
      <c r="IH1141" s="18"/>
      <c r="II1141" s="18"/>
      <c r="IJ1141" s="18"/>
      <c r="IK1141" s="18"/>
      <c r="IL1141" s="18"/>
      <c r="IM1141" s="18"/>
      <c r="IN1141" s="18"/>
      <c r="IO1141" s="18"/>
      <c r="IP1141" s="18"/>
      <c r="IQ1141" s="18"/>
      <c r="IR1141" s="18"/>
      <c r="IS1141" s="18"/>
      <c r="IT1141" s="18"/>
      <c r="IU1141" s="18"/>
      <c r="IV1141" s="18"/>
      <c r="IW1141" s="18"/>
      <c r="IX1141" s="18"/>
      <c r="IY1141" s="18"/>
      <c r="IZ1141" s="18"/>
      <c r="JA1141" s="18"/>
      <c r="JB1141" s="18"/>
      <c r="JC1141" s="18"/>
      <c r="JD1141" s="18"/>
      <c r="JE1141" s="18"/>
      <c r="JF1141" s="18"/>
      <c r="JG1141" s="18"/>
      <c r="JH1141" s="18"/>
      <c r="JI1141" s="18"/>
      <c r="JJ1141" s="18"/>
      <c r="JK1141" s="18"/>
      <c r="JL1141" s="18"/>
      <c r="JM1141" s="18"/>
      <c r="JN1141" s="18"/>
      <c r="JO1141" s="18"/>
      <c r="JP1141" s="18"/>
      <c r="JQ1141" s="18"/>
      <c r="JR1141" s="18"/>
      <c r="JS1141" s="18"/>
      <c r="JT1141" s="18"/>
      <c r="JU1141" s="18"/>
      <c r="JV1141" s="18"/>
      <c r="JW1141" s="18"/>
      <c r="JX1141" s="18"/>
      <c r="JY1141" s="18"/>
      <c r="JZ1141" s="18"/>
      <c r="KA1141" s="18"/>
      <c r="KB1141" s="18"/>
      <c r="KC1141" s="18"/>
      <c r="KD1141" s="18"/>
      <c r="KE1141" s="18"/>
      <c r="KF1141" s="18"/>
      <c r="KG1141" s="18"/>
      <c r="KH1141" s="18"/>
      <c r="KI1141" s="18"/>
      <c r="KJ1141" s="18"/>
      <c r="KK1141" s="18"/>
      <c r="KL1141" s="18"/>
      <c r="KM1141" s="18"/>
      <c r="KN1141" s="18"/>
      <c r="KO1141" s="18"/>
      <c r="KP1141" s="18"/>
    </row>
    <row r="1142" spans="1:302">
      <c r="A1142" s="14"/>
      <c r="B1142" s="14"/>
      <c r="F1142" s="14"/>
      <c r="G1142" s="23"/>
      <c r="H1142" s="23"/>
      <c r="I1142" s="23"/>
      <c r="J1142" s="23"/>
      <c r="K1142" s="14"/>
      <c r="L1142" s="14"/>
      <c r="P1142" s="14"/>
      <c r="AG1142" s="44"/>
      <c r="AH1142" s="44"/>
      <c r="AI1142" s="45"/>
      <c r="AJ1142" s="44"/>
      <c r="AK1142" s="43"/>
      <c r="AS1142" s="14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  <c r="EW1142" s="18"/>
      <c r="EX1142" s="18"/>
      <c r="EY1142" s="18"/>
      <c r="EZ1142" s="18"/>
      <c r="FA1142" s="18"/>
      <c r="FB1142" s="18"/>
      <c r="FC1142" s="18"/>
      <c r="FD1142" s="18"/>
      <c r="FE1142" s="18"/>
      <c r="FF1142" s="18"/>
      <c r="FG1142" s="18"/>
      <c r="FH1142" s="18"/>
      <c r="FI1142" s="18"/>
      <c r="FJ1142" s="18"/>
      <c r="FK1142" s="18"/>
      <c r="FL1142" s="18"/>
      <c r="FM1142" s="18"/>
      <c r="FN1142" s="18"/>
      <c r="FO1142" s="18"/>
      <c r="FP1142" s="18"/>
      <c r="FQ1142" s="18"/>
      <c r="FR1142" s="18"/>
      <c r="FS1142" s="18"/>
      <c r="FT1142" s="18"/>
      <c r="FU1142" s="18"/>
      <c r="FV1142" s="18"/>
      <c r="FW1142" s="18"/>
      <c r="FX1142" s="18"/>
      <c r="FY1142" s="18"/>
      <c r="FZ1142" s="18"/>
      <c r="GA1142" s="18"/>
      <c r="GB1142" s="18"/>
      <c r="GC1142" s="18"/>
      <c r="GD1142" s="18"/>
      <c r="GE1142" s="18"/>
      <c r="GF1142" s="18"/>
      <c r="GG1142" s="18"/>
      <c r="GH1142" s="18"/>
      <c r="GI1142" s="18"/>
      <c r="GJ1142" s="18"/>
      <c r="GK1142" s="18"/>
      <c r="GL1142" s="18"/>
      <c r="GM1142" s="18"/>
      <c r="GN1142" s="18"/>
      <c r="GO1142" s="18"/>
      <c r="GP1142" s="18"/>
      <c r="GQ1142" s="18"/>
      <c r="GR1142" s="18"/>
      <c r="GS1142" s="18"/>
      <c r="GT1142" s="18"/>
      <c r="GU1142" s="18"/>
      <c r="GV1142" s="18"/>
      <c r="GW1142" s="18"/>
      <c r="GX1142" s="18"/>
      <c r="GY1142" s="18"/>
      <c r="GZ1142" s="18"/>
      <c r="HA1142" s="18"/>
      <c r="HB1142" s="18"/>
      <c r="HC1142" s="18"/>
      <c r="HD1142" s="18"/>
      <c r="HE1142" s="18"/>
      <c r="HF1142" s="18"/>
      <c r="HG1142" s="13"/>
      <c r="HH1142" s="13"/>
      <c r="HI1142" s="13"/>
      <c r="HJ1142" s="13"/>
      <c r="HK1142" s="13"/>
      <c r="HL1142" s="13"/>
      <c r="HM1142" s="13"/>
      <c r="HN1142" s="13"/>
      <c r="HO1142" s="13"/>
      <c r="HP1142" s="13"/>
      <c r="HQ1142" s="13"/>
      <c r="HR1142" s="13"/>
      <c r="HS1142" s="13"/>
      <c r="HT1142" s="13"/>
      <c r="HU1142" s="18"/>
      <c r="HV1142" s="18"/>
      <c r="HW1142" s="18"/>
      <c r="HX1142" s="18"/>
      <c r="HY1142" s="18"/>
      <c r="HZ1142" s="18"/>
      <c r="IA1142" s="18"/>
      <c r="IB1142" s="18"/>
      <c r="IC1142" s="18"/>
      <c r="ID1142" s="18"/>
      <c r="IE1142" s="18"/>
      <c r="IF1142" s="18"/>
      <c r="IG1142" s="18"/>
      <c r="IH1142" s="18"/>
      <c r="II1142" s="18"/>
      <c r="IJ1142" s="18"/>
      <c r="IK1142" s="18"/>
      <c r="IL1142" s="18"/>
      <c r="IM1142" s="18"/>
      <c r="IN1142" s="18"/>
      <c r="IO1142" s="18"/>
      <c r="IP1142" s="18"/>
      <c r="IQ1142" s="18"/>
      <c r="IR1142" s="18"/>
      <c r="IS1142" s="18"/>
      <c r="IT1142" s="18"/>
      <c r="IU1142" s="18"/>
      <c r="IV1142" s="18"/>
      <c r="IW1142" s="18"/>
      <c r="IX1142" s="18"/>
      <c r="IY1142" s="18"/>
      <c r="IZ1142" s="18"/>
      <c r="JA1142" s="18"/>
      <c r="JB1142" s="18"/>
      <c r="JC1142" s="18"/>
      <c r="JD1142" s="18"/>
      <c r="JE1142" s="18"/>
      <c r="JF1142" s="18"/>
      <c r="JG1142" s="18"/>
      <c r="JH1142" s="18"/>
      <c r="JI1142" s="18"/>
      <c r="JJ1142" s="18"/>
      <c r="JK1142" s="18"/>
      <c r="JL1142" s="18"/>
      <c r="JM1142" s="18"/>
      <c r="JN1142" s="18"/>
      <c r="JO1142" s="18"/>
      <c r="JP1142" s="18"/>
      <c r="JQ1142" s="18"/>
      <c r="JR1142" s="18"/>
      <c r="JS1142" s="18"/>
      <c r="JT1142" s="18"/>
      <c r="JU1142" s="18"/>
      <c r="JV1142" s="18"/>
      <c r="JW1142" s="18"/>
      <c r="JX1142" s="18"/>
      <c r="JY1142" s="18"/>
      <c r="JZ1142" s="18"/>
      <c r="KA1142" s="18"/>
      <c r="KB1142" s="18"/>
      <c r="KC1142" s="18"/>
      <c r="KD1142" s="18"/>
      <c r="KE1142" s="18"/>
      <c r="KF1142" s="18"/>
      <c r="KG1142" s="18"/>
      <c r="KH1142" s="18"/>
      <c r="KI1142" s="18"/>
      <c r="KJ1142" s="18"/>
      <c r="KK1142" s="18"/>
      <c r="KL1142" s="18"/>
      <c r="KM1142" s="18"/>
      <c r="KN1142" s="18"/>
      <c r="KO1142" s="18"/>
      <c r="KP1142" s="18"/>
    </row>
    <row r="1143" spans="1:302">
      <c r="A1143" s="14"/>
      <c r="B1143" s="14"/>
      <c r="F1143" s="14"/>
      <c r="G1143" s="23"/>
      <c r="H1143" s="23"/>
      <c r="I1143" s="23"/>
      <c r="J1143" s="23"/>
      <c r="K1143" s="14"/>
      <c r="L1143" s="14"/>
      <c r="P1143" s="14"/>
      <c r="AG1143" s="44"/>
      <c r="AH1143" s="44"/>
      <c r="AI1143" s="45"/>
      <c r="AJ1143" s="44"/>
      <c r="AK1143" s="43"/>
      <c r="AS1143" s="14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  <c r="EW1143" s="18"/>
      <c r="EX1143" s="18"/>
      <c r="EY1143" s="18"/>
      <c r="EZ1143" s="18"/>
      <c r="FA1143" s="18"/>
      <c r="FB1143" s="18"/>
      <c r="FC1143" s="18"/>
      <c r="FD1143" s="18"/>
      <c r="FE1143" s="18"/>
      <c r="FF1143" s="18"/>
      <c r="FG1143" s="18"/>
      <c r="FH1143" s="18"/>
      <c r="FI1143" s="18"/>
      <c r="FJ1143" s="18"/>
      <c r="FK1143" s="18"/>
      <c r="FL1143" s="18"/>
      <c r="FM1143" s="18"/>
      <c r="FN1143" s="18"/>
      <c r="FO1143" s="18"/>
      <c r="FP1143" s="18"/>
      <c r="FQ1143" s="18"/>
      <c r="FR1143" s="18"/>
      <c r="FS1143" s="18"/>
      <c r="FT1143" s="18"/>
      <c r="FU1143" s="18"/>
      <c r="FV1143" s="18"/>
      <c r="FW1143" s="18"/>
      <c r="FX1143" s="18"/>
      <c r="FY1143" s="18"/>
      <c r="FZ1143" s="18"/>
      <c r="GA1143" s="18"/>
      <c r="GB1143" s="18"/>
      <c r="GC1143" s="18"/>
      <c r="GD1143" s="18"/>
      <c r="GE1143" s="18"/>
      <c r="GF1143" s="18"/>
      <c r="GG1143" s="18"/>
      <c r="GH1143" s="18"/>
      <c r="GI1143" s="18"/>
      <c r="GJ1143" s="18"/>
      <c r="GK1143" s="18"/>
      <c r="GL1143" s="18"/>
      <c r="GM1143" s="18"/>
      <c r="GN1143" s="18"/>
      <c r="GO1143" s="18"/>
      <c r="GP1143" s="18"/>
      <c r="GQ1143" s="18"/>
      <c r="GR1143" s="18"/>
      <c r="GS1143" s="18"/>
      <c r="GT1143" s="18"/>
      <c r="GU1143" s="18"/>
      <c r="GV1143" s="18"/>
      <c r="GW1143" s="18"/>
      <c r="GX1143" s="18"/>
      <c r="GY1143" s="18"/>
      <c r="GZ1143" s="18"/>
      <c r="HA1143" s="18"/>
      <c r="HB1143" s="18"/>
      <c r="HC1143" s="18"/>
      <c r="HD1143" s="18"/>
      <c r="HE1143" s="18"/>
      <c r="HF1143" s="18"/>
      <c r="HG1143" s="13"/>
      <c r="HH1143" s="13"/>
      <c r="HI1143" s="13"/>
      <c r="HJ1143" s="13"/>
      <c r="HK1143" s="13"/>
      <c r="HL1143" s="13"/>
      <c r="HM1143" s="13"/>
      <c r="HN1143" s="13"/>
      <c r="HO1143" s="13"/>
      <c r="HP1143" s="13"/>
      <c r="HQ1143" s="13"/>
      <c r="HR1143" s="13"/>
      <c r="HS1143" s="13"/>
      <c r="HT1143" s="13"/>
      <c r="HU1143" s="18"/>
      <c r="HV1143" s="18"/>
      <c r="HW1143" s="18"/>
      <c r="HX1143" s="18"/>
      <c r="HY1143" s="18"/>
      <c r="HZ1143" s="18"/>
      <c r="IA1143" s="18"/>
      <c r="IB1143" s="18"/>
      <c r="IC1143" s="18"/>
      <c r="ID1143" s="18"/>
      <c r="IE1143" s="18"/>
      <c r="IF1143" s="18"/>
      <c r="IG1143" s="18"/>
      <c r="IH1143" s="18"/>
      <c r="II1143" s="18"/>
      <c r="IJ1143" s="18"/>
      <c r="IK1143" s="18"/>
      <c r="IL1143" s="18"/>
      <c r="IM1143" s="18"/>
      <c r="IN1143" s="18"/>
      <c r="IO1143" s="18"/>
      <c r="IP1143" s="18"/>
      <c r="IQ1143" s="18"/>
      <c r="IR1143" s="18"/>
      <c r="IS1143" s="18"/>
      <c r="IT1143" s="18"/>
      <c r="IU1143" s="18"/>
      <c r="IV1143" s="18"/>
      <c r="IW1143" s="18"/>
      <c r="IX1143" s="18"/>
      <c r="IY1143" s="18"/>
      <c r="IZ1143" s="18"/>
      <c r="JA1143" s="18"/>
      <c r="JB1143" s="18"/>
      <c r="JC1143" s="18"/>
      <c r="JD1143" s="18"/>
      <c r="JE1143" s="18"/>
      <c r="JF1143" s="18"/>
      <c r="JG1143" s="18"/>
      <c r="JH1143" s="18"/>
      <c r="JI1143" s="18"/>
      <c r="JJ1143" s="18"/>
      <c r="JK1143" s="18"/>
      <c r="JL1143" s="18"/>
      <c r="JM1143" s="18"/>
      <c r="JN1143" s="18"/>
      <c r="JO1143" s="18"/>
      <c r="JP1143" s="18"/>
      <c r="JQ1143" s="18"/>
      <c r="JR1143" s="18"/>
      <c r="JS1143" s="18"/>
      <c r="JT1143" s="18"/>
      <c r="JU1143" s="18"/>
      <c r="JV1143" s="18"/>
      <c r="JW1143" s="18"/>
      <c r="JX1143" s="18"/>
      <c r="JY1143" s="18"/>
      <c r="JZ1143" s="18"/>
      <c r="KA1143" s="18"/>
      <c r="KB1143" s="18"/>
      <c r="KC1143" s="18"/>
      <c r="KD1143" s="18"/>
      <c r="KE1143" s="18"/>
      <c r="KF1143" s="18"/>
      <c r="KG1143" s="18"/>
      <c r="KH1143" s="18"/>
      <c r="KI1143" s="18"/>
      <c r="KJ1143" s="18"/>
      <c r="KK1143" s="18"/>
      <c r="KL1143" s="18"/>
      <c r="KM1143" s="18"/>
      <c r="KN1143" s="18"/>
      <c r="KO1143" s="18"/>
      <c r="KP1143" s="18"/>
    </row>
    <row r="1144" spans="1:302">
      <c r="A1144" s="14"/>
      <c r="B1144" s="14"/>
      <c r="F1144" s="14"/>
      <c r="G1144" s="23"/>
      <c r="H1144" s="23"/>
      <c r="I1144" s="23"/>
      <c r="J1144" s="23"/>
      <c r="K1144" s="14"/>
      <c r="L1144" s="14"/>
      <c r="P1144" s="14"/>
      <c r="AG1144" s="44"/>
      <c r="AH1144" s="44"/>
      <c r="AI1144" s="45"/>
      <c r="AJ1144" s="44"/>
      <c r="AK1144" s="43"/>
      <c r="AS1144" s="14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  <c r="EW1144" s="18"/>
      <c r="EX1144" s="18"/>
      <c r="EY1144" s="18"/>
      <c r="EZ1144" s="18"/>
      <c r="FA1144" s="18"/>
      <c r="FB1144" s="18"/>
      <c r="FC1144" s="18"/>
      <c r="FD1144" s="18"/>
      <c r="FE1144" s="18"/>
      <c r="FF1144" s="18"/>
      <c r="FG1144" s="18"/>
      <c r="FH1144" s="18"/>
      <c r="FI1144" s="18"/>
      <c r="FJ1144" s="18"/>
      <c r="FK1144" s="18"/>
      <c r="FL1144" s="18"/>
      <c r="FM1144" s="18"/>
      <c r="FN1144" s="18"/>
      <c r="FO1144" s="18"/>
      <c r="FP1144" s="18"/>
      <c r="FQ1144" s="18"/>
      <c r="FR1144" s="18"/>
      <c r="FS1144" s="18"/>
      <c r="FT1144" s="18"/>
      <c r="FU1144" s="18"/>
      <c r="FV1144" s="18"/>
      <c r="FW1144" s="18"/>
      <c r="FX1144" s="18"/>
      <c r="FY1144" s="18"/>
      <c r="FZ1144" s="18"/>
      <c r="GA1144" s="18"/>
      <c r="GB1144" s="18"/>
      <c r="GC1144" s="18"/>
      <c r="GD1144" s="18"/>
      <c r="GE1144" s="18"/>
      <c r="GF1144" s="18"/>
      <c r="GG1144" s="18"/>
      <c r="GH1144" s="18"/>
      <c r="GI1144" s="18"/>
      <c r="GJ1144" s="18"/>
      <c r="GK1144" s="18"/>
      <c r="GL1144" s="18"/>
      <c r="GM1144" s="18"/>
      <c r="GN1144" s="18"/>
      <c r="GO1144" s="18"/>
      <c r="GP1144" s="18"/>
      <c r="GQ1144" s="18"/>
      <c r="GR1144" s="18"/>
      <c r="GS1144" s="18"/>
      <c r="GT1144" s="18"/>
      <c r="GU1144" s="18"/>
      <c r="GV1144" s="18"/>
      <c r="GW1144" s="18"/>
      <c r="GX1144" s="18"/>
      <c r="GY1144" s="18"/>
      <c r="GZ1144" s="18"/>
      <c r="HA1144" s="18"/>
      <c r="HB1144" s="18"/>
      <c r="HC1144" s="18"/>
      <c r="HD1144" s="18"/>
      <c r="HE1144" s="18"/>
      <c r="HF1144" s="18"/>
      <c r="HG1144" s="13"/>
      <c r="HH1144" s="13"/>
      <c r="HI1144" s="13"/>
      <c r="HJ1144" s="13"/>
      <c r="HK1144" s="13"/>
      <c r="HL1144" s="13"/>
      <c r="HM1144" s="13"/>
      <c r="HN1144" s="13"/>
      <c r="HO1144" s="13"/>
      <c r="HP1144" s="13"/>
      <c r="HQ1144" s="13"/>
      <c r="HR1144" s="13"/>
      <c r="HS1144" s="13"/>
      <c r="HT1144" s="13"/>
      <c r="HU1144" s="18"/>
      <c r="HV1144" s="18"/>
      <c r="HW1144" s="18"/>
      <c r="HX1144" s="18"/>
      <c r="HY1144" s="18"/>
      <c r="HZ1144" s="18"/>
      <c r="IA1144" s="18"/>
      <c r="IB1144" s="18"/>
      <c r="IC1144" s="18"/>
      <c r="ID1144" s="18"/>
      <c r="IE1144" s="18"/>
      <c r="IF1144" s="18"/>
      <c r="IG1144" s="18"/>
      <c r="IH1144" s="18"/>
      <c r="II1144" s="18"/>
      <c r="IJ1144" s="18"/>
      <c r="IK1144" s="18"/>
      <c r="IL1144" s="18"/>
      <c r="IM1144" s="18"/>
      <c r="IN1144" s="18"/>
      <c r="IO1144" s="18"/>
      <c r="IP1144" s="18"/>
      <c r="IQ1144" s="18"/>
      <c r="IR1144" s="18"/>
      <c r="IS1144" s="18"/>
      <c r="IT1144" s="18"/>
      <c r="IU1144" s="18"/>
      <c r="IV1144" s="18"/>
      <c r="IW1144" s="18"/>
      <c r="IX1144" s="18"/>
      <c r="IY1144" s="18"/>
      <c r="IZ1144" s="18"/>
      <c r="JA1144" s="18"/>
      <c r="JB1144" s="18"/>
      <c r="JC1144" s="18"/>
      <c r="JD1144" s="18"/>
      <c r="JE1144" s="18"/>
      <c r="JF1144" s="18"/>
      <c r="JG1144" s="18"/>
      <c r="JH1144" s="18"/>
      <c r="JI1144" s="18"/>
      <c r="JJ1144" s="18"/>
      <c r="JK1144" s="18"/>
      <c r="JL1144" s="18"/>
      <c r="JM1144" s="18"/>
      <c r="JN1144" s="18"/>
      <c r="JO1144" s="18"/>
      <c r="JP1144" s="18"/>
      <c r="JQ1144" s="18"/>
      <c r="JR1144" s="18"/>
      <c r="JS1144" s="18"/>
      <c r="JT1144" s="18"/>
      <c r="JU1144" s="18"/>
      <c r="JV1144" s="18"/>
      <c r="JW1144" s="18"/>
      <c r="JX1144" s="18"/>
      <c r="JY1144" s="18"/>
      <c r="JZ1144" s="18"/>
      <c r="KA1144" s="18"/>
      <c r="KB1144" s="18"/>
      <c r="KC1144" s="18"/>
      <c r="KD1144" s="18"/>
      <c r="KE1144" s="18"/>
      <c r="KF1144" s="18"/>
      <c r="KG1144" s="18"/>
      <c r="KH1144" s="18"/>
      <c r="KI1144" s="18"/>
      <c r="KJ1144" s="18"/>
      <c r="KK1144" s="18"/>
      <c r="KL1144" s="18"/>
      <c r="KM1144" s="18"/>
      <c r="KN1144" s="18"/>
      <c r="KO1144" s="18"/>
      <c r="KP1144" s="18"/>
    </row>
    <row r="1145" spans="1:302">
      <c r="A1145" s="14"/>
      <c r="B1145" s="14"/>
      <c r="F1145" s="14"/>
      <c r="G1145" s="23"/>
      <c r="H1145" s="23"/>
      <c r="I1145" s="23"/>
      <c r="J1145" s="23"/>
      <c r="K1145" s="14"/>
      <c r="L1145" s="14"/>
      <c r="P1145" s="14"/>
      <c r="AG1145" s="44"/>
      <c r="AH1145" s="44"/>
      <c r="AI1145" s="45"/>
      <c r="AJ1145" s="44"/>
      <c r="AK1145" s="43"/>
      <c r="AS1145" s="14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  <c r="EW1145" s="18"/>
      <c r="EX1145" s="18"/>
      <c r="EY1145" s="18"/>
      <c r="EZ1145" s="18"/>
      <c r="FA1145" s="18"/>
      <c r="FB1145" s="18"/>
      <c r="FC1145" s="18"/>
      <c r="FD1145" s="18"/>
      <c r="FE1145" s="18"/>
      <c r="FF1145" s="18"/>
      <c r="FG1145" s="18"/>
      <c r="FH1145" s="18"/>
      <c r="FI1145" s="18"/>
      <c r="FJ1145" s="18"/>
      <c r="FK1145" s="18"/>
      <c r="FL1145" s="18"/>
      <c r="FM1145" s="18"/>
      <c r="FN1145" s="18"/>
      <c r="FO1145" s="18"/>
      <c r="FP1145" s="18"/>
      <c r="FQ1145" s="18"/>
      <c r="FR1145" s="18"/>
      <c r="FS1145" s="18"/>
      <c r="FT1145" s="18"/>
      <c r="FU1145" s="18"/>
      <c r="FV1145" s="18"/>
      <c r="FW1145" s="18"/>
      <c r="FX1145" s="18"/>
      <c r="FY1145" s="18"/>
      <c r="FZ1145" s="18"/>
      <c r="GA1145" s="18"/>
      <c r="GB1145" s="18"/>
      <c r="GC1145" s="18"/>
      <c r="GD1145" s="18"/>
      <c r="GE1145" s="18"/>
      <c r="GF1145" s="18"/>
      <c r="GG1145" s="18"/>
      <c r="GH1145" s="18"/>
      <c r="GI1145" s="18"/>
      <c r="GJ1145" s="18"/>
      <c r="GK1145" s="18"/>
      <c r="GL1145" s="18"/>
      <c r="GM1145" s="18"/>
      <c r="GN1145" s="18"/>
      <c r="GO1145" s="18"/>
      <c r="GP1145" s="18"/>
      <c r="GQ1145" s="18"/>
      <c r="GR1145" s="18"/>
      <c r="GS1145" s="18"/>
      <c r="GT1145" s="18"/>
      <c r="GU1145" s="18"/>
      <c r="GV1145" s="18"/>
      <c r="GW1145" s="18"/>
      <c r="GX1145" s="18"/>
      <c r="GY1145" s="18"/>
      <c r="GZ1145" s="18"/>
      <c r="HA1145" s="18"/>
      <c r="HB1145" s="18"/>
      <c r="HC1145" s="18"/>
      <c r="HD1145" s="18"/>
      <c r="HE1145" s="18"/>
      <c r="HF1145" s="18"/>
      <c r="HG1145" s="13"/>
      <c r="HH1145" s="13"/>
      <c r="HI1145" s="13"/>
      <c r="HJ1145" s="13"/>
      <c r="HK1145" s="13"/>
      <c r="HL1145" s="13"/>
      <c r="HM1145" s="13"/>
      <c r="HN1145" s="13"/>
      <c r="HO1145" s="13"/>
      <c r="HP1145" s="13"/>
      <c r="HQ1145" s="13"/>
      <c r="HR1145" s="13"/>
      <c r="HS1145" s="13"/>
      <c r="HT1145" s="13"/>
      <c r="HU1145" s="18"/>
      <c r="HV1145" s="18"/>
      <c r="HW1145" s="18"/>
      <c r="HX1145" s="18"/>
      <c r="HY1145" s="18"/>
      <c r="HZ1145" s="18"/>
      <c r="IA1145" s="18"/>
      <c r="IB1145" s="18"/>
      <c r="IC1145" s="18"/>
      <c r="ID1145" s="18"/>
      <c r="IE1145" s="18"/>
      <c r="IF1145" s="18"/>
      <c r="IG1145" s="18"/>
      <c r="IH1145" s="18"/>
      <c r="II1145" s="18"/>
      <c r="IJ1145" s="18"/>
      <c r="IK1145" s="18"/>
      <c r="IL1145" s="18"/>
      <c r="IM1145" s="18"/>
      <c r="IN1145" s="18"/>
      <c r="IO1145" s="18"/>
      <c r="IP1145" s="18"/>
      <c r="IQ1145" s="18"/>
      <c r="IR1145" s="18"/>
      <c r="IS1145" s="18"/>
      <c r="IT1145" s="18"/>
      <c r="IU1145" s="18"/>
      <c r="IV1145" s="18"/>
      <c r="IW1145" s="18"/>
      <c r="IX1145" s="18"/>
      <c r="IY1145" s="18"/>
      <c r="IZ1145" s="18"/>
      <c r="JA1145" s="18"/>
      <c r="JB1145" s="18"/>
      <c r="JC1145" s="18"/>
      <c r="JD1145" s="18"/>
      <c r="JE1145" s="18"/>
      <c r="JF1145" s="18"/>
      <c r="JG1145" s="18"/>
      <c r="JH1145" s="18"/>
      <c r="JI1145" s="18"/>
      <c r="JJ1145" s="18"/>
      <c r="JK1145" s="18"/>
      <c r="JL1145" s="18"/>
      <c r="JM1145" s="18"/>
      <c r="JN1145" s="18"/>
      <c r="JO1145" s="18"/>
      <c r="JP1145" s="18"/>
      <c r="JQ1145" s="18"/>
      <c r="JR1145" s="18"/>
      <c r="JS1145" s="18"/>
      <c r="JT1145" s="18"/>
      <c r="JU1145" s="18"/>
      <c r="JV1145" s="18"/>
      <c r="JW1145" s="18"/>
      <c r="JX1145" s="18"/>
      <c r="JY1145" s="18"/>
      <c r="JZ1145" s="18"/>
      <c r="KA1145" s="18"/>
      <c r="KB1145" s="18"/>
      <c r="KC1145" s="18"/>
      <c r="KD1145" s="18"/>
      <c r="KE1145" s="18"/>
      <c r="KF1145" s="18"/>
      <c r="KG1145" s="18"/>
      <c r="KH1145" s="18"/>
      <c r="KI1145" s="18"/>
      <c r="KJ1145" s="18"/>
      <c r="KK1145" s="18"/>
      <c r="KL1145" s="18"/>
      <c r="KM1145" s="18"/>
      <c r="KN1145" s="18"/>
      <c r="KO1145" s="18"/>
      <c r="KP1145" s="18"/>
    </row>
    <row r="1146" spans="1:302">
      <c r="A1146" s="14"/>
      <c r="B1146" s="14"/>
      <c r="F1146" s="14"/>
      <c r="G1146" s="23"/>
      <c r="H1146" s="23"/>
      <c r="I1146" s="23"/>
      <c r="J1146" s="23"/>
      <c r="K1146" s="14"/>
      <c r="L1146" s="14"/>
      <c r="P1146" s="14"/>
      <c r="AG1146" s="44"/>
      <c r="AH1146" s="44"/>
      <c r="AI1146" s="45"/>
      <c r="AJ1146" s="44"/>
      <c r="AK1146" s="43"/>
      <c r="AS1146" s="14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  <c r="EW1146" s="18"/>
      <c r="EX1146" s="18"/>
      <c r="EY1146" s="18"/>
      <c r="EZ1146" s="18"/>
      <c r="FA1146" s="18"/>
      <c r="FB1146" s="18"/>
      <c r="FC1146" s="18"/>
      <c r="FD1146" s="18"/>
      <c r="FE1146" s="18"/>
      <c r="FF1146" s="18"/>
      <c r="FG1146" s="18"/>
      <c r="FH1146" s="18"/>
      <c r="FI1146" s="18"/>
      <c r="FJ1146" s="18"/>
      <c r="FK1146" s="18"/>
      <c r="FL1146" s="18"/>
      <c r="FM1146" s="18"/>
      <c r="FN1146" s="18"/>
      <c r="FO1146" s="18"/>
      <c r="FP1146" s="18"/>
      <c r="FQ1146" s="18"/>
      <c r="FR1146" s="18"/>
      <c r="FS1146" s="18"/>
      <c r="FT1146" s="18"/>
      <c r="FU1146" s="18"/>
      <c r="FV1146" s="18"/>
      <c r="FW1146" s="18"/>
      <c r="FX1146" s="18"/>
      <c r="FY1146" s="18"/>
      <c r="FZ1146" s="18"/>
      <c r="GA1146" s="18"/>
      <c r="GB1146" s="18"/>
      <c r="GC1146" s="18"/>
      <c r="GD1146" s="18"/>
      <c r="GE1146" s="18"/>
      <c r="GF1146" s="18"/>
      <c r="GG1146" s="18"/>
      <c r="GH1146" s="18"/>
      <c r="GI1146" s="18"/>
      <c r="GJ1146" s="18"/>
      <c r="GK1146" s="18"/>
      <c r="GL1146" s="18"/>
      <c r="GM1146" s="18"/>
      <c r="GN1146" s="18"/>
      <c r="GO1146" s="18"/>
      <c r="GP1146" s="18"/>
      <c r="GQ1146" s="18"/>
      <c r="GR1146" s="18"/>
      <c r="GS1146" s="18"/>
      <c r="GT1146" s="18"/>
      <c r="GU1146" s="18"/>
      <c r="GV1146" s="18"/>
      <c r="GW1146" s="18"/>
      <c r="GX1146" s="18"/>
      <c r="GY1146" s="18"/>
      <c r="GZ1146" s="18"/>
      <c r="HA1146" s="18"/>
      <c r="HB1146" s="18"/>
      <c r="HC1146" s="18"/>
      <c r="HD1146" s="18"/>
      <c r="HE1146" s="18"/>
      <c r="HF1146" s="18"/>
      <c r="HG1146" s="13"/>
      <c r="HH1146" s="13"/>
      <c r="HI1146" s="13"/>
      <c r="HJ1146" s="13"/>
      <c r="HK1146" s="13"/>
      <c r="HL1146" s="13"/>
      <c r="HM1146" s="13"/>
      <c r="HN1146" s="13"/>
      <c r="HO1146" s="13"/>
      <c r="HP1146" s="13"/>
      <c r="HQ1146" s="13"/>
      <c r="HR1146" s="13"/>
      <c r="HS1146" s="13"/>
      <c r="HT1146" s="13"/>
      <c r="HU1146" s="18"/>
      <c r="HV1146" s="18"/>
      <c r="HW1146" s="18"/>
      <c r="HX1146" s="18"/>
      <c r="HY1146" s="18"/>
      <c r="HZ1146" s="18"/>
      <c r="IA1146" s="18"/>
      <c r="IB1146" s="18"/>
      <c r="IC1146" s="18"/>
      <c r="ID1146" s="18"/>
      <c r="IE1146" s="18"/>
      <c r="IF1146" s="18"/>
      <c r="IG1146" s="18"/>
      <c r="IH1146" s="18"/>
      <c r="II1146" s="18"/>
      <c r="IJ1146" s="18"/>
      <c r="IK1146" s="18"/>
      <c r="IL1146" s="18"/>
      <c r="IM1146" s="18"/>
      <c r="IN1146" s="18"/>
      <c r="IO1146" s="18"/>
      <c r="IP1146" s="18"/>
      <c r="IQ1146" s="18"/>
      <c r="IR1146" s="18"/>
      <c r="IS1146" s="18"/>
      <c r="IT1146" s="18"/>
      <c r="IU1146" s="18"/>
      <c r="IV1146" s="18"/>
      <c r="IW1146" s="18"/>
      <c r="IX1146" s="18"/>
      <c r="IY1146" s="18"/>
      <c r="IZ1146" s="18"/>
      <c r="JA1146" s="18"/>
      <c r="JB1146" s="18"/>
      <c r="JC1146" s="18"/>
      <c r="JD1146" s="18"/>
      <c r="JE1146" s="18"/>
      <c r="JF1146" s="18"/>
      <c r="JG1146" s="18"/>
      <c r="JH1146" s="18"/>
      <c r="JI1146" s="18"/>
      <c r="JJ1146" s="18"/>
      <c r="JK1146" s="18"/>
      <c r="JL1146" s="18"/>
      <c r="JM1146" s="18"/>
      <c r="JN1146" s="18"/>
      <c r="JO1146" s="18"/>
      <c r="JP1146" s="18"/>
      <c r="JQ1146" s="18"/>
      <c r="JR1146" s="18"/>
      <c r="JS1146" s="18"/>
      <c r="JT1146" s="18"/>
      <c r="JU1146" s="18"/>
      <c r="JV1146" s="18"/>
      <c r="JW1146" s="18"/>
      <c r="JX1146" s="18"/>
      <c r="JY1146" s="18"/>
      <c r="JZ1146" s="18"/>
      <c r="KA1146" s="18"/>
      <c r="KB1146" s="18"/>
      <c r="KC1146" s="18"/>
      <c r="KD1146" s="18"/>
      <c r="KE1146" s="18"/>
      <c r="KF1146" s="18"/>
      <c r="KG1146" s="18"/>
      <c r="KH1146" s="18"/>
      <c r="KI1146" s="18"/>
      <c r="KJ1146" s="18"/>
      <c r="KK1146" s="18"/>
      <c r="KL1146" s="18"/>
      <c r="KM1146" s="18"/>
      <c r="KN1146" s="18"/>
      <c r="KO1146" s="18"/>
      <c r="KP1146" s="18"/>
    </row>
    <row r="1147" spans="1:302">
      <c r="A1147" s="14"/>
      <c r="B1147" s="14"/>
      <c r="F1147" s="14"/>
      <c r="G1147" s="23"/>
      <c r="H1147" s="23"/>
      <c r="I1147" s="23"/>
      <c r="J1147" s="23"/>
      <c r="K1147" s="14"/>
      <c r="L1147" s="14"/>
      <c r="P1147" s="14"/>
      <c r="AG1147" s="44"/>
      <c r="AH1147" s="44"/>
      <c r="AI1147" s="45"/>
      <c r="AJ1147" s="44"/>
      <c r="AK1147" s="43"/>
      <c r="AS1147" s="14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  <c r="EW1147" s="18"/>
      <c r="EX1147" s="18"/>
      <c r="EY1147" s="18"/>
      <c r="EZ1147" s="18"/>
      <c r="FA1147" s="18"/>
      <c r="FB1147" s="18"/>
      <c r="FC1147" s="18"/>
      <c r="FD1147" s="18"/>
      <c r="FE1147" s="18"/>
      <c r="FF1147" s="18"/>
      <c r="FG1147" s="18"/>
      <c r="FH1147" s="18"/>
      <c r="FI1147" s="18"/>
      <c r="FJ1147" s="18"/>
      <c r="FK1147" s="18"/>
      <c r="FL1147" s="18"/>
      <c r="FM1147" s="18"/>
      <c r="FN1147" s="18"/>
      <c r="FO1147" s="18"/>
      <c r="FP1147" s="18"/>
      <c r="FQ1147" s="18"/>
      <c r="FR1147" s="18"/>
      <c r="FS1147" s="18"/>
      <c r="FT1147" s="18"/>
      <c r="FU1147" s="18"/>
      <c r="FV1147" s="18"/>
      <c r="FW1147" s="18"/>
      <c r="FX1147" s="18"/>
      <c r="FY1147" s="18"/>
      <c r="FZ1147" s="18"/>
      <c r="GA1147" s="18"/>
      <c r="GB1147" s="18"/>
      <c r="GC1147" s="18"/>
      <c r="GD1147" s="18"/>
      <c r="GE1147" s="18"/>
      <c r="GF1147" s="18"/>
      <c r="GG1147" s="18"/>
      <c r="GH1147" s="18"/>
      <c r="GI1147" s="18"/>
      <c r="GJ1147" s="18"/>
      <c r="GK1147" s="18"/>
      <c r="GL1147" s="18"/>
      <c r="GM1147" s="18"/>
      <c r="GN1147" s="18"/>
      <c r="GO1147" s="18"/>
      <c r="GP1147" s="18"/>
      <c r="GQ1147" s="18"/>
      <c r="GR1147" s="18"/>
      <c r="GS1147" s="18"/>
      <c r="GT1147" s="18"/>
      <c r="GU1147" s="18"/>
      <c r="GV1147" s="18"/>
      <c r="GW1147" s="18"/>
      <c r="GX1147" s="18"/>
      <c r="GY1147" s="18"/>
      <c r="GZ1147" s="18"/>
      <c r="HA1147" s="18"/>
      <c r="HB1147" s="18"/>
      <c r="HC1147" s="18"/>
      <c r="HD1147" s="18"/>
      <c r="HE1147" s="18"/>
      <c r="HF1147" s="18"/>
      <c r="HG1147" s="13"/>
      <c r="HH1147" s="13"/>
      <c r="HI1147" s="13"/>
      <c r="HJ1147" s="13"/>
      <c r="HK1147" s="13"/>
      <c r="HL1147" s="13"/>
      <c r="HM1147" s="13"/>
      <c r="HN1147" s="13"/>
      <c r="HO1147" s="13"/>
      <c r="HP1147" s="13"/>
      <c r="HQ1147" s="13"/>
      <c r="HR1147" s="13"/>
      <c r="HS1147" s="13"/>
      <c r="HT1147" s="13"/>
      <c r="HU1147" s="18"/>
      <c r="HV1147" s="18"/>
      <c r="HW1147" s="18"/>
      <c r="HX1147" s="18"/>
      <c r="HY1147" s="18"/>
      <c r="HZ1147" s="18"/>
      <c r="IA1147" s="18"/>
      <c r="IB1147" s="18"/>
      <c r="IC1147" s="18"/>
      <c r="ID1147" s="18"/>
      <c r="IE1147" s="18"/>
      <c r="IF1147" s="18"/>
      <c r="IG1147" s="18"/>
      <c r="IH1147" s="18"/>
      <c r="II1147" s="18"/>
      <c r="IJ1147" s="18"/>
      <c r="IK1147" s="18"/>
      <c r="IL1147" s="18"/>
      <c r="IM1147" s="18"/>
      <c r="IN1147" s="18"/>
      <c r="IO1147" s="18"/>
      <c r="IP1147" s="18"/>
      <c r="IQ1147" s="18"/>
      <c r="IR1147" s="18"/>
      <c r="IS1147" s="18"/>
      <c r="IT1147" s="18"/>
      <c r="IU1147" s="18"/>
      <c r="IV1147" s="18"/>
      <c r="IW1147" s="18"/>
      <c r="IX1147" s="18"/>
      <c r="IY1147" s="18"/>
      <c r="IZ1147" s="18"/>
      <c r="JA1147" s="18"/>
      <c r="JB1147" s="18"/>
      <c r="JC1147" s="18"/>
      <c r="JD1147" s="18"/>
      <c r="JE1147" s="18"/>
      <c r="JF1147" s="18"/>
      <c r="JG1147" s="18"/>
      <c r="JH1147" s="18"/>
      <c r="JI1147" s="18"/>
      <c r="JJ1147" s="18"/>
      <c r="JK1147" s="18"/>
      <c r="JL1147" s="18"/>
      <c r="JM1147" s="18"/>
      <c r="JN1147" s="18"/>
      <c r="JO1147" s="18"/>
      <c r="JP1147" s="18"/>
      <c r="JQ1147" s="18"/>
      <c r="JR1147" s="18"/>
      <c r="JS1147" s="18"/>
      <c r="JT1147" s="18"/>
      <c r="JU1147" s="18"/>
      <c r="JV1147" s="18"/>
      <c r="JW1147" s="18"/>
      <c r="JX1147" s="18"/>
      <c r="JY1147" s="18"/>
      <c r="JZ1147" s="18"/>
      <c r="KA1147" s="18"/>
      <c r="KB1147" s="18"/>
      <c r="KC1147" s="18"/>
      <c r="KD1147" s="18"/>
      <c r="KE1147" s="18"/>
      <c r="KF1147" s="18"/>
      <c r="KG1147" s="18"/>
      <c r="KH1147" s="18"/>
      <c r="KI1147" s="18"/>
      <c r="KJ1147" s="18"/>
      <c r="KK1147" s="18"/>
      <c r="KL1147" s="18"/>
      <c r="KM1147" s="18"/>
      <c r="KN1147" s="18"/>
      <c r="KO1147" s="18"/>
      <c r="KP1147" s="18"/>
    </row>
    <row r="1148" spans="1:302">
      <c r="A1148" s="14"/>
      <c r="B1148" s="14"/>
      <c r="F1148" s="14"/>
      <c r="G1148" s="23"/>
      <c r="H1148" s="23"/>
      <c r="I1148" s="23"/>
      <c r="J1148" s="23"/>
      <c r="K1148" s="14"/>
      <c r="L1148" s="14"/>
      <c r="P1148" s="14"/>
      <c r="AG1148" s="44"/>
      <c r="AH1148" s="44"/>
      <c r="AI1148" s="45"/>
      <c r="AJ1148" s="44"/>
      <c r="AK1148" s="43"/>
      <c r="AS1148" s="14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  <c r="EW1148" s="18"/>
      <c r="EX1148" s="18"/>
      <c r="EY1148" s="18"/>
      <c r="EZ1148" s="18"/>
      <c r="FA1148" s="18"/>
      <c r="FB1148" s="18"/>
      <c r="FC1148" s="18"/>
      <c r="FD1148" s="18"/>
      <c r="FE1148" s="18"/>
      <c r="FF1148" s="18"/>
      <c r="FG1148" s="18"/>
      <c r="FH1148" s="18"/>
      <c r="FI1148" s="18"/>
      <c r="FJ1148" s="18"/>
      <c r="FK1148" s="18"/>
      <c r="FL1148" s="18"/>
      <c r="FM1148" s="18"/>
      <c r="FN1148" s="18"/>
      <c r="FO1148" s="18"/>
      <c r="FP1148" s="18"/>
      <c r="FQ1148" s="18"/>
      <c r="FR1148" s="18"/>
      <c r="FS1148" s="18"/>
      <c r="FT1148" s="18"/>
      <c r="FU1148" s="18"/>
      <c r="FV1148" s="18"/>
      <c r="FW1148" s="18"/>
      <c r="FX1148" s="18"/>
      <c r="FY1148" s="18"/>
      <c r="FZ1148" s="18"/>
      <c r="GA1148" s="18"/>
      <c r="GB1148" s="18"/>
      <c r="GC1148" s="18"/>
      <c r="GD1148" s="18"/>
      <c r="GE1148" s="18"/>
      <c r="GF1148" s="18"/>
      <c r="GG1148" s="18"/>
      <c r="GH1148" s="18"/>
      <c r="GI1148" s="18"/>
      <c r="GJ1148" s="18"/>
      <c r="GK1148" s="18"/>
      <c r="GL1148" s="18"/>
      <c r="GM1148" s="18"/>
      <c r="GN1148" s="18"/>
      <c r="GO1148" s="18"/>
      <c r="GP1148" s="18"/>
      <c r="GQ1148" s="18"/>
      <c r="GR1148" s="18"/>
      <c r="GS1148" s="18"/>
      <c r="GT1148" s="18"/>
      <c r="GU1148" s="18"/>
      <c r="GV1148" s="18"/>
      <c r="GW1148" s="18"/>
      <c r="GX1148" s="18"/>
      <c r="GY1148" s="18"/>
      <c r="GZ1148" s="18"/>
      <c r="HA1148" s="18"/>
      <c r="HB1148" s="18"/>
      <c r="HC1148" s="18"/>
      <c r="HD1148" s="18"/>
      <c r="HE1148" s="18"/>
      <c r="HF1148" s="18"/>
      <c r="HG1148" s="13"/>
      <c r="HH1148" s="13"/>
      <c r="HI1148" s="13"/>
      <c r="HJ1148" s="13"/>
      <c r="HK1148" s="13"/>
      <c r="HL1148" s="13"/>
      <c r="HM1148" s="13"/>
      <c r="HN1148" s="13"/>
      <c r="HO1148" s="13"/>
      <c r="HP1148" s="13"/>
      <c r="HQ1148" s="13"/>
      <c r="HR1148" s="13"/>
      <c r="HS1148" s="13"/>
      <c r="HT1148" s="13"/>
      <c r="HU1148" s="18"/>
      <c r="HV1148" s="18"/>
      <c r="HW1148" s="18"/>
      <c r="HX1148" s="18"/>
      <c r="HY1148" s="18"/>
      <c r="HZ1148" s="18"/>
      <c r="IA1148" s="18"/>
      <c r="IB1148" s="18"/>
      <c r="IC1148" s="18"/>
      <c r="ID1148" s="18"/>
      <c r="IE1148" s="18"/>
      <c r="IF1148" s="18"/>
      <c r="IG1148" s="18"/>
      <c r="IH1148" s="18"/>
      <c r="II1148" s="18"/>
      <c r="IJ1148" s="18"/>
      <c r="IK1148" s="18"/>
      <c r="IL1148" s="18"/>
      <c r="IM1148" s="18"/>
      <c r="IN1148" s="18"/>
      <c r="IO1148" s="18"/>
      <c r="IP1148" s="18"/>
      <c r="IQ1148" s="18"/>
      <c r="IR1148" s="18"/>
      <c r="IS1148" s="18"/>
      <c r="IT1148" s="18"/>
      <c r="IU1148" s="18"/>
      <c r="IV1148" s="18"/>
      <c r="IW1148" s="18"/>
      <c r="IX1148" s="18"/>
      <c r="IY1148" s="18"/>
      <c r="IZ1148" s="18"/>
      <c r="JA1148" s="18"/>
      <c r="JB1148" s="18"/>
      <c r="JC1148" s="18"/>
      <c r="JD1148" s="18"/>
      <c r="JE1148" s="18"/>
      <c r="JF1148" s="18"/>
      <c r="JG1148" s="18"/>
      <c r="JH1148" s="18"/>
      <c r="JI1148" s="18"/>
      <c r="JJ1148" s="18"/>
      <c r="JK1148" s="18"/>
      <c r="JL1148" s="18"/>
      <c r="JM1148" s="18"/>
      <c r="JN1148" s="18"/>
      <c r="JO1148" s="18"/>
      <c r="JP1148" s="18"/>
      <c r="JQ1148" s="18"/>
      <c r="JR1148" s="18"/>
      <c r="JS1148" s="18"/>
      <c r="JT1148" s="18"/>
      <c r="JU1148" s="18"/>
      <c r="JV1148" s="18"/>
      <c r="JW1148" s="18"/>
      <c r="JX1148" s="18"/>
      <c r="JY1148" s="18"/>
      <c r="JZ1148" s="18"/>
      <c r="KA1148" s="18"/>
      <c r="KB1148" s="18"/>
      <c r="KC1148" s="18"/>
      <c r="KD1148" s="18"/>
      <c r="KE1148" s="18"/>
      <c r="KF1148" s="18"/>
      <c r="KG1148" s="18"/>
      <c r="KH1148" s="18"/>
      <c r="KI1148" s="18"/>
      <c r="KJ1148" s="18"/>
      <c r="KK1148" s="18"/>
      <c r="KL1148" s="18"/>
      <c r="KM1148" s="18"/>
      <c r="KN1148" s="18"/>
      <c r="KO1148" s="18"/>
      <c r="KP1148" s="18"/>
    </row>
    <row r="1149" spans="1:302">
      <c r="A1149" s="14"/>
      <c r="B1149" s="14"/>
      <c r="F1149" s="14"/>
      <c r="G1149" s="23"/>
      <c r="H1149" s="23"/>
      <c r="I1149" s="23"/>
      <c r="J1149" s="23"/>
      <c r="K1149" s="14"/>
      <c r="L1149" s="14"/>
      <c r="P1149" s="14"/>
      <c r="AG1149" s="44"/>
      <c r="AH1149" s="44"/>
      <c r="AI1149" s="45"/>
      <c r="AJ1149" s="44"/>
      <c r="AK1149" s="43"/>
      <c r="AS1149" s="14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  <c r="EW1149" s="18"/>
      <c r="EX1149" s="18"/>
      <c r="EY1149" s="18"/>
      <c r="EZ1149" s="18"/>
      <c r="FA1149" s="18"/>
      <c r="FB1149" s="18"/>
      <c r="FC1149" s="18"/>
      <c r="FD1149" s="18"/>
      <c r="FE1149" s="18"/>
      <c r="FF1149" s="18"/>
      <c r="FG1149" s="18"/>
      <c r="FH1149" s="18"/>
      <c r="FI1149" s="18"/>
      <c r="FJ1149" s="18"/>
      <c r="FK1149" s="18"/>
      <c r="FL1149" s="18"/>
      <c r="FM1149" s="18"/>
      <c r="FN1149" s="18"/>
      <c r="FO1149" s="18"/>
      <c r="FP1149" s="18"/>
      <c r="FQ1149" s="18"/>
      <c r="FR1149" s="18"/>
      <c r="FS1149" s="18"/>
      <c r="FT1149" s="18"/>
      <c r="FU1149" s="18"/>
      <c r="FV1149" s="18"/>
      <c r="FW1149" s="18"/>
      <c r="FX1149" s="18"/>
      <c r="FY1149" s="18"/>
      <c r="FZ1149" s="18"/>
      <c r="GA1149" s="18"/>
      <c r="GB1149" s="18"/>
      <c r="GC1149" s="18"/>
      <c r="GD1149" s="18"/>
      <c r="GE1149" s="18"/>
      <c r="GF1149" s="18"/>
      <c r="GG1149" s="18"/>
      <c r="GH1149" s="18"/>
      <c r="GI1149" s="18"/>
      <c r="GJ1149" s="18"/>
      <c r="GK1149" s="18"/>
      <c r="GL1149" s="18"/>
      <c r="GM1149" s="18"/>
      <c r="GN1149" s="18"/>
      <c r="GO1149" s="18"/>
      <c r="GP1149" s="18"/>
      <c r="GQ1149" s="18"/>
      <c r="GR1149" s="18"/>
      <c r="GS1149" s="18"/>
      <c r="GT1149" s="18"/>
      <c r="GU1149" s="18"/>
      <c r="GV1149" s="18"/>
      <c r="GW1149" s="18"/>
      <c r="GX1149" s="18"/>
      <c r="GY1149" s="18"/>
      <c r="GZ1149" s="18"/>
      <c r="HA1149" s="18"/>
      <c r="HB1149" s="18"/>
      <c r="HC1149" s="18"/>
      <c r="HD1149" s="18"/>
      <c r="HE1149" s="18"/>
      <c r="HF1149" s="18"/>
      <c r="HG1149" s="13"/>
      <c r="HH1149" s="13"/>
      <c r="HI1149" s="13"/>
      <c r="HJ1149" s="13"/>
      <c r="HK1149" s="13"/>
      <c r="HL1149" s="13"/>
      <c r="HM1149" s="13"/>
      <c r="HN1149" s="13"/>
      <c r="HO1149" s="13"/>
      <c r="HP1149" s="13"/>
      <c r="HQ1149" s="13"/>
      <c r="HR1149" s="13"/>
      <c r="HS1149" s="13"/>
      <c r="HT1149" s="13"/>
      <c r="HU1149" s="18"/>
      <c r="HV1149" s="18"/>
      <c r="HW1149" s="18"/>
      <c r="HX1149" s="18"/>
      <c r="HY1149" s="18"/>
      <c r="HZ1149" s="18"/>
      <c r="IA1149" s="18"/>
      <c r="IB1149" s="18"/>
      <c r="IC1149" s="18"/>
      <c r="ID1149" s="18"/>
      <c r="IE1149" s="18"/>
      <c r="IF1149" s="18"/>
      <c r="IG1149" s="18"/>
      <c r="IH1149" s="18"/>
      <c r="II1149" s="18"/>
      <c r="IJ1149" s="18"/>
      <c r="IK1149" s="18"/>
      <c r="IL1149" s="18"/>
      <c r="IM1149" s="18"/>
      <c r="IN1149" s="18"/>
      <c r="IO1149" s="18"/>
      <c r="IP1149" s="18"/>
      <c r="IQ1149" s="18"/>
      <c r="IR1149" s="18"/>
      <c r="IS1149" s="18"/>
      <c r="IT1149" s="18"/>
      <c r="IU1149" s="18"/>
      <c r="IV1149" s="18"/>
      <c r="IW1149" s="18"/>
      <c r="IX1149" s="18"/>
      <c r="IY1149" s="18"/>
      <c r="IZ1149" s="18"/>
      <c r="JA1149" s="18"/>
      <c r="JB1149" s="18"/>
      <c r="JC1149" s="18"/>
      <c r="JD1149" s="18"/>
      <c r="JE1149" s="18"/>
      <c r="JF1149" s="18"/>
      <c r="JG1149" s="18"/>
      <c r="JH1149" s="18"/>
      <c r="JI1149" s="18"/>
      <c r="JJ1149" s="18"/>
      <c r="JK1149" s="18"/>
      <c r="JL1149" s="18"/>
      <c r="JM1149" s="18"/>
      <c r="JN1149" s="18"/>
      <c r="JO1149" s="18"/>
      <c r="JP1149" s="18"/>
      <c r="JQ1149" s="18"/>
      <c r="JR1149" s="18"/>
      <c r="JS1149" s="18"/>
      <c r="JT1149" s="18"/>
      <c r="JU1149" s="18"/>
      <c r="JV1149" s="18"/>
      <c r="JW1149" s="18"/>
      <c r="JX1149" s="18"/>
      <c r="JY1149" s="18"/>
      <c r="JZ1149" s="18"/>
      <c r="KA1149" s="18"/>
      <c r="KB1149" s="18"/>
      <c r="KC1149" s="18"/>
      <c r="KD1149" s="18"/>
      <c r="KE1149" s="18"/>
      <c r="KF1149" s="18"/>
      <c r="KG1149" s="18"/>
      <c r="KH1149" s="18"/>
      <c r="KI1149" s="18"/>
      <c r="KJ1149" s="18"/>
      <c r="KK1149" s="18"/>
      <c r="KL1149" s="18"/>
      <c r="KM1149" s="18"/>
      <c r="KN1149" s="18"/>
      <c r="KO1149" s="18"/>
      <c r="KP1149" s="18"/>
    </row>
    <row r="1150" spans="1:302">
      <c r="A1150" s="14"/>
      <c r="B1150" s="14"/>
      <c r="F1150" s="14"/>
      <c r="G1150" s="23"/>
      <c r="H1150" s="23"/>
      <c r="I1150" s="23"/>
      <c r="J1150" s="23"/>
      <c r="K1150" s="14"/>
      <c r="L1150" s="14"/>
      <c r="P1150" s="14"/>
      <c r="AG1150" s="44"/>
      <c r="AH1150" s="44"/>
      <c r="AI1150" s="45"/>
      <c r="AJ1150" s="44"/>
      <c r="AK1150" s="43"/>
      <c r="AS1150" s="14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  <c r="EW1150" s="18"/>
      <c r="EX1150" s="18"/>
      <c r="EY1150" s="18"/>
      <c r="EZ1150" s="18"/>
      <c r="FA1150" s="18"/>
      <c r="FB1150" s="18"/>
      <c r="FC1150" s="18"/>
      <c r="FD1150" s="18"/>
      <c r="FE1150" s="18"/>
      <c r="FF1150" s="18"/>
      <c r="FG1150" s="18"/>
      <c r="FH1150" s="18"/>
      <c r="FI1150" s="18"/>
      <c r="FJ1150" s="18"/>
      <c r="FK1150" s="18"/>
      <c r="FL1150" s="18"/>
      <c r="FM1150" s="18"/>
      <c r="FN1150" s="18"/>
      <c r="FO1150" s="18"/>
      <c r="FP1150" s="18"/>
      <c r="FQ1150" s="18"/>
      <c r="FR1150" s="18"/>
      <c r="FS1150" s="18"/>
      <c r="FT1150" s="18"/>
      <c r="FU1150" s="18"/>
      <c r="FV1150" s="18"/>
      <c r="FW1150" s="18"/>
      <c r="FX1150" s="18"/>
      <c r="FY1150" s="18"/>
      <c r="FZ1150" s="18"/>
      <c r="GA1150" s="18"/>
      <c r="GB1150" s="18"/>
      <c r="GC1150" s="18"/>
      <c r="GD1150" s="18"/>
      <c r="GE1150" s="18"/>
      <c r="GF1150" s="18"/>
      <c r="GG1150" s="18"/>
      <c r="GH1150" s="18"/>
      <c r="GI1150" s="18"/>
      <c r="GJ1150" s="18"/>
      <c r="GK1150" s="18"/>
      <c r="GL1150" s="18"/>
      <c r="GM1150" s="18"/>
      <c r="GN1150" s="18"/>
      <c r="GO1150" s="18"/>
      <c r="GP1150" s="18"/>
      <c r="GQ1150" s="18"/>
      <c r="GR1150" s="18"/>
      <c r="GS1150" s="18"/>
      <c r="GT1150" s="18"/>
      <c r="GU1150" s="18"/>
      <c r="GV1150" s="18"/>
      <c r="GW1150" s="18"/>
      <c r="GX1150" s="18"/>
      <c r="GY1150" s="18"/>
      <c r="GZ1150" s="18"/>
      <c r="HA1150" s="18"/>
      <c r="HB1150" s="18"/>
      <c r="HC1150" s="18"/>
      <c r="HD1150" s="18"/>
      <c r="HE1150" s="18"/>
      <c r="HF1150" s="18"/>
      <c r="HG1150" s="13"/>
      <c r="HH1150" s="13"/>
      <c r="HI1150" s="13"/>
      <c r="HJ1150" s="13"/>
      <c r="HK1150" s="13"/>
      <c r="HL1150" s="13"/>
      <c r="HM1150" s="13"/>
      <c r="HN1150" s="13"/>
      <c r="HO1150" s="13"/>
      <c r="HP1150" s="13"/>
      <c r="HQ1150" s="13"/>
      <c r="HR1150" s="13"/>
      <c r="HS1150" s="13"/>
      <c r="HT1150" s="13"/>
      <c r="HU1150" s="18"/>
      <c r="HV1150" s="18"/>
      <c r="HW1150" s="18"/>
      <c r="HX1150" s="18"/>
      <c r="HY1150" s="18"/>
      <c r="HZ1150" s="18"/>
      <c r="IA1150" s="18"/>
      <c r="IB1150" s="18"/>
      <c r="IC1150" s="18"/>
      <c r="ID1150" s="18"/>
      <c r="IE1150" s="18"/>
      <c r="IF1150" s="18"/>
      <c r="IG1150" s="18"/>
      <c r="IH1150" s="18"/>
      <c r="II1150" s="18"/>
      <c r="IJ1150" s="18"/>
      <c r="IK1150" s="18"/>
      <c r="IL1150" s="18"/>
      <c r="IM1150" s="18"/>
      <c r="IN1150" s="18"/>
      <c r="IO1150" s="18"/>
      <c r="IP1150" s="18"/>
      <c r="IQ1150" s="18"/>
      <c r="IR1150" s="18"/>
      <c r="IS1150" s="18"/>
      <c r="IT1150" s="18"/>
      <c r="IU1150" s="18"/>
      <c r="IV1150" s="18"/>
      <c r="IW1150" s="18"/>
      <c r="IX1150" s="18"/>
      <c r="IY1150" s="18"/>
      <c r="IZ1150" s="18"/>
      <c r="JA1150" s="18"/>
      <c r="JB1150" s="18"/>
      <c r="JC1150" s="18"/>
      <c r="JD1150" s="18"/>
      <c r="JE1150" s="18"/>
      <c r="JF1150" s="18"/>
      <c r="JG1150" s="18"/>
      <c r="JH1150" s="18"/>
      <c r="JI1150" s="18"/>
      <c r="JJ1150" s="18"/>
      <c r="JK1150" s="18"/>
      <c r="JL1150" s="18"/>
      <c r="JM1150" s="18"/>
      <c r="JN1150" s="18"/>
      <c r="JO1150" s="18"/>
      <c r="JP1150" s="18"/>
      <c r="JQ1150" s="18"/>
      <c r="JR1150" s="18"/>
      <c r="JS1150" s="18"/>
      <c r="JT1150" s="18"/>
      <c r="JU1150" s="18"/>
      <c r="JV1150" s="18"/>
      <c r="JW1150" s="18"/>
      <c r="JX1150" s="18"/>
      <c r="JY1150" s="18"/>
      <c r="JZ1150" s="18"/>
      <c r="KA1150" s="18"/>
      <c r="KB1150" s="18"/>
      <c r="KC1150" s="18"/>
      <c r="KD1150" s="18"/>
      <c r="KE1150" s="18"/>
      <c r="KF1150" s="18"/>
      <c r="KG1150" s="18"/>
      <c r="KH1150" s="18"/>
      <c r="KI1150" s="18"/>
      <c r="KJ1150" s="18"/>
      <c r="KK1150" s="18"/>
      <c r="KL1150" s="18"/>
      <c r="KM1150" s="18"/>
      <c r="KN1150" s="18"/>
      <c r="KO1150" s="18"/>
      <c r="KP1150" s="18"/>
    </row>
    <row r="1151" spans="1:302">
      <c r="A1151" s="14"/>
      <c r="B1151" s="14"/>
      <c r="F1151" s="14"/>
      <c r="G1151" s="23"/>
      <c r="H1151" s="23"/>
      <c r="I1151" s="23"/>
      <c r="J1151" s="23"/>
      <c r="K1151" s="14"/>
      <c r="L1151" s="14"/>
      <c r="P1151" s="14"/>
      <c r="AG1151" s="44"/>
      <c r="AH1151" s="44"/>
      <c r="AI1151" s="45"/>
      <c r="AJ1151" s="44"/>
      <c r="AK1151" s="43"/>
      <c r="AS1151" s="14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  <c r="EW1151" s="18"/>
      <c r="EX1151" s="18"/>
      <c r="EY1151" s="18"/>
      <c r="EZ1151" s="18"/>
      <c r="FA1151" s="18"/>
      <c r="FB1151" s="18"/>
      <c r="FC1151" s="18"/>
      <c r="FD1151" s="18"/>
      <c r="FE1151" s="18"/>
      <c r="FF1151" s="18"/>
      <c r="FG1151" s="18"/>
      <c r="FH1151" s="18"/>
      <c r="FI1151" s="18"/>
      <c r="FJ1151" s="18"/>
      <c r="FK1151" s="18"/>
      <c r="FL1151" s="18"/>
      <c r="FM1151" s="18"/>
      <c r="FN1151" s="18"/>
      <c r="FO1151" s="18"/>
      <c r="FP1151" s="18"/>
      <c r="FQ1151" s="18"/>
      <c r="FR1151" s="18"/>
      <c r="FS1151" s="18"/>
      <c r="FT1151" s="18"/>
      <c r="FU1151" s="18"/>
      <c r="FV1151" s="18"/>
      <c r="FW1151" s="18"/>
      <c r="FX1151" s="18"/>
      <c r="FY1151" s="18"/>
      <c r="FZ1151" s="18"/>
      <c r="GA1151" s="18"/>
      <c r="GB1151" s="18"/>
      <c r="GC1151" s="18"/>
      <c r="GD1151" s="18"/>
      <c r="GE1151" s="18"/>
      <c r="GF1151" s="18"/>
      <c r="GG1151" s="18"/>
      <c r="GH1151" s="18"/>
      <c r="GI1151" s="18"/>
      <c r="GJ1151" s="18"/>
      <c r="GK1151" s="18"/>
      <c r="GL1151" s="18"/>
      <c r="GM1151" s="18"/>
      <c r="GN1151" s="18"/>
      <c r="GO1151" s="18"/>
      <c r="GP1151" s="18"/>
      <c r="GQ1151" s="18"/>
      <c r="GR1151" s="18"/>
      <c r="GS1151" s="18"/>
      <c r="GT1151" s="18"/>
      <c r="GU1151" s="18"/>
      <c r="GV1151" s="18"/>
      <c r="GW1151" s="18"/>
      <c r="GX1151" s="18"/>
      <c r="GY1151" s="18"/>
      <c r="GZ1151" s="18"/>
      <c r="HA1151" s="18"/>
      <c r="HB1151" s="18"/>
      <c r="HC1151" s="18"/>
      <c r="HD1151" s="18"/>
      <c r="HE1151" s="18"/>
      <c r="HF1151" s="18"/>
      <c r="HG1151" s="13"/>
      <c r="HH1151" s="13"/>
      <c r="HI1151" s="13"/>
      <c r="HJ1151" s="13"/>
      <c r="HK1151" s="13"/>
      <c r="HL1151" s="13"/>
      <c r="HM1151" s="13"/>
      <c r="HN1151" s="13"/>
      <c r="HO1151" s="13"/>
      <c r="HP1151" s="13"/>
      <c r="HQ1151" s="13"/>
      <c r="HR1151" s="13"/>
      <c r="HS1151" s="13"/>
      <c r="HT1151" s="13"/>
      <c r="HU1151" s="18"/>
      <c r="HV1151" s="18"/>
      <c r="HW1151" s="18"/>
      <c r="HX1151" s="18"/>
      <c r="HY1151" s="18"/>
      <c r="HZ1151" s="18"/>
      <c r="IA1151" s="18"/>
      <c r="IB1151" s="18"/>
      <c r="IC1151" s="18"/>
      <c r="ID1151" s="18"/>
      <c r="IE1151" s="18"/>
      <c r="IF1151" s="18"/>
      <c r="IG1151" s="18"/>
      <c r="IH1151" s="18"/>
      <c r="II1151" s="18"/>
      <c r="IJ1151" s="18"/>
      <c r="IK1151" s="18"/>
      <c r="IL1151" s="18"/>
      <c r="IM1151" s="18"/>
      <c r="IN1151" s="18"/>
      <c r="IO1151" s="18"/>
      <c r="IP1151" s="18"/>
      <c r="IQ1151" s="18"/>
      <c r="IR1151" s="18"/>
      <c r="IS1151" s="18"/>
      <c r="IT1151" s="18"/>
      <c r="IU1151" s="18"/>
      <c r="IV1151" s="18"/>
      <c r="IW1151" s="18"/>
      <c r="IX1151" s="18"/>
      <c r="IY1151" s="18"/>
      <c r="IZ1151" s="18"/>
      <c r="JA1151" s="18"/>
      <c r="JB1151" s="18"/>
      <c r="JC1151" s="18"/>
      <c r="JD1151" s="18"/>
      <c r="JE1151" s="18"/>
      <c r="JF1151" s="18"/>
      <c r="JG1151" s="18"/>
      <c r="JH1151" s="18"/>
      <c r="JI1151" s="18"/>
      <c r="JJ1151" s="18"/>
      <c r="JK1151" s="18"/>
      <c r="JL1151" s="18"/>
      <c r="JM1151" s="18"/>
      <c r="JN1151" s="18"/>
      <c r="JO1151" s="18"/>
      <c r="JP1151" s="18"/>
      <c r="JQ1151" s="18"/>
      <c r="JR1151" s="18"/>
      <c r="JS1151" s="18"/>
      <c r="JT1151" s="18"/>
      <c r="JU1151" s="18"/>
      <c r="JV1151" s="18"/>
      <c r="JW1151" s="18"/>
      <c r="JX1151" s="18"/>
      <c r="JY1151" s="18"/>
      <c r="JZ1151" s="18"/>
      <c r="KA1151" s="18"/>
      <c r="KB1151" s="18"/>
      <c r="KC1151" s="18"/>
      <c r="KD1151" s="18"/>
      <c r="KE1151" s="18"/>
      <c r="KF1151" s="18"/>
      <c r="KG1151" s="18"/>
      <c r="KH1151" s="18"/>
      <c r="KI1151" s="18"/>
      <c r="KJ1151" s="18"/>
      <c r="KK1151" s="18"/>
      <c r="KL1151" s="18"/>
      <c r="KM1151" s="18"/>
      <c r="KN1151" s="18"/>
      <c r="KO1151" s="18"/>
      <c r="KP1151" s="18"/>
    </row>
    <row r="1152" spans="1:302">
      <c r="A1152" s="14"/>
      <c r="B1152" s="14"/>
      <c r="F1152" s="14"/>
      <c r="G1152" s="23"/>
      <c r="H1152" s="23"/>
      <c r="I1152" s="23"/>
      <c r="J1152" s="23"/>
      <c r="K1152" s="14"/>
      <c r="L1152" s="14"/>
      <c r="P1152" s="14"/>
      <c r="AG1152" s="44"/>
      <c r="AH1152" s="44"/>
      <c r="AI1152" s="45"/>
      <c r="AJ1152" s="44"/>
      <c r="AK1152" s="43"/>
      <c r="AS1152" s="14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  <c r="EW1152" s="18"/>
      <c r="EX1152" s="18"/>
      <c r="EY1152" s="18"/>
      <c r="EZ1152" s="18"/>
      <c r="FA1152" s="18"/>
      <c r="FB1152" s="18"/>
      <c r="FC1152" s="18"/>
      <c r="FD1152" s="18"/>
      <c r="FE1152" s="18"/>
      <c r="FF1152" s="18"/>
      <c r="FG1152" s="18"/>
      <c r="FH1152" s="18"/>
      <c r="FI1152" s="18"/>
      <c r="FJ1152" s="18"/>
      <c r="FK1152" s="18"/>
      <c r="FL1152" s="18"/>
      <c r="FM1152" s="18"/>
      <c r="FN1152" s="18"/>
      <c r="FO1152" s="18"/>
      <c r="FP1152" s="18"/>
      <c r="FQ1152" s="18"/>
      <c r="FR1152" s="18"/>
      <c r="FS1152" s="18"/>
      <c r="FT1152" s="18"/>
      <c r="FU1152" s="18"/>
      <c r="FV1152" s="18"/>
      <c r="FW1152" s="18"/>
      <c r="FX1152" s="18"/>
      <c r="FY1152" s="18"/>
      <c r="FZ1152" s="18"/>
      <c r="GA1152" s="18"/>
      <c r="GB1152" s="18"/>
      <c r="GC1152" s="18"/>
      <c r="GD1152" s="18"/>
      <c r="GE1152" s="18"/>
      <c r="GF1152" s="18"/>
      <c r="GG1152" s="18"/>
      <c r="GH1152" s="18"/>
      <c r="GI1152" s="18"/>
      <c r="GJ1152" s="18"/>
      <c r="GK1152" s="18"/>
      <c r="GL1152" s="18"/>
      <c r="GM1152" s="18"/>
      <c r="GN1152" s="18"/>
      <c r="GO1152" s="18"/>
      <c r="GP1152" s="18"/>
      <c r="GQ1152" s="18"/>
      <c r="GR1152" s="18"/>
      <c r="GS1152" s="18"/>
      <c r="GT1152" s="18"/>
      <c r="GU1152" s="18"/>
      <c r="GV1152" s="18"/>
      <c r="GW1152" s="18"/>
      <c r="GX1152" s="18"/>
      <c r="GY1152" s="18"/>
      <c r="GZ1152" s="18"/>
      <c r="HA1152" s="18"/>
      <c r="HB1152" s="18"/>
      <c r="HC1152" s="18"/>
      <c r="HD1152" s="18"/>
      <c r="HE1152" s="18"/>
      <c r="HF1152" s="18"/>
      <c r="HG1152" s="13"/>
      <c r="HH1152" s="13"/>
      <c r="HI1152" s="13"/>
      <c r="HJ1152" s="13"/>
      <c r="HK1152" s="13"/>
      <c r="HL1152" s="13"/>
      <c r="HM1152" s="13"/>
      <c r="HN1152" s="13"/>
      <c r="HO1152" s="13"/>
      <c r="HP1152" s="13"/>
      <c r="HQ1152" s="13"/>
      <c r="HR1152" s="13"/>
      <c r="HS1152" s="13"/>
      <c r="HT1152" s="13"/>
      <c r="HU1152" s="18"/>
      <c r="HV1152" s="18"/>
      <c r="HW1152" s="18"/>
      <c r="HX1152" s="18"/>
      <c r="HY1152" s="18"/>
      <c r="HZ1152" s="18"/>
      <c r="IA1152" s="18"/>
      <c r="IB1152" s="18"/>
      <c r="IC1152" s="18"/>
      <c r="ID1152" s="18"/>
      <c r="IE1152" s="18"/>
      <c r="IF1152" s="18"/>
      <c r="IG1152" s="18"/>
      <c r="IH1152" s="18"/>
      <c r="II1152" s="18"/>
      <c r="IJ1152" s="18"/>
      <c r="IK1152" s="18"/>
      <c r="IL1152" s="18"/>
      <c r="IM1152" s="18"/>
      <c r="IN1152" s="18"/>
      <c r="IO1152" s="18"/>
      <c r="IP1152" s="18"/>
      <c r="IQ1152" s="18"/>
      <c r="IR1152" s="18"/>
      <c r="IS1152" s="18"/>
      <c r="IT1152" s="18"/>
      <c r="IU1152" s="18"/>
      <c r="IV1152" s="18"/>
      <c r="IW1152" s="18"/>
      <c r="IX1152" s="18"/>
      <c r="IY1152" s="18"/>
      <c r="IZ1152" s="18"/>
      <c r="JA1152" s="18"/>
      <c r="JB1152" s="18"/>
      <c r="JC1152" s="18"/>
      <c r="JD1152" s="18"/>
      <c r="JE1152" s="18"/>
      <c r="JF1152" s="18"/>
      <c r="JG1152" s="18"/>
      <c r="JH1152" s="18"/>
      <c r="JI1152" s="18"/>
      <c r="JJ1152" s="18"/>
      <c r="JK1152" s="18"/>
      <c r="JL1152" s="18"/>
      <c r="JM1152" s="18"/>
      <c r="JN1152" s="18"/>
      <c r="JO1152" s="18"/>
      <c r="JP1152" s="18"/>
      <c r="JQ1152" s="18"/>
      <c r="JR1152" s="18"/>
      <c r="JS1152" s="18"/>
      <c r="JT1152" s="18"/>
      <c r="JU1152" s="18"/>
      <c r="JV1152" s="18"/>
      <c r="JW1152" s="18"/>
      <c r="JX1152" s="18"/>
      <c r="JY1152" s="18"/>
      <c r="JZ1152" s="18"/>
      <c r="KA1152" s="18"/>
      <c r="KB1152" s="18"/>
      <c r="KC1152" s="18"/>
      <c r="KD1152" s="18"/>
      <c r="KE1152" s="18"/>
      <c r="KF1152" s="18"/>
      <c r="KG1152" s="18"/>
      <c r="KH1152" s="18"/>
      <c r="KI1152" s="18"/>
      <c r="KJ1152" s="18"/>
      <c r="KK1152" s="18"/>
      <c r="KL1152" s="18"/>
      <c r="KM1152" s="18"/>
      <c r="KN1152" s="18"/>
      <c r="KO1152" s="18"/>
      <c r="KP1152" s="18"/>
    </row>
    <row r="1153" spans="1:302">
      <c r="A1153" s="14"/>
      <c r="B1153" s="14"/>
      <c r="F1153" s="14"/>
      <c r="G1153" s="23"/>
      <c r="H1153" s="23"/>
      <c r="I1153" s="23"/>
      <c r="J1153" s="23"/>
      <c r="K1153" s="14"/>
      <c r="L1153" s="14"/>
      <c r="P1153" s="14"/>
      <c r="AG1153" s="44"/>
      <c r="AH1153" s="44"/>
      <c r="AI1153" s="45"/>
      <c r="AJ1153" s="44"/>
      <c r="AK1153" s="43"/>
      <c r="AS1153" s="14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  <c r="EW1153" s="18"/>
      <c r="EX1153" s="18"/>
      <c r="EY1153" s="18"/>
      <c r="EZ1153" s="18"/>
      <c r="FA1153" s="18"/>
      <c r="FB1153" s="18"/>
      <c r="FC1153" s="18"/>
      <c r="FD1153" s="18"/>
      <c r="FE1153" s="18"/>
      <c r="FF1153" s="18"/>
      <c r="FG1153" s="18"/>
      <c r="FH1153" s="18"/>
      <c r="FI1153" s="18"/>
      <c r="FJ1153" s="18"/>
      <c r="FK1153" s="18"/>
      <c r="FL1153" s="18"/>
      <c r="FM1153" s="18"/>
      <c r="FN1153" s="18"/>
      <c r="FO1153" s="18"/>
      <c r="FP1153" s="18"/>
      <c r="FQ1153" s="18"/>
      <c r="FR1153" s="18"/>
      <c r="FS1153" s="18"/>
      <c r="FT1153" s="18"/>
      <c r="FU1153" s="18"/>
      <c r="FV1153" s="18"/>
      <c r="FW1153" s="18"/>
      <c r="FX1153" s="18"/>
      <c r="FY1153" s="18"/>
      <c r="FZ1153" s="18"/>
      <c r="GA1153" s="18"/>
      <c r="GB1153" s="18"/>
      <c r="GC1153" s="18"/>
      <c r="GD1153" s="18"/>
      <c r="GE1153" s="18"/>
      <c r="GF1153" s="18"/>
      <c r="GG1153" s="18"/>
      <c r="GH1153" s="18"/>
      <c r="GI1153" s="18"/>
      <c r="GJ1153" s="18"/>
      <c r="GK1153" s="18"/>
      <c r="GL1153" s="18"/>
      <c r="GM1153" s="18"/>
      <c r="GN1153" s="18"/>
      <c r="GO1153" s="18"/>
      <c r="GP1153" s="18"/>
      <c r="GQ1153" s="18"/>
      <c r="GR1153" s="18"/>
      <c r="GS1153" s="18"/>
      <c r="GT1153" s="18"/>
      <c r="GU1153" s="18"/>
      <c r="GV1153" s="18"/>
      <c r="GW1153" s="18"/>
      <c r="GX1153" s="18"/>
      <c r="GY1153" s="18"/>
      <c r="GZ1153" s="18"/>
      <c r="HA1153" s="18"/>
      <c r="HB1153" s="18"/>
      <c r="HC1153" s="18"/>
      <c r="HD1153" s="18"/>
      <c r="HE1153" s="18"/>
      <c r="HF1153" s="18"/>
      <c r="HG1153" s="13"/>
      <c r="HH1153" s="13"/>
      <c r="HI1153" s="13"/>
      <c r="HJ1153" s="13"/>
      <c r="HK1153" s="13"/>
      <c r="HL1153" s="13"/>
      <c r="HM1153" s="13"/>
      <c r="HN1153" s="13"/>
      <c r="HO1153" s="13"/>
      <c r="HP1153" s="13"/>
      <c r="HQ1153" s="13"/>
      <c r="HR1153" s="13"/>
      <c r="HS1153" s="13"/>
      <c r="HT1153" s="13"/>
      <c r="HU1153" s="18"/>
      <c r="HV1153" s="18"/>
      <c r="HW1153" s="18"/>
      <c r="HX1153" s="18"/>
      <c r="HY1153" s="18"/>
      <c r="HZ1153" s="18"/>
      <c r="IA1153" s="18"/>
      <c r="IB1153" s="18"/>
      <c r="IC1153" s="18"/>
      <c r="ID1153" s="18"/>
      <c r="IE1153" s="18"/>
      <c r="IF1153" s="18"/>
      <c r="IG1153" s="18"/>
      <c r="IH1153" s="18"/>
      <c r="II1153" s="18"/>
      <c r="IJ1153" s="18"/>
      <c r="IK1153" s="18"/>
      <c r="IL1153" s="18"/>
      <c r="IM1153" s="18"/>
      <c r="IN1153" s="18"/>
      <c r="IO1153" s="18"/>
      <c r="IP1153" s="18"/>
      <c r="IQ1153" s="18"/>
      <c r="IR1153" s="18"/>
      <c r="IS1153" s="18"/>
      <c r="IT1153" s="18"/>
      <c r="IU1153" s="18"/>
      <c r="IV1153" s="18"/>
      <c r="IW1153" s="18"/>
      <c r="IX1153" s="18"/>
      <c r="IY1153" s="18"/>
      <c r="IZ1153" s="18"/>
      <c r="JA1153" s="18"/>
      <c r="JB1153" s="18"/>
      <c r="JC1153" s="18"/>
      <c r="JD1153" s="18"/>
      <c r="JE1153" s="18"/>
      <c r="JF1153" s="18"/>
      <c r="JG1153" s="18"/>
      <c r="JH1153" s="18"/>
      <c r="JI1153" s="18"/>
      <c r="JJ1153" s="18"/>
      <c r="JK1153" s="18"/>
      <c r="JL1153" s="18"/>
      <c r="JM1153" s="18"/>
      <c r="JN1153" s="18"/>
      <c r="JO1153" s="18"/>
      <c r="JP1153" s="18"/>
      <c r="JQ1153" s="18"/>
      <c r="JR1153" s="18"/>
      <c r="JS1153" s="18"/>
      <c r="JT1153" s="18"/>
      <c r="JU1153" s="18"/>
      <c r="JV1153" s="18"/>
      <c r="JW1153" s="18"/>
      <c r="JX1153" s="18"/>
      <c r="JY1153" s="18"/>
      <c r="JZ1153" s="18"/>
      <c r="KA1153" s="18"/>
      <c r="KB1153" s="18"/>
      <c r="KC1153" s="18"/>
      <c r="KD1153" s="18"/>
      <c r="KE1153" s="18"/>
      <c r="KF1153" s="18"/>
      <c r="KG1153" s="18"/>
      <c r="KH1153" s="18"/>
      <c r="KI1153" s="18"/>
      <c r="KJ1153" s="18"/>
      <c r="KK1153" s="18"/>
      <c r="KL1153" s="18"/>
      <c r="KM1153" s="18"/>
      <c r="KN1153" s="18"/>
      <c r="KO1153" s="18"/>
      <c r="KP1153" s="18"/>
    </row>
    <row r="1154" spans="1:302">
      <c r="A1154" s="14"/>
      <c r="B1154" s="14"/>
      <c r="F1154" s="14"/>
      <c r="G1154" s="23"/>
      <c r="H1154" s="23"/>
      <c r="I1154" s="23"/>
      <c r="J1154" s="23"/>
      <c r="K1154" s="14"/>
      <c r="L1154" s="14"/>
      <c r="P1154" s="14"/>
      <c r="AG1154" s="44"/>
      <c r="AH1154" s="44"/>
      <c r="AI1154" s="45"/>
      <c r="AJ1154" s="44"/>
      <c r="AK1154" s="43"/>
      <c r="AS1154" s="14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  <c r="EW1154" s="18"/>
      <c r="EX1154" s="18"/>
      <c r="EY1154" s="18"/>
      <c r="EZ1154" s="18"/>
      <c r="FA1154" s="18"/>
      <c r="FB1154" s="18"/>
      <c r="FC1154" s="18"/>
      <c r="FD1154" s="18"/>
      <c r="FE1154" s="18"/>
      <c r="FF1154" s="18"/>
      <c r="FG1154" s="18"/>
      <c r="FH1154" s="18"/>
      <c r="FI1154" s="18"/>
      <c r="FJ1154" s="18"/>
      <c r="FK1154" s="18"/>
      <c r="FL1154" s="18"/>
      <c r="FM1154" s="18"/>
      <c r="FN1154" s="18"/>
      <c r="FO1154" s="18"/>
      <c r="FP1154" s="18"/>
      <c r="FQ1154" s="18"/>
      <c r="FR1154" s="18"/>
      <c r="FS1154" s="18"/>
      <c r="FT1154" s="18"/>
      <c r="FU1154" s="18"/>
      <c r="FV1154" s="18"/>
      <c r="FW1154" s="18"/>
      <c r="FX1154" s="18"/>
      <c r="FY1154" s="18"/>
      <c r="FZ1154" s="18"/>
      <c r="GA1154" s="18"/>
      <c r="GB1154" s="18"/>
      <c r="GC1154" s="18"/>
      <c r="GD1154" s="18"/>
      <c r="GE1154" s="18"/>
      <c r="GF1154" s="18"/>
      <c r="GG1154" s="18"/>
      <c r="GH1154" s="18"/>
      <c r="GI1154" s="18"/>
      <c r="GJ1154" s="18"/>
      <c r="GK1154" s="18"/>
      <c r="GL1154" s="18"/>
      <c r="GM1154" s="18"/>
      <c r="GN1154" s="18"/>
      <c r="GO1154" s="18"/>
      <c r="GP1154" s="18"/>
      <c r="GQ1154" s="18"/>
      <c r="GR1154" s="18"/>
      <c r="GS1154" s="18"/>
      <c r="GT1154" s="18"/>
      <c r="GU1154" s="18"/>
      <c r="GV1154" s="18"/>
      <c r="GW1154" s="18"/>
      <c r="GX1154" s="18"/>
      <c r="GY1154" s="18"/>
      <c r="GZ1154" s="18"/>
      <c r="HA1154" s="18"/>
      <c r="HB1154" s="18"/>
      <c r="HC1154" s="18"/>
      <c r="HD1154" s="18"/>
      <c r="HE1154" s="18"/>
      <c r="HF1154" s="18"/>
      <c r="HG1154" s="13"/>
      <c r="HH1154" s="13"/>
      <c r="HI1154" s="13"/>
      <c r="HJ1154" s="13"/>
      <c r="HK1154" s="13"/>
      <c r="HL1154" s="13"/>
      <c r="HM1154" s="13"/>
      <c r="HN1154" s="13"/>
      <c r="HO1154" s="13"/>
      <c r="HP1154" s="13"/>
      <c r="HQ1154" s="13"/>
      <c r="HR1154" s="13"/>
      <c r="HS1154" s="13"/>
      <c r="HT1154" s="13"/>
      <c r="HU1154" s="18"/>
      <c r="HV1154" s="18"/>
      <c r="HW1154" s="18"/>
      <c r="HX1154" s="18"/>
      <c r="HY1154" s="18"/>
      <c r="HZ1154" s="18"/>
      <c r="IA1154" s="18"/>
      <c r="IB1154" s="18"/>
      <c r="IC1154" s="18"/>
      <c r="ID1154" s="18"/>
      <c r="IE1154" s="18"/>
      <c r="IF1154" s="18"/>
      <c r="IG1154" s="18"/>
      <c r="IH1154" s="18"/>
      <c r="II1154" s="18"/>
      <c r="IJ1154" s="18"/>
      <c r="IK1154" s="18"/>
      <c r="IL1154" s="18"/>
      <c r="IM1154" s="18"/>
      <c r="IN1154" s="18"/>
      <c r="IO1154" s="18"/>
      <c r="IP1154" s="18"/>
      <c r="IQ1154" s="18"/>
      <c r="IR1154" s="18"/>
      <c r="IS1154" s="18"/>
      <c r="IT1154" s="18"/>
      <c r="IU1154" s="18"/>
      <c r="IV1154" s="18"/>
      <c r="IW1154" s="18"/>
      <c r="IX1154" s="18"/>
      <c r="IY1154" s="18"/>
      <c r="IZ1154" s="18"/>
      <c r="JA1154" s="18"/>
      <c r="JB1154" s="18"/>
      <c r="JC1154" s="18"/>
      <c r="JD1154" s="18"/>
      <c r="JE1154" s="18"/>
      <c r="JF1154" s="18"/>
      <c r="JG1154" s="18"/>
      <c r="JH1154" s="18"/>
      <c r="JI1154" s="18"/>
      <c r="JJ1154" s="18"/>
      <c r="JK1154" s="18"/>
      <c r="JL1154" s="18"/>
      <c r="JM1154" s="18"/>
      <c r="JN1154" s="18"/>
      <c r="JO1154" s="18"/>
      <c r="JP1154" s="18"/>
      <c r="JQ1154" s="18"/>
      <c r="JR1154" s="18"/>
      <c r="JS1154" s="18"/>
      <c r="JT1154" s="18"/>
      <c r="JU1154" s="18"/>
      <c r="JV1154" s="18"/>
      <c r="JW1154" s="18"/>
      <c r="JX1154" s="18"/>
      <c r="JY1154" s="18"/>
      <c r="JZ1154" s="18"/>
      <c r="KA1154" s="18"/>
      <c r="KB1154" s="18"/>
      <c r="KC1154" s="18"/>
      <c r="KD1154" s="18"/>
      <c r="KE1154" s="18"/>
      <c r="KF1154" s="18"/>
      <c r="KG1154" s="18"/>
      <c r="KH1154" s="18"/>
      <c r="KI1154" s="18"/>
      <c r="KJ1154" s="18"/>
      <c r="KK1154" s="18"/>
      <c r="KL1154" s="18"/>
      <c r="KM1154" s="18"/>
      <c r="KN1154" s="18"/>
      <c r="KO1154" s="18"/>
      <c r="KP1154" s="18"/>
    </row>
    <row r="1155" spans="1:302">
      <c r="A1155" s="14"/>
      <c r="B1155" s="14"/>
      <c r="F1155" s="14"/>
      <c r="G1155" s="23"/>
      <c r="H1155" s="23"/>
      <c r="I1155" s="23"/>
      <c r="J1155" s="23"/>
      <c r="K1155" s="14"/>
      <c r="L1155" s="14"/>
      <c r="P1155" s="14"/>
      <c r="AG1155" s="44"/>
      <c r="AH1155" s="44"/>
      <c r="AI1155" s="45"/>
      <c r="AJ1155" s="44"/>
      <c r="AK1155" s="43"/>
      <c r="AS1155" s="14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  <c r="EW1155" s="18"/>
      <c r="EX1155" s="18"/>
      <c r="EY1155" s="18"/>
      <c r="EZ1155" s="18"/>
      <c r="FA1155" s="18"/>
      <c r="FB1155" s="18"/>
      <c r="FC1155" s="18"/>
      <c r="FD1155" s="18"/>
      <c r="FE1155" s="18"/>
      <c r="FF1155" s="18"/>
      <c r="FG1155" s="18"/>
      <c r="FH1155" s="18"/>
      <c r="FI1155" s="18"/>
      <c r="FJ1155" s="18"/>
      <c r="FK1155" s="18"/>
      <c r="FL1155" s="18"/>
      <c r="FM1155" s="18"/>
      <c r="FN1155" s="18"/>
      <c r="FO1155" s="18"/>
      <c r="FP1155" s="18"/>
      <c r="FQ1155" s="18"/>
      <c r="FR1155" s="18"/>
      <c r="FS1155" s="18"/>
      <c r="FT1155" s="18"/>
      <c r="FU1155" s="18"/>
      <c r="FV1155" s="18"/>
      <c r="FW1155" s="18"/>
      <c r="FX1155" s="18"/>
      <c r="FY1155" s="18"/>
      <c r="FZ1155" s="18"/>
      <c r="GA1155" s="18"/>
      <c r="GB1155" s="18"/>
      <c r="GC1155" s="18"/>
      <c r="GD1155" s="18"/>
      <c r="GE1155" s="18"/>
      <c r="GF1155" s="18"/>
      <c r="GG1155" s="18"/>
      <c r="GH1155" s="18"/>
      <c r="GI1155" s="18"/>
      <c r="GJ1155" s="18"/>
      <c r="GK1155" s="18"/>
      <c r="GL1155" s="18"/>
      <c r="GM1155" s="18"/>
      <c r="GN1155" s="18"/>
      <c r="GO1155" s="18"/>
      <c r="GP1155" s="18"/>
      <c r="GQ1155" s="18"/>
      <c r="GR1155" s="18"/>
      <c r="GS1155" s="18"/>
      <c r="GT1155" s="18"/>
      <c r="GU1155" s="18"/>
      <c r="GV1155" s="18"/>
      <c r="GW1155" s="18"/>
      <c r="GX1155" s="18"/>
      <c r="GY1155" s="18"/>
      <c r="GZ1155" s="18"/>
      <c r="HA1155" s="18"/>
      <c r="HB1155" s="18"/>
      <c r="HC1155" s="18"/>
      <c r="HD1155" s="18"/>
      <c r="HE1155" s="18"/>
      <c r="HF1155" s="18"/>
      <c r="HG1155" s="13"/>
      <c r="HH1155" s="13"/>
      <c r="HI1155" s="13"/>
      <c r="HJ1155" s="13"/>
      <c r="HK1155" s="13"/>
      <c r="HL1155" s="13"/>
      <c r="HM1155" s="13"/>
      <c r="HN1155" s="13"/>
      <c r="HO1155" s="13"/>
      <c r="HP1155" s="13"/>
      <c r="HQ1155" s="13"/>
      <c r="HR1155" s="13"/>
      <c r="HS1155" s="13"/>
      <c r="HT1155" s="13"/>
      <c r="HU1155" s="18"/>
      <c r="HV1155" s="18"/>
      <c r="HW1155" s="18"/>
      <c r="HX1155" s="18"/>
      <c r="HY1155" s="18"/>
      <c r="HZ1155" s="18"/>
      <c r="IA1155" s="18"/>
      <c r="IB1155" s="18"/>
      <c r="IC1155" s="18"/>
      <c r="ID1155" s="18"/>
      <c r="IE1155" s="18"/>
      <c r="IF1155" s="18"/>
      <c r="IG1155" s="18"/>
      <c r="IH1155" s="18"/>
      <c r="II1155" s="18"/>
      <c r="IJ1155" s="18"/>
      <c r="IK1155" s="18"/>
      <c r="IL1155" s="18"/>
      <c r="IM1155" s="18"/>
      <c r="IN1155" s="18"/>
      <c r="IO1155" s="18"/>
      <c r="IP1155" s="18"/>
      <c r="IQ1155" s="18"/>
      <c r="IR1155" s="18"/>
      <c r="IS1155" s="18"/>
      <c r="IT1155" s="18"/>
      <c r="IU1155" s="18"/>
      <c r="IV1155" s="18"/>
      <c r="IW1155" s="18"/>
      <c r="IX1155" s="18"/>
      <c r="IY1155" s="18"/>
      <c r="IZ1155" s="18"/>
      <c r="JA1155" s="18"/>
      <c r="JB1155" s="18"/>
      <c r="JC1155" s="18"/>
      <c r="JD1155" s="18"/>
      <c r="JE1155" s="18"/>
      <c r="JF1155" s="18"/>
      <c r="JG1155" s="18"/>
      <c r="JH1155" s="18"/>
      <c r="JI1155" s="18"/>
      <c r="JJ1155" s="18"/>
      <c r="JK1155" s="18"/>
      <c r="JL1155" s="18"/>
      <c r="JM1155" s="18"/>
      <c r="JN1155" s="18"/>
      <c r="JO1155" s="18"/>
      <c r="JP1155" s="18"/>
      <c r="JQ1155" s="18"/>
      <c r="JR1155" s="18"/>
      <c r="JS1155" s="18"/>
      <c r="JT1155" s="18"/>
      <c r="JU1155" s="18"/>
      <c r="JV1155" s="18"/>
      <c r="JW1155" s="18"/>
      <c r="JX1155" s="18"/>
      <c r="JY1155" s="18"/>
      <c r="JZ1155" s="18"/>
      <c r="KA1155" s="18"/>
      <c r="KB1155" s="18"/>
      <c r="KC1155" s="18"/>
      <c r="KD1155" s="18"/>
      <c r="KE1155" s="18"/>
      <c r="KF1155" s="18"/>
      <c r="KG1155" s="18"/>
      <c r="KH1155" s="18"/>
      <c r="KI1155" s="18"/>
      <c r="KJ1155" s="18"/>
      <c r="KK1155" s="18"/>
      <c r="KL1155" s="18"/>
      <c r="KM1155" s="18"/>
      <c r="KN1155" s="18"/>
      <c r="KO1155" s="18"/>
      <c r="KP1155" s="18"/>
    </row>
    <row r="1156" spans="1:302">
      <c r="A1156" s="14"/>
      <c r="B1156" s="14"/>
      <c r="F1156" s="14"/>
      <c r="G1156" s="23"/>
      <c r="H1156" s="23"/>
      <c r="I1156" s="23"/>
      <c r="J1156" s="23"/>
      <c r="K1156" s="14"/>
      <c r="L1156" s="14"/>
      <c r="P1156" s="14"/>
      <c r="AG1156" s="44"/>
      <c r="AH1156" s="44"/>
      <c r="AI1156" s="45"/>
      <c r="AJ1156" s="44"/>
      <c r="AK1156" s="43"/>
      <c r="AS1156" s="14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  <c r="EW1156" s="18"/>
      <c r="EX1156" s="18"/>
      <c r="EY1156" s="18"/>
      <c r="EZ1156" s="18"/>
      <c r="FA1156" s="18"/>
      <c r="FB1156" s="18"/>
      <c r="FC1156" s="18"/>
      <c r="FD1156" s="18"/>
      <c r="FE1156" s="18"/>
      <c r="FF1156" s="18"/>
      <c r="FG1156" s="18"/>
      <c r="FH1156" s="18"/>
      <c r="FI1156" s="18"/>
      <c r="FJ1156" s="18"/>
      <c r="FK1156" s="18"/>
      <c r="FL1156" s="18"/>
      <c r="FM1156" s="18"/>
      <c r="FN1156" s="18"/>
      <c r="FO1156" s="18"/>
      <c r="FP1156" s="18"/>
      <c r="FQ1156" s="18"/>
      <c r="FR1156" s="18"/>
      <c r="FS1156" s="18"/>
      <c r="FT1156" s="18"/>
      <c r="FU1156" s="18"/>
      <c r="FV1156" s="18"/>
      <c r="FW1156" s="18"/>
      <c r="FX1156" s="18"/>
      <c r="FY1156" s="18"/>
      <c r="FZ1156" s="18"/>
      <c r="GA1156" s="18"/>
      <c r="GB1156" s="18"/>
      <c r="GC1156" s="18"/>
      <c r="GD1156" s="18"/>
      <c r="GE1156" s="18"/>
      <c r="GF1156" s="18"/>
      <c r="GG1156" s="18"/>
      <c r="GH1156" s="18"/>
      <c r="GI1156" s="18"/>
      <c r="GJ1156" s="18"/>
      <c r="GK1156" s="18"/>
      <c r="GL1156" s="18"/>
      <c r="GM1156" s="18"/>
      <c r="GN1156" s="18"/>
      <c r="GO1156" s="18"/>
      <c r="GP1156" s="18"/>
      <c r="GQ1156" s="18"/>
      <c r="GR1156" s="18"/>
      <c r="GS1156" s="18"/>
      <c r="GT1156" s="18"/>
      <c r="GU1156" s="18"/>
      <c r="GV1156" s="18"/>
      <c r="GW1156" s="18"/>
      <c r="GX1156" s="18"/>
      <c r="GY1156" s="18"/>
      <c r="GZ1156" s="18"/>
      <c r="HA1156" s="18"/>
      <c r="HB1156" s="18"/>
      <c r="HC1156" s="18"/>
      <c r="HD1156" s="18"/>
      <c r="HE1156" s="18"/>
      <c r="HF1156" s="18"/>
      <c r="HG1156" s="13"/>
      <c r="HH1156" s="13"/>
      <c r="HI1156" s="13"/>
      <c r="HJ1156" s="13"/>
      <c r="HK1156" s="13"/>
      <c r="HL1156" s="13"/>
      <c r="HM1156" s="13"/>
      <c r="HN1156" s="13"/>
      <c r="HO1156" s="13"/>
      <c r="HP1156" s="13"/>
      <c r="HQ1156" s="13"/>
      <c r="HR1156" s="13"/>
      <c r="HS1156" s="13"/>
      <c r="HT1156" s="13"/>
      <c r="HU1156" s="18"/>
      <c r="HV1156" s="18"/>
      <c r="HW1156" s="18"/>
      <c r="HX1156" s="18"/>
      <c r="HY1156" s="18"/>
      <c r="HZ1156" s="18"/>
      <c r="IA1156" s="18"/>
      <c r="IB1156" s="18"/>
      <c r="IC1156" s="18"/>
      <c r="ID1156" s="18"/>
      <c r="IE1156" s="18"/>
      <c r="IF1156" s="18"/>
      <c r="IG1156" s="18"/>
      <c r="IH1156" s="18"/>
      <c r="II1156" s="18"/>
      <c r="IJ1156" s="18"/>
      <c r="IK1156" s="18"/>
      <c r="IL1156" s="18"/>
      <c r="IM1156" s="18"/>
      <c r="IN1156" s="18"/>
      <c r="IO1156" s="18"/>
      <c r="IP1156" s="18"/>
      <c r="IQ1156" s="18"/>
      <c r="IR1156" s="18"/>
      <c r="IS1156" s="18"/>
      <c r="IT1156" s="18"/>
      <c r="IU1156" s="18"/>
      <c r="IV1156" s="18"/>
      <c r="IW1156" s="18"/>
      <c r="IX1156" s="18"/>
      <c r="IY1156" s="18"/>
      <c r="IZ1156" s="18"/>
      <c r="JA1156" s="18"/>
      <c r="JB1156" s="18"/>
      <c r="JC1156" s="18"/>
      <c r="JD1156" s="18"/>
      <c r="JE1156" s="18"/>
      <c r="JF1156" s="18"/>
      <c r="JG1156" s="18"/>
      <c r="JH1156" s="18"/>
      <c r="JI1156" s="18"/>
      <c r="JJ1156" s="18"/>
      <c r="JK1156" s="18"/>
      <c r="JL1156" s="18"/>
      <c r="JM1156" s="18"/>
      <c r="JN1156" s="18"/>
      <c r="JO1156" s="18"/>
      <c r="JP1156" s="18"/>
      <c r="JQ1156" s="18"/>
      <c r="JR1156" s="18"/>
      <c r="JS1156" s="18"/>
      <c r="JT1156" s="18"/>
      <c r="JU1156" s="18"/>
      <c r="JV1156" s="18"/>
      <c r="JW1156" s="18"/>
      <c r="JX1156" s="18"/>
      <c r="JY1156" s="18"/>
      <c r="JZ1156" s="18"/>
      <c r="KA1156" s="18"/>
      <c r="KB1156" s="18"/>
      <c r="KC1156" s="18"/>
      <c r="KD1156" s="18"/>
      <c r="KE1156" s="18"/>
      <c r="KF1156" s="18"/>
      <c r="KG1156" s="18"/>
      <c r="KH1156" s="18"/>
      <c r="KI1156" s="18"/>
      <c r="KJ1156" s="18"/>
      <c r="KK1156" s="18"/>
      <c r="KL1156" s="18"/>
      <c r="KM1156" s="18"/>
      <c r="KN1156" s="18"/>
      <c r="KO1156" s="18"/>
      <c r="KP1156" s="18"/>
    </row>
    <row r="1157" spans="1:302">
      <c r="A1157" s="14"/>
      <c r="B1157" s="14"/>
      <c r="F1157" s="14"/>
      <c r="G1157" s="23"/>
      <c r="H1157" s="23"/>
      <c r="I1157" s="23"/>
      <c r="J1157" s="23"/>
      <c r="K1157" s="14"/>
      <c r="L1157" s="14"/>
      <c r="P1157" s="14"/>
      <c r="AG1157" s="44"/>
      <c r="AH1157" s="44"/>
      <c r="AI1157" s="45"/>
      <c r="AJ1157" s="44"/>
      <c r="AK1157" s="43"/>
      <c r="AS1157" s="14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  <c r="EW1157" s="18"/>
      <c r="EX1157" s="18"/>
      <c r="EY1157" s="18"/>
      <c r="EZ1157" s="18"/>
      <c r="FA1157" s="18"/>
      <c r="FB1157" s="18"/>
      <c r="FC1157" s="18"/>
      <c r="FD1157" s="18"/>
      <c r="FE1157" s="18"/>
      <c r="FF1157" s="18"/>
      <c r="FG1157" s="18"/>
      <c r="FH1157" s="18"/>
      <c r="FI1157" s="18"/>
      <c r="FJ1157" s="18"/>
      <c r="FK1157" s="18"/>
      <c r="FL1157" s="18"/>
      <c r="FM1157" s="18"/>
      <c r="FN1157" s="18"/>
      <c r="FO1157" s="18"/>
      <c r="FP1157" s="18"/>
      <c r="FQ1157" s="18"/>
      <c r="FR1157" s="18"/>
      <c r="FS1157" s="18"/>
      <c r="FT1157" s="18"/>
      <c r="FU1157" s="18"/>
      <c r="FV1157" s="18"/>
      <c r="FW1157" s="18"/>
      <c r="FX1157" s="18"/>
      <c r="FY1157" s="18"/>
      <c r="FZ1157" s="18"/>
      <c r="GA1157" s="18"/>
      <c r="GB1157" s="18"/>
      <c r="GC1157" s="18"/>
      <c r="GD1157" s="18"/>
      <c r="GE1157" s="18"/>
      <c r="GF1157" s="18"/>
      <c r="GG1157" s="18"/>
      <c r="GH1157" s="18"/>
      <c r="GI1157" s="18"/>
      <c r="GJ1157" s="18"/>
      <c r="GK1157" s="18"/>
      <c r="GL1157" s="18"/>
      <c r="GM1157" s="18"/>
      <c r="GN1157" s="18"/>
      <c r="GO1157" s="18"/>
      <c r="GP1157" s="18"/>
      <c r="GQ1157" s="18"/>
      <c r="GR1157" s="18"/>
      <c r="GS1157" s="18"/>
      <c r="GT1157" s="18"/>
      <c r="GU1157" s="18"/>
      <c r="GV1157" s="18"/>
      <c r="GW1157" s="18"/>
      <c r="GX1157" s="18"/>
      <c r="GY1157" s="18"/>
      <c r="GZ1157" s="18"/>
      <c r="HA1157" s="18"/>
      <c r="HB1157" s="18"/>
      <c r="HC1157" s="18"/>
      <c r="HD1157" s="18"/>
      <c r="HE1157" s="18"/>
      <c r="HF1157" s="18"/>
      <c r="HG1157" s="13"/>
      <c r="HH1157" s="13"/>
      <c r="HI1157" s="13"/>
      <c r="HJ1157" s="13"/>
      <c r="HK1157" s="13"/>
      <c r="HL1157" s="13"/>
      <c r="HM1157" s="13"/>
      <c r="HN1157" s="13"/>
      <c r="HO1157" s="13"/>
      <c r="HP1157" s="13"/>
      <c r="HQ1157" s="13"/>
      <c r="HR1157" s="13"/>
      <c r="HS1157" s="13"/>
      <c r="HT1157" s="13"/>
      <c r="HU1157" s="18"/>
      <c r="HV1157" s="18"/>
      <c r="HW1157" s="18"/>
      <c r="HX1157" s="18"/>
      <c r="HY1157" s="18"/>
      <c r="HZ1157" s="18"/>
      <c r="IA1157" s="18"/>
      <c r="IB1157" s="18"/>
      <c r="IC1157" s="18"/>
      <c r="ID1157" s="18"/>
      <c r="IE1157" s="18"/>
      <c r="IF1157" s="18"/>
      <c r="IG1157" s="18"/>
      <c r="IH1157" s="18"/>
      <c r="II1157" s="18"/>
      <c r="IJ1157" s="18"/>
      <c r="IK1157" s="18"/>
      <c r="IL1157" s="18"/>
      <c r="IM1157" s="18"/>
      <c r="IN1157" s="18"/>
      <c r="IO1157" s="18"/>
      <c r="IP1157" s="18"/>
      <c r="IQ1157" s="18"/>
      <c r="IR1157" s="18"/>
      <c r="IS1157" s="18"/>
      <c r="IT1157" s="18"/>
      <c r="IU1157" s="18"/>
      <c r="IV1157" s="18"/>
      <c r="IW1157" s="18"/>
      <c r="IX1157" s="18"/>
      <c r="IY1157" s="18"/>
      <c r="IZ1157" s="18"/>
      <c r="JA1157" s="18"/>
      <c r="JB1157" s="18"/>
      <c r="JC1157" s="18"/>
      <c r="JD1157" s="18"/>
      <c r="JE1157" s="18"/>
      <c r="JF1157" s="18"/>
      <c r="JG1157" s="18"/>
      <c r="JH1157" s="18"/>
      <c r="JI1157" s="18"/>
      <c r="JJ1157" s="18"/>
      <c r="JK1157" s="18"/>
      <c r="JL1157" s="18"/>
      <c r="JM1157" s="18"/>
      <c r="JN1157" s="18"/>
      <c r="JO1157" s="18"/>
      <c r="JP1157" s="18"/>
      <c r="JQ1157" s="18"/>
      <c r="JR1157" s="18"/>
      <c r="JS1157" s="18"/>
      <c r="JT1157" s="18"/>
      <c r="JU1157" s="18"/>
      <c r="JV1157" s="18"/>
      <c r="JW1157" s="18"/>
      <c r="JX1157" s="18"/>
      <c r="JY1157" s="18"/>
      <c r="JZ1157" s="18"/>
      <c r="KA1157" s="18"/>
      <c r="KB1157" s="18"/>
      <c r="KC1157" s="18"/>
      <c r="KD1157" s="18"/>
      <c r="KE1157" s="18"/>
      <c r="KF1157" s="18"/>
      <c r="KG1157" s="18"/>
      <c r="KH1157" s="18"/>
      <c r="KI1157" s="18"/>
      <c r="KJ1157" s="18"/>
      <c r="KK1157" s="18"/>
      <c r="KL1157" s="18"/>
      <c r="KM1157" s="18"/>
      <c r="KN1157" s="18"/>
      <c r="KO1157" s="18"/>
      <c r="KP1157" s="18"/>
    </row>
    <row r="1158" spans="1:302">
      <c r="A1158" s="14"/>
      <c r="B1158" s="14"/>
      <c r="F1158" s="14"/>
      <c r="G1158" s="23"/>
      <c r="H1158" s="23"/>
      <c r="I1158" s="23"/>
      <c r="J1158" s="23"/>
      <c r="K1158" s="14"/>
      <c r="L1158" s="14"/>
      <c r="P1158" s="14"/>
      <c r="AG1158" s="44"/>
      <c r="AH1158" s="44"/>
      <c r="AI1158" s="45"/>
      <c r="AJ1158" s="44"/>
      <c r="AK1158" s="43"/>
      <c r="AS1158" s="14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  <c r="EW1158" s="18"/>
      <c r="EX1158" s="18"/>
      <c r="EY1158" s="18"/>
      <c r="EZ1158" s="18"/>
      <c r="FA1158" s="18"/>
      <c r="FB1158" s="18"/>
      <c r="FC1158" s="18"/>
      <c r="FD1158" s="18"/>
      <c r="FE1158" s="18"/>
      <c r="FF1158" s="18"/>
      <c r="FG1158" s="18"/>
      <c r="FH1158" s="18"/>
      <c r="FI1158" s="18"/>
      <c r="FJ1158" s="18"/>
      <c r="FK1158" s="18"/>
      <c r="FL1158" s="18"/>
      <c r="FM1158" s="18"/>
      <c r="FN1158" s="18"/>
      <c r="FO1158" s="18"/>
      <c r="FP1158" s="18"/>
      <c r="FQ1158" s="18"/>
      <c r="FR1158" s="18"/>
      <c r="FS1158" s="18"/>
      <c r="FT1158" s="18"/>
      <c r="FU1158" s="18"/>
      <c r="FV1158" s="18"/>
      <c r="FW1158" s="18"/>
      <c r="FX1158" s="18"/>
      <c r="FY1158" s="18"/>
      <c r="FZ1158" s="18"/>
      <c r="GA1158" s="18"/>
      <c r="GB1158" s="18"/>
      <c r="GC1158" s="18"/>
      <c r="GD1158" s="18"/>
      <c r="GE1158" s="18"/>
      <c r="GF1158" s="18"/>
      <c r="GG1158" s="18"/>
      <c r="GH1158" s="18"/>
      <c r="GI1158" s="18"/>
      <c r="GJ1158" s="18"/>
      <c r="GK1158" s="18"/>
      <c r="GL1158" s="18"/>
      <c r="GM1158" s="18"/>
      <c r="GN1158" s="18"/>
      <c r="GO1158" s="18"/>
      <c r="GP1158" s="18"/>
      <c r="GQ1158" s="18"/>
      <c r="GR1158" s="18"/>
      <c r="GS1158" s="18"/>
      <c r="GT1158" s="18"/>
      <c r="GU1158" s="18"/>
      <c r="GV1158" s="18"/>
      <c r="GW1158" s="18"/>
      <c r="GX1158" s="18"/>
      <c r="GY1158" s="18"/>
      <c r="GZ1158" s="18"/>
      <c r="HA1158" s="18"/>
      <c r="HB1158" s="18"/>
      <c r="HC1158" s="18"/>
      <c r="HD1158" s="18"/>
      <c r="HE1158" s="18"/>
      <c r="HF1158" s="18"/>
      <c r="HG1158" s="13"/>
      <c r="HH1158" s="13"/>
      <c r="HI1158" s="13"/>
      <c r="HJ1158" s="13"/>
      <c r="HK1158" s="13"/>
      <c r="HL1158" s="13"/>
      <c r="HM1158" s="13"/>
      <c r="HN1158" s="13"/>
      <c r="HO1158" s="13"/>
      <c r="HP1158" s="13"/>
      <c r="HQ1158" s="13"/>
      <c r="HR1158" s="13"/>
      <c r="HS1158" s="13"/>
      <c r="HT1158" s="13"/>
      <c r="HU1158" s="18"/>
      <c r="HV1158" s="18"/>
      <c r="HW1158" s="18"/>
      <c r="HX1158" s="18"/>
      <c r="HY1158" s="18"/>
      <c r="HZ1158" s="18"/>
      <c r="IA1158" s="18"/>
      <c r="IB1158" s="18"/>
      <c r="IC1158" s="18"/>
      <c r="ID1158" s="18"/>
      <c r="IE1158" s="18"/>
      <c r="IF1158" s="18"/>
      <c r="IG1158" s="18"/>
      <c r="IH1158" s="18"/>
      <c r="II1158" s="18"/>
      <c r="IJ1158" s="18"/>
      <c r="IK1158" s="18"/>
      <c r="IL1158" s="18"/>
      <c r="IM1158" s="18"/>
      <c r="IN1158" s="18"/>
      <c r="IO1158" s="18"/>
      <c r="IP1158" s="18"/>
      <c r="IQ1158" s="18"/>
      <c r="IR1158" s="18"/>
      <c r="IS1158" s="18"/>
      <c r="IT1158" s="18"/>
      <c r="IU1158" s="18"/>
      <c r="IV1158" s="18"/>
      <c r="IW1158" s="18"/>
      <c r="IX1158" s="18"/>
      <c r="IY1158" s="18"/>
      <c r="IZ1158" s="18"/>
      <c r="JA1158" s="18"/>
      <c r="JB1158" s="18"/>
      <c r="JC1158" s="18"/>
      <c r="JD1158" s="18"/>
      <c r="JE1158" s="18"/>
      <c r="JF1158" s="18"/>
      <c r="JG1158" s="18"/>
      <c r="JH1158" s="18"/>
      <c r="JI1158" s="18"/>
      <c r="JJ1158" s="18"/>
      <c r="JK1158" s="18"/>
      <c r="JL1158" s="18"/>
      <c r="JM1158" s="18"/>
      <c r="JN1158" s="18"/>
      <c r="JO1158" s="18"/>
      <c r="JP1158" s="18"/>
      <c r="JQ1158" s="18"/>
      <c r="JR1158" s="18"/>
      <c r="JS1158" s="18"/>
      <c r="JT1158" s="18"/>
      <c r="JU1158" s="18"/>
      <c r="JV1158" s="18"/>
      <c r="JW1158" s="18"/>
      <c r="JX1158" s="18"/>
      <c r="JY1158" s="18"/>
      <c r="JZ1158" s="18"/>
      <c r="KA1158" s="18"/>
      <c r="KB1158" s="18"/>
      <c r="KC1158" s="18"/>
      <c r="KD1158" s="18"/>
      <c r="KE1158" s="18"/>
      <c r="KF1158" s="18"/>
      <c r="KG1158" s="18"/>
      <c r="KH1158" s="18"/>
      <c r="KI1158" s="18"/>
      <c r="KJ1158" s="18"/>
      <c r="KK1158" s="18"/>
      <c r="KL1158" s="18"/>
      <c r="KM1158" s="18"/>
      <c r="KN1158" s="18"/>
      <c r="KO1158" s="18"/>
      <c r="KP1158" s="18"/>
    </row>
    <row r="1159" spans="1:302">
      <c r="A1159" s="14"/>
      <c r="B1159" s="14"/>
      <c r="F1159" s="14"/>
      <c r="G1159" s="23"/>
      <c r="H1159" s="23"/>
      <c r="I1159" s="23"/>
      <c r="J1159" s="23"/>
      <c r="K1159" s="14"/>
      <c r="L1159" s="14"/>
      <c r="P1159" s="14"/>
      <c r="AG1159" s="44"/>
      <c r="AH1159" s="44"/>
      <c r="AI1159" s="45"/>
      <c r="AJ1159" s="44"/>
      <c r="AK1159" s="43"/>
      <c r="AS1159" s="14"/>
      <c r="AT1159" s="18"/>
      <c r="AU1159" s="18"/>
      <c r="AV1159" s="18"/>
      <c r="AW1159" s="18"/>
      <c r="AX1159" s="18"/>
      <c r="AY1159" s="18"/>
      <c r="AZ1159" s="18"/>
      <c r="BA1159" s="18"/>
      <c r="BB1159" s="18"/>
      <c r="BC1159" s="18"/>
      <c r="BD1159" s="18"/>
      <c r="BE1159" s="18"/>
      <c r="BF1159" s="18"/>
      <c r="BG1159" s="18"/>
      <c r="BH1159" s="18"/>
      <c r="BI1159" s="18"/>
      <c r="BJ1159" s="18"/>
      <c r="BK1159" s="18"/>
      <c r="BL1159" s="18"/>
      <c r="BM1159" s="18"/>
      <c r="BN1159" s="18"/>
      <c r="BO1159" s="18"/>
      <c r="BP1159" s="18"/>
      <c r="BQ1159" s="18"/>
      <c r="BR1159" s="18"/>
      <c r="BS1159" s="18"/>
      <c r="BT1159" s="18"/>
      <c r="BU1159" s="18"/>
      <c r="BV1159" s="18"/>
      <c r="BW1159" s="18"/>
      <c r="BX1159" s="18"/>
      <c r="BY1159" s="18"/>
      <c r="BZ1159" s="18"/>
      <c r="CA1159" s="18"/>
      <c r="CB1159" s="18"/>
      <c r="CC1159" s="18"/>
      <c r="CD1159" s="18"/>
      <c r="CE1159" s="18"/>
      <c r="CF1159" s="18"/>
      <c r="CG1159" s="18"/>
      <c r="CH1159" s="18"/>
      <c r="CI1159" s="18"/>
      <c r="CJ1159" s="18"/>
      <c r="CK1159" s="18"/>
      <c r="CL1159" s="18"/>
      <c r="CM1159" s="18"/>
      <c r="CN1159" s="18"/>
      <c r="CO1159" s="18"/>
      <c r="CP1159" s="18"/>
      <c r="CQ1159" s="18"/>
      <c r="CR1159" s="18"/>
      <c r="CS1159" s="18"/>
      <c r="CT1159" s="18"/>
      <c r="CU1159" s="18"/>
      <c r="CV1159" s="18"/>
      <c r="CW1159" s="18"/>
      <c r="CX1159" s="18"/>
      <c r="CY1159" s="18"/>
      <c r="CZ1159" s="18"/>
      <c r="DA1159" s="18"/>
      <c r="DB1159" s="18"/>
      <c r="DC1159" s="18"/>
      <c r="DD1159" s="18"/>
      <c r="DE1159" s="18"/>
      <c r="DF1159" s="18"/>
      <c r="DG1159" s="18"/>
      <c r="DH1159" s="18"/>
      <c r="DI1159" s="18"/>
      <c r="DJ1159" s="18"/>
      <c r="DK1159" s="18"/>
      <c r="DL1159" s="18"/>
      <c r="DM1159" s="18"/>
      <c r="DN1159" s="18"/>
      <c r="DO1159" s="18"/>
      <c r="DP1159" s="18"/>
      <c r="DQ1159" s="18"/>
      <c r="DR1159" s="18"/>
      <c r="DS1159" s="18"/>
      <c r="DT1159" s="18"/>
      <c r="DU1159" s="18"/>
      <c r="DV1159" s="18"/>
      <c r="DW1159" s="18"/>
      <c r="DX1159" s="18"/>
      <c r="DY1159" s="18"/>
      <c r="DZ1159" s="18"/>
      <c r="EA1159" s="18"/>
      <c r="EB1159" s="18"/>
      <c r="EC1159" s="18"/>
      <c r="ED1159" s="18"/>
      <c r="EE1159" s="18"/>
      <c r="EF1159" s="18"/>
      <c r="EG1159" s="18"/>
      <c r="EH1159" s="18"/>
      <c r="EI1159" s="18"/>
      <c r="EJ1159" s="18"/>
      <c r="EK1159" s="18"/>
      <c r="EL1159" s="18"/>
      <c r="EM1159" s="18"/>
      <c r="EN1159" s="18"/>
      <c r="EO1159" s="18"/>
      <c r="EP1159" s="18"/>
      <c r="EQ1159" s="18"/>
      <c r="ER1159" s="18"/>
      <c r="ES1159" s="18"/>
      <c r="ET1159" s="18"/>
      <c r="EU1159" s="18"/>
      <c r="EV1159" s="18"/>
      <c r="EW1159" s="18"/>
      <c r="EX1159" s="18"/>
      <c r="EY1159" s="18"/>
      <c r="EZ1159" s="18"/>
      <c r="FA1159" s="18"/>
      <c r="FB1159" s="18"/>
      <c r="FC1159" s="18"/>
      <c r="FD1159" s="18"/>
      <c r="FE1159" s="18"/>
      <c r="FF1159" s="18"/>
      <c r="FG1159" s="18"/>
      <c r="FH1159" s="18"/>
      <c r="FI1159" s="18"/>
      <c r="FJ1159" s="18"/>
      <c r="FK1159" s="18"/>
      <c r="FL1159" s="18"/>
      <c r="FM1159" s="18"/>
      <c r="FN1159" s="18"/>
      <c r="FO1159" s="18"/>
      <c r="FP1159" s="18"/>
      <c r="FQ1159" s="18"/>
      <c r="FR1159" s="18"/>
      <c r="FS1159" s="18"/>
      <c r="FT1159" s="18"/>
      <c r="FU1159" s="18"/>
      <c r="FV1159" s="18"/>
      <c r="FW1159" s="18"/>
      <c r="FX1159" s="18"/>
      <c r="FY1159" s="18"/>
      <c r="FZ1159" s="18"/>
      <c r="GA1159" s="18"/>
      <c r="GB1159" s="18"/>
      <c r="GC1159" s="18"/>
      <c r="GD1159" s="18"/>
      <c r="GE1159" s="18"/>
      <c r="GF1159" s="18"/>
      <c r="GG1159" s="18"/>
      <c r="GH1159" s="18"/>
      <c r="GI1159" s="18"/>
      <c r="GJ1159" s="18"/>
      <c r="GK1159" s="18"/>
      <c r="GL1159" s="18"/>
      <c r="GM1159" s="18"/>
      <c r="GN1159" s="18"/>
      <c r="GO1159" s="18"/>
      <c r="GP1159" s="18"/>
      <c r="GQ1159" s="18"/>
      <c r="GR1159" s="18"/>
      <c r="GS1159" s="18"/>
      <c r="GT1159" s="18"/>
      <c r="GU1159" s="18"/>
      <c r="GV1159" s="18"/>
      <c r="GW1159" s="18"/>
      <c r="GX1159" s="18"/>
      <c r="GY1159" s="18"/>
      <c r="GZ1159" s="18"/>
      <c r="HA1159" s="18"/>
      <c r="HB1159" s="18"/>
      <c r="HC1159" s="18"/>
      <c r="HD1159" s="18"/>
      <c r="HE1159" s="18"/>
      <c r="HF1159" s="18"/>
      <c r="HG1159" s="13"/>
      <c r="HH1159" s="13"/>
      <c r="HI1159" s="13"/>
      <c r="HJ1159" s="13"/>
      <c r="HK1159" s="13"/>
      <c r="HL1159" s="13"/>
      <c r="HM1159" s="13"/>
      <c r="HN1159" s="13"/>
      <c r="HO1159" s="13"/>
      <c r="HP1159" s="13"/>
      <c r="HQ1159" s="13"/>
      <c r="HR1159" s="13"/>
      <c r="HS1159" s="13"/>
      <c r="HT1159" s="13"/>
      <c r="HU1159" s="18"/>
      <c r="HV1159" s="18"/>
      <c r="HW1159" s="18"/>
      <c r="HX1159" s="18"/>
      <c r="HY1159" s="18"/>
      <c r="HZ1159" s="18"/>
      <c r="IA1159" s="18"/>
      <c r="IB1159" s="18"/>
      <c r="IC1159" s="18"/>
      <c r="ID1159" s="18"/>
      <c r="IE1159" s="18"/>
      <c r="IF1159" s="18"/>
      <c r="IG1159" s="18"/>
      <c r="IH1159" s="18"/>
      <c r="II1159" s="18"/>
      <c r="IJ1159" s="18"/>
      <c r="IK1159" s="18"/>
      <c r="IL1159" s="18"/>
      <c r="IM1159" s="18"/>
      <c r="IN1159" s="18"/>
      <c r="IO1159" s="18"/>
      <c r="IP1159" s="18"/>
      <c r="IQ1159" s="18"/>
      <c r="IR1159" s="18"/>
      <c r="IS1159" s="18"/>
      <c r="IT1159" s="18"/>
      <c r="IU1159" s="18"/>
      <c r="IV1159" s="18"/>
      <c r="IW1159" s="18"/>
      <c r="IX1159" s="18"/>
      <c r="IY1159" s="18"/>
      <c r="IZ1159" s="18"/>
      <c r="JA1159" s="18"/>
      <c r="JB1159" s="18"/>
      <c r="JC1159" s="18"/>
      <c r="JD1159" s="18"/>
      <c r="JE1159" s="18"/>
      <c r="JF1159" s="18"/>
      <c r="JG1159" s="18"/>
      <c r="JH1159" s="18"/>
      <c r="JI1159" s="18"/>
      <c r="JJ1159" s="18"/>
      <c r="JK1159" s="18"/>
      <c r="JL1159" s="18"/>
      <c r="JM1159" s="18"/>
      <c r="JN1159" s="18"/>
      <c r="JO1159" s="18"/>
      <c r="JP1159" s="18"/>
      <c r="JQ1159" s="18"/>
      <c r="JR1159" s="18"/>
      <c r="JS1159" s="18"/>
      <c r="JT1159" s="18"/>
      <c r="JU1159" s="18"/>
      <c r="JV1159" s="18"/>
      <c r="JW1159" s="18"/>
      <c r="JX1159" s="18"/>
      <c r="JY1159" s="18"/>
      <c r="JZ1159" s="18"/>
      <c r="KA1159" s="18"/>
      <c r="KB1159" s="18"/>
      <c r="KC1159" s="18"/>
      <c r="KD1159" s="18"/>
      <c r="KE1159" s="18"/>
      <c r="KF1159" s="18"/>
      <c r="KG1159" s="18"/>
      <c r="KH1159" s="18"/>
      <c r="KI1159" s="18"/>
      <c r="KJ1159" s="18"/>
      <c r="KK1159" s="18"/>
      <c r="KL1159" s="18"/>
      <c r="KM1159" s="18"/>
      <c r="KN1159" s="18"/>
      <c r="KO1159" s="18"/>
      <c r="KP1159" s="18"/>
    </row>
    <row r="1160" spans="1:302">
      <c r="A1160" s="14"/>
      <c r="B1160" s="14"/>
      <c r="F1160" s="14"/>
      <c r="G1160" s="23"/>
      <c r="H1160" s="23"/>
      <c r="I1160" s="23"/>
      <c r="J1160" s="23"/>
      <c r="K1160" s="14"/>
      <c r="L1160" s="14"/>
      <c r="P1160" s="14"/>
      <c r="AG1160" s="44"/>
      <c r="AH1160" s="44"/>
      <c r="AI1160" s="45"/>
      <c r="AJ1160" s="44"/>
      <c r="AK1160" s="43"/>
      <c r="AS1160" s="14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  <c r="EW1160" s="18"/>
      <c r="EX1160" s="18"/>
      <c r="EY1160" s="18"/>
      <c r="EZ1160" s="18"/>
      <c r="FA1160" s="18"/>
      <c r="FB1160" s="18"/>
      <c r="FC1160" s="18"/>
      <c r="FD1160" s="18"/>
      <c r="FE1160" s="18"/>
      <c r="FF1160" s="18"/>
      <c r="FG1160" s="18"/>
      <c r="FH1160" s="18"/>
      <c r="FI1160" s="18"/>
      <c r="FJ1160" s="18"/>
      <c r="FK1160" s="18"/>
      <c r="FL1160" s="18"/>
      <c r="FM1160" s="18"/>
      <c r="FN1160" s="18"/>
      <c r="FO1160" s="18"/>
      <c r="FP1160" s="18"/>
      <c r="FQ1160" s="18"/>
      <c r="FR1160" s="18"/>
      <c r="FS1160" s="18"/>
      <c r="FT1160" s="18"/>
      <c r="FU1160" s="18"/>
      <c r="FV1160" s="18"/>
      <c r="FW1160" s="18"/>
      <c r="FX1160" s="18"/>
      <c r="FY1160" s="18"/>
      <c r="FZ1160" s="18"/>
      <c r="GA1160" s="18"/>
      <c r="GB1160" s="18"/>
      <c r="GC1160" s="18"/>
      <c r="GD1160" s="18"/>
      <c r="GE1160" s="18"/>
      <c r="GF1160" s="18"/>
      <c r="GG1160" s="18"/>
      <c r="GH1160" s="18"/>
      <c r="GI1160" s="18"/>
      <c r="GJ1160" s="18"/>
      <c r="GK1160" s="18"/>
      <c r="GL1160" s="18"/>
      <c r="GM1160" s="18"/>
      <c r="GN1160" s="18"/>
      <c r="GO1160" s="18"/>
      <c r="GP1160" s="18"/>
      <c r="GQ1160" s="18"/>
      <c r="GR1160" s="18"/>
      <c r="GS1160" s="18"/>
      <c r="GT1160" s="18"/>
      <c r="GU1160" s="18"/>
      <c r="GV1160" s="18"/>
      <c r="GW1160" s="18"/>
      <c r="GX1160" s="18"/>
      <c r="GY1160" s="18"/>
      <c r="GZ1160" s="18"/>
      <c r="HA1160" s="18"/>
      <c r="HB1160" s="18"/>
      <c r="HC1160" s="18"/>
      <c r="HD1160" s="18"/>
      <c r="HE1160" s="18"/>
      <c r="HF1160" s="18"/>
      <c r="HG1160" s="13"/>
      <c r="HH1160" s="13"/>
      <c r="HI1160" s="13"/>
      <c r="HJ1160" s="13"/>
      <c r="HK1160" s="13"/>
      <c r="HL1160" s="13"/>
      <c r="HM1160" s="13"/>
      <c r="HN1160" s="13"/>
      <c r="HO1160" s="13"/>
      <c r="HP1160" s="13"/>
      <c r="HQ1160" s="13"/>
      <c r="HR1160" s="13"/>
      <c r="HS1160" s="13"/>
      <c r="HT1160" s="13"/>
      <c r="HU1160" s="18"/>
      <c r="HV1160" s="18"/>
      <c r="HW1160" s="18"/>
      <c r="HX1160" s="18"/>
      <c r="HY1160" s="18"/>
      <c r="HZ1160" s="18"/>
      <c r="IA1160" s="18"/>
      <c r="IB1160" s="18"/>
      <c r="IC1160" s="18"/>
      <c r="ID1160" s="18"/>
      <c r="IE1160" s="18"/>
      <c r="IF1160" s="18"/>
      <c r="IG1160" s="18"/>
      <c r="IH1160" s="18"/>
      <c r="II1160" s="18"/>
      <c r="IJ1160" s="18"/>
      <c r="IK1160" s="18"/>
      <c r="IL1160" s="18"/>
      <c r="IM1160" s="18"/>
      <c r="IN1160" s="18"/>
      <c r="IO1160" s="18"/>
      <c r="IP1160" s="18"/>
      <c r="IQ1160" s="18"/>
      <c r="IR1160" s="18"/>
      <c r="IS1160" s="18"/>
      <c r="IT1160" s="18"/>
      <c r="IU1160" s="18"/>
      <c r="IV1160" s="18"/>
      <c r="IW1160" s="18"/>
      <c r="IX1160" s="18"/>
      <c r="IY1160" s="18"/>
      <c r="IZ1160" s="18"/>
      <c r="JA1160" s="18"/>
      <c r="JB1160" s="18"/>
      <c r="JC1160" s="18"/>
      <c r="JD1160" s="18"/>
      <c r="JE1160" s="18"/>
      <c r="JF1160" s="18"/>
      <c r="JG1160" s="18"/>
      <c r="JH1160" s="18"/>
      <c r="JI1160" s="18"/>
      <c r="JJ1160" s="18"/>
      <c r="JK1160" s="18"/>
      <c r="JL1160" s="18"/>
      <c r="JM1160" s="18"/>
      <c r="JN1160" s="18"/>
      <c r="JO1160" s="18"/>
      <c r="JP1160" s="18"/>
      <c r="JQ1160" s="18"/>
      <c r="JR1160" s="18"/>
      <c r="JS1160" s="18"/>
      <c r="JT1160" s="18"/>
      <c r="JU1160" s="18"/>
      <c r="JV1160" s="18"/>
      <c r="JW1160" s="18"/>
      <c r="JX1160" s="18"/>
      <c r="JY1160" s="18"/>
      <c r="JZ1160" s="18"/>
      <c r="KA1160" s="18"/>
      <c r="KB1160" s="18"/>
      <c r="KC1160" s="18"/>
      <c r="KD1160" s="18"/>
      <c r="KE1160" s="18"/>
      <c r="KF1160" s="18"/>
      <c r="KG1160" s="18"/>
      <c r="KH1160" s="18"/>
      <c r="KI1160" s="18"/>
      <c r="KJ1160" s="18"/>
      <c r="KK1160" s="18"/>
      <c r="KL1160" s="18"/>
      <c r="KM1160" s="18"/>
      <c r="KN1160" s="18"/>
      <c r="KO1160" s="18"/>
      <c r="KP1160" s="18"/>
    </row>
    <row r="1161" spans="1:302">
      <c r="A1161" s="14"/>
      <c r="B1161" s="14"/>
      <c r="F1161" s="14"/>
      <c r="G1161" s="23"/>
      <c r="H1161" s="23"/>
      <c r="I1161" s="23"/>
      <c r="J1161" s="23"/>
      <c r="K1161" s="14"/>
      <c r="L1161" s="14"/>
      <c r="P1161" s="14"/>
      <c r="AG1161" s="44"/>
      <c r="AH1161" s="44"/>
      <c r="AI1161" s="45"/>
      <c r="AJ1161" s="44"/>
      <c r="AK1161" s="43"/>
      <c r="AS1161" s="14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  <c r="EW1161" s="18"/>
      <c r="EX1161" s="18"/>
      <c r="EY1161" s="18"/>
      <c r="EZ1161" s="18"/>
      <c r="FA1161" s="18"/>
      <c r="FB1161" s="18"/>
      <c r="FC1161" s="18"/>
      <c r="FD1161" s="18"/>
      <c r="FE1161" s="18"/>
      <c r="FF1161" s="18"/>
      <c r="FG1161" s="18"/>
      <c r="FH1161" s="18"/>
      <c r="FI1161" s="18"/>
      <c r="FJ1161" s="18"/>
      <c r="FK1161" s="18"/>
      <c r="FL1161" s="18"/>
      <c r="FM1161" s="18"/>
      <c r="FN1161" s="18"/>
      <c r="FO1161" s="18"/>
      <c r="FP1161" s="18"/>
      <c r="FQ1161" s="18"/>
      <c r="FR1161" s="18"/>
      <c r="FS1161" s="18"/>
      <c r="FT1161" s="18"/>
      <c r="FU1161" s="18"/>
      <c r="FV1161" s="18"/>
      <c r="FW1161" s="18"/>
      <c r="FX1161" s="18"/>
      <c r="FY1161" s="18"/>
      <c r="FZ1161" s="18"/>
      <c r="GA1161" s="18"/>
      <c r="GB1161" s="18"/>
      <c r="GC1161" s="18"/>
      <c r="GD1161" s="18"/>
      <c r="GE1161" s="18"/>
      <c r="GF1161" s="18"/>
      <c r="GG1161" s="18"/>
      <c r="GH1161" s="18"/>
      <c r="GI1161" s="18"/>
      <c r="GJ1161" s="18"/>
      <c r="GK1161" s="18"/>
      <c r="GL1161" s="18"/>
      <c r="GM1161" s="18"/>
      <c r="GN1161" s="18"/>
      <c r="GO1161" s="18"/>
      <c r="GP1161" s="18"/>
      <c r="GQ1161" s="18"/>
      <c r="GR1161" s="18"/>
      <c r="GS1161" s="18"/>
      <c r="GT1161" s="18"/>
      <c r="GU1161" s="18"/>
      <c r="GV1161" s="18"/>
      <c r="GW1161" s="18"/>
      <c r="GX1161" s="18"/>
      <c r="GY1161" s="18"/>
      <c r="GZ1161" s="18"/>
      <c r="HA1161" s="18"/>
      <c r="HB1161" s="18"/>
      <c r="HC1161" s="18"/>
      <c r="HD1161" s="18"/>
      <c r="HE1161" s="18"/>
      <c r="HF1161" s="18"/>
      <c r="HG1161" s="13"/>
      <c r="HH1161" s="13"/>
      <c r="HI1161" s="13"/>
      <c r="HJ1161" s="13"/>
      <c r="HK1161" s="13"/>
      <c r="HL1161" s="13"/>
      <c r="HM1161" s="13"/>
      <c r="HN1161" s="13"/>
      <c r="HO1161" s="13"/>
      <c r="HP1161" s="13"/>
      <c r="HQ1161" s="13"/>
      <c r="HR1161" s="13"/>
      <c r="HS1161" s="13"/>
      <c r="HT1161" s="13"/>
      <c r="HU1161" s="18"/>
      <c r="HV1161" s="18"/>
      <c r="HW1161" s="18"/>
      <c r="HX1161" s="18"/>
      <c r="HY1161" s="18"/>
      <c r="HZ1161" s="18"/>
      <c r="IA1161" s="18"/>
      <c r="IB1161" s="18"/>
      <c r="IC1161" s="18"/>
      <c r="ID1161" s="18"/>
      <c r="IE1161" s="18"/>
      <c r="IF1161" s="18"/>
      <c r="IG1161" s="18"/>
      <c r="IH1161" s="18"/>
      <c r="II1161" s="18"/>
      <c r="IJ1161" s="18"/>
      <c r="IK1161" s="18"/>
      <c r="IL1161" s="18"/>
      <c r="IM1161" s="18"/>
      <c r="IN1161" s="18"/>
      <c r="IO1161" s="18"/>
      <c r="IP1161" s="18"/>
      <c r="IQ1161" s="18"/>
      <c r="IR1161" s="18"/>
      <c r="IS1161" s="18"/>
      <c r="IT1161" s="18"/>
      <c r="IU1161" s="18"/>
      <c r="IV1161" s="18"/>
      <c r="IW1161" s="18"/>
      <c r="IX1161" s="18"/>
      <c r="IY1161" s="18"/>
      <c r="IZ1161" s="18"/>
      <c r="JA1161" s="18"/>
      <c r="JB1161" s="18"/>
      <c r="JC1161" s="18"/>
      <c r="JD1161" s="18"/>
      <c r="JE1161" s="18"/>
      <c r="JF1161" s="18"/>
      <c r="JG1161" s="18"/>
      <c r="JH1161" s="18"/>
      <c r="JI1161" s="18"/>
      <c r="JJ1161" s="18"/>
      <c r="JK1161" s="18"/>
      <c r="JL1161" s="18"/>
      <c r="JM1161" s="18"/>
      <c r="JN1161" s="18"/>
      <c r="JO1161" s="18"/>
      <c r="JP1161" s="18"/>
      <c r="JQ1161" s="18"/>
      <c r="JR1161" s="18"/>
      <c r="JS1161" s="18"/>
      <c r="JT1161" s="18"/>
      <c r="JU1161" s="18"/>
      <c r="JV1161" s="18"/>
      <c r="JW1161" s="18"/>
      <c r="JX1161" s="18"/>
      <c r="JY1161" s="18"/>
      <c r="JZ1161" s="18"/>
      <c r="KA1161" s="18"/>
      <c r="KB1161" s="18"/>
      <c r="KC1161" s="18"/>
      <c r="KD1161" s="18"/>
      <c r="KE1161" s="18"/>
      <c r="KF1161" s="18"/>
      <c r="KG1161" s="18"/>
      <c r="KH1161" s="18"/>
      <c r="KI1161" s="18"/>
      <c r="KJ1161" s="18"/>
      <c r="KK1161" s="18"/>
      <c r="KL1161" s="18"/>
      <c r="KM1161" s="18"/>
      <c r="KN1161" s="18"/>
      <c r="KO1161" s="18"/>
      <c r="KP1161" s="18"/>
    </row>
    <row r="1162" spans="1:302">
      <c r="A1162" s="14"/>
      <c r="B1162" s="14"/>
      <c r="F1162" s="14"/>
      <c r="G1162" s="23"/>
      <c r="H1162" s="23"/>
      <c r="I1162" s="23"/>
      <c r="J1162" s="23"/>
      <c r="K1162" s="14"/>
      <c r="L1162" s="14"/>
      <c r="P1162" s="14"/>
      <c r="AG1162" s="44"/>
      <c r="AH1162" s="44"/>
      <c r="AI1162" s="45"/>
      <c r="AJ1162" s="44"/>
      <c r="AK1162" s="43"/>
      <c r="AS1162" s="14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  <c r="EW1162" s="18"/>
      <c r="EX1162" s="18"/>
      <c r="EY1162" s="18"/>
      <c r="EZ1162" s="18"/>
      <c r="FA1162" s="18"/>
      <c r="FB1162" s="18"/>
      <c r="FC1162" s="18"/>
      <c r="FD1162" s="18"/>
      <c r="FE1162" s="18"/>
      <c r="FF1162" s="18"/>
      <c r="FG1162" s="18"/>
      <c r="FH1162" s="18"/>
      <c r="FI1162" s="18"/>
      <c r="FJ1162" s="18"/>
      <c r="FK1162" s="18"/>
      <c r="FL1162" s="18"/>
      <c r="FM1162" s="18"/>
      <c r="FN1162" s="18"/>
      <c r="FO1162" s="18"/>
      <c r="FP1162" s="18"/>
      <c r="FQ1162" s="18"/>
      <c r="FR1162" s="18"/>
      <c r="FS1162" s="18"/>
      <c r="FT1162" s="18"/>
      <c r="FU1162" s="18"/>
      <c r="FV1162" s="18"/>
      <c r="FW1162" s="18"/>
      <c r="FX1162" s="18"/>
      <c r="FY1162" s="18"/>
      <c r="FZ1162" s="18"/>
      <c r="GA1162" s="18"/>
      <c r="GB1162" s="18"/>
      <c r="GC1162" s="18"/>
      <c r="GD1162" s="18"/>
      <c r="GE1162" s="18"/>
      <c r="GF1162" s="18"/>
      <c r="GG1162" s="18"/>
      <c r="GH1162" s="18"/>
      <c r="GI1162" s="18"/>
      <c r="GJ1162" s="18"/>
      <c r="GK1162" s="18"/>
      <c r="GL1162" s="18"/>
      <c r="GM1162" s="18"/>
      <c r="GN1162" s="18"/>
      <c r="GO1162" s="18"/>
      <c r="GP1162" s="18"/>
      <c r="GQ1162" s="18"/>
      <c r="GR1162" s="18"/>
      <c r="GS1162" s="18"/>
      <c r="GT1162" s="18"/>
      <c r="GU1162" s="18"/>
      <c r="GV1162" s="18"/>
      <c r="GW1162" s="18"/>
      <c r="GX1162" s="18"/>
      <c r="GY1162" s="18"/>
      <c r="GZ1162" s="18"/>
      <c r="HA1162" s="18"/>
      <c r="HB1162" s="18"/>
      <c r="HC1162" s="18"/>
      <c r="HD1162" s="18"/>
      <c r="HE1162" s="18"/>
      <c r="HF1162" s="18"/>
      <c r="HG1162" s="13"/>
      <c r="HH1162" s="13"/>
      <c r="HI1162" s="13"/>
      <c r="HJ1162" s="13"/>
      <c r="HK1162" s="13"/>
      <c r="HL1162" s="13"/>
      <c r="HM1162" s="13"/>
      <c r="HN1162" s="13"/>
      <c r="HO1162" s="13"/>
      <c r="HP1162" s="13"/>
      <c r="HQ1162" s="13"/>
      <c r="HR1162" s="13"/>
      <c r="HS1162" s="13"/>
      <c r="HT1162" s="13"/>
      <c r="HU1162" s="18"/>
      <c r="HV1162" s="18"/>
      <c r="HW1162" s="18"/>
      <c r="HX1162" s="18"/>
      <c r="HY1162" s="18"/>
      <c r="HZ1162" s="18"/>
      <c r="IA1162" s="18"/>
      <c r="IB1162" s="18"/>
      <c r="IC1162" s="18"/>
      <c r="ID1162" s="18"/>
      <c r="IE1162" s="18"/>
      <c r="IF1162" s="18"/>
      <c r="IG1162" s="18"/>
      <c r="IH1162" s="18"/>
      <c r="II1162" s="18"/>
      <c r="IJ1162" s="18"/>
      <c r="IK1162" s="18"/>
      <c r="IL1162" s="18"/>
      <c r="IM1162" s="18"/>
      <c r="IN1162" s="18"/>
      <c r="IO1162" s="18"/>
      <c r="IP1162" s="18"/>
      <c r="IQ1162" s="18"/>
      <c r="IR1162" s="18"/>
      <c r="IS1162" s="18"/>
      <c r="IT1162" s="18"/>
      <c r="IU1162" s="18"/>
      <c r="IV1162" s="18"/>
      <c r="IW1162" s="18"/>
      <c r="IX1162" s="18"/>
      <c r="IY1162" s="18"/>
      <c r="IZ1162" s="18"/>
      <c r="JA1162" s="18"/>
      <c r="JB1162" s="18"/>
      <c r="JC1162" s="18"/>
      <c r="JD1162" s="18"/>
      <c r="JE1162" s="18"/>
      <c r="JF1162" s="18"/>
      <c r="JG1162" s="18"/>
      <c r="JH1162" s="18"/>
      <c r="JI1162" s="18"/>
      <c r="JJ1162" s="18"/>
      <c r="JK1162" s="18"/>
      <c r="JL1162" s="18"/>
      <c r="JM1162" s="18"/>
      <c r="JN1162" s="18"/>
      <c r="JO1162" s="18"/>
      <c r="JP1162" s="18"/>
      <c r="JQ1162" s="18"/>
      <c r="JR1162" s="18"/>
      <c r="JS1162" s="18"/>
      <c r="JT1162" s="18"/>
      <c r="JU1162" s="18"/>
      <c r="JV1162" s="18"/>
      <c r="JW1162" s="18"/>
      <c r="JX1162" s="18"/>
      <c r="JY1162" s="18"/>
      <c r="JZ1162" s="18"/>
      <c r="KA1162" s="18"/>
      <c r="KB1162" s="18"/>
      <c r="KC1162" s="18"/>
      <c r="KD1162" s="18"/>
      <c r="KE1162" s="18"/>
      <c r="KF1162" s="18"/>
      <c r="KG1162" s="18"/>
      <c r="KH1162" s="18"/>
      <c r="KI1162" s="18"/>
      <c r="KJ1162" s="18"/>
      <c r="KK1162" s="18"/>
      <c r="KL1162" s="18"/>
      <c r="KM1162" s="18"/>
      <c r="KN1162" s="18"/>
      <c r="KO1162" s="18"/>
      <c r="KP1162" s="18"/>
    </row>
    <row r="1163" spans="1:302">
      <c r="A1163" s="14"/>
      <c r="B1163" s="14"/>
      <c r="F1163" s="14"/>
      <c r="G1163" s="23"/>
      <c r="H1163" s="23"/>
      <c r="I1163" s="23"/>
      <c r="J1163" s="23"/>
      <c r="K1163" s="14"/>
      <c r="L1163" s="14"/>
      <c r="P1163" s="14"/>
      <c r="AG1163" s="44"/>
      <c r="AH1163" s="44"/>
      <c r="AI1163" s="45"/>
      <c r="AJ1163" s="44"/>
      <c r="AK1163" s="43"/>
      <c r="AS1163" s="14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  <c r="EW1163" s="18"/>
      <c r="EX1163" s="18"/>
      <c r="EY1163" s="18"/>
      <c r="EZ1163" s="18"/>
      <c r="FA1163" s="18"/>
      <c r="FB1163" s="18"/>
      <c r="FC1163" s="18"/>
      <c r="FD1163" s="18"/>
      <c r="FE1163" s="18"/>
      <c r="FF1163" s="18"/>
      <c r="FG1163" s="18"/>
      <c r="FH1163" s="18"/>
      <c r="FI1163" s="18"/>
      <c r="FJ1163" s="18"/>
      <c r="FK1163" s="18"/>
      <c r="FL1163" s="18"/>
      <c r="FM1163" s="18"/>
      <c r="FN1163" s="18"/>
      <c r="FO1163" s="18"/>
      <c r="FP1163" s="18"/>
      <c r="FQ1163" s="18"/>
      <c r="FR1163" s="18"/>
      <c r="FS1163" s="18"/>
      <c r="FT1163" s="18"/>
      <c r="FU1163" s="18"/>
      <c r="FV1163" s="18"/>
      <c r="FW1163" s="18"/>
      <c r="FX1163" s="18"/>
      <c r="FY1163" s="18"/>
      <c r="FZ1163" s="18"/>
      <c r="GA1163" s="18"/>
      <c r="GB1163" s="18"/>
      <c r="GC1163" s="18"/>
      <c r="GD1163" s="18"/>
      <c r="GE1163" s="18"/>
      <c r="GF1163" s="18"/>
      <c r="GG1163" s="18"/>
      <c r="GH1163" s="18"/>
      <c r="GI1163" s="18"/>
      <c r="GJ1163" s="18"/>
      <c r="GK1163" s="18"/>
      <c r="GL1163" s="18"/>
      <c r="GM1163" s="18"/>
      <c r="GN1163" s="18"/>
      <c r="GO1163" s="18"/>
      <c r="GP1163" s="18"/>
      <c r="GQ1163" s="18"/>
      <c r="GR1163" s="18"/>
      <c r="GS1163" s="18"/>
      <c r="GT1163" s="18"/>
      <c r="GU1163" s="18"/>
      <c r="GV1163" s="18"/>
      <c r="GW1163" s="18"/>
      <c r="GX1163" s="18"/>
      <c r="GY1163" s="18"/>
      <c r="GZ1163" s="18"/>
      <c r="HA1163" s="18"/>
      <c r="HB1163" s="18"/>
      <c r="HC1163" s="18"/>
      <c r="HD1163" s="18"/>
      <c r="HE1163" s="18"/>
      <c r="HF1163" s="18"/>
      <c r="HG1163" s="13"/>
      <c r="HH1163" s="13"/>
      <c r="HI1163" s="13"/>
      <c r="HJ1163" s="13"/>
      <c r="HK1163" s="13"/>
      <c r="HL1163" s="13"/>
      <c r="HM1163" s="13"/>
      <c r="HN1163" s="13"/>
      <c r="HO1163" s="13"/>
      <c r="HP1163" s="13"/>
      <c r="HQ1163" s="13"/>
      <c r="HR1163" s="13"/>
      <c r="HS1163" s="13"/>
      <c r="HT1163" s="13"/>
      <c r="HU1163" s="18"/>
      <c r="HV1163" s="18"/>
      <c r="HW1163" s="18"/>
      <c r="HX1163" s="18"/>
      <c r="HY1163" s="18"/>
      <c r="HZ1163" s="18"/>
      <c r="IA1163" s="18"/>
      <c r="IB1163" s="18"/>
      <c r="IC1163" s="18"/>
      <c r="ID1163" s="18"/>
      <c r="IE1163" s="18"/>
      <c r="IF1163" s="18"/>
      <c r="IG1163" s="18"/>
      <c r="IH1163" s="18"/>
      <c r="II1163" s="18"/>
      <c r="IJ1163" s="18"/>
      <c r="IK1163" s="18"/>
      <c r="IL1163" s="18"/>
      <c r="IM1163" s="18"/>
      <c r="IN1163" s="18"/>
      <c r="IO1163" s="18"/>
      <c r="IP1163" s="18"/>
      <c r="IQ1163" s="18"/>
      <c r="IR1163" s="18"/>
      <c r="IS1163" s="18"/>
      <c r="IT1163" s="18"/>
      <c r="IU1163" s="18"/>
      <c r="IV1163" s="18"/>
      <c r="IW1163" s="18"/>
      <c r="IX1163" s="18"/>
      <c r="IY1163" s="18"/>
      <c r="IZ1163" s="18"/>
      <c r="JA1163" s="18"/>
      <c r="JB1163" s="18"/>
      <c r="JC1163" s="18"/>
      <c r="JD1163" s="18"/>
      <c r="JE1163" s="18"/>
      <c r="JF1163" s="18"/>
      <c r="JG1163" s="18"/>
      <c r="JH1163" s="18"/>
      <c r="JI1163" s="18"/>
      <c r="JJ1163" s="18"/>
      <c r="JK1163" s="18"/>
      <c r="JL1163" s="18"/>
      <c r="JM1163" s="18"/>
      <c r="JN1163" s="18"/>
      <c r="JO1163" s="18"/>
      <c r="JP1163" s="18"/>
      <c r="JQ1163" s="18"/>
      <c r="JR1163" s="18"/>
      <c r="JS1163" s="18"/>
      <c r="JT1163" s="18"/>
      <c r="JU1163" s="18"/>
      <c r="JV1163" s="18"/>
      <c r="JW1163" s="18"/>
      <c r="JX1163" s="18"/>
      <c r="JY1163" s="18"/>
      <c r="JZ1163" s="18"/>
      <c r="KA1163" s="18"/>
      <c r="KB1163" s="18"/>
      <c r="KC1163" s="18"/>
      <c r="KD1163" s="18"/>
      <c r="KE1163" s="18"/>
      <c r="KF1163" s="18"/>
      <c r="KG1163" s="18"/>
      <c r="KH1163" s="18"/>
      <c r="KI1163" s="18"/>
      <c r="KJ1163" s="18"/>
      <c r="KK1163" s="18"/>
      <c r="KL1163" s="18"/>
      <c r="KM1163" s="18"/>
      <c r="KN1163" s="18"/>
      <c r="KO1163" s="18"/>
      <c r="KP1163" s="18"/>
    </row>
    <row r="1164" spans="1:302">
      <c r="A1164" s="14"/>
      <c r="B1164" s="14"/>
      <c r="F1164" s="14"/>
      <c r="G1164" s="23"/>
      <c r="H1164" s="23"/>
      <c r="I1164" s="23"/>
      <c r="J1164" s="23"/>
      <c r="K1164" s="14"/>
      <c r="L1164" s="14"/>
      <c r="P1164" s="14"/>
      <c r="AG1164" s="44"/>
      <c r="AH1164" s="44"/>
      <c r="AI1164" s="45"/>
      <c r="AJ1164" s="44"/>
      <c r="AK1164" s="43"/>
      <c r="AS1164" s="14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  <c r="EW1164" s="18"/>
      <c r="EX1164" s="18"/>
      <c r="EY1164" s="18"/>
      <c r="EZ1164" s="18"/>
      <c r="FA1164" s="18"/>
      <c r="FB1164" s="18"/>
      <c r="FC1164" s="18"/>
      <c r="FD1164" s="18"/>
      <c r="FE1164" s="18"/>
      <c r="FF1164" s="18"/>
      <c r="FG1164" s="18"/>
      <c r="FH1164" s="18"/>
      <c r="FI1164" s="18"/>
      <c r="FJ1164" s="18"/>
      <c r="FK1164" s="18"/>
      <c r="FL1164" s="18"/>
      <c r="FM1164" s="18"/>
      <c r="FN1164" s="18"/>
      <c r="FO1164" s="18"/>
      <c r="FP1164" s="18"/>
      <c r="FQ1164" s="18"/>
      <c r="FR1164" s="18"/>
      <c r="FS1164" s="18"/>
      <c r="FT1164" s="18"/>
      <c r="FU1164" s="18"/>
      <c r="FV1164" s="18"/>
      <c r="FW1164" s="18"/>
      <c r="FX1164" s="18"/>
      <c r="FY1164" s="18"/>
      <c r="FZ1164" s="18"/>
      <c r="GA1164" s="18"/>
      <c r="GB1164" s="18"/>
      <c r="GC1164" s="18"/>
      <c r="GD1164" s="18"/>
      <c r="GE1164" s="18"/>
      <c r="GF1164" s="18"/>
      <c r="GG1164" s="18"/>
      <c r="GH1164" s="18"/>
      <c r="GI1164" s="18"/>
      <c r="GJ1164" s="18"/>
      <c r="GK1164" s="18"/>
      <c r="GL1164" s="18"/>
      <c r="GM1164" s="18"/>
      <c r="GN1164" s="18"/>
      <c r="GO1164" s="18"/>
      <c r="GP1164" s="18"/>
      <c r="GQ1164" s="18"/>
      <c r="GR1164" s="18"/>
      <c r="GS1164" s="18"/>
      <c r="GT1164" s="18"/>
      <c r="GU1164" s="18"/>
      <c r="GV1164" s="18"/>
      <c r="GW1164" s="18"/>
      <c r="GX1164" s="18"/>
      <c r="GY1164" s="18"/>
      <c r="GZ1164" s="18"/>
      <c r="HA1164" s="18"/>
      <c r="HB1164" s="18"/>
      <c r="HC1164" s="18"/>
      <c r="HD1164" s="18"/>
      <c r="HE1164" s="18"/>
      <c r="HF1164" s="18"/>
      <c r="HG1164" s="13"/>
      <c r="HH1164" s="13"/>
      <c r="HI1164" s="13"/>
      <c r="HJ1164" s="13"/>
      <c r="HK1164" s="13"/>
      <c r="HL1164" s="13"/>
      <c r="HM1164" s="13"/>
      <c r="HN1164" s="13"/>
      <c r="HO1164" s="13"/>
      <c r="HP1164" s="13"/>
      <c r="HQ1164" s="13"/>
      <c r="HR1164" s="13"/>
      <c r="HS1164" s="13"/>
      <c r="HT1164" s="13"/>
      <c r="HU1164" s="18"/>
      <c r="HV1164" s="18"/>
      <c r="HW1164" s="18"/>
      <c r="HX1164" s="18"/>
      <c r="HY1164" s="18"/>
      <c r="HZ1164" s="18"/>
      <c r="IA1164" s="18"/>
      <c r="IB1164" s="18"/>
      <c r="IC1164" s="18"/>
      <c r="ID1164" s="18"/>
      <c r="IE1164" s="18"/>
      <c r="IF1164" s="18"/>
      <c r="IG1164" s="18"/>
      <c r="IH1164" s="18"/>
      <c r="II1164" s="18"/>
      <c r="IJ1164" s="18"/>
      <c r="IK1164" s="18"/>
      <c r="IL1164" s="18"/>
      <c r="IM1164" s="18"/>
      <c r="IN1164" s="18"/>
      <c r="IO1164" s="18"/>
      <c r="IP1164" s="18"/>
      <c r="IQ1164" s="18"/>
      <c r="IR1164" s="18"/>
      <c r="IS1164" s="18"/>
      <c r="IT1164" s="18"/>
      <c r="IU1164" s="18"/>
      <c r="IV1164" s="18"/>
      <c r="IW1164" s="18"/>
      <c r="IX1164" s="18"/>
      <c r="IY1164" s="18"/>
      <c r="IZ1164" s="18"/>
      <c r="JA1164" s="18"/>
      <c r="JB1164" s="18"/>
      <c r="JC1164" s="18"/>
      <c r="JD1164" s="18"/>
      <c r="JE1164" s="18"/>
      <c r="JF1164" s="18"/>
      <c r="JG1164" s="18"/>
      <c r="JH1164" s="18"/>
      <c r="JI1164" s="18"/>
      <c r="JJ1164" s="18"/>
      <c r="JK1164" s="18"/>
      <c r="JL1164" s="18"/>
      <c r="JM1164" s="18"/>
      <c r="JN1164" s="18"/>
      <c r="JO1164" s="18"/>
      <c r="JP1164" s="18"/>
      <c r="JQ1164" s="18"/>
      <c r="JR1164" s="18"/>
      <c r="JS1164" s="18"/>
      <c r="JT1164" s="18"/>
      <c r="JU1164" s="18"/>
      <c r="JV1164" s="18"/>
      <c r="JW1164" s="18"/>
      <c r="JX1164" s="18"/>
      <c r="JY1164" s="18"/>
      <c r="JZ1164" s="18"/>
      <c r="KA1164" s="18"/>
      <c r="KB1164" s="18"/>
      <c r="KC1164" s="18"/>
      <c r="KD1164" s="18"/>
      <c r="KE1164" s="18"/>
      <c r="KF1164" s="18"/>
      <c r="KG1164" s="18"/>
      <c r="KH1164" s="18"/>
      <c r="KI1164" s="18"/>
      <c r="KJ1164" s="18"/>
      <c r="KK1164" s="18"/>
      <c r="KL1164" s="18"/>
      <c r="KM1164" s="18"/>
      <c r="KN1164" s="18"/>
      <c r="KO1164" s="18"/>
      <c r="KP1164" s="18"/>
    </row>
    <row r="1165" spans="1:302">
      <c r="A1165" s="14"/>
      <c r="B1165" s="14"/>
      <c r="F1165" s="14"/>
      <c r="G1165" s="23"/>
      <c r="H1165" s="23"/>
      <c r="I1165" s="23"/>
      <c r="J1165" s="23"/>
      <c r="K1165" s="14"/>
      <c r="L1165" s="14"/>
      <c r="P1165" s="14"/>
      <c r="AG1165" s="44"/>
      <c r="AH1165" s="44"/>
      <c r="AI1165" s="45"/>
      <c r="AJ1165" s="44"/>
      <c r="AK1165" s="43"/>
      <c r="AS1165" s="14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  <c r="EW1165" s="18"/>
      <c r="EX1165" s="18"/>
      <c r="EY1165" s="18"/>
      <c r="EZ1165" s="18"/>
      <c r="FA1165" s="18"/>
      <c r="FB1165" s="18"/>
      <c r="FC1165" s="18"/>
      <c r="FD1165" s="18"/>
      <c r="FE1165" s="18"/>
      <c r="FF1165" s="18"/>
      <c r="FG1165" s="18"/>
      <c r="FH1165" s="18"/>
      <c r="FI1165" s="18"/>
      <c r="FJ1165" s="18"/>
      <c r="FK1165" s="18"/>
      <c r="FL1165" s="18"/>
      <c r="FM1165" s="18"/>
      <c r="FN1165" s="18"/>
      <c r="FO1165" s="18"/>
      <c r="FP1165" s="18"/>
      <c r="FQ1165" s="18"/>
      <c r="FR1165" s="18"/>
      <c r="FS1165" s="18"/>
      <c r="FT1165" s="18"/>
      <c r="FU1165" s="18"/>
      <c r="FV1165" s="18"/>
      <c r="FW1165" s="18"/>
      <c r="FX1165" s="18"/>
      <c r="FY1165" s="18"/>
      <c r="FZ1165" s="18"/>
      <c r="GA1165" s="18"/>
      <c r="GB1165" s="18"/>
      <c r="GC1165" s="18"/>
      <c r="GD1165" s="18"/>
      <c r="GE1165" s="18"/>
      <c r="GF1165" s="18"/>
      <c r="GG1165" s="18"/>
      <c r="GH1165" s="18"/>
      <c r="GI1165" s="18"/>
      <c r="GJ1165" s="18"/>
      <c r="GK1165" s="18"/>
      <c r="GL1165" s="18"/>
      <c r="GM1165" s="18"/>
      <c r="GN1165" s="18"/>
      <c r="GO1165" s="18"/>
      <c r="GP1165" s="18"/>
      <c r="GQ1165" s="18"/>
      <c r="GR1165" s="18"/>
      <c r="GS1165" s="18"/>
      <c r="GT1165" s="18"/>
      <c r="GU1165" s="18"/>
      <c r="GV1165" s="18"/>
      <c r="GW1165" s="18"/>
      <c r="GX1165" s="18"/>
      <c r="GY1165" s="18"/>
      <c r="GZ1165" s="18"/>
      <c r="HA1165" s="18"/>
      <c r="HB1165" s="18"/>
      <c r="HC1165" s="18"/>
      <c r="HD1165" s="18"/>
      <c r="HE1165" s="18"/>
      <c r="HF1165" s="18"/>
      <c r="HG1165" s="13"/>
      <c r="HH1165" s="13"/>
      <c r="HI1165" s="13"/>
      <c r="HJ1165" s="13"/>
      <c r="HK1165" s="13"/>
      <c r="HL1165" s="13"/>
      <c r="HM1165" s="13"/>
      <c r="HN1165" s="13"/>
      <c r="HO1165" s="13"/>
      <c r="HP1165" s="13"/>
      <c r="HQ1165" s="13"/>
      <c r="HR1165" s="13"/>
      <c r="HS1165" s="13"/>
      <c r="HT1165" s="13"/>
      <c r="HU1165" s="18"/>
      <c r="HV1165" s="18"/>
      <c r="HW1165" s="18"/>
      <c r="HX1165" s="18"/>
      <c r="HY1165" s="18"/>
      <c r="HZ1165" s="18"/>
      <c r="IA1165" s="18"/>
      <c r="IB1165" s="18"/>
      <c r="IC1165" s="18"/>
      <c r="ID1165" s="18"/>
      <c r="IE1165" s="18"/>
      <c r="IF1165" s="18"/>
      <c r="IG1165" s="18"/>
      <c r="IH1165" s="18"/>
      <c r="II1165" s="18"/>
      <c r="IJ1165" s="18"/>
      <c r="IK1165" s="18"/>
      <c r="IL1165" s="18"/>
      <c r="IM1165" s="18"/>
      <c r="IN1165" s="18"/>
      <c r="IO1165" s="18"/>
      <c r="IP1165" s="18"/>
      <c r="IQ1165" s="18"/>
      <c r="IR1165" s="18"/>
      <c r="IS1165" s="18"/>
      <c r="IT1165" s="18"/>
      <c r="IU1165" s="18"/>
      <c r="IV1165" s="18"/>
      <c r="IW1165" s="18"/>
      <c r="IX1165" s="18"/>
      <c r="IY1165" s="18"/>
      <c r="IZ1165" s="18"/>
      <c r="JA1165" s="18"/>
      <c r="JB1165" s="18"/>
      <c r="JC1165" s="18"/>
      <c r="JD1165" s="18"/>
      <c r="JE1165" s="18"/>
      <c r="JF1165" s="18"/>
      <c r="JG1165" s="18"/>
      <c r="JH1165" s="18"/>
      <c r="JI1165" s="18"/>
      <c r="JJ1165" s="18"/>
      <c r="JK1165" s="18"/>
      <c r="JL1165" s="18"/>
      <c r="JM1165" s="18"/>
      <c r="JN1165" s="18"/>
      <c r="JO1165" s="18"/>
      <c r="JP1165" s="18"/>
      <c r="JQ1165" s="18"/>
      <c r="JR1165" s="18"/>
      <c r="JS1165" s="18"/>
      <c r="JT1165" s="18"/>
      <c r="JU1165" s="18"/>
      <c r="JV1165" s="18"/>
      <c r="JW1165" s="18"/>
      <c r="JX1165" s="18"/>
      <c r="JY1165" s="18"/>
      <c r="JZ1165" s="18"/>
      <c r="KA1165" s="18"/>
      <c r="KB1165" s="18"/>
      <c r="KC1165" s="18"/>
      <c r="KD1165" s="18"/>
      <c r="KE1165" s="18"/>
      <c r="KF1165" s="18"/>
      <c r="KG1165" s="18"/>
      <c r="KH1165" s="18"/>
      <c r="KI1165" s="18"/>
      <c r="KJ1165" s="18"/>
      <c r="KK1165" s="18"/>
      <c r="KL1165" s="18"/>
      <c r="KM1165" s="18"/>
      <c r="KN1165" s="18"/>
      <c r="KO1165" s="18"/>
      <c r="KP1165" s="18"/>
    </row>
    <row r="1166" spans="1:302">
      <c r="A1166" s="14"/>
      <c r="B1166" s="14"/>
      <c r="F1166" s="14"/>
      <c r="G1166" s="23"/>
      <c r="H1166" s="23"/>
      <c r="I1166" s="23"/>
      <c r="J1166" s="23"/>
      <c r="K1166" s="14"/>
      <c r="L1166" s="14"/>
      <c r="P1166" s="14"/>
      <c r="AG1166" s="44"/>
      <c r="AH1166" s="44"/>
      <c r="AI1166" s="45"/>
      <c r="AJ1166" s="44"/>
      <c r="AK1166" s="43"/>
      <c r="AS1166" s="14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  <c r="EW1166" s="18"/>
      <c r="EX1166" s="18"/>
      <c r="EY1166" s="18"/>
      <c r="EZ1166" s="18"/>
      <c r="FA1166" s="18"/>
      <c r="FB1166" s="18"/>
      <c r="FC1166" s="18"/>
      <c r="FD1166" s="18"/>
      <c r="FE1166" s="18"/>
      <c r="FF1166" s="18"/>
      <c r="FG1166" s="18"/>
      <c r="FH1166" s="18"/>
      <c r="FI1166" s="18"/>
      <c r="FJ1166" s="18"/>
      <c r="FK1166" s="18"/>
      <c r="FL1166" s="18"/>
      <c r="FM1166" s="18"/>
      <c r="FN1166" s="18"/>
      <c r="FO1166" s="18"/>
      <c r="FP1166" s="18"/>
      <c r="FQ1166" s="18"/>
      <c r="FR1166" s="18"/>
      <c r="FS1166" s="18"/>
      <c r="FT1166" s="18"/>
      <c r="FU1166" s="18"/>
      <c r="FV1166" s="18"/>
      <c r="FW1166" s="18"/>
      <c r="FX1166" s="18"/>
      <c r="FY1166" s="18"/>
      <c r="FZ1166" s="18"/>
      <c r="GA1166" s="18"/>
      <c r="GB1166" s="18"/>
      <c r="GC1166" s="18"/>
      <c r="GD1166" s="18"/>
      <c r="GE1166" s="18"/>
      <c r="GF1166" s="18"/>
      <c r="GG1166" s="18"/>
      <c r="GH1166" s="18"/>
      <c r="GI1166" s="18"/>
      <c r="GJ1166" s="18"/>
      <c r="GK1166" s="18"/>
      <c r="GL1166" s="18"/>
      <c r="GM1166" s="18"/>
      <c r="GN1166" s="18"/>
      <c r="GO1166" s="18"/>
      <c r="GP1166" s="18"/>
      <c r="GQ1166" s="18"/>
      <c r="GR1166" s="18"/>
      <c r="GS1166" s="18"/>
      <c r="GT1166" s="18"/>
      <c r="GU1166" s="18"/>
      <c r="GV1166" s="18"/>
      <c r="GW1166" s="18"/>
      <c r="GX1166" s="18"/>
      <c r="GY1166" s="18"/>
      <c r="GZ1166" s="18"/>
      <c r="HA1166" s="18"/>
      <c r="HB1166" s="18"/>
      <c r="HC1166" s="18"/>
      <c r="HD1166" s="18"/>
      <c r="HE1166" s="18"/>
      <c r="HF1166" s="18"/>
      <c r="HG1166" s="13"/>
      <c r="HH1166" s="13"/>
      <c r="HI1166" s="13"/>
      <c r="HJ1166" s="13"/>
      <c r="HK1166" s="13"/>
      <c r="HL1166" s="13"/>
      <c r="HM1166" s="13"/>
      <c r="HN1166" s="13"/>
      <c r="HO1166" s="13"/>
      <c r="HP1166" s="13"/>
      <c r="HQ1166" s="13"/>
      <c r="HR1166" s="13"/>
      <c r="HS1166" s="13"/>
      <c r="HT1166" s="13"/>
      <c r="HU1166" s="18"/>
      <c r="HV1166" s="18"/>
      <c r="HW1166" s="18"/>
      <c r="HX1166" s="18"/>
      <c r="HY1166" s="18"/>
      <c r="HZ1166" s="18"/>
      <c r="IA1166" s="18"/>
      <c r="IB1166" s="18"/>
      <c r="IC1166" s="18"/>
      <c r="ID1166" s="18"/>
      <c r="IE1166" s="18"/>
      <c r="IF1166" s="18"/>
      <c r="IG1166" s="18"/>
      <c r="IH1166" s="18"/>
      <c r="II1166" s="18"/>
      <c r="IJ1166" s="18"/>
      <c r="IK1166" s="18"/>
      <c r="IL1166" s="18"/>
      <c r="IM1166" s="18"/>
      <c r="IN1166" s="18"/>
      <c r="IO1166" s="18"/>
      <c r="IP1166" s="18"/>
      <c r="IQ1166" s="18"/>
      <c r="IR1166" s="18"/>
      <c r="IS1166" s="18"/>
      <c r="IT1166" s="18"/>
      <c r="IU1166" s="18"/>
      <c r="IV1166" s="18"/>
      <c r="IW1166" s="18"/>
      <c r="IX1166" s="18"/>
      <c r="IY1166" s="18"/>
      <c r="IZ1166" s="18"/>
      <c r="JA1166" s="18"/>
      <c r="JB1166" s="18"/>
      <c r="JC1166" s="18"/>
      <c r="JD1166" s="18"/>
      <c r="JE1166" s="18"/>
      <c r="JF1166" s="18"/>
      <c r="JG1166" s="18"/>
      <c r="JH1166" s="18"/>
      <c r="JI1166" s="18"/>
      <c r="JJ1166" s="18"/>
      <c r="JK1166" s="18"/>
      <c r="JL1166" s="18"/>
      <c r="JM1166" s="18"/>
      <c r="JN1166" s="18"/>
      <c r="JO1166" s="18"/>
      <c r="JP1166" s="18"/>
      <c r="JQ1166" s="18"/>
      <c r="JR1166" s="18"/>
      <c r="JS1166" s="18"/>
      <c r="JT1166" s="18"/>
      <c r="JU1166" s="18"/>
      <c r="JV1166" s="18"/>
      <c r="JW1166" s="18"/>
      <c r="JX1166" s="18"/>
      <c r="JY1166" s="18"/>
      <c r="JZ1166" s="18"/>
      <c r="KA1166" s="18"/>
      <c r="KB1166" s="18"/>
      <c r="KC1166" s="18"/>
      <c r="KD1166" s="18"/>
      <c r="KE1166" s="18"/>
      <c r="KF1166" s="18"/>
      <c r="KG1166" s="18"/>
      <c r="KH1166" s="18"/>
      <c r="KI1166" s="18"/>
      <c r="KJ1166" s="18"/>
      <c r="KK1166" s="18"/>
      <c r="KL1166" s="18"/>
      <c r="KM1166" s="18"/>
      <c r="KN1166" s="18"/>
      <c r="KO1166" s="18"/>
      <c r="KP1166" s="18"/>
    </row>
    <row r="1167" spans="1:302">
      <c r="A1167" s="14"/>
      <c r="B1167" s="14"/>
      <c r="F1167" s="14"/>
      <c r="G1167" s="23"/>
      <c r="H1167" s="23"/>
      <c r="I1167" s="23"/>
      <c r="J1167" s="23"/>
      <c r="K1167" s="14"/>
      <c r="L1167" s="14"/>
      <c r="P1167" s="14"/>
      <c r="AG1167" s="44"/>
      <c r="AH1167" s="44"/>
      <c r="AI1167" s="45"/>
      <c r="AJ1167" s="44"/>
      <c r="AK1167" s="43"/>
      <c r="AS1167" s="14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  <c r="EW1167" s="18"/>
      <c r="EX1167" s="18"/>
      <c r="EY1167" s="18"/>
      <c r="EZ1167" s="18"/>
      <c r="FA1167" s="18"/>
      <c r="FB1167" s="18"/>
      <c r="FC1167" s="18"/>
      <c r="FD1167" s="18"/>
      <c r="FE1167" s="18"/>
      <c r="FF1167" s="18"/>
      <c r="FG1167" s="18"/>
      <c r="FH1167" s="18"/>
      <c r="FI1167" s="18"/>
      <c r="FJ1167" s="18"/>
      <c r="FK1167" s="18"/>
      <c r="FL1167" s="18"/>
      <c r="FM1167" s="18"/>
      <c r="FN1167" s="18"/>
      <c r="FO1167" s="18"/>
      <c r="FP1167" s="18"/>
      <c r="FQ1167" s="18"/>
      <c r="FR1167" s="18"/>
      <c r="FS1167" s="18"/>
      <c r="FT1167" s="18"/>
      <c r="FU1167" s="18"/>
      <c r="FV1167" s="18"/>
      <c r="FW1167" s="18"/>
      <c r="FX1167" s="18"/>
      <c r="FY1167" s="18"/>
      <c r="FZ1167" s="18"/>
      <c r="GA1167" s="18"/>
      <c r="GB1167" s="18"/>
      <c r="GC1167" s="18"/>
      <c r="GD1167" s="18"/>
      <c r="GE1167" s="18"/>
      <c r="GF1167" s="18"/>
      <c r="GG1167" s="18"/>
      <c r="GH1167" s="18"/>
      <c r="GI1167" s="18"/>
      <c r="GJ1167" s="18"/>
      <c r="GK1167" s="18"/>
      <c r="GL1167" s="18"/>
      <c r="GM1167" s="18"/>
      <c r="GN1167" s="18"/>
      <c r="GO1167" s="18"/>
      <c r="GP1167" s="18"/>
      <c r="GQ1167" s="18"/>
      <c r="GR1167" s="18"/>
      <c r="GS1167" s="18"/>
      <c r="GT1167" s="18"/>
      <c r="GU1167" s="18"/>
      <c r="GV1167" s="18"/>
      <c r="GW1167" s="18"/>
      <c r="GX1167" s="18"/>
      <c r="GY1167" s="18"/>
      <c r="GZ1167" s="18"/>
      <c r="HA1167" s="18"/>
      <c r="HB1167" s="18"/>
      <c r="HC1167" s="18"/>
      <c r="HD1167" s="18"/>
      <c r="HE1167" s="18"/>
      <c r="HF1167" s="18"/>
      <c r="HG1167" s="13"/>
      <c r="HH1167" s="13"/>
      <c r="HI1167" s="13"/>
      <c r="HJ1167" s="13"/>
      <c r="HK1167" s="13"/>
      <c r="HL1167" s="13"/>
      <c r="HM1167" s="13"/>
      <c r="HN1167" s="13"/>
      <c r="HO1167" s="13"/>
      <c r="HP1167" s="13"/>
      <c r="HQ1167" s="13"/>
      <c r="HR1167" s="13"/>
      <c r="HS1167" s="13"/>
      <c r="HT1167" s="13"/>
      <c r="HU1167" s="18"/>
      <c r="HV1167" s="18"/>
      <c r="HW1167" s="18"/>
      <c r="HX1167" s="18"/>
      <c r="HY1167" s="18"/>
      <c r="HZ1167" s="18"/>
      <c r="IA1167" s="18"/>
      <c r="IB1167" s="18"/>
      <c r="IC1167" s="18"/>
      <c r="ID1167" s="18"/>
      <c r="IE1167" s="18"/>
      <c r="IF1167" s="18"/>
      <c r="IG1167" s="18"/>
      <c r="IH1167" s="18"/>
      <c r="II1167" s="18"/>
      <c r="IJ1167" s="18"/>
      <c r="IK1167" s="18"/>
      <c r="IL1167" s="18"/>
      <c r="IM1167" s="18"/>
      <c r="IN1167" s="18"/>
      <c r="IO1167" s="18"/>
      <c r="IP1167" s="18"/>
      <c r="IQ1167" s="18"/>
      <c r="IR1167" s="18"/>
      <c r="IS1167" s="18"/>
      <c r="IT1167" s="18"/>
      <c r="IU1167" s="18"/>
      <c r="IV1167" s="18"/>
      <c r="IW1167" s="18"/>
      <c r="IX1167" s="18"/>
      <c r="IY1167" s="18"/>
      <c r="IZ1167" s="18"/>
      <c r="JA1167" s="18"/>
      <c r="JB1167" s="18"/>
      <c r="JC1167" s="18"/>
      <c r="JD1167" s="18"/>
      <c r="JE1167" s="18"/>
      <c r="JF1167" s="18"/>
      <c r="JG1167" s="18"/>
      <c r="JH1167" s="18"/>
      <c r="JI1167" s="18"/>
      <c r="JJ1167" s="18"/>
      <c r="JK1167" s="18"/>
      <c r="JL1167" s="18"/>
      <c r="JM1167" s="18"/>
      <c r="JN1167" s="18"/>
      <c r="JO1167" s="18"/>
      <c r="JP1167" s="18"/>
      <c r="JQ1167" s="18"/>
      <c r="JR1167" s="18"/>
      <c r="JS1167" s="18"/>
      <c r="JT1167" s="18"/>
      <c r="JU1167" s="18"/>
      <c r="JV1167" s="18"/>
      <c r="JW1167" s="18"/>
      <c r="JX1167" s="18"/>
      <c r="JY1167" s="18"/>
      <c r="JZ1167" s="18"/>
      <c r="KA1167" s="18"/>
      <c r="KB1167" s="18"/>
      <c r="KC1167" s="18"/>
      <c r="KD1167" s="18"/>
      <c r="KE1167" s="18"/>
      <c r="KF1167" s="18"/>
      <c r="KG1167" s="18"/>
      <c r="KH1167" s="18"/>
      <c r="KI1167" s="18"/>
      <c r="KJ1167" s="18"/>
      <c r="KK1167" s="18"/>
      <c r="KL1167" s="18"/>
      <c r="KM1167" s="18"/>
      <c r="KN1167" s="18"/>
      <c r="KO1167" s="18"/>
      <c r="KP1167" s="18"/>
    </row>
    <row r="1168" spans="1:302">
      <c r="A1168" s="14"/>
      <c r="B1168" s="14"/>
      <c r="F1168" s="14"/>
      <c r="G1168" s="23"/>
      <c r="H1168" s="23"/>
      <c r="I1168" s="23"/>
      <c r="J1168" s="23"/>
      <c r="K1168" s="14"/>
      <c r="L1168" s="14"/>
      <c r="P1168" s="14"/>
      <c r="AG1168" s="44"/>
      <c r="AH1168" s="44"/>
      <c r="AI1168" s="45"/>
      <c r="AJ1168" s="44"/>
      <c r="AK1168" s="43"/>
      <c r="AS1168" s="14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  <c r="EW1168" s="18"/>
      <c r="EX1168" s="18"/>
      <c r="EY1168" s="18"/>
      <c r="EZ1168" s="18"/>
      <c r="FA1168" s="18"/>
      <c r="FB1168" s="18"/>
      <c r="FC1168" s="18"/>
      <c r="FD1168" s="18"/>
      <c r="FE1168" s="18"/>
      <c r="FF1168" s="18"/>
      <c r="FG1168" s="18"/>
      <c r="FH1168" s="18"/>
      <c r="FI1168" s="18"/>
      <c r="FJ1168" s="18"/>
      <c r="FK1168" s="18"/>
      <c r="FL1168" s="18"/>
      <c r="FM1168" s="18"/>
      <c r="FN1168" s="18"/>
      <c r="FO1168" s="18"/>
      <c r="FP1168" s="18"/>
      <c r="FQ1168" s="18"/>
      <c r="FR1168" s="18"/>
      <c r="FS1168" s="18"/>
      <c r="FT1168" s="18"/>
      <c r="FU1168" s="18"/>
      <c r="FV1168" s="18"/>
      <c r="FW1168" s="18"/>
      <c r="FX1168" s="18"/>
      <c r="FY1168" s="18"/>
      <c r="FZ1168" s="18"/>
      <c r="GA1168" s="18"/>
      <c r="GB1168" s="18"/>
      <c r="GC1168" s="18"/>
      <c r="GD1168" s="18"/>
      <c r="GE1168" s="18"/>
      <c r="GF1168" s="18"/>
      <c r="GG1168" s="18"/>
      <c r="GH1168" s="18"/>
      <c r="GI1168" s="18"/>
      <c r="GJ1168" s="18"/>
      <c r="GK1168" s="18"/>
      <c r="GL1168" s="18"/>
      <c r="GM1168" s="18"/>
      <c r="GN1168" s="18"/>
      <c r="GO1168" s="18"/>
      <c r="GP1168" s="18"/>
      <c r="GQ1168" s="18"/>
      <c r="GR1168" s="18"/>
      <c r="GS1168" s="18"/>
      <c r="GT1168" s="18"/>
      <c r="GU1168" s="18"/>
      <c r="GV1168" s="18"/>
      <c r="GW1168" s="18"/>
      <c r="GX1168" s="18"/>
      <c r="GY1168" s="18"/>
      <c r="GZ1168" s="18"/>
      <c r="HA1168" s="18"/>
      <c r="HB1168" s="18"/>
      <c r="HC1168" s="18"/>
      <c r="HD1168" s="18"/>
      <c r="HE1168" s="18"/>
      <c r="HF1168" s="18"/>
      <c r="HG1168" s="13"/>
      <c r="HH1168" s="13"/>
      <c r="HI1168" s="13"/>
      <c r="HJ1168" s="13"/>
      <c r="HK1168" s="13"/>
      <c r="HL1168" s="13"/>
      <c r="HM1168" s="13"/>
      <c r="HN1168" s="13"/>
      <c r="HO1168" s="13"/>
      <c r="HP1168" s="13"/>
      <c r="HQ1168" s="13"/>
      <c r="HR1168" s="13"/>
      <c r="HS1168" s="13"/>
      <c r="HT1168" s="13"/>
      <c r="HU1168" s="18"/>
      <c r="HV1168" s="18"/>
      <c r="HW1168" s="18"/>
      <c r="HX1168" s="18"/>
      <c r="HY1168" s="18"/>
      <c r="HZ1168" s="18"/>
      <c r="IA1168" s="18"/>
      <c r="IB1168" s="18"/>
      <c r="IC1168" s="18"/>
      <c r="ID1168" s="18"/>
      <c r="IE1168" s="18"/>
      <c r="IF1168" s="18"/>
      <c r="IG1168" s="18"/>
      <c r="IH1168" s="18"/>
      <c r="II1168" s="18"/>
      <c r="IJ1168" s="18"/>
      <c r="IK1168" s="18"/>
      <c r="IL1168" s="18"/>
      <c r="IM1168" s="18"/>
      <c r="IN1168" s="18"/>
      <c r="IO1168" s="18"/>
      <c r="IP1168" s="18"/>
      <c r="IQ1168" s="18"/>
      <c r="IR1168" s="18"/>
      <c r="IS1168" s="18"/>
      <c r="IT1168" s="18"/>
      <c r="IU1168" s="18"/>
      <c r="IV1168" s="18"/>
      <c r="IW1168" s="18"/>
      <c r="IX1168" s="18"/>
      <c r="IY1168" s="18"/>
      <c r="IZ1168" s="18"/>
      <c r="JA1168" s="18"/>
      <c r="JB1168" s="18"/>
      <c r="JC1168" s="18"/>
      <c r="JD1168" s="18"/>
      <c r="JE1168" s="18"/>
      <c r="JF1168" s="18"/>
      <c r="JG1168" s="18"/>
      <c r="JH1168" s="18"/>
      <c r="JI1168" s="18"/>
      <c r="JJ1168" s="18"/>
      <c r="JK1168" s="18"/>
      <c r="JL1168" s="18"/>
      <c r="JM1168" s="18"/>
      <c r="JN1168" s="18"/>
      <c r="JO1168" s="18"/>
      <c r="JP1168" s="18"/>
      <c r="JQ1168" s="18"/>
      <c r="JR1168" s="18"/>
      <c r="JS1168" s="18"/>
      <c r="JT1168" s="18"/>
      <c r="JU1168" s="18"/>
      <c r="JV1168" s="18"/>
      <c r="JW1168" s="18"/>
      <c r="JX1168" s="18"/>
      <c r="JY1168" s="18"/>
      <c r="JZ1168" s="18"/>
      <c r="KA1168" s="18"/>
      <c r="KB1168" s="18"/>
      <c r="KC1168" s="18"/>
      <c r="KD1168" s="18"/>
      <c r="KE1168" s="18"/>
      <c r="KF1168" s="18"/>
      <c r="KG1168" s="18"/>
      <c r="KH1168" s="18"/>
      <c r="KI1168" s="18"/>
      <c r="KJ1168" s="18"/>
      <c r="KK1168" s="18"/>
      <c r="KL1168" s="18"/>
      <c r="KM1168" s="18"/>
      <c r="KN1168" s="18"/>
      <c r="KO1168" s="18"/>
      <c r="KP1168" s="18"/>
    </row>
    <row r="1169" spans="1:302">
      <c r="A1169" s="14"/>
      <c r="B1169" s="14"/>
      <c r="F1169" s="14"/>
      <c r="G1169" s="23"/>
      <c r="H1169" s="23"/>
      <c r="I1169" s="23"/>
      <c r="J1169" s="23"/>
      <c r="K1169" s="14"/>
      <c r="L1169" s="14"/>
      <c r="P1169" s="14"/>
      <c r="AG1169" s="44"/>
      <c r="AH1169" s="44"/>
      <c r="AI1169" s="45"/>
      <c r="AJ1169" s="44"/>
      <c r="AK1169" s="43"/>
      <c r="AS1169" s="14"/>
      <c r="AT1169" s="18"/>
      <c r="AU1169" s="18"/>
      <c r="AV1169" s="18"/>
      <c r="AW1169" s="18"/>
      <c r="AX1169" s="18"/>
      <c r="AY1169" s="18"/>
      <c r="AZ1169" s="18"/>
      <c r="BA1169" s="18"/>
      <c r="BB1169" s="18"/>
      <c r="BC1169" s="18"/>
      <c r="BD1169" s="18"/>
      <c r="BE1169" s="18"/>
      <c r="BF1169" s="18"/>
      <c r="BG1169" s="18"/>
      <c r="BH1169" s="18"/>
      <c r="BI1169" s="18"/>
      <c r="BJ1169" s="18"/>
      <c r="BK1169" s="18"/>
      <c r="BL1169" s="18"/>
      <c r="BM1169" s="18"/>
      <c r="BN1169" s="18"/>
      <c r="BO1169" s="18"/>
      <c r="BP1169" s="18"/>
      <c r="BQ1169" s="18"/>
      <c r="BR1169" s="18"/>
      <c r="BS1169" s="18"/>
      <c r="BT1169" s="18"/>
      <c r="BU1169" s="18"/>
      <c r="BV1169" s="18"/>
      <c r="BW1169" s="18"/>
      <c r="BX1169" s="18"/>
      <c r="BY1169" s="18"/>
      <c r="BZ1169" s="18"/>
      <c r="CA1169" s="18"/>
      <c r="CB1169" s="18"/>
      <c r="CC1169" s="18"/>
      <c r="CD1169" s="18"/>
      <c r="CE1169" s="18"/>
      <c r="CF1169" s="18"/>
      <c r="CG1169" s="18"/>
      <c r="CH1169" s="18"/>
      <c r="CI1169" s="18"/>
      <c r="CJ1169" s="18"/>
      <c r="CK1169" s="18"/>
      <c r="CL1169" s="18"/>
      <c r="CM1169" s="18"/>
      <c r="CN1169" s="18"/>
      <c r="CO1169" s="18"/>
      <c r="CP1169" s="18"/>
      <c r="CQ1169" s="18"/>
      <c r="CR1169" s="18"/>
      <c r="CS1169" s="18"/>
      <c r="CT1169" s="18"/>
      <c r="CU1169" s="18"/>
      <c r="CV1169" s="18"/>
      <c r="CW1169" s="18"/>
      <c r="CX1169" s="18"/>
      <c r="CY1169" s="18"/>
      <c r="CZ1169" s="18"/>
      <c r="DA1169" s="18"/>
      <c r="DB1169" s="18"/>
      <c r="DC1169" s="18"/>
      <c r="DD1169" s="18"/>
      <c r="DE1169" s="18"/>
      <c r="DF1169" s="18"/>
      <c r="DG1169" s="18"/>
      <c r="DH1169" s="18"/>
      <c r="DI1169" s="18"/>
      <c r="DJ1169" s="18"/>
      <c r="DK1169" s="18"/>
      <c r="DL1169" s="18"/>
      <c r="DM1169" s="18"/>
      <c r="DN1169" s="18"/>
      <c r="DO1169" s="18"/>
      <c r="DP1169" s="18"/>
      <c r="DQ1169" s="18"/>
      <c r="DR1169" s="18"/>
      <c r="DS1169" s="18"/>
      <c r="DT1169" s="18"/>
      <c r="DU1169" s="18"/>
      <c r="DV1169" s="18"/>
      <c r="DW1169" s="18"/>
      <c r="DX1169" s="18"/>
      <c r="DY1169" s="18"/>
      <c r="DZ1169" s="18"/>
      <c r="EA1169" s="18"/>
      <c r="EB1169" s="18"/>
      <c r="EC1169" s="18"/>
      <c r="ED1169" s="18"/>
      <c r="EE1169" s="18"/>
      <c r="EF1169" s="18"/>
      <c r="EG1169" s="18"/>
      <c r="EH1169" s="18"/>
      <c r="EI1169" s="18"/>
      <c r="EJ1169" s="18"/>
      <c r="EK1169" s="18"/>
      <c r="EL1169" s="18"/>
      <c r="EM1169" s="18"/>
      <c r="EN1169" s="18"/>
      <c r="EO1169" s="18"/>
      <c r="EP1169" s="18"/>
      <c r="EQ1169" s="18"/>
      <c r="ER1169" s="18"/>
      <c r="ES1169" s="18"/>
      <c r="ET1169" s="18"/>
      <c r="EU1169" s="18"/>
      <c r="EV1169" s="18"/>
      <c r="EW1169" s="18"/>
      <c r="EX1169" s="18"/>
      <c r="EY1169" s="18"/>
      <c r="EZ1169" s="18"/>
      <c r="FA1169" s="18"/>
      <c r="FB1169" s="18"/>
      <c r="FC1169" s="18"/>
      <c r="FD1169" s="18"/>
      <c r="FE1169" s="18"/>
      <c r="FF1169" s="18"/>
      <c r="FG1169" s="18"/>
      <c r="FH1169" s="18"/>
      <c r="FI1169" s="18"/>
      <c r="FJ1169" s="18"/>
      <c r="FK1169" s="18"/>
      <c r="FL1169" s="18"/>
      <c r="FM1169" s="18"/>
      <c r="FN1169" s="18"/>
      <c r="FO1169" s="18"/>
      <c r="FP1169" s="18"/>
      <c r="FQ1169" s="18"/>
      <c r="FR1169" s="18"/>
      <c r="FS1169" s="18"/>
      <c r="FT1169" s="18"/>
      <c r="FU1169" s="18"/>
      <c r="FV1169" s="18"/>
      <c r="FW1169" s="18"/>
      <c r="FX1169" s="18"/>
      <c r="FY1169" s="18"/>
      <c r="FZ1169" s="18"/>
      <c r="GA1169" s="18"/>
      <c r="GB1169" s="18"/>
      <c r="GC1169" s="18"/>
      <c r="GD1169" s="18"/>
      <c r="GE1169" s="18"/>
      <c r="GF1169" s="18"/>
      <c r="GG1169" s="18"/>
      <c r="GH1169" s="18"/>
      <c r="GI1169" s="18"/>
      <c r="GJ1169" s="18"/>
      <c r="GK1169" s="18"/>
      <c r="GL1169" s="18"/>
      <c r="GM1169" s="18"/>
      <c r="GN1169" s="18"/>
      <c r="GO1169" s="18"/>
      <c r="GP1169" s="18"/>
      <c r="GQ1169" s="18"/>
      <c r="GR1169" s="18"/>
      <c r="GS1169" s="18"/>
      <c r="GT1169" s="18"/>
      <c r="GU1169" s="18"/>
      <c r="GV1169" s="18"/>
      <c r="GW1169" s="18"/>
      <c r="GX1169" s="18"/>
      <c r="GY1169" s="18"/>
      <c r="GZ1169" s="18"/>
      <c r="HA1169" s="18"/>
      <c r="HB1169" s="18"/>
      <c r="HC1169" s="18"/>
      <c r="HD1169" s="18"/>
      <c r="HE1169" s="18"/>
      <c r="HF1169" s="18"/>
      <c r="HG1169" s="13"/>
      <c r="HH1169" s="13"/>
      <c r="HI1169" s="13"/>
      <c r="HJ1169" s="13"/>
      <c r="HK1169" s="13"/>
      <c r="HL1169" s="13"/>
      <c r="HM1169" s="13"/>
      <c r="HN1169" s="13"/>
      <c r="HO1169" s="13"/>
      <c r="HP1169" s="13"/>
      <c r="HQ1169" s="13"/>
      <c r="HR1169" s="13"/>
      <c r="HS1169" s="13"/>
      <c r="HT1169" s="13"/>
      <c r="HU1169" s="18"/>
      <c r="HV1169" s="18"/>
      <c r="HW1169" s="18"/>
      <c r="HX1169" s="18"/>
      <c r="HY1169" s="18"/>
      <c r="HZ1169" s="18"/>
      <c r="IA1169" s="18"/>
      <c r="IB1169" s="18"/>
      <c r="IC1169" s="18"/>
      <c r="ID1169" s="18"/>
      <c r="IE1169" s="18"/>
      <c r="IF1169" s="18"/>
      <c r="IG1169" s="18"/>
      <c r="IH1169" s="18"/>
      <c r="II1169" s="18"/>
      <c r="IJ1169" s="18"/>
      <c r="IK1169" s="18"/>
      <c r="IL1169" s="18"/>
      <c r="IM1169" s="18"/>
      <c r="IN1169" s="18"/>
      <c r="IO1169" s="18"/>
      <c r="IP1169" s="18"/>
      <c r="IQ1169" s="18"/>
      <c r="IR1169" s="18"/>
      <c r="IS1169" s="18"/>
      <c r="IT1169" s="18"/>
      <c r="IU1169" s="18"/>
      <c r="IV1169" s="18"/>
      <c r="IW1169" s="18"/>
      <c r="IX1169" s="18"/>
      <c r="IY1169" s="18"/>
      <c r="IZ1169" s="18"/>
      <c r="JA1169" s="18"/>
      <c r="JB1169" s="18"/>
      <c r="JC1169" s="18"/>
      <c r="JD1169" s="18"/>
      <c r="JE1169" s="18"/>
      <c r="JF1169" s="18"/>
      <c r="JG1169" s="18"/>
      <c r="JH1169" s="18"/>
      <c r="JI1169" s="18"/>
      <c r="JJ1169" s="18"/>
      <c r="JK1169" s="18"/>
      <c r="JL1169" s="18"/>
      <c r="JM1169" s="18"/>
      <c r="JN1169" s="18"/>
      <c r="JO1169" s="18"/>
      <c r="JP1169" s="18"/>
      <c r="JQ1169" s="18"/>
      <c r="JR1169" s="18"/>
      <c r="JS1169" s="18"/>
      <c r="JT1169" s="18"/>
      <c r="JU1169" s="18"/>
      <c r="JV1169" s="18"/>
      <c r="JW1169" s="18"/>
      <c r="JX1169" s="18"/>
      <c r="JY1169" s="18"/>
      <c r="JZ1169" s="18"/>
      <c r="KA1169" s="18"/>
      <c r="KB1169" s="18"/>
      <c r="KC1169" s="18"/>
      <c r="KD1169" s="18"/>
      <c r="KE1169" s="18"/>
      <c r="KF1169" s="18"/>
      <c r="KG1169" s="18"/>
      <c r="KH1169" s="18"/>
      <c r="KI1169" s="18"/>
      <c r="KJ1169" s="18"/>
      <c r="KK1169" s="18"/>
      <c r="KL1169" s="18"/>
      <c r="KM1169" s="18"/>
      <c r="KN1169" s="18"/>
      <c r="KO1169" s="18"/>
      <c r="KP1169" s="18"/>
    </row>
    <row r="1170" spans="1:302">
      <c r="A1170" s="14"/>
      <c r="B1170" s="14"/>
      <c r="F1170" s="14"/>
      <c r="G1170" s="23"/>
      <c r="H1170" s="23"/>
      <c r="I1170" s="23"/>
      <c r="J1170" s="23"/>
      <c r="K1170" s="14"/>
      <c r="L1170" s="14"/>
      <c r="P1170" s="14"/>
      <c r="AG1170" s="44"/>
      <c r="AH1170" s="44"/>
      <c r="AI1170" s="45"/>
      <c r="AJ1170" s="44"/>
      <c r="AK1170" s="43"/>
      <c r="AS1170" s="14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  <c r="EW1170" s="18"/>
      <c r="EX1170" s="18"/>
      <c r="EY1170" s="18"/>
      <c r="EZ1170" s="18"/>
      <c r="FA1170" s="18"/>
      <c r="FB1170" s="18"/>
      <c r="FC1170" s="18"/>
      <c r="FD1170" s="18"/>
      <c r="FE1170" s="18"/>
      <c r="FF1170" s="18"/>
      <c r="FG1170" s="18"/>
      <c r="FH1170" s="18"/>
      <c r="FI1170" s="18"/>
      <c r="FJ1170" s="18"/>
      <c r="FK1170" s="18"/>
      <c r="FL1170" s="18"/>
      <c r="FM1170" s="18"/>
      <c r="FN1170" s="18"/>
      <c r="FO1170" s="18"/>
      <c r="FP1170" s="18"/>
      <c r="FQ1170" s="18"/>
      <c r="FR1170" s="18"/>
      <c r="FS1170" s="18"/>
      <c r="FT1170" s="18"/>
      <c r="FU1170" s="18"/>
      <c r="FV1170" s="18"/>
      <c r="FW1170" s="18"/>
      <c r="FX1170" s="18"/>
      <c r="FY1170" s="18"/>
      <c r="FZ1170" s="18"/>
      <c r="GA1170" s="18"/>
      <c r="GB1170" s="18"/>
      <c r="GC1170" s="18"/>
      <c r="GD1170" s="18"/>
      <c r="GE1170" s="18"/>
      <c r="GF1170" s="18"/>
      <c r="GG1170" s="18"/>
      <c r="GH1170" s="18"/>
      <c r="GI1170" s="18"/>
      <c r="GJ1170" s="18"/>
      <c r="GK1170" s="18"/>
      <c r="GL1170" s="18"/>
      <c r="GM1170" s="18"/>
      <c r="GN1170" s="18"/>
      <c r="GO1170" s="18"/>
      <c r="GP1170" s="18"/>
      <c r="GQ1170" s="18"/>
      <c r="GR1170" s="18"/>
      <c r="GS1170" s="18"/>
      <c r="GT1170" s="18"/>
      <c r="GU1170" s="18"/>
      <c r="GV1170" s="18"/>
      <c r="GW1170" s="18"/>
      <c r="GX1170" s="18"/>
      <c r="GY1170" s="18"/>
      <c r="GZ1170" s="18"/>
      <c r="HA1170" s="18"/>
      <c r="HB1170" s="18"/>
      <c r="HC1170" s="18"/>
      <c r="HD1170" s="18"/>
      <c r="HE1170" s="18"/>
      <c r="HF1170" s="18"/>
      <c r="HG1170" s="13"/>
      <c r="HH1170" s="13"/>
      <c r="HI1170" s="13"/>
      <c r="HJ1170" s="13"/>
      <c r="HK1170" s="13"/>
      <c r="HL1170" s="13"/>
      <c r="HM1170" s="13"/>
      <c r="HN1170" s="13"/>
      <c r="HO1170" s="13"/>
      <c r="HP1170" s="13"/>
      <c r="HQ1170" s="13"/>
      <c r="HR1170" s="13"/>
      <c r="HS1170" s="13"/>
      <c r="HT1170" s="13"/>
      <c r="HU1170" s="18"/>
      <c r="HV1170" s="18"/>
      <c r="HW1170" s="18"/>
      <c r="HX1170" s="18"/>
      <c r="HY1170" s="18"/>
      <c r="HZ1170" s="18"/>
      <c r="IA1170" s="18"/>
      <c r="IB1170" s="18"/>
      <c r="IC1170" s="18"/>
      <c r="ID1170" s="18"/>
      <c r="IE1170" s="18"/>
      <c r="IF1170" s="18"/>
      <c r="IG1170" s="18"/>
      <c r="IH1170" s="18"/>
      <c r="II1170" s="18"/>
      <c r="IJ1170" s="18"/>
      <c r="IK1170" s="18"/>
      <c r="IL1170" s="18"/>
      <c r="IM1170" s="18"/>
      <c r="IN1170" s="18"/>
      <c r="IO1170" s="18"/>
      <c r="IP1170" s="18"/>
      <c r="IQ1170" s="18"/>
      <c r="IR1170" s="18"/>
      <c r="IS1170" s="18"/>
      <c r="IT1170" s="18"/>
      <c r="IU1170" s="18"/>
      <c r="IV1170" s="18"/>
      <c r="IW1170" s="18"/>
      <c r="IX1170" s="18"/>
      <c r="IY1170" s="18"/>
      <c r="IZ1170" s="18"/>
      <c r="JA1170" s="18"/>
      <c r="JB1170" s="18"/>
      <c r="JC1170" s="18"/>
      <c r="JD1170" s="18"/>
      <c r="JE1170" s="18"/>
      <c r="JF1170" s="18"/>
      <c r="JG1170" s="18"/>
      <c r="JH1170" s="18"/>
      <c r="JI1170" s="18"/>
      <c r="JJ1170" s="18"/>
      <c r="JK1170" s="18"/>
      <c r="JL1170" s="18"/>
      <c r="JM1170" s="18"/>
      <c r="JN1170" s="18"/>
      <c r="JO1170" s="18"/>
      <c r="JP1170" s="18"/>
      <c r="JQ1170" s="18"/>
      <c r="JR1170" s="18"/>
      <c r="JS1170" s="18"/>
      <c r="JT1170" s="18"/>
      <c r="JU1170" s="18"/>
      <c r="JV1170" s="18"/>
      <c r="JW1170" s="18"/>
      <c r="JX1170" s="18"/>
      <c r="JY1170" s="18"/>
      <c r="JZ1170" s="18"/>
      <c r="KA1170" s="18"/>
      <c r="KB1170" s="18"/>
      <c r="KC1170" s="18"/>
      <c r="KD1170" s="18"/>
      <c r="KE1170" s="18"/>
      <c r="KF1170" s="18"/>
      <c r="KG1170" s="18"/>
      <c r="KH1170" s="18"/>
      <c r="KI1170" s="18"/>
      <c r="KJ1170" s="18"/>
      <c r="KK1170" s="18"/>
      <c r="KL1170" s="18"/>
      <c r="KM1170" s="18"/>
      <c r="KN1170" s="18"/>
      <c r="KO1170" s="18"/>
      <c r="KP1170" s="18"/>
    </row>
    <row r="1171" spans="1:302">
      <c r="A1171" s="14"/>
      <c r="B1171" s="14"/>
      <c r="F1171" s="14"/>
      <c r="G1171" s="23"/>
      <c r="H1171" s="23"/>
      <c r="I1171" s="23"/>
      <c r="J1171" s="23"/>
      <c r="K1171" s="14"/>
      <c r="L1171" s="14"/>
      <c r="P1171" s="14"/>
      <c r="AG1171" s="44"/>
      <c r="AH1171" s="44"/>
      <c r="AI1171" s="45"/>
      <c r="AJ1171" s="44"/>
      <c r="AK1171" s="43"/>
      <c r="AS1171" s="14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  <c r="EW1171" s="18"/>
      <c r="EX1171" s="18"/>
      <c r="EY1171" s="18"/>
      <c r="EZ1171" s="18"/>
      <c r="FA1171" s="18"/>
      <c r="FB1171" s="18"/>
      <c r="FC1171" s="18"/>
      <c r="FD1171" s="18"/>
      <c r="FE1171" s="18"/>
      <c r="FF1171" s="18"/>
      <c r="FG1171" s="18"/>
      <c r="FH1171" s="18"/>
      <c r="FI1171" s="18"/>
      <c r="FJ1171" s="18"/>
      <c r="FK1171" s="18"/>
      <c r="FL1171" s="18"/>
      <c r="FM1171" s="18"/>
      <c r="FN1171" s="18"/>
      <c r="FO1171" s="18"/>
      <c r="FP1171" s="18"/>
      <c r="FQ1171" s="18"/>
      <c r="FR1171" s="18"/>
      <c r="FS1171" s="18"/>
      <c r="FT1171" s="18"/>
      <c r="FU1171" s="18"/>
      <c r="FV1171" s="18"/>
      <c r="FW1171" s="18"/>
      <c r="FX1171" s="18"/>
      <c r="FY1171" s="18"/>
      <c r="FZ1171" s="18"/>
      <c r="GA1171" s="18"/>
      <c r="GB1171" s="18"/>
      <c r="GC1171" s="18"/>
      <c r="GD1171" s="18"/>
      <c r="GE1171" s="18"/>
      <c r="GF1171" s="18"/>
      <c r="GG1171" s="18"/>
      <c r="GH1171" s="18"/>
      <c r="GI1171" s="18"/>
      <c r="GJ1171" s="18"/>
      <c r="GK1171" s="18"/>
      <c r="GL1171" s="18"/>
      <c r="GM1171" s="18"/>
      <c r="GN1171" s="18"/>
      <c r="GO1171" s="18"/>
      <c r="GP1171" s="18"/>
      <c r="GQ1171" s="18"/>
      <c r="GR1171" s="18"/>
      <c r="GS1171" s="18"/>
      <c r="GT1171" s="18"/>
      <c r="GU1171" s="18"/>
      <c r="GV1171" s="18"/>
      <c r="GW1171" s="18"/>
      <c r="GX1171" s="18"/>
      <c r="GY1171" s="18"/>
      <c r="GZ1171" s="18"/>
      <c r="HA1171" s="18"/>
      <c r="HB1171" s="18"/>
      <c r="HC1171" s="18"/>
      <c r="HD1171" s="18"/>
      <c r="HE1171" s="18"/>
      <c r="HF1171" s="18"/>
      <c r="HG1171" s="13"/>
      <c r="HH1171" s="13"/>
      <c r="HI1171" s="13"/>
      <c r="HJ1171" s="13"/>
      <c r="HK1171" s="13"/>
      <c r="HL1171" s="13"/>
      <c r="HM1171" s="13"/>
      <c r="HN1171" s="13"/>
      <c r="HO1171" s="13"/>
      <c r="HP1171" s="13"/>
      <c r="HQ1171" s="13"/>
      <c r="HR1171" s="13"/>
      <c r="HS1171" s="13"/>
      <c r="HT1171" s="13"/>
      <c r="HU1171" s="18"/>
      <c r="HV1171" s="18"/>
      <c r="HW1171" s="18"/>
      <c r="HX1171" s="18"/>
      <c r="HY1171" s="18"/>
      <c r="HZ1171" s="18"/>
      <c r="IA1171" s="18"/>
      <c r="IB1171" s="18"/>
      <c r="IC1171" s="18"/>
      <c r="ID1171" s="18"/>
      <c r="IE1171" s="18"/>
      <c r="IF1171" s="18"/>
      <c r="IG1171" s="18"/>
      <c r="IH1171" s="18"/>
      <c r="II1171" s="18"/>
      <c r="IJ1171" s="18"/>
      <c r="IK1171" s="18"/>
      <c r="IL1171" s="18"/>
      <c r="IM1171" s="18"/>
      <c r="IN1171" s="18"/>
      <c r="IO1171" s="18"/>
      <c r="IP1171" s="18"/>
      <c r="IQ1171" s="18"/>
      <c r="IR1171" s="18"/>
      <c r="IS1171" s="18"/>
      <c r="IT1171" s="18"/>
      <c r="IU1171" s="18"/>
      <c r="IV1171" s="18"/>
      <c r="IW1171" s="18"/>
      <c r="IX1171" s="18"/>
      <c r="IY1171" s="18"/>
      <c r="IZ1171" s="18"/>
      <c r="JA1171" s="18"/>
      <c r="JB1171" s="18"/>
      <c r="JC1171" s="18"/>
      <c r="JD1171" s="18"/>
      <c r="JE1171" s="18"/>
      <c r="JF1171" s="18"/>
      <c r="JG1171" s="18"/>
      <c r="JH1171" s="18"/>
      <c r="JI1171" s="18"/>
      <c r="JJ1171" s="18"/>
      <c r="JK1171" s="18"/>
      <c r="JL1171" s="18"/>
      <c r="JM1171" s="18"/>
      <c r="JN1171" s="18"/>
      <c r="JO1171" s="18"/>
      <c r="JP1171" s="18"/>
      <c r="JQ1171" s="18"/>
      <c r="JR1171" s="18"/>
      <c r="JS1171" s="18"/>
      <c r="JT1171" s="18"/>
      <c r="JU1171" s="18"/>
      <c r="JV1171" s="18"/>
      <c r="JW1171" s="18"/>
      <c r="JX1171" s="18"/>
      <c r="JY1171" s="18"/>
      <c r="JZ1171" s="18"/>
      <c r="KA1171" s="18"/>
      <c r="KB1171" s="18"/>
      <c r="KC1171" s="18"/>
      <c r="KD1171" s="18"/>
      <c r="KE1171" s="18"/>
      <c r="KF1171" s="18"/>
      <c r="KG1171" s="18"/>
      <c r="KH1171" s="18"/>
      <c r="KI1171" s="18"/>
      <c r="KJ1171" s="18"/>
      <c r="KK1171" s="18"/>
      <c r="KL1171" s="18"/>
      <c r="KM1171" s="18"/>
      <c r="KN1171" s="18"/>
      <c r="KO1171" s="18"/>
      <c r="KP1171" s="18"/>
    </row>
    <row r="1172" spans="1:302">
      <c r="A1172" s="14"/>
      <c r="B1172" s="14"/>
      <c r="F1172" s="14"/>
      <c r="G1172" s="23"/>
      <c r="H1172" s="23"/>
      <c r="I1172" s="23"/>
      <c r="J1172" s="23"/>
      <c r="K1172" s="14"/>
      <c r="L1172" s="14"/>
      <c r="P1172" s="14"/>
      <c r="AG1172" s="44"/>
      <c r="AH1172" s="44"/>
      <c r="AI1172" s="45"/>
      <c r="AJ1172" s="44"/>
      <c r="AK1172" s="43"/>
      <c r="AS1172" s="14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  <c r="EW1172" s="18"/>
      <c r="EX1172" s="18"/>
      <c r="EY1172" s="18"/>
      <c r="EZ1172" s="18"/>
      <c r="FA1172" s="18"/>
      <c r="FB1172" s="18"/>
      <c r="FC1172" s="18"/>
      <c r="FD1172" s="18"/>
      <c r="FE1172" s="18"/>
      <c r="FF1172" s="18"/>
      <c r="FG1172" s="18"/>
      <c r="FH1172" s="18"/>
      <c r="FI1172" s="18"/>
      <c r="FJ1172" s="18"/>
      <c r="FK1172" s="18"/>
      <c r="FL1172" s="18"/>
      <c r="FM1172" s="18"/>
      <c r="FN1172" s="18"/>
      <c r="FO1172" s="18"/>
      <c r="FP1172" s="18"/>
      <c r="FQ1172" s="18"/>
      <c r="FR1172" s="18"/>
      <c r="FS1172" s="18"/>
      <c r="FT1172" s="18"/>
      <c r="FU1172" s="18"/>
      <c r="FV1172" s="18"/>
      <c r="FW1172" s="18"/>
      <c r="FX1172" s="18"/>
      <c r="FY1172" s="18"/>
      <c r="FZ1172" s="18"/>
      <c r="GA1172" s="18"/>
      <c r="GB1172" s="18"/>
      <c r="GC1172" s="18"/>
      <c r="GD1172" s="18"/>
      <c r="GE1172" s="18"/>
      <c r="GF1172" s="18"/>
      <c r="GG1172" s="18"/>
      <c r="GH1172" s="18"/>
      <c r="GI1172" s="18"/>
      <c r="GJ1172" s="18"/>
      <c r="GK1172" s="18"/>
      <c r="GL1172" s="18"/>
      <c r="GM1172" s="18"/>
      <c r="GN1172" s="18"/>
      <c r="GO1172" s="18"/>
      <c r="GP1172" s="18"/>
      <c r="GQ1172" s="18"/>
      <c r="GR1172" s="18"/>
      <c r="GS1172" s="18"/>
      <c r="GT1172" s="18"/>
      <c r="GU1172" s="18"/>
      <c r="GV1172" s="18"/>
      <c r="GW1172" s="18"/>
      <c r="GX1172" s="18"/>
      <c r="GY1172" s="18"/>
      <c r="GZ1172" s="18"/>
      <c r="HA1172" s="18"/>
      <c r="HB1172" s="18"/>
      <c r="HC1172" s="18"/>
      <c r="HD1172" s="18"/>
      <c r="HE1172" s="18"/>
      <c r="HF1172" s="18"/>
      <c r="HG1172" s="13"/>
      <c r="HH1172" s="13"/>
      <c r="HI1172" s="13"/>
      <c r="HJ1172" s="13"/>
      <c r="HK1172" s="13"/>
      <c r="HL1172" s="13"/>
      <c r="HM1172" s="13"/>
      <c r="HN1172" s="13"/>
      <c r="HO1172" s="13"/>
      <c r="HP1172" s="13"/>
      <c r="HQ1172" s="13"/>
      <c r="HR1172" s="13"/>
      <c r="HS1172" s="13"/>
      <c r="HT1172" s="13"/>
      <c r="HU1172" s="18"/>
      <c r="HV1172" s="18"/>
      <c r="HW1172" s="18"/>
      <c r="HX1172" s="18"/>
      <c r="HY1172" s="18"/>
      <c r="HZ1172" s="18"/>
      <c r="IA1172" s="18"/>
      <c r="IB1172" s="18"/>
      <c r="IC1172" s="18"/>
      <c r="ID1172" s="18"/>
      <c r="IE1172" s="18"/>
      <c r="IF1172" s="18"/>
      <c r="IG1172" s="18"/>
      <c r="IH1172" s="18"/>
      <c r="II1172" s="18"/>
      <c r="IJ1172" s="18"/>
      <c r="IK1172" s="18"/>
      <c r="IL1172" s="18"/>
      <c r="IM1172" s="18"/>
      <c r="IN1172" s="18"/>
      <c r="IO1172" s="18"/>
      <c r="IP1172" s="18"/>
      <c r="IQ1172" s="18"/>
      <c r="IR1172" s="18"/>
      <c r="IS1172" s="18"/>
      <c r="IT1172" s="18"/>
      <c r="IU1172" s="18"/>
      <c r="IV1172" s="18"/>
      <c r="IW1172" s="18"/>
      <c r="IX1172" s="18"/>
      <c r="IY1172" s="18"/>
      <c r="IZ1172" s="18"/>
      <c r="JA1172" s="18"/>
      <c r="JB1172" s="18"/>
      <c r="JC1172" s="18"/>
      <c r="JD1172" s="18"/>
      <c r="JE1172" s="18"/>
      <c r="JF1172" s="18"/>
      <c r="JG1172" s="18"/>
      <c r="JH1172" s="18"/>
      <c r="JI1172" s="18"/>
      <c r="JJ1172" s="18"/>
      <c r="JK1172" s="18"/>
      <c r="JL1172" s="18"/>
      <c r="JM1172" s="18"/>
      <c r="JN1172" s="18"/>
      <c r="JO1172" s="18"/>
      <c r="JP1172" s="18"/>
      <c r="JQ1172" s="18"/>
      <c r="JR1172" s="18"/>
      <c r="JS1172" s="18"/>
      <c r="JT1172" s="18"/>
      <c r="JU1172" s="18"/>
      <c r="JV1172" s="18"/>
      <c r="JW1172" s="18"/>
      <c r="JX1172" s="18"/>
      <c r="JY1172" s="18"/>
      <c r="JZ1172" s="18"/>
      <c r="KA1172" s="18"/>
      <c r="KB1172" s="18"/>
      <c r="KC1172" s="18"/>
      <c r="KD1172" s="18"/>
      <c r="KE1172" s="18"/>
      <c r="KF1172" s="18"/>
      <c r="KG1172" s="18"/>
      <c r="KH1172" s="18"/>
      <c r="KI1172" s="18"/>
      <c r="KJ1172" s="18"/>
      <c r="KK1172" s="18"/>
      <c r="KL1172" s="18"/>
      <c r="KM1172" s="18"/>
      <c r="KN1172" s="18"/>
      <c r="KO1172" s="18"/>
      <c r="KP1172" s="18"/>
    </row>
    <row r="1173" spans="1:302">
      <c r="A1173" s="14"/>
      <c r="B1173" s="14"/>
      <c r="F1173" s="14"/>
      <c r="G1173" s="23"/>
      <c r="H1173" s="23"/>
      <c r="I1173" s="23"/>
      <c r="J1173" s="23"/>
      <c r="K1173" s="14"/>
      <c r="L1173" s="14"/>
      <c r="P1173" s="14"/>
      <c r="AG1173" s="44"/>
      <c r="AH1173" s="44"/>
      <c r="AI1173" s="45"/>
      <c r="AJ1173" s="44"/>
      <c r="AK1173" s="43"/>
      <c r="AS1173" s="14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  <c r="EW1173" s="18"/>
      <c r="EX1173" s="18"/>
      <c r="EY1173" s="18"/>
      <c r="EZ1173" s="18"/>
      <c r="FA1173" s="18"/>
      <c r="FB1173" s="18"/>
      <c r="FC1173" s="18"/>
      <c r="FD1173" s="18"/>
      <c r="FE1173" s="18"/>
      <c r="FF1173" s="18"/>
      <c r="FG1173" s="18"/>
      <c r="FH1173" s="18"/>
      <c r="FI1173" s="18"/>
      <c r="FJ1173" s="18"/>
      <c r="FK1173" s="18"/>
      <c r="FL1173" s="18"/>
      <c r="FM1173" s="18"/>
      <c r="FN1173" s="18"/>
      <c r="FO1173" s="18"/>
      <c r="FP1173" s="18"/>
      <c r="FQ1173" s="18"/>
      <c r="FR1173" s="18"/>
      <c r="FS1173" s="18"/>
      <c r="FT1173" s="18"/>
      <c r="FU1173" s="18"/>
      <c r="FV1173" s="18"/>
      <c r="FW1173" s="18"/>
      <c r="FX1173" s="18"/>
      <c r="FY1173" s="18"/>
      <c r="FZ1173" s="18"/>
      <c r="GA1173" s="18"/>
      <c r="GB1173" s="18"/>
      <c r="GC1173" s="18"/>
      <c r="GD1173" s="18"/>
      <c r="GE1173" s="18"/>
      <c r="GF1173" s="18"/>
      <c r="GG1173" s="18"/>
      <c r="GH1173" s="18"/>
      <c r="GI1173" s="18"/>
      <c r="GJ1173" s="18"/>
      <c r="GK1173" s="18"/>
      <c r="GL1173" s="18"/>
      <c r="GM1173" s="18"/>
      <c r="GN1173" s="18"/>
      <c r="GO1173" s="18"/>
      <c r="GP1173" s="18"/>
      <c r="GQ1173" s="18"/>
      <c r="GR1173" s="18"/>
      <c r="GS1173" s="18"/>
      <c r="GT1173" s="18"/>
      <c r="GU1173" s="18"/>
      <c r="GV1173" s="18"/>
      <c r="GW1173" s="18"/>
      <c r="GX1173" s="18"/>
      <c r="GY1173" s="18"/>
      <c r="GZ1173" s="18"/>
      <c r="HA1173" s="18"/>
      <c r="HB1173" s="18"/>
      <c r="HC1173" s="18"/>
      <c r="HD1173" s="18"/>
      <c r="HE1173" s="18"/>
      <c r="HF1173" s="18"/>
      <c r="HG1173" s="13"/>
      <c r="HH1173" s="13"/>
      <c r="HI1173" s="13"/>
      <c r="HJ1173" s="13"/>
      <c r="HK1173" s="13"/>
      <c r="HL1173" s="13"/>
      <c r="HM1173" s="13"/>
      <c r="HN1173" s="13"/>
      <c r="HO1173" s="13"/>
      <c r="HP1173" s="13"/>
      <c r="HQ1173" s="13"/>
      <c r="HR1173" s="13"/>
      <c r="HS1173" s="13"/>
      <c r="HT1173" s="13"/>
      <c r="HU1173" s="18"/>
      <c r="HV1173" s="18"/>
      <c r="HW1173" s="18"/>
      <c r="HX1173" s="18"/>
      <c r="HY1173" s="18"/>
      <c r="HZ1173" s="18"/>
      <c r="IA1173" s="18"/>
      <c r="IB1173" s="18"/>
      <c r="IC1173" s="18"/>
      <c r="ID1173" s="18"/>
      <c r="IE1173" s="18"/>
      <c r="IF1173" s="18"/>
      <c r="IG1173" s="18"/>
      <c r="IH1173" s="18"/>
      <c r="II1173" s="18"/>
      <c r="IJ1173" s="18"/>
      <c r="IK1173" s="18"/>
      <c r="IL1173" s="18"/>
      <c r="IM1173" s="18"/>
      <c r="IN1173" s="18"/>
      <c r="IO1173" s="18"/>
      <c r="IP1173" s="18"/>
      <c r="IQ1173" s="18"/>
      <c r="IR1173" s="18"/>
      <c r="IS1173" s="18"/>
      <c r="IT1173" s="18"/>
      <c r="IU1173" s="18"/>
      <c r="IV1173" s="18"/>
      <c r="IW1173" s="18"/>
      <c r="IX1173" s="18"/>
      <c r="IY1173" s="18"/>
      <c r="IZ1173" s="18"/>
      <c r="JA1173" s="18"/>
      <c r="JB1173" s="18"/>
      <c r="JC1173" s="18"/>
      <c r="JD1173" s="18"/>
      <c r="JE1173" s="18"/>
      <c r="JF1173" s="18"/>
      <c r="JG1173" s="18"/>
      <c r="JH1173" s="18"/>
      <c r="JI1173" s="18"/>
      <c r="JJ1173" s="18"/>
      <c r="JK1173" s="18"/>
      <c r="JL1173" s="18"/>
      <c r="JM1173" s="18"/>
      <c r="JN1173" s="18"/>
      <c r="JO1173" s="18"/>
      <c r="JP1173" s="18"/>
      <c r="JQ1173" s="18"/>
      <c r="JR1173" s="18"/>
      <c r="JS1173" s="18"/>
      <c r="JT1173" s="18"/>
      <c r="JU1173" s="18"/>
      <c r="JV1173" s="18"/>
      <c r="JW1173" s="18"/>
      <c r="JX1173" s="18"/>
      <c r="JY1173" s="18"/>
      <c r="JZ1173" s="18"/>
      <c r="KA1173" s="18"/>
      <c r="KB1173" s="18"/>
      <c r="KC1173" s="18"/>
      <c r="KD1173" s="18"/>
      <c r="KE1173" s="18"/>
      <c r="KF1173" s="18"/>
      <c r="KG1173" s="18"/>
      <c r="KH1173" s="18"/>
      <c r="KI1173" s="18"/>
      <c r="KJ1173" s="18"/>
      <c r="KK1173" s="18"/>
      <c r="KL1173" s="18"/>
      <c r="KM1173" s="18"/>
      <c r="KN1173" s="18"/>
      <c r="KO1173" s="18"/>
      <c r="KP1173" s="18"/>
    </row>
    <row r="1174" spans="1:302">
      <c r="A1174" s="14"/>
      <c r="B1174" s="14"/>
      <c r="F1174" s="14"/>
      <c r="G1174" s="23"/>
      <c r="H1174" s="23"/>
      <c r="I1174" s="23"/>
      <c r="J1174" s="23"/>
      <c r="K1174" s="14"/>
      <c r="L1174" s="14"/>
      <c r="P1174" s="14"/>
      <c r="AG1174" s="44"/>
      <c r="AH1174" s="44"/>
      <c r="AI1174" s="45"/>
      <c r="AJ1174" s="44"/>
      <c r="AK1174" s="43"/>
      <c r="AS1174" s="14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  <c r="EW1174" s="18"/>
      <c r="EX1174" s="18"/>
      <c r="EY1174" s="18"/>
      <c r="EZ1174" s="18"/>
      <c r="FA1174" s="18"/>
      <c r="FB1174" s="18"/>
      <c r="FC1174" s="18"/>
      <c r="FD1174" s="18"/>
      <c r="FE1174" s="18"/>
      <c r="FF1174" s="18"/>
      <c r="FG1174" s="18"/>
      <c r="FH1174" s="18"/>
      <c r="FI1174" s="18"/>
      <c r="FJ1174" s="18"/>
      <c r="FK1174" s="18"/>
      <c r="FL1174" s="18"/>
      <c r="FM1174" s="18"/>
      <c r="FN1174" s="18"/>
      <c r="FO1174" s="18"/>
      <c r="FP1174" s="18"/>
      <c r="FQ1174" s="18"/>
      <c r="FR1174" s="18"/>
      <c r="FS1174" s="18"/>
      <c r="FT1174" s="18"/>
      <c r="FU1174" s="18"/>
      <c r="FV1174" s="18"/>
      <c r="FW1174" s="18"/>
      <c r="FX1174" s="18"/>
      <c r="FY1174" s="18"/>
      <c r="FZ1174" s="18"/>
      <c r="GA1174" s="18"/>
      <c r="GB1174" s="18"/>
      <c r="GC1174" s="18"/>
      <c r="GD1174" s="18"/>
      <c r="GE1174" s="18"/>
      <c r="GF1174" s="18"/>
      <c r="GG1174" s="18"/>
      <c r="GH1174" s="18"/>
      <c r="GI1174" s="18"/>
      <c r="GJ1174" s="18"/>
      <c r="GK1174" s="18"/>
      <c r="GL1174" s="18"/>
      <c r="GM1174" s="18"/>
      <c r="GN1174" s="18"/>
      <c r="GO1174" s="18"/>
      <c r="GP1174" s="18"/>
      <c r="GQ1174" s="18"/>
      <c r="GR1174" s="18"/>
      <c r="GS1174" s="18"/>
      <c r="GT1174" s="18"/>
      <c r="GU1174" s="18"/>
      <c r="GV1174" s="18"/>
      <c r="GW1174" s="18"/>
      <c r="GX1174" s="18"/>
      <c r="GY1174" s="18"/>
      <c r="GZ1174" s="18"/>
      <c r="HA1174" s="18"/>
      <c r="HB1174" s="18"/>
      <c r="HC1174" s="18"/>
      <c r="HD1174" s="18"/>
      <c r="HE1174" s="18"/>
      <c r="HF1174" s="18"/>
      <c r="HG1174" s="13"/>
      <c r="HH1174" s="13"/>
      <c r="HI1174" s="13"/>
      <c r="HJ1174" s="13"/>
      <c r="HK1174" s="13"/>
      <c r="HL1174" s="13"/>
      <c r="HM1174" s="13"/>
      <c r="HN1174" s="13"/>
      <c r="HO1174" s="13"/>
      <c r="HP1174" s="13"/>
      <c r="HQ1174" s="13"/>
      <c r="HR1174" s="13"/>
      <c r="HS1174" s="13"/>
      <c r="HT1174" s="13"/>
      <c r="HU1174" s="18"/>
      <c r="HV1174" s="18"/>
      <c r="HW1174" s="18"/>
      <c r="HX1174" s="18"/>
      <c r="HY1174" s="18"/>
      <c r="HZ1174" s="18"/>
      <c r="IA1174" s="18"/>
      <c r="IB1174" s="18"/>
      <c r="IC1174" s="18"/>
      <c r="ID1174" s="18"/>
      <c r="IE1174" s="18"/>
      <c r="IF1174" s="18"/>
      <c r="IG1174" s="18"/>
      <c r="IH1174" s="18"/>
      <c r="II1174" s="18"/>
      <c r="IJ1174" s="18"/>
      <c r="IK1174" s="18"/>
      <c r="IL1174" s="18"/>
      <c r="IM1174" s="18"/>
      <c r="IN1174" s="18"/>
      <c r="IO1174" s="18"/>
      <c r="IP1174" s="18"/>
      <c r="IQ1174" s="18"/>
      <c r="IR1174" s="18"/>
      <c r="IS1174" s="18"/>
      <c r="IT1174" s="18"/>
      <c r="IU1174" s="18"/>
      <c r="IV1174" s="18"/>
      <c r="IW1174" s="18"/>
      <c r="IX1174" s="18"/>
      <c r="IY1174" s="18"/>
      <c r="IZ1174" s="18"/>
      <c r="JA1174" s="18"/>
      <c r="JB1174" s="18"/>
      <c r="JC1174" s="18"/>
      <c r="JD1174" s="18"/>
      <c r="JE1174" s="18"/>
      <c r="JF1174" s="18"/>
      <c r="JG1174" s="18"/>
      <c r="JH1174" s="18"/>
      <c r="JI1174" s="18"/>
      <c r="JJ1174" s="18"/>
      <c r="JK1174" s="18"/>
      <c r="JL1174" s="18"/>
      <c r="JM1174" s="18"/>
      <c r="JN1174" s="18"/>
      <c r="JO1174" s="18"/>
      <c r="JP1174" s="18"/>
      <c r="JQ1174" s="18"/>
      <c r="JR1174" s="18"/>
      <c r="JS1174" s="18"/>
      <c r="JT1174" s="18"/>
      <c r="JU1174" s="18"/>
      <c r="JV1174" s="18"/>
      <c r="JW1174" s="18"/>
      <c r="JX1174" s="18"/>
      <c r="JY1174" s="18"/>
      <c r="JZ1174" s="18"/>
      <c r="KA1174" s="18"/>
      <c r="KB1174" s="18"/>
      <c r="KC1174" s="18"/>
      <c r="KD1174" s="18"/>
      <c r="KE1174" s="18"/>
      <c r="KF1174" s="18"/>
      <c r="KG1174" s="18"/>
      <c r="KH1174" s="18"/>
      <c r="KI1174" s="18"/>
      <c r="KJ1174" s="18"/>
      <c r="KK1174" s="18"/>
      <c r="KL1174" s="18"/>
      <c r="KM1174" s="18"/>
      <c r="KN1174" s="18"/>
      <c r="KO1174" s="18"/>
      <c r="KP1174" s="18"/>
    </row>
    <row r="1175" spans="1:302">
      <c r="A1175" s="14"/>
      <c r="B1175" s="14"/>
      <c r="F1175" s="14"/>
      <c r="G1175" s="23"/>
      <c r="H1175" s="23"/>
      <c r="I1175" s="23"/>
      <c r="J1175" s="23"/>
      <c r="K1175" s="14"/>
      <c r="L1175" s="14"/>
      <c r="P1175" s="14"/>
      <c r="AG1175" s="44"/>
      <c r="AH1175" s="44"/>
      <c r="AI1175" s="45"/>
      <c r="AJ1175" s="44"/>
      <c r="AK1175" s="43"/>
      <c r="AS1175" s="14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  <c r="EW1175" s="18"/>
      <c r="EX1175" s="18"/>
      <c r="EY1175" s="18"/>
      <c r="EZ1175" s="18"/>
      <c r="FA1175" s="18"/>
      <c r="FB1175" s="18"/>
      <c r="FC1175" s="18"/>
      <c r="FD1175" s="18"/>
      <c r="FE1175" s="18"/>
      <c r="FF1175" s="18"/>
      <c r="FG1175" s="18"/>
      <c r="FH1175" s="18"/>
      <c r="FI1175" s="18"/>
      <c r="FJ1175" s="18"/>
      <c r="FK1175" s="18"/>
      <c r="FL1175" s="18"/>
      <c r="FM1175" s="18"/>
      <c r="FN1175" s="18"/>
      <c r="FO1175" s="18"/>
      <c r="FP1175" s="18"/>
      <c r="FQ1175" s="18"/>
      <c r="FR1175" s="18"/>
      <c r="FS1175" s="18"/>
      <c r="FT1175" s="18"/>
      <c r="FU1175" s="18"/>
      <c r="FV1175" s="18"/>
      <c r="FW1175" s="18"/>
      <c r="FX1175" s="18"/>
      <c r="FY1175" s="18"/>
      <c r="FZ1175" s="18"/>
      <c r="GA1175" s="18"/>
      <c r="GB1175" s="18"/>
      <c r="GC1175" s="18"/>
      <c r="GD1175" s="18"/>
      <c r="GE1175" s="18"/>
      <c r="GF1175" s="18"/>
      <c r="GG1175" s="18"/>
      <c r="GH1175" s="18"/>
      <c r="GI1175" s="18"/>
      <c r="GJ1175" s="18"/>
      <c r="GK1175" s="18"/>
      <c r="GL1175" s="18"/>
      <c r="GM1175" s="18"/>
      <c r="GN1175" s="18"/>
      <c r="GO1175" s="18"/>
      <c r="GP1175" s="18"/>
      <c r="GQ1175" s="18"/>
      <c r="GR1175" s="18"/>
      <c r="GS1175" s="18"/>
      <c r="GT1175" s="18"/>
      <c r="GU1175" s="18"/>
      <c r="GV1175" s="18"/>
      <c r="GW1175" s="18"/>
      <c r="GX1175" s="18"/>
      <c r="GY1175" s="18"/>
      <c r="GZ1175" s="18"/>
      <c r="HA1175" s="18"/>
      <c r="HB1175" s="18"/>
      <c r="HC1175" s="18"/>
      <c r="HD1175" s="18"/>
      <c r="HE1175" s="18"/>
      <c r="HF1175" s="18"/>
      <c r="HG1175" s="13"/>
      <c r="HH1175" s="13"/>
      <c r="HI1175" s="13"/>
      <c r="HJ1175" s="13"/>
      <c r="HK1175" s="13"/>
      <c r="HL1175" s="13"/>
      <c r="HM1175" s="13"/>
      <c r="HN1175" s="13"/>
      <c r="HO1175" s="13"/>
      <c r="HP1175" s="13"/>
      <c r="HQ1175" s="13"/>
      <c r="HR1175" s="13"/>
      <c r="HS1175" s="13"/>
      <c r="HT1175" s="13"/>
      <c r="HU1175" s="18"/>
      <c r="HV1175" s="18"/>
      <c r="HW1175" s="18"/>
      <c r="HX1175" s="18"/>
      <c r="HY1175" s="18"/>
      <c r="HZ1175" s="18"/>
      <c r="IA1175" s="18"/>
      <c r="IB1175" s="18"/>
      <c r="IC1175" s="18"/>
      <c r="ID1175" s="18"/>
      <c r="IE1175" s="18"/>
      <c r="IF1175" s="18"/>
      <c r="IG1175" s="18"/>
      <c r="IH1175" s="18"/>
      <c r="II1175" s="18"/>
      <c r="IJ1175" s="18"/>
      <c r="IK1175" s="18"/>
      <c r="IL1175" s="18"/>
      <c r="IM1175" s="18"/>
      <c r="IN1175" s="18"/>
      <c r="IO1175" s="18"/>
      <c r="IP1175" s="18"/>
      <c r="IQ1175" s="18"/>
      <c r="IR1175" s="18"/>
      <c r="IS1175" s="18"/>
      <c r="IT1175" s="18"/>
      <c r="IU1175" s="18"/>
      <c r="IV1175" s="18"/>
      <c r="IW1175" s="18"/>
      <c r="IX1175" s="18"/>
      <c r="IY1175" s="18"/>
      <c r="IZ1175" s="18"/>
      <c r="JA1175" s="18"/>
      <c r="JB1175" s="18"/>
      <c r="JC1175" s="18"/>
      <c r="JD1175" s="18"/>
      <c r="JE1175" s="18"/>
      <c r="JF1175" s="18"/>
      <c r="JG1175" s="18"/>
      <c r="JH1175" s="18"/>
      <c r="JI1175" s="18"/>
      <c r="JJ1175" s="18"/>
      <c r="JK1175" s="18"/>
      <c r="JL1175" s="18"/>
      <c r="JM1175" s="18"/>
      <c r="JN1175" s="18"/>
      <c r="JO1175" s="18"/>
      <c r="JP1175" s="18"/>
      <c r="JQ1175" s="18"/>
      <c r="JR1175" s="18"/>
      <c r="JS1175" s="18"/>
      <c r="JT1175" s="18"/>
      <c r="JU1175" s="18"/>
      <c r="JV1175" s="18"/>
      <c r="JW1175" s="18"/>
      <c r="JX1175" s="18"/>
      <c r="JY1175" s="18"/>
      <c r="JZ1175" s="18"/>
      <c r="KA1175" s="18"/>
      <c r="KB1175" s="18"/>
      <c r="KC1175" s="18"/>
      <c r="KD1175" s="18"/>
      <c r="KE1175" s="18"/>
      <c r="KF1175" s="18"/>
      <c r="KG1175" s="18"/>
      <c r="KH1175" s="18"/>
      <c r="KI1175" s="18"/>
      <c r="KJ1175" s="18"/>
      <c r="KK1175" s="18"/>
      <c r="KL1175" s="18"/>
      <c r="KM1175" s="18"/>
      <c r="KN1175" s="18"/>
      <c r="KO1175" s="18"/>
      <c r="KP1175" s="18"/>
    </row>
    <row r="1176" spans="1:302">
      <c r="A1176" s="14"/>
      <c r="B1176" s="14"/>
      <c r="F1176" s="14"/>
      <c r="G1176" s="23"/>
      <c r="H1176" s="23"/>
      <c r="I1176" s="23"/>
      <c r="J1176" s="23"/>
      <c r="K1176" s="14"/>
      <c r="L1176" s="14"/>
      <c r="P1176" s="14"/>
      <c r="AG1176" s="44"/>
      <c r="AH1176" s="44"/>
      <c r="AI1176" s="45"/>
      <c r="AJ1176" s="44"/>
      <c r="AK1176" s="43"/>
      <c r="AS1176" s="14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  <c r="EW1176" s="18"/>
      <c r="EX1176" s="18"/>
      <c r="EY1176" s="18"/>
      <c r="EZ1176" s="18"/>
      <c r="FA1176" s="18"/>
      <c r="FB1176" s="18"/>
      <c r="FC1176" s="18"/>
      <c r="FD1176" s="18"/>
      <c r="FE1176" s="18"/>
      <c r="FF1176" s="18"/>
      <c r="FG1176" s="18"/>
      <c r="FH1176" s="18"/>
      <c r="FI1176" s="18"/>
      <c r="FJ1176" s="18"/>
      <c r="FK1176" s="18"/>
      <c r="FL1176" s="18"/>
      <c r="FM1176" s="18"/>
      <c r="FN1176" s="18"/>
      <c r="FO1176" s="18"/>
      <c r="FP1176" s="18"/>
      <c r="FQ1176" s="18"/>
      <c r="FR1176" s="18"/>
      <c r="FS1176" s="18"/>
      <c r="FT1176" s="18"/>
      <c r="FU1176" s="18"/>
      <c r="FV1176" s="18"/>
      <c r="FW1176" s="18"/>
      <c r="FX1176" s="18"/>
      <c r="FY1176" s="18"/>
      <c r="FZ1176" s="18"/>
      <c r="GA1176" s="18"/>
      <c r="GB1176" s="18"/>
      <c r="GC1176" s="18"/>
      <c r="GD1176" s="18"/>
      <c r="GE1176" s="18"/>
      <c r="GF1176" s="18"/>
      <c r="GG1176" s="18"/>
      <c r="GH1176" s="18"/>
      <c r="GI1176" s="18"/>
      <c r="GJ1176" s="18"/>
      <c r="GK1176" s="18"/>
      <c r="GL1176" s="18"/>
      <c r="GM1176" s="18"/>
      <c r="GN1176" s="18"/>
      <c r="GO1176" s="18"/>
      <c r="GP1176" s="18"/>
      <c r="GQ1176" s="18"/>
      <c r="GR1176" s="18"/>
      <c r="GS1176" s="18"/>
      <c r="GT1176" s="18"/>
      <c r="GU1176" s="18"/>
      <c r="GV1176" s="18"/>
      <c r="GW1176" s="18"/>
      <c r="GX1176" s="18"/>
      <c r="GY1176" s="18"/>
      <c r="GZ1176" s="18"/>
      <c r="HA1176" s="18"/>
      <c r="HB1176" s="18"/>
      <c r="HC1176" s="18"/>
      <c r="HD1176" s="18"/>
      <c r="HE1176" s="18"/>
      <c r="HF1176" s="18"/>
      <c r="HG1176" s="13"/>
      <c r="HH1176" s="13"/>
      <c r="HI1176" s="13"/>
      <c r="HJ1176" s="13"/>
      <c r="HK1176" s="13"/>
      <c r="HL1176" s="13"/>
      <c r="HM1176" s="13"/>
      <c r="HN1176" s="13"/>
      <c r="HO1176" s="13"/>
      <c r="HP1176" s="13"/>
      <c r="HQ1176" s="13"/>
      <c r="HR1176" s="13"/>
      <c r="HS1176" s="13"/>
      <c r="HT1176" s="13"/>
      <c r="HU1176" s="18"/>
      <c r="HV1176" s="18"/>
      <c r="HW1176" s="18"/>
      <c r="HX1176" s="18"/>
      <c r="HY1176" s="18"/>
      <c r="HZ1176" s="18"/>
      <c r="IA1176" s="18"/>
      <c r="IB1176" s="18"/>
      <c r="IC1176" s="18"/>
      <c r="ID1176" s="18"/>
      <c r="IE1176" s="18"/>
      <c r="IF1176" s="18"/>
      <c r="IG1176" s="18"/>
      <c r="IH1176" s="18"/>
      <c r="II1176" s="18"/>
      <c r="IJ1176" s="18"/>
      <c r="IK1176" s="18"/>
      <c r="IL1176" s="18"/>
      <c r="IM1176" s="18"/>
      <c r="IN1176" s="18"/>
      <c r="IO1176" s="18"/>
      <c r="IP1176" s="18"/>
      <c r="IQ1176" s="18"/>
      <c r="IR1176" s="18"/>
      <c r="IS1176" s="18"/>
      <c r="IT1176" s="18"/>
      <c r="IU1176" s="18"/>
      <c r="IV1176" s="18"/>
      <c r="IW1176" s="18"/>
      <c r="IX1176" s="18"/>
      <c r="IY1176" s="18"/>
      <c r="IZ1176" s="18"/>
      <c r="JA1176" s="18"/>
      <c r="JB1176" s="18"/>
      <c r="JC1176" s="18"/>
      <c r="JD1176" s="18"/>
      <c r="JE1176" s="18"/>
      <c r="JF1176" s="18"/>
      <c r="JG1176" s="18"/>
      <c r="JH1176" s="18"/>
      <c r="JI1176" s="18"/>
      <c r="JJ1176" s="18"/>
      <c r="JK1176" s="18"/>
      <c r="JL1176" s="18"/>
      <c r="JM1176" s="18"/>
      <c r="JN1176" s="18"/>
      <c r="JO1176" s="18"/>
      <c r="JP1176" s="18"/>
      <c r="JQ1176" s="18"/>
      <c r="JR1176" s="18"/>
      <c r="JS1176" s="18"/>
      <c r="JT1176" s="18"/>
      <c r="JU1176" s="18"/>
      <c r="JV1176" s="18"/>
      <c r="JW1176" s="18"/>
      <c r="JX1176" s="18"/>
      <c r="JY1176" s="18"/>
      <c r="JZ1176" s="18"/>
      <c r="KA1176" s="18"/>
      <c r="KB1176" s="18"/>
      <c r="KC1176" s="18"/>
      <c r="KD1176" s="18"/>
      <c r="KE1176" s="18"/>
      <c r="KF1176" s="18"/>
      <c r="KG1176" s="18"/>
      <c r="KH1176" s="18"/>
      <c r="KI1176" s="18"/>
      <c r="KJ1176" s="18"/>
      <c r="KK1176" s="18"/>
      <c r="KL1176" s="18"/>
      <c r="KM1176" s="18"/>
      <c r="KN1176" s="18"/>
      <c r="KO1176" s="18"/>
      <c r="KP1176" s="18"/>
    </row>
    <row r="1177" spans="1:302">
      <c r="A1177" s="14"/>
      <c r="B1177" s="14"/>
      <c r="F1177" s="14"/>
      <c r="G1177" s="23"/>
      <c r="H1177" s="23"/>
      <c r="I1177" s="23"/>
      <c r="J1177" s="23"/>
      <c r="K1177" s="14"/>
      <c r="L1177" s="14"/>
      <c r="P1177" s="14"/>
      <c r="AG1177" s="44"/>
      <c r="AH1177" s="44"/>
      <c r="AI1177" s="45"/>
      <c r="AJ1177" s="44"/>
      <c r="AK1177" s="43"/>
      <c r="AS1177" s="14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  <c r="EW1177" s="18"/>
      <c r="EX1177" s="18"/>
      <c r="EY1177" s="18"/>
      <c r="EZ1177" s="18"/>
      <c r="FA1177" s="18"/>
      <c r="FB1177" s="18"/>
      <c r="FC1177" s="18"/>
      <c r="FD1177" s="18"/>
      <c r="FE1177" s="18"/>
      <c r="FF1177" s="18"/>
      <c r="FG1177" s="18"/>
      <c r="FH1177" s="18"/>
      <c r="FI1177" s="18"/>
      <c r="FJ1177" s="18"/>
      <c r="FK1177" s="18"/>
      <c r="FL1177" s="18"/>
      <c r="FM1177" s="18"/>
      <c r="FN1177" s="18"/>
      <c r="FO1177" s="18"/>
      <c r="FP1177" s="18"/>
      <c r="FQ1177" s="18"/>
      <c r="FR1177" s="18"/>
      <c r="FS1177" s="18"/>
      <c r="FT1177" s="18"/>
      <c r="FU1177" s="18"/>
      <c r="FV1177" s="18"/>
      <c r="FW1177" s="18"/>
      <c r="FX1177" s="18"/>
      <c r="FY1177" s="18"/>
      <c r="FZ1177" s="18"/>
      <c r="GA1177" s="18"/>
      <c r="GB1177" s="18"/>
      <c r="GC1177" s="18"/>
      <c r="GD1177" s="18"/>
      <c r="GE1177" s="18"/>
      <c r="GF1177" s="18"/>
      <c r="GG1177" s="18"/>
      <c r="GH1177" s="18"/>
      <c r="GI1177" s="18"/>
      <c r="GJ1177" s="18"/>
      <c r="GK1177" s="18"/>
      <c r="GL1177" s="18"/>
      <c r="GM1177" s="18"/>
      <c r="GN1177" s="18"/>
      <c r="GO1177" s="18"/>
      <c r="GP1177" s="18"/>
      <c r="GQ1177" s="18"/>
      <c r="GR1177" s="18"/>
      <c r="GS1177" s="18"/>
      <c r="GT1177" s="18"/>
      <c r="GU1177" s="18"/>
      <c r="GV1177" s="18"/>
      <c r="GW1177" s="18"/>
      <c r="GX1177" s="18"/>
      <c r="GY1177" s="18"/>
      <c r="GZ1177" s="18"/>
      <c r="HA1177" s="18"/>
      <c r="HB1177" s="18"/>
      <c r="HC1177" s="18"/>
      <c r="HD1177" s="18"/>
      <c r="HE1177" s="18"/>
      <c r="HF1177" s="18"/>
      <c r="HG1177" s="13"/>
      <c r="HH1177" s="13"/>
      <c r="HI1177" s="13"/>
      <c r="HJ1177" s="13"/>
      <c r="HK1177" s="13"/>
      <c r="HL1177" s="13"/>
      <c r="HM1177" s="13"/>
      <c r="HN1177" s="13"/>
      <c r="HO1177" s="13"/>
      <c r="HP1177" s="13"/>
      <c r="HQ1177" s="13"/>
      <c r="HR1177" s="13"/>
      <c r="HS1177" s="13"/>
      <c r="HT1177" s="13"/>
      <c r="HU1177" s="18"/>
      <c r="HV1177" s="18"/>
      <c r="HW1177" s="18"/>
      <c r="HX1177" s="18"/>
      <c r="HY1177" s="18"/>
      <c r="HZ1177" s="18"/>
      <c r="IA1177" s="18"/>
      <c r="IB1177" s="18"/>
      <c r="IC1177" s="18"/>
      <c r="ID1177" s="18"/>
      <c r="IE1177" s="18"/>
      <c r="IF1177" s="18"/>
      <c r="IG1177" s="18"/>
      <c r="IH1177" s="18"/>
      <c r="II1177" s="18"/>
      <c r="IJ1177" s="18"/>
      <c r="IK1177" s="18"/>
      <c r="IL1177" s="18"/>
      <c r="IM1177" s="18"/>
      <c r="IN1177" s="18"/>
      <c r="IO1177" s="18"/>
      <c r="IP1177" s="18"/>
      <c r="IQ1177" s="18"/>
      <c r="IR1177" s="18"/>
      <c r="IS1177" s="18"/>
      <c r="IT1177" s="18"/>
      <c r="IU1177" s="18"/>
      <c r="IV1177" s="18"/>
      <c r="IW1177" s="18"/>
      <c r="IX1177" s="18"/>
      <c r="IY1177" s="18"/>
      <c r="IZ1177" s="18"/>
      <c r="JA1177" s="18"/>
      <c r="JB1177" s="18"/>
      <c r="JC1177" s="18"/>
      <c r="JD1177" s="18"/>
      <c r="JE1177" s="18"/>
      <c r="JF1177" s="18"/>
      <c r="JG1177" s="18"/>
      <c r="JH1177" s="18"/>
      <c r="JI1177" s="18"/>
      <c r="JJ1177" s="18"/>
      <c r="JK1177" s="18"/>
      <c r="JL1177" s="18"/>
      <c r="JM1177" s="18"/>
      <c r="JN1177" s="18"/>
      <c r="JO1177" s="18"/>
      <c r="JP1177" s="18"/>
      <c r="JQ1177" s="18"/>
      <c r="JR1177" s="18"/>
      <c r="JS1177" s="18"/>
      <c r="JT1177" s="18"/>
      <c r="JU1177" s="18"/>
      <c r="JV1177" s="18"/>
      <c r="JW1177" s="18"/>
      <c r="JX1177" s="18"/>
      <c r="JY1177" s="18"/>
      <c r="JZ1177" s="18"/>
      <c r="KA1177" s="18"/>
      <c r="KB1177" s="18"/>
      <c r="KC1177" s="18"/>
      <c r="KD1177" s="18"/>
      <c r="KE1177" s="18"/>
      <c r="KF1177" s="18"/>
      <c r="KG1177" s="18"/>
      <c r="KH1177" s="18"/>
      <c r="KI1177" s="18"/>
      <c r="KJ1177" s="18"/>
      <c r="KK1177" s="18"/>
      <c r="KL1177" s="18"/>
      <c r="KM1177" s="18"/>
      <c r="KN1177" s="18"/>
      <c r="KO1177" s="18"/>
      <c r="KP1177" s="18"/>
    </row>
    <row r="1178" spans="1:302">
      <c r="A1178" s="14"/>
      <c r="B1178" s="14"/>
      <c r="F1178" s="14"/>
      <c r="G1178" s="23"/>
      <c r="H1178" s="23"/>
      <c r="I1178" s="23"/>
      <c r="J1178" s="23"/>
      <c r="K1178" s="14"/>
      <c r="L1178" s="14"/>
      <c r="P1178" s="14"/>
      <c r="AG1178" s="44"/>
      <c r="AH1178" s="44"/>
      <c r="AI1178" s="45"/>
      <c r="AJ1178" s="44"/>
      <c r="AK1178" s="43"/>
      <c r="AS1178" s="14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  <c r="EW1178" s="18"/>
      <c r="EX1178" s="18"/>
      <c r="EY1178" s="18"/>
      <c r="EZ1178" s="18"/>
      <c r="FA1178" s="18"/>
      <c r="FB1178" s="18"/>
      <c r="FC1178" s="18"/>
      <c r="FD1178" s="18"/>
      <c r="FE1178" s="18"/>
      <c r="FF1178" s="18"/>
      <c r="FG1178" s="18"/>
      <c r="FH1178" s="18"/>
      <c r="FI1178" s="18"/>
      <c r="FJ1178" s="18"/>
      <c r="FK1178" s="18"/>
      <c r="FL1178" s="18"/>
      <c r="FM1178" s="18"/>
      <c r="FN1178" s="18"/>
      <c r="FO1178" s="18"/>
      <c r="FP1178" s="18"/>
      <c r="FQ1178" s="18"/>
      <c r="FR1178" s="18"/>
      <c r="FS1178" s="18"/>
      <c r="FT1178" s="18"/>
      <c r="FU1178" s="18"/>
      <c r="FV1178" s="18"/>
      <c r="FW1178" s="18"/>
      <c r="FX1178" s="18"/>
      <c r="FY1178" s="18"/>
      <c r="FZ1178" s="18"/>
      <c r="GA1178" s="18"/>
      <c r="GB1178" s="18"/>
      <c r="GC1178" s="18"/>
      <c r="GD1178" s="18"/>
      <c r="GE1178" s="18"/>
      <c r="GF1178" s="18"/>
      <c r="GG1178" s="18"/>
      <c r="GH1178" s="18"/>
      <c r="GI1178" s="18"/>
      <c r="GJ1178" s="18"/>
      <c r="GK1178" s="18"/>
      <c r="GL1178" s="18"/>
      <c r="GM1178" s="18"/>
      <c r="GN1178" s="18"/>
      <c r="GO1178" s="18"/>
      <c r="GP1178" s="18"/>
      <c r="GQ1178" s="18"/>
      <c r="GR1178" s="18"/>
      <c r="GS1178" s="18"/>
      <c r="GT1178" s="18"/>
      <c r="GU1178" s="18"/>
      <c r="GV1178" s="18"/>
      <c r="GW1178" s="18"/>
      <c r="GX1178" s="18"/>
      <c r="GY1178" s="18"/>
      <c r="GZ1178" s="18"/>
      <c r="HA1178" s="18"/>
      <c r="HB1178" s="18"/>
      <c r="HC1178" s="18"/>
      <c r="HD1178" s="18"/>
      <c r="HE1178" s="18"/>
      <c r="HF1178" s="18"/>
      <c r="HG1178" s="13"/>
      <c r="HH1178" s="13"/>
      <c r="HI1178" s="13"/>
      <c r="HJ1178" s="13"/>
      <c r="HK1178" s="13"/>
      <c r="HL1178" s="13"/>
      <c r="HM1178" s="13"/>
      <c r="HN1178" s="13"/>
      <c r="HO1178" s="13"/>
      <c r="HP1178" s="13"/>
      <c r="HQ1178" s="13"/>
      <c r="HR1178" s="13"/>
      <c r="HS1178" s="13"/>
      <c r="HT1178" s="13"/>
      <c r="HU1178" s="18"/>
      <c r="HV1178" s="18"/>
      <c r="HW1178" s="18"/>
      <c r="HX1178" s="18"/>
      <c r="HY1178" s="18"/>
      <c r="HZ1178" s="18"/>
      <c r="IA1178" s="18"/>
      <c r="IB1178" s="18"/>
      <c r="IC1178" s="18"/>
      <c r="ID1178" s="18"/>
      <c r="IE1178" s="18"/>
      <c r="IF1178" s="18"/>
      <c r="IG1178" s="18"/>
      <c r="IH1178" s="18"/>
      <c r="II1178" s="18"/>
      <c r="IJ1178" s="18"/>
      <c r="IK1178" s="18"/>
      <c r="IL1178" s="18"/>
      <c r="IM1178" s="18"/>
      <c r="IN1178" s="18"/>
      <c r="IO1178" s="18"/>
      <c r="IP1178" s="18"/>
      <c r="IQ1178" s="18"/>
      <c r="IR1178" s="18"/>
      <c r="IS1178" s="18"/>
      <c r="IT1178" s="18"/>
      <c r="IU1178" s="18"/>
      <c r="IV1178" s="18"/>
      <c r="IW1178" s="18"/>
      <c r="IX1178" s="18"/>
      <c r="IY1178" s="18"/>
      <c r="IZ1178" s="18"/>
      <c r="JA1178" s="18"/>
      <c r="JB1178" s="18"/>
      <c r="JC1178" s="18"/>
      <c r="JD1178" s="18"/>
      <c r="JE1178" s="18"/>
      <c r="JF1178" s="18"/>
      <c r="JG1178" s="18"/>
      <c r="JH1178" s="18"/>
      <c r="JI1178" s="18"/>
      <c r="JJ1178" s="18"/>
      <c r="JK1178" s="18"/>
      <c r="JL1178" s="18"/>
      <c r="JM1178" s="18"/>
      <c r="JN1178" s="18"/>
      <c r="JO1178" s="18"/>
      <c r="JP1178" s="18"/>
      <c r="JQ1178" s="18"/>
      <c r="JR1178" s="18"/>
      <c r="JS1178" s="18"/>
      <c r="JT1178" s="18"/>
      <c r="JU1178" s="18"/>
      <c r="JV1178" s="18"/>
      <c r="JW1178" s="18"/>
      <c r="JX1178" s="18"/>
      <c r="JY1178" s="18"/>
      <c r="JZ1178" s="18"/>
      <c r="KA1178" s="18"/>
      <c r="KB1178" s="18"/>
      <c r="KC1178" s="18"/>
      <c r="KD1178" s="18"/>
      <c r="KE1178" s="18"/>
      <c r="KF1178" s="18"/>
      <c r="KG1178" s="18"/>
      <c r="KH1178" s="18"/>
      <c r="KI1178" s="18"/>
      <c r="KJ1178" s="18"/>
      <c r="KK1178" s="18"/>
      <c r="KL1178" s="18"/>
      <c r="KM1178" s="18"/>
      <c r="KN1178" s="18"/>
      <c r="KO1178" s="18"/>
      <c r="KP1178" s="18"/>
    </row>
    <row r="1179" spans="1:302">
      <c r="A1179" s="14"/>
      <c r="B1179" s="14"/>
      <c r="F1179" s="14"/>
      <c r="G1179" s="23"/>
      <c r="H1179" s="23"/>
      <c r="I1179" s="23"/>
      <c r="J1179" s="23"/>
      <c r="K1179" s="14"/>
      <c r="L1179" s="14"/>
      <c r="P1179" s="14"/>
      <c r="AG1179" s="44"/>
      <c r="AH1179" s="44"/>
      <c r="AI1179" s="45"/>
      <c r="AJ1179" s="44"/>
      <c r="AK1179" s="43"/>
      <c r="AS1179" s="14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  <c r="EW1179" s="18"/>
      <c r="EX1179" s="18"/>
      <c r="EY1179" s="18"/>
      <c r="EZ1179" s="18"/>
      <c r="FA1179" s="18"/>
      <c r="FB1179" s="18"/>
      <c r="FC1179" s="18"/>
      <c r="FD1179" s="18"/>
      <c r="FE1179" s="18"/>
      <c r="FF1179" s="18"/>
      <c r="FG1179" s="18"/>
      <c r="FH1179" s="18"/>
      <c r="FI1179" s="18"/>
      <c r="FJ1179" s="18"/>
      <c r="FK1179" s="18"/>
      <c r="FL1179" s="18"/>
      <c r="FM1179" s="18"/>
      <c r="FN1179" s="18"/>
      <c r="FO1179" s="18"/>
      <c r="FP1179" s="18"/>
      <c r="FQ1179" s="18"/>
      <c r="FR1179" s="18"/>
      <c r="FS1179" s="18"/>
      <c r="FT1179" s="18"/>
      <c r="FU1179" s="18"/>
      <c r="FV1179" s="18"/>
      <c r="FW1179" s="18"/>
      <c r="FX1179" s="18"/>
      <c r="FY1179" s="18"/>
      <c r="FZ1179" s="18"/>
      <c r="GA1179" s="18"/>
      <c r="GB1179" s="18"/>
      <c r="GC1179" s="18"/>
      <c r="GD1179" s="18"/>
      <c r="GE1179" s="18"/>
      <c r="GF1179" s="18"/>
      <c r="GG1179" s="18"/>
      <c r="GH1179" s="18"/>
      <c r="GI1179" s="18"/>
      <c r="GJ1179" s="18"/>
      <c r="GK1179" s="18"/>
      <c r="GL1179" s="18"/>
      <c r="GM1179" s="18"/>
      <c r="GN1179" s="18"/>
      <c r="GO1179" s="18"/>
      <c r="GP1179" s="18"/>
      <c r="GQ1179" s="18"/>
      <c r="GR1179" s="18"/>
      <c r="GS1179" s="18"/>
      <c r="GT1179" s="18"/>
      <c r="GU1179" s="18"/>
      <c r="GV1179" s="18"/>
      <c r="GW1179" s="18"/>
      <c r="GX1179" s="18"/>
      <c r="GY1179" s="18"/>
      <c r="GZ1179" s="18"/>
      <c r="HA1179" s="18"/>
      <c r="HB1179" s="18"/>
      <c r="HC1179" s="18"/>
      <c r="HD1179" s="18"/>
      <c r="HE1179" s="18"/>
      <c r="HF1179" s="18"/>
      <c r="HG1179" s="13"/>
      <c r="HH1179" s="13"/>
      <c r="HI1179" s="13"/>
      <c r="HJ1179" s="13"/>
      <c r="HK1179" s="13"/>
      <c r="HL1179" s="13"/>
      <c r="HM1179" s="13"/>
      <c r="HN1179" s="13"/>
      <c r="HO1179" s="13"/>
      <c r="HP1179" s="13"/>
      <c r="HQ1179" s="13"/>
      <c r="HR1179" s="13"/>
      <c r="HS1179" s="13"/>
      <c r="HT1179" s="13"/>
      <c r="HU1179" s="18"/>
      <c r="HV1179" s="18"/>
      <c r="HW1179" s="18"/>
      <c r="HX1179" s="18"/>
      <c r="HY1179" s="18"/>
      <c r="HZ1179" s="18"/>
      <c r="IA1179" s="18"/>
      <c r="IB1179" s="18"/>
      <c r="IC1179" s="18"/>
      <c r="ID1179" s="18"/>
      <c r="IE1179" s="18"/>
      <c r="IF1179" s="18"/>
      <c r="IG1179" s="18"/>
      <c r="IH1179" s="18"/>
      <c r="II1179" s="18"/>
      <c r="IJ1179" s="18"/>
      <c r="IK1179" s="18"/>
      <c r="IL1179" s="18"/>
      <c r="IM1179" s="18"/>
      <c r="IN1179" s="18"/>
      <c r="IO1179" s="18"/>
      <c r="IP1179" s="18"/>
      <c r="IQ1179" s="18"/>
      <c r="IR1179" s="18"/>
      <c r="IS1179" s="18"/>
      <c r="IT1179" s="18"/>
      <c r="IU1179" s="18"/>
      <c r="IV1179" s="18"/>
      <c r="IW1179" s="18"/>
      <c r="IX1179" s="18"/>
      <c r="IY1179" s="18"/>
      <c r="IZ1179" s="18"/>
      <c r="JA1179" s="18"/>
      <c r="JB1179" s="18"/>
      <c r="JC1179" s="18"/>
      <c r="JD1179" s="18"/>
      <c r="JE1179" s="18"/>
      <c r="JF1179" s="18"/>
      <c r="JG1179" s="18"/>
      <c r="JH1179" s="18"/>
      <c r="JI1179" s="18"/>
      <c r="JJ1179" s="18"/>
      <c r="JK1179" s="18"/>
      <c r="JL1179" s="18"/>
      <c r="JM1179" s="18"/>
      <c r="JN1179" s="18"/>
      <c r="JO1179" s="18"/>
      <c r="JP1179" s="18"/>
      <c r="JQ1179" s="18"/>
      <c r="JR1179" s="18"/>
      <c r="JS1179" s="18"/>
      <c r="JT1179" s="18"/>
      <c r="JU1179" s="18"/>
      <c r="JV1179" s="18"/>
      <c r="JW1179" s="18"/>
      <c r="JX1179" s="18"/>
      <c r="JY1179" s="18"/>
      <c r="JZ1179" s="18"/>
      <c r="KA1179" s="18"/>
      <c r="KB1179" s="18"/>
      <c r="KC1179" s="18"/>
      <c r="KD1179" s="18"/>
      <c r="KE1179" s="18"/>
      <c r="KF1179" s="18"/>
      <c r="KG1179" s="18"/>
      <c r="KH1179" s="18"/>
      <c r="KI1179" s="18"/>
      <c r="KJ1179" s="18"/>
      <c r="KK1179" s="18"/>
      <c r="KL1179" s="18"/>
      <c r="KM1179" s="18"/>
      <c r="KN1179" s="18"/>
      <c r="KO1179" s="18"/>
      <c r="KP1179" s="18"/>
    </row>
    <row r="1180" spans="1:302">
      <c r="A1180" s="14"/>
      <c r="B1180" s="14"/>
      <c r="F1180" s="14"/>
      <c r="G1180" s="23"/>
      <c r="H1180" s="23"/>
      <c r="I1180" s="23"/>
      <c r="J1180" s="23"/>
      <c r="K1180" s="14"/>
      <c r="L1180" s="14"/>
      <c r="P1180" s="14"/>
      <c r="AG1180" s="44"/>
      <c r="AH1180" s="44"/>
      <c r="AI1180" s="45"/>
      <c r="AJ1180" s="44"/>
      <c r="AK1180" s="43"/>
      <c r="AS1180" s="14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  <c r="EW1180" s="18"/>
      <c r="EX1180" s="18"/>
      <c r="EY1180" s="18"/>
      <c r="EZ1180" s="18"/>
      <c r="FA1180" s="18"/>
      <c r="FB1180" s="18"/>
      <c r="FC1180" s="18"/>
      <c r="FD1180" s="18"/>
      <c r="FE1180" s="18"/>
      <c r="FF1180" s="18"/>
      <c r="FG1180" s="18"/>
      <c r="FH1180" s="18"/>
      <c r="FI1180" s="18"/>
      <c r="FJ1180" s="18"/>
      <c r="FK1180" s="18"/>
      <c r="FL1180" s="18"/>
      <c r="FM1180" s="18"/>
      <c r="FN1180" s="18"/>
      <c r="FO1180" s="18"/>
      <c r="FP1180" s="18"/>
      <c r="FQ1180" s="18"/>
      <c r="FR1180" s="18"/>
      <c r="FS1180" s="18"/>
      <c r="FT1180" s="18"/>
      <c r="FU1180" s="18"/>
      <c r="FV1180" s="18"/>
      <c r="FW1180" s="18"/>
      <c r="FX1180" s="18"/>
      <c r="FY1180" s="18"/>
      <c r="FZ1180" s="18"/>
      <c r="GA1180" s="18"/>
      <c r="GB1180" s="18"/>
      <c r="GC1180" s="18"/>
      <c r="GD1180" s="18"/>
      <c r="GE1180" s="18"/>
      <c r="GF1180" s="18"/>
      <c r="GG1180" s="18"/>
      <c r="GH1180" s="18"/>
      <c r="GI1180" s="18"/>
      <c r="GJ1180" s="18"/>
      <c r="GK1180" s="18"/>
      <c r="GL1180" s="18"/>
      <c r="GM1180" s="18"/>
      <c r="GN1180" s="18"/>
      <c r="GO1180" s="18"/>
      <c r="GP1180" s="18"/>
      <c r="GQ1180" s="18"/>
      <c r="GR1180" s="18"/>
      <c r="GS1180" s="18"/>
      <c r="GT1180" s="18"/>
      <c r="GU1180" s="18"/>
      <c r="GV1180" s="18"/>
      <c r="GW1180" s="18"/>
      <c r="GX1180" s="18"/>
      <c r="GY1180" s="18"/>
      <c r="GZ1180" s="18"/>
      <c r="HA1180" s="18"/>
      <c r="HB1180" s="18"/>
      <c r="HC1180" s="18"/>
      <c r="HD1180" s="18"/>
      <c r="HE1180" s="18"/>
      <c r="HF1180" s="18"/>
      <c r="HG1180" s="13"/>
      <c r="HH1180" s="13"/>
      <c r="HI1180" s="13"/>
      <c r="HJ1180" s="13"/>
      <c r="HK1180" s="13"/>
      <c r="HL1180" s="13"/>
      <c r="HM1180" s="13"/>
      <c r="HN1180" s="13"/>
      <c r="HO1180" s="13"/>
      <c r="HP1180" s="13"/>
      <c r="HQ1180" s="13"/>
      <c r="HR1180" s="13"/>
      <c r="HS1180" s="13"/>
      <c r="HT1180" s="13"/>
      <c r="HU1180" s="18"/>
      <c r="HV1180" s="18"/>
      <c r="HW1180" s="18"/>
      <c r="HX1180" s="18"/>
      <c r="HY1180" s="18"/>
      <c r="HZ1180" s="18"/>
      <c r="IA1180" s="18"/>
      <c r="IB1180" s="18"/>
      <c r="IC1180" s="18"/>
      <c r="ID1180" s="18"/>
      <c r="IE1180" s="18"/>
      <c r="IF1180" s="18"/>
      <c r="IG1180" s="18"/>
      <c r="IH1180" s="18"/>
      <c r="II1180" s="18"/>
      <c r="IJ1180" s="18"/>
      <c r="IK1180" s="18"/>
      <c r="IL1180" s="18"/>
      <c r="IM1180" s="18"/>
      <c r="IN1180" s="18"/>
      <c r="IO1180" s="18"/>
      <c r="IP1180" s="18"/>
      <c r="IQ1180" s="18"/>
      <c r="IR1180" s="18"/>
      <c r="IS1180" s="18"/>
      <c r="IT1180" s="18"/>
      <c r="IU1180" s="18"/>
      <c r="IV1180" s="18"/>
      <c r="IW1180" s="18"/>
      <c r="IX1180" s="18"/>
      <c r="IY1180" s="18"/>
      <c r="IZ1180" s="18"/>
      <c r="JA1180" s="18"/>
      <c r="JB1180" s="18"/>
      <c r="JC1180" s="18"/>
      <c r="JD1180" s="18"/>
      <c r="JE1180" s="18"/>
      <c r="JF1180" s="18"/>
      <c r="JG1180" s="18"/>
      <c r="JH1180" s="18"/>
      <c r="JI1180" s="18"/>
      <c r="JJ1180" s="18"/>
      <c r="JK1180" s="18"/>
      <c r="JL1180" s="18"/>
      <c r="JM1180" s="18"/>
      <c r="JN1180" s="18"/>
      <c r="JO1180" s="18"/>
      <c r="JP1180" s="18"/>
      <c r="JQ1180" s="18"/>
      <c r="JR1180" s="18"/>
      <c r="JS1180" s="18"/>
      <c r="JT1180" s="18"/>
      <c r="JU1180" s="18"/>
      <c r="JV1180" s="18"/>
      <c r="JW1180" s="18"/>
      <c r="JX1180" s="18"/>
      <c r="JY1180" s="18"/>
      <c r="JZ1180" s="18"/>
      <c r="KA1180" s="18"/>
      <c r="KB1180" s="18"/>
      <c r="KC1180" s="18"/>
      <c r="KD1180" s="18"/>
      <c r="KE1180" s="18"/>
      <c r="KF1180" s="18"/>
      <c r="KG1180" s="18"/>
      <c r="KH1180" s="18"/>
      <c r="KI1180" s="18"/>
      <c r="KJ1180" s="18"/>
      <c r="KK1180" s="18"/>
      <c r="KL1180" s="18"/>
      <c r="KM1180" s="18"/>
      <c r="KN1180" s="18"/>
      <c r="KO1180" s="18"/>
      <c r="KP1180" s="18"/>
    </row>
    <row r="1181" spans="1:302">
      <c r="A1181" s="14"/>
      <c r="B1181" s="14"/>
      <c r="F1181" s="14"/>
      <c r="G1181" s="23"/>
      <c r="H1181" s="23"/>
      <c r="I1181" s="23"/>
      <c r="J1181" s="23"/>
      <c r="K1181" s="14"/>
      <c r="L1181" s="14"/>
      <c r="P1181" s="14"/>
      <c r="AG1181" s="44"/>
      <c r="AH1181" s="44"/>
      <c r="AI1181" s="45"/>
      <c r="AJ1181" s="44"/>
      <c r="AK1181" s="43"/>
      <c r="AS1181" s="14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  <c r="EW1181" s="18"/>
      <c r="EX1181" s="18"/>
      <c r="EY1181" s="18"/>
      <c r="EZ1181" s="18"/>
      <c r="FA1181" s="18"/>
      <c r="FB1181" s="18"/>
      <c r="FC1181" s="18"/>
      <c r="FD1181" s="18"/>
      <c r="FE1181" s="18"/>
      <c r="FF1181" s="18"/>
      <c r="FG1181" s="18"/>
      <c r="FH1181" s="18"/>
      <c r="FI1181" s="18"/>
      <c r="FJ1181" s="18"/>
      <c r="FK1181" s="18"/>
      <c r="FL1181" s="18"/>
      <c r="FM1181" s="18"/>
      <c r="FN1181" s="18"/>
      <c r="FO1181" s="18"/>
      <c r="FP1181" s="18"/>
      <c r="FQ1181" s="18"/>
      <c r="FR1181" s="18"/>
      <c r="FS1181" s="18"/>
      <c r="FT1181" s="18"/>
      <c r="FU1181" s="18"/>
      <c r="FV1181" s="18"/>
      <c r="FW1181" s="18"/>
      <c r="FX1181" s="18"/>
      <c r="FY1181" s="18"/>
      <c r="FZ1181" s="18"/>
      <c r="GA1181" s="18"/>
      <c r="GB1181" s="18"/>
      <c r="GC1181" s="18"/>
      <c r="GD1181" s="18"/>
      <c r="GE1181" s="18"/>
      <c r="GF1181" s="18"/>
      <c r="GG1181" s="18"/>
      <c r="GH1181" s="18"/>
      <c r="GI1181" s="18"/>
      <c r="GJ1181" s="18"/>
      <c r="GK1181" s="18"/>
      <c r="GL1181" s="18"/>
      <c r="GM1181" s="18"/>
      <c r="GN1181" s="18"/>
      <c r="GO1181" s="18"/>
      <c r="GP1181" s="18"/>
      <c r="GQ1181" s="18"/>
      <c r="GR1181" s="18"/>
      <c r="GS1181" s="18"/>
      <c r="GT1181" s="18"/>
      <c r="GU1181" s="18"/>
      <c r="GV1181" s="18"/>
      <c r="GW1181" s="18"/>
      <c r="GX1181" s="18"/>
      <c r="GY1181" s="18"/>
      <c r="GZ1181" s="18"/>
      <c r="HA1181" s="18"/>
      <c r="HB1181" s="18"/>
      <c r="HC1181" s="18"/>
      <c r="HD1181" s="18"/>
      <c r="HE1181" s="18"/>
      <c r="HF1181" s="18"/>
      <c r="HG1181" s="13"/>
      <c r="HH1181" s="13"/>
      <c r="HI1181" s="13"/>
      <c r="HJ1181" s="13"/>
      <c r="HK1181" s="13"/>
      <c r="HL1181" s="13"/>
      <c r="HM1181" s="13"/>
      <c r="HN1181" s="13"/>
      <c r="HO1181" s="13"/>
      <c r="HP1181" s="13"/>
      <c r="HQ1181" s="13"/>
      <c r="HR1181" s="13"/>
      <c r="HS1181" s="13"/>
      <c r="HT1181" s="13"/>
      <c r="HU1181" s="18"/>
      <c r="HV1181" s="18"/>
      <c r="HW1181" s="18"/>
      <c r="HX1181" s="18"/>
      <c r="HY1181" s="18"/>
      <c r="HZ1181" s="18"/>
      <c r="IA1181" s="18"/>
      <c r="IB1181" s="18"/>
      <c r="IC1181" s="18"/>
      <c r="ID1181" s="18"/>
      <c r="IE1181" s="18"/>
      <c r="IF1181" s="18"/>
      <c r="IG1181" s="18"/>
      <c r="IH1181" s="18"/>
      <c r="II1181" s="18"/>
      <c r="IJ1181" s="18"/>
      <c r="IK1181" s="18"/>
      <c r="IL1181" s="18"/>
      <c r="IM1181" s="18"/>
      <c r="IN1181" s="18"/>
      <c r="IO1181" s="18"/>
      <c r="IP1181" s="18"/>
      <c r="IQ1181" s="18"/>
      <c r="IR1181" s="18"/>
      <c r="IS1181" s="18"/>
      <c r="IT1181" s="18"/>
      <c r="IU1181" s="18"/>
      <c r="IV1181" s="18"/>
      <c r="IW1181" s="18"/>
      <c r="IX1181" s="18"/>
      <c r="IY1181" s="18"/>
      <c r="IZ1181" s="18"/>
      <c r="JA1181" s="18"/>
      <c r="JB1181" s="18"/>
      <c r="JC1181" s="18"/>
      <c r="JD1181" s="18"/>
      <c r="JE1181" s="18"/>
      <c r="JF1181" s="18"/>
      <c r="JG1181" s="18"/>
      <c r="JH1181" s="18"/>
      <c r="JI1181" s="18"/>
      <c r="JJ1181" s="18"/>
      <c r="JK1181" s="18"/>
      <c r="JL1181" s="18"/>
      <c r="JM1181" s="18"/>
      <c r="JN1181" s="18"/>
      <c r="JO1181" s="18"/>
      <c r="JP1181" s="18"/>
      <c r="JQ1181" s="18"/>
      <c r="JR1181" s="18"/>
      <c r="JS1181" s="18"/>
      <c r="JT1181" s="18"/>
      <c r="JU1181" s="18"/>
      <c r="JV1181" s="18"/>
      <c r="JW1181" s="18"/>
      <c r="JX1181" s="18"/>
      <c r="JY1181" s="18"/>
      <c r="JZ1181" s="18"/>
      <c r="KA1181" s="18"/>
      <c r="KB1181" s="18"/>
      <c r="KC1181" s="18"/>
      <c r="KD1181" s="18"/>
      <c r="KE1181" s="18"/>
      <c r="KF1181" s="18"/>
      <c r="KG1181" s="18"/>
      <c r="KH1181" s="18"/>
      <c r="KI1181" s="18"/>
      <c r="KJ1181" s="18"/>
      <c r="KK1181" s="18"/>
      <c r="KL1181" s="18"/>
      <c r="KM1181" s="18"/>
      <c r="KN1181" s="18"/>
      <c r="KO1181" s="18"/>
      <c r="KP1181" s="18"/>
    </row>
    <row r="1182" spans="1:302">
      <c r="A1182" s="14"/>
      <c r="B1182" s="14"/>
      <c r="F1182" s="14"/>
      <c r="G1182" s="23"/>
      <c r="H1182" s="23"/>
      <c r="I1182" s="23"/>
      <c r="J1182" s="23"/>
      <c r="K1182" s="14"/>
      <c r="L1182" s="14"/>
      <c r="P1182" s="14"/>
      <c r="AG1182" s="44"/>
      <c r="AH1182" s="44"/>
      <c r="AI1182" s="45"/>
      <c r="AJ1182" s="44"/>
      <c r="AK1182" s="43"/>
      <c r="AS1182" s="14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  <c r="EW1182" s="18"/>
      <c r="EX1182" s="18"/>
      <c r="EY1182" s="18"/>
      <c r="EZ1182" s="18"/>
      <c r="FA1182" s="18"/>
      <c r="FB1182" s="18"/>
      <c r="FC1182" s="18"/>
      <c r="FD1182" s="18"/>
      <c r="FE1182" s="18"/>
      <c r="FF1182" s="18"/>
      <c r="FG1182" s="18"/>
      <c r="FH1182" s="18"/>
      <c r="FI1182" s="18"/>
      <c r="FJ1182" s="18"/>
      <c r="FK1182" s="18"/>
      <c r="FL1182" s="18"/>
      <c r="FM1182" s="18"/>
      <c r="FN1182" s="18"/>
      <c r="FO1182" s="18"/>
      <c r="FP1182" s="18"/>
      <c r="FQ1182" s="18"/>
      <c r="FR1182" s="18"/>
      <c r="FS1182" s="18"/>
      <c r="FT1182" s="18"/>
      <c r="FU1182" s="18"/>
      <c r="FV1182" s="18"/>
      <c r="FW1182" s="18"/>
      <c r="FX1182" s="18"/>
      <c r="FY1182" s="18"/>
      <c r="FZ1182" s="18"/>
      <c r="GA1182" s="18"/>
      <c r="GB1182" s="18"/>
      <c r="GC1182" s="18"/>
      <c r="GD1182" s="18"/>
      <c r="GE1182" s="18"/>
      <c r="GF1182" s="18"/>
      <c r="GG1182" s="18"/>
      <c r="GH1182" s="18"/>
      <c r="GI1182" s="18"/>
      <c r="GJ1182" s="18"/>
      <c r="GK1182" s="18"/>
      <c r="GL1182" s="18"/>
      <c r="GM1182" s="18"/>
      <c r="GN1182" s="18"/>
      <c r="GO1182" s="18"/>
      <c r="GP1182" s="18"/>
      <c r="GQ1182" s="18"/>
      <c r="GR1182" s="18"/>
      <c r="GS1182" s="18"/>
      <c r="GT1182" s="18"/>
      <c r="GU1182" s="18"/>
      <c r="GV1182" s="18"/>
      <c r="GW1182" s="18"/>
      <c r="GX1182" s="18"/>
      <c r="GY1182" s="18"/>
      <c r="GZ1182" s="18"/>
      <c r="HA1182" s="18"/>
      <c r="HB1182" s="18"/>
      <c r="HC1182" s="18"/>
      <c r="HD1182" s="18"/>
      <c r="HE1182" s="18"/>
      <c r="HF1182" s="18"/>
      <c r="HG1182" s="13"/>
      <c r="HH1182" s="13"/>
      <c r="HI1182" s="13"/>
      <c r="HJ1182" s="13"/>
      <c r="HK1182" s="13"/>
      <c r="HL1182" s="13"/>
      <c r="HM1182" s="13"/>
      <c r="HN1182" s="13"/>
      <c r="HO1182" s="13"/>
      <c r="HP1182" s="13"/>
      <c r="HQ1182" s="13"/>
      <c r="HR1182" s="13"/>
      <c r="HS1182" s="13"/>
      <c r="HT1182" s="13"/>
      <c r="HU1182" s="18"/>
      <c r="HV1182" s="18"/>
      <c r="HW1182" s="18"/>
      <c r="HX1182" s="18"/>
      <c r="HY1182" s="18"/>
      <c r="HZ1182" s="18"/>
      <c r="IA1182" s="18"/>
      <c r="IB1182" s="18"/>
      <c r="IC1182" s="18"/>
      <c r="ID1182" s="18"/>
      <c r="IE1182" s="18"/>
      <c r="IF1182" s="18"/>
      <c r="IG1182" s="18"/>
      <c r="IH1182" s="18"/>
      <c r="II1182" s="18"/>
      <c r="IJ1182" s="18"/>
      <c r="IK1182" s="18"/>
      <c r="IL1182" s="18"/>
      <c r="IM1182" s="18"/>
      <c r="IN1182" s="18"/>
      <c r="IO1182" s="18"/>
      <c r="IP1182" s="18"/>
      <c r="IQ1182" s="18"/>
      <c r="IR1182" s="18"/>
      <c r="IS1182" s="18"/>
      <c r="IT1182" s="18"/>
      <c r="IU1182" s="18"/>
      <c r="IV1182" s="18"/>
      <c r="IW1182" s="18"/>
      <c r="IX1182" s="18"/>
      <c r="IY1182" s="18"/>
      <c r="IZ1182" s="18"/>
      <c r="JA1182" s="18"/>
      <c r="JB1182" s="18"/>
      <c r="JC1182" s="18"/>
      <c r="JD1182" s="18"/>
      <c r="JE1182" s="18"/>
      <c r="JF1182" s="18"/>
      <c r="JG1182" s="18"/>
      <c r="JH1182" s="18"/>
      <c r="JI1182" s="18"/>
      <c r="JJ1182" s="18"/>
      <c r="JK1182" s="18"/>
      <c r="JL1182" s="18"/>
      <c r="JM1182" s="18"/>
      <c r="JN1182" s="18"/>
      <c r="JO1182" s="18"/>
      <c r="JP1182" s="18"/>
      <c r="JQ1182" s="18"/>
      <c r="JR1182" s="18"/>
      <c r="JS1182" s="18"/>
      <c r="JT1182" s="18"/>
      <c r="JU1182" s="18"/>
      <c r="JV1182" s="18"/>
      <c r="JW1182" s="18"/>
      <c r="JX1182" s="18"/>
      <c r="JY1182" s="18"/>
      <c r="JZ1182" s="18"/>
      <c r="KA1182" s="18"/>
      <c r="KB1182" s="18"/>
      <c r="KC1182" s="18"/>
      <c r="KD1182" s="18"/>
      <c r="KE1182" s="18"/>
      <c r="KF1182" s="18"/>
      <c r="KG1182" s="18"/>
      <c r="KH1182" s="18"/>
      <c r="KI1182" s="18"/>
      <c r="KJ1182" s="18"/>
      <c r="KK1182" s="18"/>
      <c r="KL1182" s="18"/>
      <c r="KM1182" s="18"/>
      <c r="KN1182" s="18"/>
      <c r="KO1182" s="18"/>
      <c r="KP1182" s="18"/>
    </row>
    <row r="1183" spans="1:302">
      <c r="A1183" s="14"/>
      <c r="B1183" s="14"/>
      <c r="F1183" s="14"/>
      <c r="G1183" s="23"/>
      <c r="H1183" s="23"/>
      <c r="I1183" s="23"/>
      <c r="J1183" s="23"/>
      <c r="K1183" s="14"/>
      <c r="L1183" s="14"/>
      <c r="P1183" s="14"/>
      <c r="AG1183" s="44"/>
      <c r="AH1183" s="44"/>
      <c r="AI1183" s="45"/>
      <c r="AJ1183" s="44"/>
      <c r="AK1183" s="43"/>
      <c r="AS1183" s="14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  <c r="EW1183" s="18"/>
      <c r="EX1183" s="18"/>
      <c r="EY1183" s="18"/>
      <c r="EZ1183" s="18"/>
      <c r="FA1183" s="18"/>
      <c r="FB1183" s="18"/>
      <c r="FC1183" s="18"/>
      <c r="FD1183" s="18"/>
      <c r="FE1183" s="18"/>
      <c r="FF1183" s="18"/>
      <c r="FG1183" s="18"/>
      <c r="FH1183" s="18"/>
      <c r="FI1183" s="18"/>
      <c r="FJ1183" s="18"/>
      <c r="FK1183" s="18"/>
      <c r="FL1183" s="18"/>
      <c r="FM1183" s="18"/>
      <c r="FN1183" s="18"/>
      <c r="FO1183" s="18"/>
      <c r="FP1183" s="18"/>
      <c r="FQ1183" s="18"/>
      <c r="FR1183" s="18"/>
      <c r="FS1183" s="18"/>
      <c r="FT1183" s="18"/>
      <c r="FU1183" s="18"/>
      <c r="FV1183" s="18"/>
      <c r="FW1183" s="18"/>
      <c r="FX1183" s="18"/>
      <c r="FY1183" s="18"/>
      <c r="FZ1183" s="18"/>
      <c r="GA1183" s="18"/>
      <c r="GB1183" s="18"/>
      <c r="GC1183" s="18"/>
      <c r="GD1183" s="18"/>
      <c r="GE1183" s="18"/>
      <c r="GF1183" s="18"/>
      <c r="GG1183" s="18"/>
      <c r="GH1183" s="18"/>
      <c r="GI1183" s="18"/>
      <c r="GJ1183" s="18"/>
      <c r="GK1183" s="18"/>
      <c r="GL1183" s="18"/>
      <c r="GM1183" s="18"/>
      <c r="GN1183" s="18"/>
      <c r="GO1183" s="18"/>
      <c r="GP1183" s="18"/>
      <c r="GQ1183" s="18"/>
      <c r="GR1183" s="18"/>
      <c r="GS1183" s="18"/>
      <c r="GT1183" s="18"/>
      <c r="GU1183" s="18"/>
      <c r="GV1183" s="18"/>
      <c r="GW1183" s="18"/>
      <c r="GX1183" s="18"/>
      <c r="GY1183" s="18"/>
      <c r="GZ1183" s="18"/>
      <c r="HA1183" s="18"/>
      <c r="HB1183" s="18"/>
      <c r="HC1183" s="18"/>
      <c r="HD1183" s="18"/>
      <c r="HE1183" s="18"/>
      <c r="HF1183" s="18"/>
      <c r="HG1183" s="13"/>
      <c r="HH1183" s="13"/>
      <c r="HI1183" s="13"/>
      <c r="HJ1183" s="13"/>
      <c r="HK1183" s="13"/>
      <c r="HL1183" s="13"/>
      <c r="HM1183" s="13"/>
      <c r="HN1183" s="13"/>
      <c r="HO1183" s="13"/>
      <c r="HP1183" s="13"/>
      <c r="HQ1183" s="13"/>
      <c r="HR1183" s="13"/>
      <c r="HS1183" s="13"/>
      <c r="HT1183" s="13"/>
      <c r="HU1183" s="18"/>
      <c r="HV1183" s="18"/>
      <c r="HW1183" s="18"/>
      <c r="HX1183" s="18"/>
      <c r="HY1183" s="18"/>
      <c r="HZ1183" s="18"/>
      <c r="IA1183" s="18"/>
      <c r="IB1183" s="18"/>
      <c r="IC1183" s="18"/>
      <c r="ID1183" s="18"/>
      <c r="IE1183" s="18"/>
      <c r="IF1183" s="18"/>
      <c r="IG1183" s="18"/>
      <c r="IH1183" s="18"/>
      <c r="II1183" s="18"/>
      <c r="IJ1183" s="18"/>
      <c r="IK1183" s="18"/>
      <c r="IL1183" s="18"/>
      <c r="IM1183" s="18"/>
      <c r="IN1183" s="18"/>
      <c r="IO1183" s="18"/>
      <c r="IP1183" s="18"/>
      <c r="IQ1183" s="18"/>
      <c r="IR1183" s="18"/>
      <c r="IS1183" s="18"/>
      <c r="IT1183" s="18"/>
      <c r="IU1183" s="18"/>
      <c r="IV1183" s="18"/>
      <c r="IW1183" s="18"/>
      <c r="IX1183" s="18"/>
      <c r="IY1183" s="18"/>
      <c r="IZ1183" s="18"/>
      <c r="JA1183" s="18"/>
      <c r="JB1183" s="18"/>
      <c r="JC1183" s="18"/>
      <c r="JD1183" s="18"/>
      <c r="JE1183" s="18"/>
      <c r="JF1183" s="18"/>
      <c r="JG1183" s="18"/>
      <c r="JH1183" s="18"/>
      <c r="JI1183" s="18"/>
      <c r="JJ1183" s="18"/>
      <c r="JK1183" s="18"/>
      <c r="JL1183" s="18"/>
      <c r="JM1183" s="18"/>
      <c r="JN1183" s="18"/>
      <c r="JO1183" s="18"/>
      <c r="JP1183" s="18"/>
      <c r="JQ1183" s="18"/>
      <c r="JR1183" s="18"/>
      <c r="JS1183" s="18"/>
      <c r="JT1183" s="18"/>
      <c r="JU1183" s="18"/>
      <c r="JV1183" s="18"/>
      <c r="JW1183" s="18"/>
      <c r="JX1183" s="18"/>
      <c r="JY1183" s="18"/>
      <c r="JZ1183" s="18"/>
      <c r="KA1183" s="18"/>
      <c r="KB1183" s="18"/>
      <c r="KC1183" s="18"/>
      <c r="KD1183" s="18"/>
      <c r="KE1183" s="18"/>
      <c r="KF1183" s="18"/>
      <c r="KG1183" s="18"/>
      <c r="KH1183" s="18"/>
      <c r="KI1183" s="18"/>
      <c r="KJ1183" s="18"/>
      <c r="KK1183" s="18"/>
      <c r="KL1183" s="18"/>
      <c r="KM1183" s="18"/>
      <c r="KN1183" s="18"/>
      <c r="KO1183" s="18"/>
      <c r="KP1183" s="18"/>
    </row>
    <row r="1184" spans="1:302">
      <c r="A1184" s="14"/>
      <c r="B1184" s="14"/>
      <c r="F1184" s="14"/>
      <c r="G1184" s="23"/>
      <c r="H1184" s="23"/>
      <c r="I1184" s="23"/>
      <c r="J1184" s="23"/>
      <c r="K1184" s="14"/>
      <c r="L1184" s="14"/>
      <c r="P1184" s="14"/>
      <c r="AG1184" s="44"/>
      <c r="AH1184" s="44"/>
      <c r="AI1184" s="45"/>
      <c r="AJ1184" s="44"/>
      <c r="AK1184" s="43"/>
      <c r="AS1184" s="14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  <c r="EW1184" s="18"/>
      <c r="EX1184" s="18"/>
      <c r="EY1184" s="18"/>
      <c r="EZ1184" s="18"/>
      <c r="FA1184" s="18"/>
      <c r="FB1184" s="18"/>
      <c r="FC1184" s="18"/>
      <c r="FD1184" s="18"/>
      <c r="FE1184" s="18"/>
      <c r="FF1184" s="18"/>
      <c r="FG1184" s="18"/>
      <c r="FH1184" s="18"/>
      <c r="FI1184" s="18"/>
      <c r="FJ1184" s="18"/>
      <c r="FK1184" s="18"/>
      <c r="FL1184" s="18"/>
      <c r="FM1184" s="18"/>
      <c r="FN1184" s="18"/>
      <c r="FO1184" s="18"/>
      <c r="FP1184" s="18"/>
      <c r="FQ1184" s="18"/>
      <c r="FR1184" s="18"/>
      <c r="FS1184" s="18"/>
      <c r="FT1184" s="18"/>
      <c r="FU1184" s="18"/>
      <c r="FV1184" s="18"/>
      <c r="FW1184" s="18"/>
      <c r="FX1184" s="18"/>
      <c r="FY1184" s="18"/>
      <c r="FZ1184" s="18"/>
      <c r="GA1184" s="18"/>
      <c r="GB1184" s="18"/>
      <c r="GC1184" s="18"/>
      <c r="GD1184" s="18"/>
      <c r="GE1184" s="18"/>
      <c r="GF1184" s="18"/>
      <c r="GG1184" s="18"/>
      <c r="GH1184" s="18"/>
      <c r="GI1184" s="18"/>
      <c r="GJ1184" s="18"/>
      <c r="GK1184" s="18"/>
      <c r="GL1184" s="18"/>
      <c r="GM1184" s="18"/>
      <c r="GN1184" s="18"/>
      <c r="GO1184" s="18"/>
      <c r="GP1184" s="18"/>
      <c r="GQ1184" s="18"/>
      <c r="GR1184" s="18"/>
      <c r="GS1184" s="18"/>
      <c r="GT1184" s="18"/>
      <c r="GU1184" s="18"/>
      <c r="GV1184" s="18"/>
      <c r="GW1184" s="18"/>
      <c r="GX1184" s="18"/>
      <c r="GY1184" s="18"/>
      <c r="GZ1184" s="18"/>
      <c r="HA1184" s="18"/>
      <c r="HB1184" s="18"/>
      <c r="HC1184" s="18"/>
      <c r="HD1184" s="18"/>
      <c r="HE1184" s="18"/>
      <c r="HF1184" s="18"/>
      <c r="HG1184" s="13"/>
      <c r="HH1184" s="13"/>
      <c r="HI1184" s="13"/>
      <c r="HJ1184" s="13"/>
      <c r="HK1184" s="13"/>
      <c r="HL1184" s="13"/>
      <c r="HM1184" s="13"/>
      <c r="HN1184" s="13"/>
      <c r="HO1184" s="13"/>
      <c r="HP1184" s="13"/>
      <c r="HQ1184" s="13"/>
      <c r="HR1184" s="13"/>
      <c r="HS1184" s="13"/>
      <c r="HT1184" s="13"/>
      <c r="HU1184" s="18"/>
      <c r="HV1184" s="18"/>
      <c r="HW1184" s="18"/>
      <c r="HX1184" s="18"/>
      <c r="HY1184" s="18"/>
      <c r="HZ1184" s="18"/>
      <c r="IA1184" s="18"/>
      <c r="IB1184" s="18"/>
      <c r="IC1184" s="18"/>
      <c r="ID1184" s="18"/>
      <c r="IE1184" s="18"/>
      <c r="IF1184" s="18"/>
      <c r="IG1184" s="18"/>
      <c r="IH1184" s="18"/>
      <c r="II1184" s="18"/>
      <c r="IJ1184" s="18"/>
      <c r="IK1184" s="18"/>
      <c r="IL1184" s="18"/>
      <c r="IM1184" s="18"/>
      <c r="IN1184" s="18"/>
      <c r="IO1184" s="18"/>
      <c r="IP1184" s="18"/>
      <c r="IQ1184" s="18"/>
      <c r="IR1184" s="18"/>
      <c r="IS1184" s="18"/>
      <c r="IT1184" s="18"/>
      <c r="IU1184" s="18"/>
      <c r="IV1184" s="18"/>
      <c r="IW1184" s="18"/>
      <c r="IX1184" s="18"/>
      <c r="IY1184" s="18"/>
      <c r="IZ1184" s="18"/>
      <c r="JA1184" s="18"/>
      <c r="JB1184" s="18"/>
      <c r="JC1184" s="18"/>
      <c r="JD1184" s="18"/>
      <c r="JE1184" s="18"/>
      <c r="JF1184" s="18"/>
      <c r="JG1184" s="18"/>
      <c r="JH1184" s="18"/>
      <c r="JI1184" s="18"/>
      <c r="JJ1184" s="18"/>
      <c r="JK1184" s="18"/>
      <c r="JL1184" s="18"/>
      <c r="JM1184" s="18"/>
      <c r="JN1184" s="18"/>
      <c r="JO1184" s="18"/>
      <c r="JP1184" s="18"/>
      <c r="JQ1184" s="18"/>
      <c r="JR1184" s="18"/>
      <c r="JS1184" s="18"/>
      <c r="JT1184" s="18"/>
      <c r="JU1184" s="18"/>
      <c r="JV1184" s="18"/>
      <c r="JW1184" s="18"/>
      <c r="JX1184" s="18"/>
      <c r="JY1184" s="18"/>
      <c r="JZ1184" s="18"/>
      <c r="KA1184" s="18"/>
      <c r="KB1184" s="18"/>
      <c r="KC1184" s="18"/>
      <c r="KD1184" s="18"/>
      <c r="KE1184" s="18"/>
      <c r="KF1184" s="18"/>
      <c r="KG1184" s="18"/>
      <c r="KH1184" s="18"/>
      <c r="KI1184" s="18"/>
      <c r="KJ1184" s="18"/>
      <c r="KK1184" s="18"/>
      <c r="KL1184" s="18"/>
      <c r="KM1184" s="18"/>
      <c r="KN1184" s="18"/>
      <c r="KO1184" s="18"/>
      <c r="KP1184" s="18"/>
    </row>
    <row r="1185" spans="1:302">
      <c r="A1185" s="14"/>
      <c r="B1185" s="14"/>
      <c r="F1185" s="14"/>
      <c r="G1185" s="23"/>
      <c r="H1185" s="23"/>
      <c r="I1185" s="23"/>
      <c r="J1185" s="23"/>
      <c r="K1185" s="14"/>
      <c r="L1185" s="14"/>
      <c r="P1185" s="14"/>
      <c r="AG1185" s="44"/>
      <c r="AH1185" s="44"/>
      <c r="AI1185" s="45"/>
      <c r="AJ1185" s="44"/>
      <c r="AK1185" s="43"/>
      <c r="AS1185" s="14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  <c r="EW1185" s="18"/>
      <c r="EX1185" s="18"/>
      <c r="EY1185" s="18"/>
      <c r="EZ1185" s="18"/>
      <c r="FA1185" s="18"/>
      <c r="FB1185" s="18"/>
      <c r="FC1185" s="18"/>
      <c r="FD1185" s="18"/>
      <c r="FE1185" s="18"/>
      <c r="FF1185" s="18"/>
      <c r="FG1185" s="18"/>
      <c r="FH1185" s="18"/>
      <c r="FI1185" s="18"/>
      <c r="FJ1185" s="18"/>
      <c r="FK1185" s="18"/>
      <c r="FL1185" s="18"/>
      <c r="FM1185" s="18"/>
      <c r="FN1185" s="18"/>
      <c r="FO1185" s="18"/>
      <c r="FP1185" s="18"/>
      <c r="FQ1185" s="18"/>
      <c r="FR1185" s="18"/>
      <c r="FS1185" s="18"/>
      <c r="FT1185" s="18"/>
      <c r="FU1185" s="18"/>
      <c r="FV1185" s="18"/>
      <c r="FW1185" s="18"/>
      <c r="FX1185" s="18"/>
      <c r="FY1185" s="18"/>
      <c r="FZ1185" s="18"/>
      <c r="GA1185" s="18"/>
      <c r="GB1185" s="18"/>
      <c r="GC1185" s="18"/>
      <c r="GD1185" s="18"/>
      <c r="GE1185" s="18"/>
      <c r="GF1185" s="18"/>
      <c r="GG1185" s="18"/>
      <c r="GH1185" s="18"/>
      <c r="GI1185" s="18"/>
      <c r="GJ1185" s="18"/>
      <c r="GK1185" s="18"/>
      <c r="GL1185" s="18"/>
      <c r="GM1185" s="18"/>
      <c r="GN1185" s="18"/>
      <c r="GO1185" s="18"/>
      <c r="GP1185" s="18"/>
      <c r="GQ1185" s="18"/>
      <c r="GR1185" s="18"/>
      <c r="GS1185" s="18"/>
      <c r="GT1185" s="18"/>
      <c r="GU1185" s="18"/>
      <c r="GV1185" s="18"/>
      <c r="GW1185" s="18"/>
      <c r="GX1185" s="18"/>
      <c r="GY1185" s="18"/>
      <c r="GZ1185" s="18"/>
      <c r="HA1185" s="18"/>
      <c r="HB1185" s="18"/>
      <c r="HC1185" s="18"/>
      <c r="HD1185" s="18"/>
      <c r="HE1185" s="18"/>
      <c r="HF1185" s="18"/>
      <c r="HG1185" s="13"/>
      <c r="HH1185" s="13"/>
      <c r="HI1185" s="13"/>
      <c r="HJ1185" s="13"/>
      <c r="HK1185" s="13"/>
      <c r="HL1185" s="13"/>
      <c r="HM1185" s="13"/>
      <c r="HN1185" s="13"/>
      <c r="HO1185" s="13"/>
      <c r="HP1185" s="13"/>
      <c r="HQ1185" s="13"/>
      <c r="HR1185" s="13"/>
      <c r="HS1185" s="13"/>
      <c r="HT1185" s="13"/>
      <c r="HU1185" s="18"/>
      <c r="HV1185" s="18"/>
      <c r="HW1185" s="18"/>
      <c r="HX1185" s="18"/>
      <c r="HY1185" s="18"/>
      <c r="HZ1185" s="18"/>
      <c r="IA1185" s="18"/>
      <c r="IB1185" s="18"/>
      <c r="IC1185" s="18"/>
      <c r="ID1185" s="18"/>
      <c r="IE1185" s="18"/>
      <c r="IF1185" s="18"/>
      <c r="IG1185" s="18"/>
      <c r="IH1185" s="18"/>
      <c r="II1185" s="18"/>
      <c r="IJ1185" s="18"/>
      <c r="IK1185" s="18"/>
      <c r="IL1185" s="18"/>
      <c r="IM1185" s="18"/>
      <c r="IN1185" s="18"/>
      <c r="IO1185" s="18"/>
      <c r="IP1185" s="18"/>
      <c r="IQ1185" s="18"/>
      <c r="IR1185" s="18"/>
      <c r="IS1185" s="18"/>
      <c r="IT1185" s="18"/>
      <c r="IU1185" s="18"/>
      <c r="IV1185" s="18"/>
      <c r="IW1185" s="18"/>
      <c r="IX1185" s="18"/>
      <c r="IY1185" s="18"/>
      <c r="IZ1185" s="18"/>
      <c r="JA1185" s="18"/>
      <c r="JB1185" s="18"/>
      <c r="JC1185" s="18"/>
      <c r="JD1185" s="18"/>
      <c r="JE1185" s="18"/>
      <c r="JF1185" s="18"/>
      <c r="JG1185" s="18"/>
      <c r="JH1185" s="18"/>
      <c r="JI1185" s="18"/>
      <c r="JJ1185" s="18"/>
      <c r="JK1185" s="18"/>
      <c r="JL1185" s="18"/>
      <c r="JM1185" s="18"/>
      <c r="JN1185" s="18"/>
      <c r="JO1185" s="18"/>
      <c r="JP1185" s="18"/>
      <c r="JQ1185" s="18"/>
      <c r="JR1185" s="18"/>
      <c r="JS1185" s="18"/>
      <c r="JT1185" s="18"/>
      <c r="JU1185" s="18"/>
      <c r="JV1185" s="18"/>
      <c r="JW1185" s="18"/>
      <c r="JX1185" s="18"/>
      <c r="JY1185" s="18"/>
      <c r="JZ1185" s="18"/>
      <c r="KA1185" s="18"/>
      <c r="KB1185" s="18"/>
      <c r="KC1185" s="18"/>
      <c r="KD1185" s="18"/>
      <c r="KE1185" s="18"/>
      <c r="KF1185" s="18"/>
      <c r="KG1185" s="18"/>
      <c r="KH1185" s="18"/>
      <c r="KI1185" s="18"/>
      <c r="KJ1185" s="18"/>
      <c r="KK1185" s="18"/>
      <c r="KL1185" s="18"/>
      <c r="KM1185" s="18"/>
      <c r="KN1185" s="18"/>
      <c r="KO1185" s="18"/>
      <c r="KP1185" s="18"/>
    </row>
    <row r="1186" spans="1:302">
      <c r="A1186" s="14"/>
      <c r="B1186" s="14"/>
      <c r="F1186" s="14"/>
      <c r="G1186" s="23"/>
      <c r="H1186" s="23"/>
      <c r="I1186" s="23"/>
      <c r="J1186" s="23"/>
      <c r="K1186" s="14"/>
      <c r="L1186" s="14"/>
      <c r="P1186" s="14"/>
      <c r="AG1186" s="44"/>
      <c r="AH1186" s="44"/>
      <c r="AI1186" s="45"/>
      <c r="AJ1186" s="44"/>
      <c r="AK1186" s="43"/>
      <c r="AS1186" s="14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  <c r="EW1186" s="18"/>
      <c r="EX1186" s="18"/>
      <c r="EY1186" s="18"/>
      <c r="EZ1186" s="18"/>
      <c r="FA1186" s="18"/>
      <c r="FB1186" s="18"/>
      <c r="FC1186" s="18"/>
      <c r="FD1186" s="18"/>
      <c r="FE1186" s="18"/>
      <c r="FF1186" s="18"/>
      <c r="FG1186" s="18"/>
      <c r="FH1186" s="18"/>
      <c r="FI1186" s="18"/>
      <c r="FJ1186" s="18"/>
      <c r="FK1186" s="18"/>
      <c r="FL1186" s="18"/>
      <c r="FM1186" s="18"/>
      <c r="FN1186" s="18"/>
      <c r="FO1186" s="18"/>
      <c r="FP1186" s="18"/>
      <c r="FQ1186" s="18"/>
      <c r="FR1186" s="18"/>
      <c r="FS1186" s="18"/>
      <c r="FT1186" s="18"/>
      <c r="FU1186" s="18"/>
      <c r="FV1186" s="18"/>
      <c r="FW1186" s="18"/>
      <c r="FX1186" s="18"/>
      <c r="FY1186" s="18"/>
      <c r="FZ1186" s="18"/>
      <c r="GA1186" s="18"/>
      <c r="GB1186" s="18"/>
      <c r="GC1186" s="18"/>
      <c r="GD1186" s="18"/>
      <c r="GE1186" s="18"/>
      <c r="GF1186" s="18"/>
      <c r="GG1186" s="18"/>
      <c r="GH1186" s="18"/>
      <c r="GI1186" s="18"/>
      <c r="GJ1186" s="18"/>
      <c r="GK1186" s="18"/>
      <c r="GL1186" s="18"/>
      <c r="GM1186" s="18"/>
      <c r="GN1186" s="18"/>
      <c r="GO1186" s="18"/>
      <c r="GP1186" s="18"/>
      <c r="GQ1186" s="18"/>
      <c r="GR1186" s="18"/>
      <c r="GS1186" s="18"/>
      <c r="GT1186" s="18"/>
      <c r="GU1186" s="18"/>
      <c r="GV1186" s="18"/>
      <c r="GW1186" s="18"/>
      <c r="GX1186" s="18"/>
      <c r="GY1186" s="18"/>
      <c r="GZ1186" s="18"/>
      <c r="HA1186" s="18"/>
      <c r="HB1186" s="18"/>
      <c r="HC1186" s="18"/>
      <c r="HD1186" s="18"/>
      <c r="HE1186" s="18"/>
      <c r="HF1186" s="18"/>
      <c r="HG1186" s="13"/>
      <c r="HH1186" s="13"/>
      <c r="HI1186" s="13"/>
      <c r="HJ1186" s="13"/>
      <c r="HK1186" s="13"/>
      <c r="HL1186" s="13"/>
      <c r="HM1186" s="13"/>
      <c r="HN1186" s="13"/>
      <c r="HO1186" s="13"/>
      <c r="HP1186" s="13"/>
      <c r="HQ1186" s="13"/>
      <c r="HR1186" s="13"/>
      <c r="HS1186" s="13"/>
      <c r="HT1186" s="13"/>
      <c r="HU1186" s="18"/>
      <c r="HV1186" s="18"/>
      <c r="HW1186" s="18"/>
      <c r="HX1186" s="18"/>
      <c r="HY1186" s="18"/>
      <c r="HZ1186" s="18"/>
      <c r="IA1186" s="18"/>
      <c r="IB1186" s="18"/>
      <c r="IC1186" s="18"/>
      <c r="ID1186" s="18"/>
      <c r="IE1186" s="18"/>
      <c r="IF1186" s="18"/>
      <c r="IG1186" s="18"/>
      <c r="IH1186" s="18"/>
      <c r="II1186" s="18"/>
      <c r="IJ1186" s="18"/>
      <c r="IK1186" s="18"/>
      <c r="IL1186" s="18"/>
      <c r="IM1186" s="18"/>
      <c r="IN1186" s="18"/>
      <c r="IO1186" s="18"/>
      <c r="IP1186" s="18"/>
      <c r="IQ1186" s="18"/>
      <c r="IR1186" s="18"/>
      <c r="IS1186" s="18"/>
      <c r="IT1186" s="18"/>
      <c r="IU1186" s="18"/>
      <c r="IV1186" s="18"/>
      <c r="IW1186" s="18"/>
      <c r="IX1186" s="18"/>
      <c r="IY1186" s="18"/>
      <c r="IZ1186" s="18"/>
      <c r="JA1186" s="18"/>
      <c r="JB1186" s="18"/>
      <c r="JC1186" s="18"/>
      <c r="JD1186" s="18"/>
      <c r="JE1186" s="18"/>
      <c r="JF1186" s="18"/>
      <c r="JG1186" s="18"/>
      <c r="JH1186" s="18"/>
      <c r="JI1186" s="18"/>
      <c r="JJ1186" s="18"/>
      <c r="JK1186" s="18"/>
      <c r="JL1186" s="18"/>
      <c r="JM1186" s="18"/>
      <c r="JN1186" s="18"/>
      <c r="JO1186" s="18"/>
      <c r="JP1186" s="18"/>
      <c r="JQ1186" s="18"/>
      <c r="JR1186" s="18"/>
      <c r="JS1186" s="18"/>
      <c r="JT1186" s="18"/>
      <c r="JU1186" s="18"/>
      <c r="JV1186" s="18"/>
      <c r="JW1186" s="18"/>
      <c r="JX1186" s="18"/>
      <c r="JY1186" s="18"/>
      <c r="JZ1186" s="18"/>
      <c r="KA1186" s="18"/>
      <c r="KB1186" s="18"/>
      <c r="KC1186" s="18"/>
      <c r="KD1186" s="18"/>
      <c r="KE1186" s="18"/>
      <c r="KF1186" s="18"/>
      <c r="KG1186" s="18"/>
      <c r="KH1186" s="18"/>
      <c r="KI1186" s="18"/>
      <c r="KJ1186" s="18"/>
      <c r="KK1186" s="18"/>
      <c r="KL1186" s="18"/>
      <c r="KM1186" s="18"/>
      <c r="KN1186" s="18"/>
      <c r="KO1186" s="18"/>
      <c r="KP1186" s="18"/>
    </row>
    <row r="1187" spans="1:302">
      <c r="A1187" s="14"/>
      <c r="B1187" s="14"/>
      <c r="F1187" s="14"/>
      <c r="G1187" s="23"/>
      <c r="H1187" s="23"/>
      <c r="I1187" s="23"/>
      <c r="J1187" s="23"/>
      <c r="K1187" s="14"/>
      <c r="L1187" s="14"/>
      <c r="P1187" s="14"/>
      <c r="AG1187" s="44"/>
      <c r="AH1187" s="44"/>
      <c r="AI1187" s="45"/>
      <c r="AJ1187" s="44"/>
      <c r="AK1187" s="43"/>
      <c r="AS1187" s="14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  <c r="EW1187" s="18"/>
      <c r="EX1187" s="18"/>
      <c r="EY1187" s="18"/>
      <c r="EZ1187" s="18"/>
      <c r="FA1187" s="18"/>
      <c r="FB1187" s="18"/>
      <c r="FC1187" s="18"/>
      <c r="FD1187" s="18"/>
      <c r="FE1187" s="18"/>
      <c r="FF1187" s="18"/>
      <c r="FG1187" s="18"/>
      <c r="FH1187" s="18"/>
      <c r="FI1187" s="18"/>
      <c r="FJ1187" s="18"/>
      <c r="FK1187" s="18"/>
      <c r="FL1187" s="18"/>
      <c r="FM1187" s="18"/>
      <c r="FN1187" s="18"/>
      <c r="FO1187" s="18"/>
      <c r="FP1187" s="18"/>
      <c r="FQ1187" s="18"/>
      <c r="FR1187" s="18"/>
      <c r="FS1187" s="18"/>
      <c r="FT1187" s="18"/>
      <c r="FU1187" s="18"/>
      <c r="FV1187" s="18"/>
      <c r="FW1187" s="18"/>
      <c r="FX1187" s="18"/>
      <c r="FY1187" s="18"/>
      <c r="FZ1187" s="18"/>
      <c r="GA1187" s="18"/>
      <c r="GB1187" s="18"/>
      <c r="GC1187" s="18"/>
      <c r="GD1187" s="18"/>
      <c r="GE1187" s="18"/>
      <c r="GF1187" s="18"/>
      <c r="GG1187" s="18"/>
      <c r="GH1187" s="18"/>
      <c r="GI1187" s="18"/>
      <c r="GJ1187" s="18"/>
      <c r="GK1187" s="18"/>
      <c r="GL1187" s="18"/>
      <c r="GM1187" s="18"/>
      <c r="GN1187" s="18"/>
      <c r="GO1187" s="18"/>
      <c r="GP1187" s="18"/>
      <c r="GQ1187" s="18"/>
      <c r="GR1187" s="18"/>
      <c r="GS1187" s="18"/>
      <c r="GT1187" s="18"/>
      <c r="GU1187" s="18"/>
      <c r="GV1187" s="18"/>
      <c r="GW1187" s="18"/>
      <c r="GX1187" s="18"/>
      <c r="GY1187" s="18"/>
      <c r="GZ1187" s="18"/>
      <c r="HA1187" s="18"/>
      <c r="HB1187" s="18"/>
      <c r="HC1187" s="18"/>
      <c r="HD1187" s="18"/>
      <c r="HE1187" s="18"/>
      <c r="HF1187" s="18"/>
      <c r="HG1187" s="13"/>
      <c r="HH1187" s="13"/>
      <c r="HI1187" s="13"/>
      <c r="HJ1187" s="13"/>
      <c r="HK1187" s="13"/>
      <c r="HL1187" s="13"/>
      <c r="HM1187" s="13"/>
      <c r="HN1187" s="13"/>
      <c r="HO1187" s="13"/>
      <c r="HP1187" s="13"/>
      <c r="HQ1187" s="13"/>
      <c r="HR1187" s="13"/>
      <c r="HS1187" s="13"/>
      <c r="HT1187" s="13"/>
      <c r="HU1187" s="18"/>
      <c r="HV1187" s="18"/>
      <c r="HW1187" s="18"/>
      <c r="HX1187" s="18"/>
      <c r="HY1187" s="18"/>
      <c r="HZ1187" s="18"/>
      <c r="IA1187" s="18"/>
      <c r="IB1187" s="18"/>
      <c r="IC1187" s="18"/>
      <c r="ID1187" s="18"/>
      <c r="IE1187" s="18"/>
      <c r="IF1187" s="18"/>
      <c r="IG1187" s="18"/>
      <c r="IH1187" s="18"/>
      <c r="II1187" s="18"/>
      <c r="IJ1187" s="18"/>
      <c r="IK1187" s="18"/>
      <c r="IL1187" s="18"/>
      <c r="IM1187" s="18"/>
      <c r="IN1187" s="18"/>
      <c r="IO1187" s="18"/>
      <c r="IP1187" s="18"/>
      <c r="IQ1187" s="18"/>
      <c r="IR1187" s="18"/>
      <c r="IS1187" s="18"/>
      <c r="IT1187" s="18"/>
      <c r="IU1187" s="18"/>
      <c r="IV1187" s="18"/>
      <c r="IW1187" s="18"/>
      <c r="IX1187" s="18"/>
      <c r="IY1187" s="18"/>
      <c r="IZ1187" s="18"/>
      <c r="JA1187" s="18"/>
      <c r="JB1187" s="18"/>
      <c r="JC1187" s="18"/>
      <c r="JD1187" s="18"/>
      <c r="JE1187" s="18"/>
      <c r="JF1187" s="18"/>
      <c r="JG1187" s="18"/>
      <c r="JH1187" s="18"/>
      <c r="JI1187" s="18"/>
      <c r="JJ1187" s="18"/>
      <c r="JK1187" s="18"/>
      <c r="JL1187" s="18"/>
      <c r="JM1187" s="18"/>
      <c r="JN1187" s="18"/>
      <c r="JO1187" s="18"/>
      <c r="JP1187" s="18"/>
      <c r="JQ1187" s="18"/>
      <c r="JR1187" s="18"/>
      <c r="JS1187" s="18"/>
      <c r="JT1187" s="18"/>
      <c r="JU1187" s="18"/>
      <c r="JV1187" s="18"/>
      <c r="JW1187" s="18"/>
      <c r="JX1187" s="18"/>
      <c r="JY1187" s="18"/>
      <c r="JZ1187" s="18"/>
      <c r="KA1187" s="18"/>
      <c r="KB1187" s="18"/>
      <c r="KC1187" s="18"/>
      <c r="KD1187" s="18"/>
      <c r="KE1187" s="18"/>
      <c r="KF1187" s="18"/>
      <c r="KG1187" s="18"/>
      <c r="KH1187" s="18"/>
      <c r="KI1187" s="18"/>
      <c r="KJ1187" s="18"/>
      <c r="KK1187" s="18"/>
      <c r="KL1187" s="18"/>
      <c r="KM1187" s="18"/>
      <c r="KN1187" s="18"/>
      <c r="KO1187" s="18"/>
      <c r="KP1187" s="18"/>
    </row>
    <row r="1188" spans="1:302">
      <c r="A1188" s="14"/>
      <c r="B1188" s="14"/>
      <c r="F1188" s="14"/>
      <c r="I1188" s="23"/>
      <c r="J1188" s="23"/>
      <c r="K1188" s="14"/>
      <c r="L1188" s="14"/>
      <c r="P1188" s="14"/>
      <c r="AG1188" s="44"/>
      <c r="AH1188" s="44"/>
      <c r="AI1188" s="45"/>
      <c r="AJ1188" s="44"/>
      <c r="AK1188" s="43"/>
      <c r="AS1188" s="14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  <c r="EW1188" s="18"/>
      <c r="EX1188" s="18"/>
      <c r="EY1188" s="18"/>
      <c r="EZ1188" s="18"/>
      <c r="FA1188" s="18"/>
      <c r="FB1188" s="18"/>
      <c r="FC1188" s="18"/>
      <c r="FD1188" s="18"/>
      <c r="FE1188" s="18"/>
      <c r="FF1188" s="18"/>
      <c r="FG1188" s="18"/>
      <c r="FH1188" s="18"/>
      <c r="FI1188" s="18"/>
      <c r="FJ1188" s="18"/>
      <c r="FK1188" s="18"/>
      <c r="FL1188" s="18"/>
      <c r="FM1188" s="18"/>
      <c r="FN1188" s="18"/>
      <c r="FO1188" s="18"/>
      <c r="FP1188" s="18"/>
      <c r="FQ1188" s="18"/>
      <c r="FR1188" s="18"/>
      <c r="FS1188" s="18"/>
      <c r="FT1188" s="18"/>
      <c r="FU1188" s="18"/>
      <c r="FV1188" s="18"/>
      <c r="FW1188" s="18"/>
      <c r="FX1188" s="18"/>
      <c r="FY1188" s="18"/>
      <c r="FZ1188" s="18"/>
      <c r="GA1188" s="18"/>
      <c r="GB1188" s="18"/>
      <c r="GC1188" s="18"/>
      <c r="GD1188" s="18"/>
      <c r="GE1188" s="18"/>
      <c r="GF1188" s="18"/>
      <c r="GG1188" s="18"/>
      <c r="GH1188" s="18"/>
      <c r="GI1188" s="18"/>
      <c r="GJ1188" s="18"/>
      <c r="GK1188" s="18"/>
      <c r="GL1188" s="18"/>
      <c r="GM1188" s="18"/>
      <c r="GN1188" s="18"/>
      <c r="GO1188" s="18"/>
      <c r="GP1188" s="18"/>
      <c r="GQ1188" s="18"/>
      <c r="GR1188" s="18"/>
      <c r="GS1188" s="18"/>
      <c r="GT1188" s="18"/>
      <c r="GU1188" s="18"/>
      <c r="GV1188" s="18"/>
      <c r="GW1188" s="18"/>
      <c r="GX1188" s="18"/>
      <c r="GY1188" s="18"/>
      <c r="GZ1188" s="18"/>
      <c r="HA1188" s="18"/>
      <c r="HB1188" s="18"/>
      <c r="HC1188" s="18"/>
      <c r="HD1188" s="18"/>
      <c r="HE1188" s="18"/>
      <c r="HF1188" s="18"/>
      <c r="HG1188" s="13"/>
      <c r="HH1188" s="13"/>
      <c r="HI1188" s="13"/>
      <c r="HJ1188" s="13"/>
      <c r="HK1188" s="13"/>
      <c r="HL1188" s="13"/>
      <c r="HM1188" s="13"/>
      <c r="HN1188" s="13"/>
      <c r="HO1188" s="13"/>
      <c r="HP1188" s="13"/>
      <c r="HQ1188" s="13"/>
      <c r="HR1188" s="13"/>
      <c r="HS1188" s="13"/>
      <c r="HT1188" s="13"/>
      <c r="HU1188" s="18"/>
      <c r="HV1188" s="18"/>
      <c r="HW1188" s="18"/>
      <c r="HX1188" s="18"/>
      <c r="HY1188" s="18"/>
      <c r="HZ1188" s="18"/>
      <c r="IA1188" s="18"/>
      <c r="IB1188" s="18"/>
      <c r="IC1188" s="18"/>
      <c r="ID1188" s="18"/>
      <c r="IE1188" s="18"/>
      <c r="IF1188" s="18"/>
      <c r="IG1188" s="18"/>
      <c r="IH1188" s="18"/>
      <c r="II1188" s="18"/>
      <c r="IJ1188" s="18"/>
      <c r="IK1188" s="18"/>
      <c r="IL1188" s="18"/>
      <c r="IM1188" s="18"/>
      <c r="IN1188" s="18"/>
      <c r="IO1188" s="18"/>
      <c r="IP1188" s="18"/>
      <c r="IQ1188" s="18"/>
      <c r="IR1188" s="18"/>
      <c r="IS1188" s="18"/>
      <c r="IT1188" s="18"/>
      <c r="IU1188" s="18"/>
      <c r="IV1188" s="18"/>
      <c r="IW1188" s="18"/>
      <c r="IX1188" s="18"/>
      <c r="IY1188" s="18"/>
      <c r="IZ1188" s="18"/>
      <c r="JA1188" s="18"/>
      <c r="JB1188" s="18"/>
      <c r="JC1188" s="18"/>
      <c r="JD1188" s="18"/>
      <c r="JE1188" s="18"/>
      <c r="JF1188" s="18"/>
      <c r="JG1188" s="18"/>
      <c r="JH1188" s="18"/>
      <c r="JI1188" s="18"/>
      <c r="JJ1188" s="18"/>
      <c r="JK1188" s="18"/>
      <c r="JL1188" s="18"/>
      <c r="JM1188" s="18"/>
      <c r="JN1188" s="18"/>
      <c r="JO1188" s="18"/>
      <c r="JP1188" s="18"/>
      <c r="JQ1188" s="18"/>
      <c r="JR1188" s="18"/>
      <c r="JS1188" s="18"/>
      <c r="JT1188" s="18"/>
      <c r="JU1188" s="18"/>
      <c r="JV1188" s="18"/>
      <c r="JW1188" s="18"/>
      <c r="JX1188" s="18"/>
      <c r="JY1188" s="18"/>
      <c r="JZ1188" s="18"/>
      <c r="KA1188" s="18"/>
      <c r="KB1188" s="18"/>
      <c r="KC1188" s="18"/>
      <c r="KD1188" s="18"/>
      <c r="KE1188" s="18"/>
      <c r="KF1188" s="18"/>
      <c r="KG1188" s="18"/>
      <c r="KH1188" s="18"/>
      <c r="KI1188" s="18"/>
      <c r="KJ1188" s="18"/>
      <c r="KK1188" s="18"/>
      <c r="KL1188" s="18"/>
      <c r="KM1188" s="18"/>
      <c r="KN1188" s="18"/>
      <c r="KO1188" s="18"/>
      <c r="KP1188" s="18"/>
    </row>
    <row r="1189" spans="1:302">
      <c r="A1189" s="14"/>
      <c r="B1189" s="14"/>
      <c r="F1189" s="14"/>
      <c r="I1189" s="23"/>
      <c r="J1189" s="23"/>
      <c r="K1189" s="14"/>
      <c r="L1189" s="14"/>
      <c r="P1189" s="14"/>
      <c r="AG1189" s="44"/>
      <c r="AH1189" s="44"/>
      <c r="AI1189" s="45"/>
      <c r="AJ1189" s="44"/>
      <c r="AK1189" s="43"/>
      <c r="AS1189" s="14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  <c r="EW1189" s="18"/>
      <c r="EX1189" s="18"/>
      <c r="EY1189" s="18"/>
      <c r="EZ1189" s="18"/>
      <c r="FA1189" s="18"/>
      <c r="FB1189" s="18"/>
      <c r="FC1189" s="18"/>
      <c r="FD1189" s="18"/>
      <c r="FE1189" s="18"/>
      <c r="FF1189" s="18"/>
      <c r="FG1189" s="18"/>
      <c r="FH1189" s="18"/>
      <c r="FI1189" s="18"/>
      <c r="FJ1189" s="18"/>
      <c r="FK1189" s="18"/>
      <c r="FL1189" s="18"/>
      <c r="FM1189" s="18"/>
      <c r="FN1189" s="18"/>
      <c r="FO1189" s="18"/>
      <c r="FP1189" s="18"/>
      <c r="FQ1189" s="18"/>
      <c r="FR1189" s="18"/>
      <c r="FS1189" s="18"/>
      <c r="FT1189" s="18"/>
      <c r="FU1189" s="18"/>
      <c r="FV1189" s="18"/>
      <c r="FW1189" s="18"/>
      <c r="FX1189" s="18"/>
      <c r="FY1189" s="18"/>
      <c r="FZ1189" s="18"/>
      <c r="GA1189" s="18"/>
      <c r="GB1189" s="18"/>
      <c r="GC1189" s="18"/>
      <c r="GD1189" s="18"/>
      <c r="GE1189" s="18"/>
      <c r="GF1189" s="18"/>
      <c r="GG1189" s="18"/>
      <c r="GH1189" s="18"/>
      <c r="GI1189" s="18"/>
      <c r="GJ1189" s="18"/>
      <c r="GK1189" s="18"/>
      <c r="GL1189" s="18"/>
      <c r="GM1189" s="18"/>
      <c r="GN1189" s="18"/>
      <c r="GO1189" s="18"/>
      <c r="GP1189" s="18"/>
      <c r="GQ1189" s="18"/>
      <c r="GR1189" s="18"/>
      <c r="GS1189" s="18"/>
      <c r="GT1189" s="18"/>
      <c r="GU1189" s="18"/>
      <c r="GV1189" s="18"/>
      <c r="GW1189" s="18"/>
      <c r="GX1189" s="18"/>
      <c r="GY1189" s="18"/>
      <c r="GZ1189" s="18"/>
      <c r="HA1189" s="18"/>
      <c r="HB1189" s="18"/>
      <c r="HC1189" s="18"/>
      <c r="HD1189" s="18"/>
      <c r="HE1189" s="18"/>
      <c r="HF1189" s="18"/>
      <c r="HG1189" s="13"/>
      <c r="HH1189" s="13"/>
      <c r="HI1189" s="13"/>
      <c r="HJ1189" s="13"/>
      <c r="HK1189" s="13"/>
      <c r="HL1189" s="13"/>
      <c r="HM1189" s="13"/>
      <c r="HN1189" s="13"/>
      <c r="HO1189" s="13"/>
      <c r="HP1189" s="13"/>
      <c r="HQ1189" s="13"/>
      <c r="HR1189" s="13"/>
      <c r="HS1189" s="13"/>
      <c r="HT1189" s="13"/>
      <c r="HU1189" s="18"/>
      <c r="HV1189" s="18"/>
      <c r="HW1189" s="18"/>
      <c r="HX1189" s="18"/>
      <c r="HY1189" s="18"/>
      <c r="HZ1189" s="18"/>
      <c r="IA1189" s="18"/>
      <c r="IB1189" s="18"/>
      <c r="IC1189" s="18"/>
      <c r="ID1189" s="18"/>
      <c r="IE1189" s="18"/>
      <c r="IF1189" s="18"/>
      <c r="IG1189" s="18"/>
      <c r="IH1189" s="18"/>
      <c r="II1189" s="18"/>
      <c r="IJ1189" s="18"/>
      <c r="IK1189" s="18"/>
      <c r="IL1189" s="18"/>
      <c r="IM1189" s="18"/>
      <c r="IN1189" s="18"/>
      <c r="IO1189" s="18"/>
      <c r="IP1189" s="18"/>
      <c r="IQ1189" s="18"/>
      <c r="IR1189" s="18"/>
      <c r="IS1189" s="18"/>
      <c r="IT1189" s="18"/>
      <c r="IU1189" s="18"/>
      <c r="IV1189" s="18"/>
      <c r="IW1189" s="18"/>
      <c r="IX1189" s="18"/>
      <c r="IY1189" s="18"/>
      <c r="IZ1189" s="18"/>
      <c r="JA1189" s="18"/>
      <c r="JB1189" s="18"/>
      <c r="JC1189" s="18"/>
      <c r="JD1189" s="18"/>
      <c r="JE1189" s="18"/>
      <c r="JF1189" s="18"/>
      <c r="JG1189" s="18"/>
      <c r="JH1189" s="18"/>
      <c r="JI1189" s="18"/>
      <c r="JJ1189" s="18"/>
      <c r="JK1189" s="18"/>
      <c r="JL1189" s="18"/>
      <c r="JM1189" s="18"/>
      <c r="JN1189" s="18"/>
      <c r="JO1189" s="18"/>
      <c r="JP1189" s="18"/>
      <c r="JQ1189" s="18"/>
      <c r="JR1189" s="18"/>
      <c r="JS1189" s="18"/>
      <c r="JT1189" s="18"/>
      <c r="JU1189" s="18"/>
      <c r="JV1189" s="18"/>
      <c r="JW1189" s="18"/>
      <c r="JX1189" s="18"/>
      <c r="JY1189" s="18"/>
      <c r="JZ1189" s="18"/>
      <c r="KA1189" s="18"/>
      <c r="KB1189" s="18"/>
      <c r="KC1189" s="18"/>
      <c r="KD1189" s="18"/>
      <c r="KE1189" s="18"/>
      <c r="KF1189" s="18"/>
      <c r="KG1189" s="18"/>
      <c r="KH1189" s="18"/>
      <c r="KI1189" s="18"/>
      <c r="KJ1189" s="18"/>
      <c r="KK1189" s="18"/>
      <c r="KL1189" s="18"/>
      <c r="KM1189" s="18"/>
      <c r="KN1189" s="18"/>
      <c r="KO1189" s="18"/>
      <c r="KP1189" s="18"/>
    </row>
    <row r="1190" spans="1:302">
      <c r="A1190" s="14"/>
      <c r="B1190" s="14"/>
      <c r="I1190" s="23"/>
      <c r="J1190" s="23"/>
      <c r="K1190" s="14"/>
      <c r="L1190" s="14"/>
      <c r="P1190" s="14"/>
      <c r="AG1190" s="44"/>
      <c r="AH1190" s="44"/>
      <c r="AI1190" s="45"/>
      <c r="AJ1190" s="44"/>
      <c r="AK1190" s="43"/>
      <c r="AS1190" s="14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  <c r="EW1190" s="18"/>
      <c r="EX1190" s="18"/>
      <c r="EY1190" s="18"/>
      <c r="EZ1190" s="18"/>
      <c r="FA1190" s="18"/>
      <c r="FB1190" s="18"/>
      <c r="FC1190" s="18"/>
      <c r="FD1190" s="18"/>
      <c r="FE1190" s="18"/>
      <c r="FF1190" s="18"/>
      <c r="FG1190" s="18"/>
      <c r="FH1190" s="18"/>
      <c r="FI1190" s="18"/>
      <c r="FJ1190" s="18"/>
      <c r="FK1190" s="18"/>
      <c r="FL1190" s="18"/>
      <c r="FM1190" s="18"/>
      <c r="FN1190" s="18"/>
      <c r="FO1190" s="18"/>
      <c r="FP1190" s="18"/>
      <c r="FQ1190" s="18"/>
      <c r="FR1190" s="18"/>
      <c r="FS1190" s="18"/>
      <c r="FT1190" s="18"/>
      <c r="FU1190" s="18"/>
      <c r="FV1190" s="18"/>
      <c r="FW1190" s="18"/>
      <c r="FX1190" s="18"/>
      <c r="FY1190" s="18"/>
      <c r="FZ1190" s="18"/>
      <c r="GA1190" s="18"/>
      <c r="GB1190" s="18"/>
      <c r="GC1190" s="18"/>
      <c r="GD1190" s="18"/>
      <c r="GE1190" s="18"/>
      <c r="GF1190" s="18"/>
      <c r="GG1190" s="18"/>
      <c r="GH1190" s="18"/>
      <c r="GI1190" s="18"/>
      <c r="GJ1190" s="18"/>
      <c r="GK1190" s="18"/>
      <c r="GL1190" s="18"/>
      <c r="GM1190" s="18"/>
      <c r="GN1190" s="18"/>
      <c r="GO1190" s="18"/>
      <c r="GP1190" s="18"/>
      <c r="GQ1190" s="18"/>
      <c r="GR1190" s="18"/>
      <c r="GS1190" s="18"/>
      <c r="GT1190" s="18"/>
      <c r="GU1190" s="18"/>
      <c r="GV1190" s="18"/>
      <c r="GW1190" s="18"/>
      <c r="GX1190" s="18"/>
      <c r="GY1190" s="18"/>
      <c r="GZ1190" s="18"/>
      <c r="HA1190" s="18"/>
      <c r="HB1190" s="18"/>
      <c r="HC1190" s="18"/>
      <c r="HD1190" s="18"/>
      <c r="HE1190" s="18"/>
      <c r="HF1190" s="18"/>
      <c r="HG1190" s="13"/>
      <c r="HH1190" s="13"/>
      <c r="HI1190" s="13"/>
      <c r="HJ1190" s="13"/>
      <c r="HK1190" s="13"/>
      <c r="HL1190" s="13"/>
      <c r="HM1190" s="13"/>
      <c r="HN1190" s="13"/>
      <c r="HO1190" s="13"/>
      <c r="HP1190" s="13"/>
      <c r="HQ1190" s="13"/>
      <c r="HR1190" s="13"/>
      <c r="HS1190" s="13"/>
      <c r="HT1190" s="13"/>
      <c r="HU1190" s="18"/>
      <c r="HV1190" s="18"/>
      <c r="HW1190" s="18"/>
      <c r="HX1190" s="18"/>
      <c r="HY1190" s="18"/>
      <c r="HZ1190" s="18"/>
      <c r="IA1190" s="18"/>
      <c r="IB1190" s="18"/>
      <c r="IC1190" s="18"/>
      <c r="ID1190" s="18"/>
      <c r="IE1190" s="18"/>
      <c r="IF1190" s="18"/>
      <c r="IG1190" s="18"/>
      <c r="IH1190" s="18"/>
      <c r="II1190" s="18"/>
      <c r="IJ1190" s="18"/>
      <c r="IK1190" s="18"/>
      <c r="IL1190" s="18"/>
      <c r="IM1190" s="18"/>
      <c r="IN1190" s="18"/>
      <c r="IO1190" s="18"/>
      <c r="IP1190" s="18"/>
      <c r="IQ1190" s="18"/>
      <c r="IR1190" s="18"/>
      <c r="IS1190" s="18"/>
      <c r="IT1190" s="18"/>
      <c r="IU1190" s="18"/>
      <c r="IV1190" s="18"/>
      <c r="IW1190" s="18"/>
      <c r="IX1190" s="18"/>
      <c r="IY1190" s="18"/>
      <c r="IZ1190" s="18"/>
      <c r="JA1190" s="18"/>
      <c r="JB1190" s="18"/>
      <c r="JC1190" s="18"/>
      <c r="JD1190" s="18"/>
      <c r="JE1190" s="18"/>
      <c r="JF1190" s="18"/>
      <c r="JG1190" s="18"/>
      <c r="JH1190" s="18"/>
      <c r="JI1190" s="18"/>
      <c r="JJ1190" s="18"/>
      <c r="JK1190" s="18"/>
      <c r="JL1190" s="18"/>
      <c r="JM1190" s="18"/>
      <c r="JN1190" s="18"/>
      <c r="JO1190" s="18"/>
      <c r="JP1190" s="18"/>
      <c r="JQ1190" s="18"/>
      <c r="JR1190" s="18"/>
      <c r="JS1190" s="18"/>
      <c r="JT1190" s="18"/>
      <c r="JU1190" s="18"/>
      <c r="JV1190" s="18"/>
      <c r="JW1190" s="18"/>
      <c r="JX1190" s="18"/>
      <c r="JY1190" s="18"/>
      <c r="JZ1190" s="18"/>
      <c r="KA1190" s="18"/>
      <c r="KB1190" s="18"/>
      <c r="KC1190" s="18"/>
      <c r="KD1190" s="18"/>
      <c r="KE1190" s="18"/>
      <c r="KF1190" s="18"/>
      <c r="KG1190" s="18"/>
      <c r="KH1190" s="18"/>
      <c r="KI1190" s="18"/>
      <c r="KJ1190" s="18"/>
      <c r="KK1190" s="18"/>
      <c r="KL1190" s="18"/>
      <c r="KM1190" s="18"/>
      <c r="KN1190" s="18"/>
      <c r="KO1190" s="18"/>
      <c r="KP1190" s="18"/>
    </row>
    <row r="1191" spans="1:302">
      <c r="B1191" s="14"/>
      <c r="I1191" s="23"/>
      <c r="J1191" s="23"/>
      <c r="P1191" s="14"/>
      <c r="AG1191" s="44"/>
      <c r="AH1191" s="44"/>
      <c r="AI1191" s="45"/>
      <c r="AJ1191" s="44"/>
      <c r="AK1191" s="43"/>
      <c r="AS1191" s="14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  <c r="EW1191" s="18"/>
      <c r="EX1191" s="18"/>
      <c r="EY1191" s="18"/>
      <c r="EZ1191" s="18"/>
      <c r="FA1191" s="18"/>
      <c r="FB1191" s="18"/>
      <c r="FC1191" s="18"/>
      <c r="FD1191" s="18"/>
      <c r="FE1191" s="18"/>
      <c r="FF1191" s="18"/>
      <c r="FG1191" s="18"/>
      <c r="FH1191" s="18"/>
      <c r="FI1191" s="18"/>
      <c r="FJ1191" s="18"/>
      <c r="FK1191" s="18"/>
      <c r="FL1191" s="18"/>
      <c r="FM1191" s="18"/>
      <c r="FN1191" s="18"/>
      <c r="FO1191" s="18"/>
      <c r="FP1191" s="18"/>
      <c r="FQ1191" s="18"/>
      <c r="FR1191" s="18"/>
      <c r="FS1191" s="18"/>
      <c r="FT1191" s="18"/>
      <c r="FU1191" s="18"/>
      <c r="FV1191" s="18"/>
      <c r="FW1191" s="18"/>
      <c r="FX1191" s="18"/>
      <c r="FY1191" s="18"/>
      <c r="FZ1191" s="18"/>
      <c r="GA1191" s="18"/>
      <c r="GB1191" s="18"/>
      <c r="GC1191" s="18"/>
      <c r="GD1191" s="18"/>
      <c r="GE1191" s="18"/>
      <c r="GF1191" s="18"/>
      <c r="GG1191" s="18"/>
      <c r="GH1191" s="18"/>
      <c r="GI1191" s="18"/>
      <c r="GJ1191" s="18"/>
      <c r="GK1191" s="18"/>
      <c r="GL1191" s="18"/>
      <c r="GM1191" s="18"/>
      <c r="GN1191" s="18"/>
      <c r="GO1191" s="18"/>
      <c r="GP1191" s="18"/>
      <c r="GQ1191" s="18"/>
      <c r="GR1191" s="18"/>
      <c r="GS1191" s="18"/>
      <c r="GT1191" s="18"/>
      <c r="GU1191" s="18"/>
      <c r="GV1191" s="18"/>
      <c r="GW1191" s="18"/>
      <c r="GX1191" s="18"/>
      <c r="GY1191" s="18"/>
      <c r="GZ1191" s="18"/>
      <c r="HA1191" s="18"/>
      <c r="HB1191" s="18"/>
      <c r="HC1191" s="18"/>
      <c r="HD1191" s="18"/>
      <c r="HE1191" s="18"/>
      <c r="HF1191" s="18"/>
      <c r="HG1191" s="13"/>
      <c r="HH1191" s="13"/>
      <c r="HI1191" s="13"/>
      <c r="HJ1191" s="13"/>
      <c r="HK1191" s="13"/>
      <c r="HL1191" s="13"/>
      <c r="HM1191" s="13"/>
      <c r="HN1191" s="13"/>
      <c r="HO1191" s="13"/>
      <c r="HP1191" s="13"/>
      <c r="HQ1191" s="13"/>
      <c r="HR1191" s="13"/>
      <c r="HS1191" s="13"/>
      <c r="HT1191" s="13"/>
      <c r="HU1191" s="18"/>
      <c r="HV1191" s="18"/>
      <c r="HW1191" s="18"/>
      <c r="HX1191" s="18"/>
      <c r="HY1191" s="18"/>
      <c r="HZ1191" s="18"/>
      <c r="IA1191" s="18"/>
      <c r="IB1191" s="18"/>
      <c r="IC1191" s="18"/>
      <c r="ID1191" s="18"/>
      <c r="IE1191" s="18"/>
      <c r="IF1191" s="18"/>
      <c r="IG1191" s="18"/>
      <c r="IH1191" s="18"/>
      <c r="II1191" s="18"/>
      <c r="IJ1191" s="18"/>
      <c r="IK1191" s="18"/>
      <c r="IL1191" s="18"/>
      <c r="IM1191" s="18"/>
      <c r="IN1191" s="18"/>
      <c r="IO1191" s="18"/>
      <c r="IP1191" s="18"/>
      <c r="IQ1191" s="18"/>
      <c r="IR1191" s="18"/>
      <c r="IS1191" s="18"/>
      <c r="IT1191" s="18"/>
      <c r="IU1191" s="18"/>
      <c r="IV1191" s="18"/>
      <c r="IW1191" s="18"/>
      <c r="IX1191" s="18"/>
      <c r="IY1191" s="18"/>
      <c r="IZ1191" s="18"/>
      <c r="JA1191" s="18"/>
      <c r="JB1191" s="18"/>
      <c r="JC1191" s="18"/>
      <c r="JD1191" s="18"/>
      <c r="JE1191" s="18"/>
      <c r="JF1191" s="18"/>
      <c r="JG1191" s="18"/>
      <c r="JH1191" s="18"/>
      <c r="JI1191" s="18"/>
      <c r="JJ1191" s="18"/>
      <c r="JK1191" s="18"/>
      <c r="JL1191" s="18"/>
      <c r="JM1191" s="18"/>
      <c r="JN1191" s="18"/>
      <c r="JO1191" s="18"/>
      <c r="JP1191" s="18"/>
      <c r="JQ1191" s="18"/>
      <c r="JR1191" s="18"/>
      <c r="JS1191" s="18"/>
      <c r="JT1191" s="18"/>
      <c r="JU1191" s="18"/>
      <c r="JV1191" s="18"/>
      <c r="JW1191" s="18"/>
      <c r="JX1191" s="18"/>
      <c r="JY1191" s="18"/>
      <c r="JZ1191" s="18"/>
      <c r="KA1191" s="18"/>
      <c r="KB1191" s="18"/>
      <c r="KC1191" s="18"/>
      <c r="KD1191" s="18"/>
      <c r="KE1191" s="18"/>
      <c r="KF1191" s="18"/>
      <c r="KG1191" s="18"/>
      <c r="KH1191" s="18"/>
      <c r="KI1191" s="18"/>
      <c r="KJ1191" s="18"/>
      <c r="KK1191" s="18"/>
      <c r="KL1191" s="18"/>
      <c r="KM1191" s="18"/>
      <c r="KN1191" s="18"/>
      <c r="KO1191" s="18"/>
      <c r="KP1191" s="18"/>
    </row>
    <row r="1192" spans="1:302">
      <c r="B1192" s="14"/>
      <c r="I1192" s="23"/>
      <c r="J1192" s="23"/>
      <c r="P1192" s="14"/>
      <c r="AH1192" s="44"/>
      <c r="AI1192" s="45"/>
      <c r="AJ1192" s="44"/>
      <c r="AK1192" s="43"/>
      <c r="AS1192" s="14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  <c r="EW1192" s="18"/>
      <c r="EX1192" s="18"/>
      <c r="EY1192" s="18"/>
      <c r="EZ1192" s="18"/>
      <c r="FA1192" s="18"/>
      <c r="FB1192" s="18"/>
      <c r="FC1192" s="18"/>
      <c r="FD1192" s="18"/>
      <c r="FE1192" s="18"/>
      <c r="FF1192" s="18"/>
      <c r="FG1192" s="18"/>
      <c r="FH1192" s="18"/>
      <c r="FI1192" s="18"/>
      <c r="FJ1192" s="18"/>
      <c r="FK1192" s="18"/>
      <c r="FL1192" s="18"/>
      <c r="FM1192" s="18"/>
      <c r="FN1192" s="18"/>
      <c r="FO1192" s="18"/>
      <c r="FP1192" s="18"/>
      <c r="FQ1192" s="18"/>
      <c r="FR1192" s="18"/>
      <c r="FS1192" s="18"/>
      <c r="FT1192" s="18"/>
      <c r="FU1192" s="18"/>
      <c r="FV1192" s="18"/>
      <c r="FW1192" s="18"/>
      <c r="FX1192" s="18"/>
      <c r="FY1192" s="18"/>
      <c r="FZ1192" s="18"/>
      <c r="GA1192" s="18"/>
      <c r="GB1192" s="18"/>
      <c r="GC1192" s="18"/>
      <c r="GD1192" s="18"/>
      <c r="GE1192" s="18"/>
      <c r="GF1192" s="18"/>
      <c r="GG1192" s="18"/>
      <c r="GH1192" s="18"/>
      <c r="GI1192" s="18"/>
      <c r="GJ1192" s="18"/>
      <c r="GK1192" s="18"/>
      <c r="GL1192" s="18"/>
      <c r="GM1192" s="18"/>
      <c r="GN1192" s="18"/>
      <c r="GO1192" s="18"/>
      <c r="GP1192" s="18"/>
      <c r="GQ1192" s="18"/>
      <c r="GR1192" s="18"/>
      <c r="GS1192" s="18"/>
      <c r="GT1192" s="18"/>
      <c r="GU1192" s="18"/>
      <c r="GV1192" s="18"/>
      <c r="GW1192" s="18"/>
      <c r="GX1192" s="18"/>
      <c r="GY1192" s="18"/>
      <c r="GZ1192" s="18"/>
      <c r="HA1192" s="18"/>
      <c r="HB1192" s="18"/>
      <c r="HC1192" s="18"/>
      <c r="HD1192" s="18"/>
      <c r="HE1192" s="18"/>
      <c r="HF1192" s="18"/>
      <c r="HG1192" s="13"/>
      <c r="HH1192" s="13"/>
      <c r="HI1192" s="13"/>
      <c r="HJ1192" s="13"/>
      <c r="HK1192" s="13"/>
      <c r="HL1192" s="13"/>
      <c r="HM1192" s="13"/>
      <c r="HN1192" s="13"/>
      <c r="HO1192" s="13"/>
      <c r="HP1192" s="13"/>
      <c r="HQ1192" s="13"/>
      <c r="HR1192" s="13"/>
      <c r="HS1192" s="13"/>
      <c r="HT1192" s="13"/>
      <c r="HU1192" s="18"/>
      <c r="HV1192" s="18"/>
      <c r="HW1192" s="18"/>
      <c r="HX1192" s="18"/>
      <c r="HY1192" s="18"/>
      <c r="HZ1192" s="18"/>
      <c r="IA1192" s="18"/>
      <c r="IB1192" s="18"/>
      <c r="IC1192" s="18"/>
      <c r="ID1192" s="18"/>
      <c r="IE1192" s="18"/>
      <c r="IF1192" s="18"/>
      <c r="IG1192" s="18"/>
      <c r="IH1192" s="18"/>
      <c r="II1192" s="18"/>
      <c r="IJ1192" s="18"/>
      <c r="IK1192" s="18"/>
      <c r="IL1192" s="18"/>
      <c r="IM1192" s="18"/>
      <c r="IN1192" s="18"/>
      <c r="IO1192" s="18"/>
      <c r="IP1192" s="18"/>
      <c r="IQ1192" s="18"/>
      <c r="IR1192" s="18"/>
      <c r="IS1192" s="18"/>
      <c r="IT1192" s="18"/>
      <c r="IU1192" s="18"/>
      <c r="IV1192" s="18"/>
      <c r="IW1192" s="18"/>
      <c r="IX1192" s="18"/>
      <c r="IY1192" s="18"/>
      <c r="IZ1192" s="18"/>
      <c r="JA1192" s="18"/>
      <c r="JB1192" s="18"/>
      <c r="JC1192" s="18"/>
      <c r="JD1192" s="18"/>
      <c r="JE1192" s="18"/>
      <c r="JF1192" s="18"/>
      <c r="JG1192" s="18"/>
      <c r="JH1192" s="18"/>
      <c r="JI1192" s="18"/>
      <c r="JJ1192" s="18"/>
      <c r="JK1192" s="18"/>
      <c r="JL1192" s="18"/>
      <c r="JM1192" s="18"/>
      <c r="JN1192" s="18"/>
      <c r="JO1192" s="18"/>
      <c r="JP1192" s="18"/>
      <c r="JQ1192" s="18"/>
      <c r="JR1192" s="18"/>
      <c r="JS1192" s="18"/>
      <c r="JT1192" s="18"/>
      <c r="JU1192" s="18"/>
      <c r="JV1192" s="18"/>
      <c r="JW1192" s="18"/>
      <c r="JX1192" s="18"/>
      <c r="JY1192" s="18"/>
      <c r="JZ1192" s="18"/>
      <c r="KA1192" s="18"/>
      <c r="KB1192" s="18"/>
      <c r="KC1192" s="18"/>
      <c r="KD1192" s="18"/>
      <c r="KE1192" s="18"/>
      <c r="KF1192" s="18"/>
      <c r="KG1192" s="18"/>
      <c r="KH1192" s="18"/>
      <c r="KI1192" s="18"/>
      <c r="KJ1192" s="18"/>
      <c r="KK1192" s="18"/>
      <c r="KL1192" s="18"/>
      <c r="KM1192" s="18"/>
      <c r="KN1192" s="18"/>
      <c r="KO1192" s="18"/>
      <c r="KP1192" s="18"/>
    </row>
    <row r="1193" spans="1:302">
      <c r="P1193" s="14"/>
      <c r="AS1193" s="14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  <c r="EW1193" s="18"/>
      <c r="EX1193" s="18"/>
      <c r="EY1193" s="18"/>
      <c r="EZ1193" s="18"/>
      <c r="FA1193" s="18"/>
      <c r="FB1193" s="18"/>
      <c r="FC1193" s="18"/>
      <c r="FD1193" s="18"/>
      <c r="FE1193" s="18"/>
      <c r="FF1193" s="18"/>
      <c r="FG1193" s="18"/>
      <c r="FH1193" s="18"/>
      <c r="FI1193" s="18"/>
      <c r="FJ1193" s="18"/>
      <c r="FK1193" s="18"/>
      <c r="FL1193" s="18"/>
      <c r="FM1193" s="18"/>
      <c r="FN1193" s="18"/>
      <c r="FO1193" s="18"/>
      <c r="FP1193" s="18"/>
      <c r="FQ1193" s="18"/>
      <c r="FR1193" s="18"/>
      <c r="FS1193" s="18"/>
      <c r="FT1193" s="18"/>
      <c r="FU1193" s="18"/>
      <c r="FV1193" s="18"/>
      <c r="FW1193" s="18"/>
      <c r="FX1193" s="18"/>
      <c r="FY1193" s="18"/>
      <c r="FZ1193" s="18"/>
      <c r="GA1193" s="18"/>
      <c r="GB1193" s="18"/>
      <c r="GC1193" s="18"/>
      <c r="GD1193" s="18"/>
      <c r="GE1193" s="18"/>
      <c r="GF1193" s="18"/>
      <c r="GG1193" s="18"/>
      <c r="GH1193" s="18"/>
      <c r="GI1193" s="18"/>
      <c r="GJ1193" s="18"/>
      <c r="GK1193" s="18"/>
      <c r="GL1193" s="18"/>
      <c r="GM1193" s="18"/>
      <c r="GN1193" s="18"/>
      <c r="GO1193" s="18"/>
      <c r="GP1193" s="18"/>
      <c r="GQ1193" s="18"/>
      <c r="GR1193" s="18"/>
      <c r="GS1193" s="18"/>
      <c r="GT1193" s="18"/>
      <c r="GU1193" s="18"/>
      <c r="GV1193" s="18"/>
      <c r="GW1193" s="18"/>
      <c r="GX1193" s="18"/>
      <c r="GY1193" s="18"/>
      <c r="GZ1193" s="18"/>
      <c r="HA1193" s="18"/>
      <c r="HB1193" s="18"/>
      <c r="HC1193" s="18"/>
      <c r="HD1193" s="18"/>
      <c r="HE1193" s="18"/>
      <c r="HF1193" s="18"/>
      <c r="HG1193" s="13"/>
      <c r="HH1193" s="13"/>
      <c r="HI1193" s="13"/>
      <c r="HJ1193" s="13"/>
      <c r="HK1193" s="13"/>
      <c r="HL1193" s="13"/>
      <c r="HM1193" s="13"/>
      <c r="HN1193" s="13"/>
      <c r="HO1193" s="13"/>
      <c r="HP1193" s="13"/>
      <c r="HQ1193" s="13"/>
      <c r="HR1193" s="13"/>
      <c r="HS1193" s="13"/>
      <c r="HT1193" s="13"/>
      <c r="HU1193" s="18"/>
      <c r="HV1193" s="18"/>
      <c r="HW1193" s="18"/>
      <c r="HX1193" s="18"/>
      <c r="HY1193" s="18"/>
      <c r="HZ1193" s="18"/>
      <c r="IA1193" s="18"/>
      <c r="IB1193" s="18"/>
      <c r="IC1193" s="18"/>
      <c r="ID1193" s="18"/>
      <c r="IE1193" s="18"/>
      <c r="IF1193" s="18"/>
      <c r="IG1193" s="18"/>
      <c r="IH1193" s="18"/>
      <c r="II1193" s="18"/>
      <c r="IJ1193" s="18"/>
      <c r="IK1193" s="18"/>
      <c r="IL1193" s="18"/>
      <c r="IM1193" s="18"/>
      <c r="IN1193" s="18"/>
      <c r="IO1193" s="18"/>
      <c r="IP1193" s="18"/>
      <c r="IQ1193" s="18"/>
      <c r="IR1193" s="18"/>
      <c r="IS1193" s="18"/>
      <c r="IT1193" s="18"/>
      <c r="IU1193" s="18"/>
      <c r="IV1193" s="18"/>
      <c r="IW1193" s="18"/>
      <c r="IX1193" s="18"/>
      <c r="IY1193" s="18"/>
      <c r="IZ1193" s="18"/>
      <c r="JA1193" s="18"/>
      <c r="JB1193" s="18"/>
      <c r="JC1193" s="18"/>
      <c r="JD1193" s="18"/>
      <c r="JE1193" s="18"/>
      <c r="JF1193" s="18"/>
      <c r="JG1193" s="18"/>
      <c r="JH1193" s="18"/>
      <c r="JI1193" s="18"/>
      <c r="JJ1193" s="18"/>
      <c r="JK1193" s="18"/>
      <c r="JL1193" s="18"/>
      <c r="JM1193" s="18"/>
      <c r="JN1193" s="18"/>
      <c r="JO1193" s="18"/>
      <c r="JP1193" s="18"/>
      <c r="JQ1193" s="18"/>
      <c r="JR1193" s="18"/>
      <c r="JS1193" s="18"/>
      <c r="JT1193" s="18"/>
      <c r="JU1193" s="18"/>
      <c r="JV1193" s="18"/>
      <c r="JW1193" s="18"/>
      <c r="JX1193" s="18"/>
      <c r="JY1193" s="18"/>
      <c r="JZ1193" s="18"/>
      <c r="KA1193" s="18"/>
      <c r="KB1193" s="18"/>
      <c r="KC1193" s="18"/>
      <c r="KD1193" s="18"/>
      <c r="KE1193" s="18"/>
      <c r="KF1193" s="18"/>
      <c r="KG1193" s="18"/>
      <c r="KH1193" s="18"/>
      <c r="KI1193" s="18"/>
      <c r="KJ1193" s="18"/>
      <c r="KK1193" s="18"/>
      <c r="KL1193" s="18"/>
      <c r="KM1193" s="18"/>
      <c r="KN1193" s="18"/>
      <c r="KO1193" s="18"/>
      <c r="KP1193" s="18"/>
    </row>
    <row r="1194" spans="1:302">
      <c r="P1194" s="14"/>
      <c r="AS1194" s="14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  <c r="EW1194" s="18"/>
      <c r="EX1194" s="18"/>
      <c r="EY1194" s="18"/>
      <c r="EZ1194" s="18"/>
      <c r="FA1194" s="18"/>
      <c r="FB1194" s="18"/>
      <c r="FC1194" s="18"/>
      <c r="FD1194" s="18"/>
      <c r="FE1194" s="18"/>
      <c r="FF1194" s="18"/>
      <c r="FG1194" s="18"/>
      <c r="FH1194" s="18"/>
      <c r="FI1194" s="18"/>
      <c r="FJ1194" s="18"/>
      <c r="FK1194" s="18"/>
      <c r="FL1194" s="18"/>
      <c r="FM1194" s="18"/>
      <c r="FN1194" s="18"/>
      <c r="FO1194" s="18"/>
      <c r="FP1194" s="18"/>
      <c r="FQ1194" s="18"/>
      <c r="FR1194" s="18"/>
      <c r="FS1194" s="18"/>
      <c r="FT1194" s="18"/>
      <c r="FU1194" s="18"/>
      <c r="FV1194" s="18"/>
      <c r="FW1194" s="18"/>
      <c r="FX1194" s="18"/>
      <c r="FY1194" s="18"/>
      <c r="FZ1194" s="18"/>
      <c r="GA1194" s="18"/>
      <c r="GB1194" s="18"/>
      <c r="GC1194" s="18"/>
      <c r="GD1194" s="18"/>
      <c r="GE1194" s="18"/>
      <c r="GF1194" s="18"/>
      <c r="GG1194" s="18"/>
      <c r="GH1194" s="18"/>
      <c r="GI1194" s="18"/>
      <c r="GJ1194" s="18"/>
      <c r="GK1194" s="18"/>
      <c r="GL1194" s="18"/>
      <c r="GM1194" s="18"/>
      <c r="GN1194" s="18"/>
      <c r="GO1194" s="18"/>
      <c r="GP1194" s="18"/>
      <c r="GQ1194" s="18"/>
      <c r="GR1194" s="18"/>
      <c r="GS1194" s="18"/>
      <c r="GT1194" s="18"/>
      <c r="GU1194" s="18"/>
      <c r="GV1194" s="18"/>
      <c r="GW1194" s="18"/>
      <c r="GX1194" s="18"/>
      <c r="GY1194" s="18"/>
      <c r="GZ1194" s="18"/>
      <c r="HA1194" s="18"/>
      <c r="HB1194" s="18"/>
      <c r="HC1194" s="18"/>
      <c r="HD1194" s="18"/>
      <c r="HE1194" s="18"/>
      <c r="HF1194" s="18"/>
      <c r="HG1194" s="13"/>
      <c r="HH1194" s="13"/>
      <c r="HI1194" s="13"/>
      <c r="HJ1194" s="13"/>
      <c r="HK1194" s="13"/>
      <c r="HL1194" s="13"/>
      <c r="HM1194" s="13"/>
      <c r="HN1194" s="13"/>
      <c r="HO1194" s="13"/>
      <c r="HP1194" s="13"/>
      <c r="HQ1194" s="13"/>
      <c r="HR1194" s="13"/>
      <c r="HS1194" s="13"/>
      <c r="HT1194" s="13"/>
      <c r="HU1194" s="18"/>
      <c r="HV1194" s="18"/>
      <c r="HW1194" s="18"/>
      <c r="HX1194" s="18"/>
      <c r="HY1194" s="18"/>
      <c r="HZ1194" s="18"/>
      <c r="IA1194" s="18"/>
      <c r="IB1194" s="18"/>
      <c r="IC1194" s="18"/>
      <c r="ID1194" s="18"/>
      <c r="IE1194" s="18"/>
      <c r="IF1194" s="18"/>
      <c r="IG1194" s="18"/>
      <c r="IH1194" s="18"/>
      <c r="II1194" s="18"/>
      <c r="IJ1194" s="18"/>
      <c r="IK1194" s="18"/>
      <c r="IL1194" s="18"/>
      <c r="IM1194" s="18"/>
      <c r="IN1194" s="18"/>
      <c r="IO1194" s="18"/>
      <c r="IP1194" s="18"/>
      <c r="IQ1194" s="18"/>
      <c r="IR1194" s="18"/>
      <c r="IS1194" s="18"/>
      <c r="IT1194" s="18"/>
      <c r="IU1194" s="18"/>
      <c r="IV1194" s="18"/>
      <c r="IW1194" s="18"/>
      <c r="IX1194" s="18"/>
      <c r="IY1194" s="18"/>
      <c r="IZ1194" s="18"/>
      <c r="JA1194" s="18"/>
      <c r="JB1194" s="18"/>
      <c r="JC1194" s="18"/>
      <c r="JD1194" s="18"/>
      <c r="JE1194" s="18"/>
      <c r="JF1194" s="18"/>
      <c r="JG1194" s="18"/>
      <c r="JH1194" s="18"/>
      <c r="JI1194" s="18"/>
      <c r="JJ1194" s="18"/>
      <c r="JK1194" s="18"/>
      <c r="JL1194" s="18"/>
      <c r="JM1194" s="18"/>
      <c r="JN1194" s="18"/>
      <c r="JO1194" s="18"/>
      <c r="JP1194" s="18"/>
      <c r="JQ1194" s="18"/>
      <c r="JR1194" s="18"/>
      <c r="JS1194" s="18"/>
      <c r="JT1194" s="18"/>
      <c r="JU1194" s="18"/>
      <c r="JV1194" s="18"/>
      <c r="JW1194" s="18"/>
      <c r="JX1194" s="18"/>
      <c r="JY1194" s="18"/>
      <c r="JZ1194" s="18"/>
      <c r="KA1194" s="18"/>
      <c r="KB1194" s="18"/>
      <c r="KC1194" s="18"/>
      <c r="KD1194" s="18"/>
      <c r="KE1194" s="18"/>
      <c r="KF1194" s="18"/>
      <c r="KG1194" s="18"/>
      <c r="KH1194" s="18"/>
      <c r="KI1194" s="18"/>
      <c r="KJ1194" s="18"/>
      <c r="KK1194" s="18"/>
      <c r="KL1194" s="18"/>
      <c r="KM1194" s="18"/>
      <c r="KN1194" s="18"/>
      <c r="KO1194" s="18"/>
      <c r="KP1194" s="18"/>
    </row>
    <row r="1195" spans="1:302">
      <c r="P1195" s="14"/>
      <c r="AS1195" s="14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  <c r="EW1195" s="18"/>
      <c r="EX1195" s="18"/>
      <c r="EY1195" s="18"/>
      <c r="EZ1195" s="18"/>
      <c r="FA1195" s="18"/>
      <c r="FB1195" s="18"/>
      <c r="FC1195" s="18"/>
      <c r="FD1195" s="18"/>
      <c r="FE1195" s="18"/>
      <c r="FF1195" s="18"/>
      <c r="FG1195" s="18"/>
      <c r="FH1195" s="18"/>
      <c r="FI1195" s="18"/>
      <c r="FJ1195" s="18"/>
      <c r="FK1195" s="18"/>
      <c r="FL1195" s="18"/>
      <c r="FM1195" s="18"/>
      <c r="FN1195" s="18"/>
      <c r="FO1195" s="18"/>
      <c r="FP1195" s="18"/>
      <c r="FQ1195" s="18"/>
      <c r="FR1195" s="18"/>
      <c r="FS1195" s="18"/>
      <c r="FT1195" s="18"/>
      <c r="FU1195" s="18"/>
      <c r="FV1195" s="18"/>
      <c r="FW1195" s="18"/>
      <c r="FX1195" s="18"/>
      <c r="FY1195" s="18"/>
      <c r="FZ1195" s="18"/>
      <c r="GA1195" s="18"/>
      <c r="GB1195" s="18"/>
      <c r="GC1195" s="18"/>
      <c r="GD1195" s="18"/>
      <c r="GE1195" s="18"/>
      <c r="GF1195" s="18"/>
      <c r="GG1195" s="18"/>
      <c r="GH1195" s="18"/>
      <c r="GI1195" s="18"/>
      <c r="GJ1195" s="18"/>
      <c r="GK1195" s="18"/>
      <c r="GL1195" s="18"/>
      <c r="GM1195" s="18"/>
      <c r="GN1195" s="18"/>
      <c r="GO1195" s="18"/>
      <c r="GP1195" s="18"/>
      <c r="GQ1195" s="18"/>
      <c r="GR1195" s="18"/>
      <c r="GS1195" s="18"/>
      <c r="GT1195" s="18"/>
      <c r="GU1195" s="18"/>
      <c r="GV1195" s="18"/>
      <c r="GW1195" s="18"/>
      <c r="GX1195" s="18"/>
      <c r="GY1195" s="18"/>
      <c r="GZ1195" s="18"/>
      <c r="HA1195" s="18"/>
      <c r="HB1195" s="18"/>
      <c r="HC1195" s="18"/>
      <c r="HD1195" s="18"/>
      <c r="HE1195" s="18"/>
      <c r="HF1195" s="18"/>
      <c r="HG1195" s="13"/>
      <c r="HH1195" s="13"/>
      <c r="HI1195" s="13"/>
      <c r="HJ1195" s="13"/>
      <c r="HK1195" s="13"/>
      <c r="HL1195" s="13"/>
      <c r="HM1195" s="13"/>
      <c r="HN1195" s="13"/>
      <c r="HO1195" s="13"/>
      <c r="HP1195" s="13"/>
      <c r="HQ1195" s="13"/>
      <c r="HR1195" s="13"/>
      <c r="HS1195" s="13"/>
      <c r="HT1195" s="13"/>
      <c r="HU1195" s="18"/>
      <c r="HV1195" s="18"/>
      <c r="HW1195" s="18"/>
      <c r="HX1195" s="18"/>
      <c r="HY1195" s="18"/>
      <c r="HZ1195" s="18"/>
      <c r="IA1195" s="18"/>
      <c r="IB1195" s="18"/>
      <c r="IC1195" s="18"/>
      <c r="ID1195" s="18"/>
      <c r="IE1195" s="18"/>
      <c r="IF1195" s="18"/>
      <c r="IG1195" s="18"/>
      <c r="IH1195" s="18"/>
      <c r="II1195" s="18"/>
      <c r="IJ1195" s="18"/>
      <c r="IK1195" s="18"/>
      <c r="IL1195" s="18"/>
      <c r="IM1195" s="18"/>
      <c r="IN1195" s="18"/>
      <c r="IO1195" s="18"/>
      <c r="IP1195" s="18"/>
      <c r="IQ1195" s="18"/>
      <c r="IR1195" s="18"/>
      <c r="IS1195" s="18"/>
      <c r="IT1195" s="18"/>
      <c r="IU1195" s="18"/>
      <c r="IV1195" s="18"/>
      <c r="IW1195" s="18"/>
      <c r="IX1195" s="18"/>
      <c r="IY1195" s="18"/>
      <c r="IZ1195" s="18"/>
      <c r="JA1195" s="18"/>
      <c r="JB1195" s="18"/>
      <c r="JC1195" s="18"/>
      <c r="JD1195" s="18"/>
      <c r="JE1195" s="18"/>
      <c r="JF1195" s="18"/>
      <c r="JG1195" s="18"/>
      <c r="JH1195" s="18"/>
      <c r="JI1195" s="18"/>
      <c r="JJ1195" s="18"/>
      <c r="JK1195" s="18"/>
      <c r="JL1195" s="18"/>
      <c r="JM1195" s="18"/>
      <c r="JN1195" s="18"/>
      <c r="JO1195" s="18"/>
      <c r="JP1195" s="18"/>
      <c r="JQ1195" s="18"/>
      <c r="JR1195" s="18"/>
      <c r="JS1195" s="18"/>
      <c r="JT1195" s="18"/>
      <c r="JU1195" s="18"/>
      <c r="JV1195" s="18"/>
      <c r="JW1195" s="18"/>
      <c r="JX1195" s="18"/>
      <c r="JY1195" s="18"/>
      <c r="JZ1195" s="18"/>
      <c r="KA1195" s="18"/>
      <c r="KB1195" s="18"/>
      <c r="KC1195" s="18"/>
      <c r="KD1195" s="18"/>
      <c r="KE1195" s="18"/>
      <c r="KF1195" s="18"/>
      <c r="KG1195" s="18"/>
      <c r="KH1195" s="18"/>
      <c r="KI1195" s="18"/>
      <c r="KJ1195" s="18"/>
      <c r="KK1195" s="18"/>
      <c r="KL1195" s="18"/>
      <c r="KM1195" s="18"/>
      <c r="KN1195" s="18"/>
      <c r="KO1195" s="18"/>
      <c r="KP1195" s="18"/>
    </row>
    <row r="1196" spans="1:302">
      <c r="P1196" s="14"/>
      <c r="AS1196" s="14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  <c r="EW1196" s="18"/>
      <c r="EX1196" s="18"/>
      <c r="EY1196" s="18"/>
      <c r="EZ1196" s="18"/>
      <c r="FA1196" s="18"/>
      <c r="FB1196" s="18"/>
      <c r="FC1196" s="18"/>
      <c r="FD1196" s="18"/>
      <c r="FE1196" s="18"/>
      <c r="FF1196" s="18"/>
      <c r="FG1196" s="18"/>
      <c r="FH1196" s="18"/>
      <c r="FI1196" s="18"/>
      <c r="FJ1196" s="18"/>
      <c r="FK1196" s="18"/>
      <c r="FL1196" s="18"/>
      <c r="FM1196" s="18"/>
      <c r="FN1196" s="18"/>
      <c r="FO1196" s="18"/>
      <c r="FP1196" s="18"/>
      <c r="FQ1196" s="18"/>
      <c r="FR1196" s="18"/>
      <c r="FS1196" s="18"/>
      <c r="FT1196" s="18"/>
      <c r="FU1196" s="18"/>
      <c r="FV1196" s="18"/>
      <c r="FW1196" s="18"/>
      <c r="FX1196" s="18"/>
      <c r="FY1196" s="18"/>
      <c r="FZ1196" s="18"/>
      <c r="GA1196" s="18"/>
      <c r="GB1196" s="18"/>
      <c r="GC1196" s="18"/>
      <c r="GD1196" s="18"/>
      <c r="GE1196" s="18"/>
      <c r="GF1196" s="18"/>
      <c r="GG1196" s="18"/>
      <c r="GH1196" s="18"/>
      <c r="GI1196" s="18"/>
      <c r="GJ1196" s="18"/>
      <c r="GK1196" s="18"/>
      <c r="GL1196" s="18"/>
      <c r="GM1196" s="18"/>
      <c r="GN1196" s="18"/>
      <c r="GO1196" s="18"/>
      <c r="GP1196" s="18"/>
      <c r="GQ1196" s="18"/>
      <c r="GR1196" s="18"/>
      <c r="GS1196" s="18"/>
      <c r="GT1196" s="18"/>
      <c r="GU1196" s="18"/>
      <c r="GV1196" s="18"/>
      <c r="GW1196" s="18"/>
      <c r="GX1196" s="18"/>
      <c r="GY1196" s="18"/>
      <c r="GZ1196" s="18"/>
      <c r="HA1196" s="18"/>
      <c r="HB1196" s="18"/>
      <c r="HC1196" s="18"/>
      <c r="HD1196" s="18"/>
      <c r="HE1196" s="18"/>
      <c r="HF1196" s="18"/>
      <c r="HG1196" s="13"/>
      <c r="HH1196" s="13"/>
      <c r="HI1196" s="13"/>
      <c r="HJ1196" s="13"/>
      <c r="HK1196" s="13"/>
      <c r="HL1196" s="13"/>
      <c r="HM1196" s="13"/>
      <c r="HN1196" s="13"/>
      <c r="HO1196" s="13"/>
      <c r="HP1196" s="13"/>
      <c r="HQ1196" s="13"/>
      <c r="HR1196" s="13"/>
      <c r="HS1196" s="13"/>
      <c r="HT1196" s="13"/>
      <c r="HU1196" s="18"/>
      <c r="HV1196" s="18"/>
      <c r="HW1196" s="18"/>
      <c r="HX1196" s="18"/>
      <c r="HY1196" s="18"/>
      <c r="HZ1196" s="18"/>
      <c r="IA1196" s="18"/>
      <c r="IB1196" s="18"/>
      <c r="IC1196" s="18"/>
      <c r="ID1196" s="18"/>
      <c r="IE1196" s="18"/>
      <c r="IF1196" s="18"/>
      <c r="IG1196" s="18"/>
      <c r="IH1196" s="18"/>
      <c r="II1196" s="18"/>
      <c r="IJ1196" s="18"/>
      <c r="IK1196" s="18"/>
      <c r="IL1196" s="18"/>
      <c r="IM1196" s="18"/>
      <c r="IN1196" s="18"/>
      <c r="IO1196" s="18"/>
      <c r="IP1196" s="18"/>
      <c r="IQ1196" s="18"/>
      <c r="IR1196" s="18"/>
      <c r="IS1196" s="18"/>
      <c r="IT1196" s="18"/>
      <c r="IU1196" s="18"/>
      <c r="IV1196" s="18"/>
      <c r="IW1196" s="18"/>
      <c r="IX1196" s="18"/>
      <c r="IY1196" s="18"/>
      <c r="IZ1196" s="18"/>
      <c r="JA1196" s="18"/>
      <c r="JB1196" s="18"/>
      <c r="JC1196" s="18"/>
      <c r="JD1196" s="18"/>
      <c r="JE1196" s="18"/>
      <c r="JF1196" s="18"/>
      <c r="JG1196" s="18"/>
      <c r="JH1196" s="18"/>
      <c r="JI1196" s="18"/>
      <c r="JJ1196" s="18"/>
      <c r="JK1196" s="18"/>
      <c r="JL1196" s="18"/>
      <c r="JM1196" s="18"/>
      <c r="JN1196" s="18"/>
      <c r="JO1196" s="18"/>
      <c r="JP1196" s="18"/>
      <c r="JQ1196" s="18"/>
      <c r="JR1196" s="18"/>
      <c r="JS1196" s="18"/>
      <c r="JT1196" s="18"/>
      <c r="JU1196" s="18"/>
      <c r="JV1196" s="18"/>
      <c r="JW1196" s="18"/>
      <c r="JX1196" s="18"/>
      <c r="JY1196" s="18"/>
      <c r="JZ1196" s="18"/>
      <c r="KA1196" s="18"/>
      <c r="KB1196" s="18"/>
      <c r="KC1196" s="18"/>
      <c r="KD1196" s="18"/>
      <c r="KE1196" s="18"/>
      <c r="KF1196" s="18"/>
      <c r="KG1196" s="18"/>
      <c r="KH1196" s="18"/>
      <c r="KI1196" s="18"/>
      <c r="KJ1196" s="18"/>
      <c r="KK1196" s="18"/>
      <c r="KL1196" s="18"/>
      <c r="KM1196" s="18"/>
      <c r="KN1196" s="18"/>
      <c r="KO1196" s="18"/>
      <c r="KP1196" s="18"/>
    </row>
    <row r="1197" spans="1:302">
      <c r="P1197" s="14"/>
      <c r="AS1197" s="14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  <c r="EW1197" s="18"/>
      <c r="EX1197" s="18"/>
      <c r="EY1197" s="18"/>
      <c r="EZ1197" s="18"/>
      <c r="FA1197" s="18"/>
      <c r="FB1197" s="18"/>
      <c r="FC1197" s="18"/>
      <c r="FD1197" s="18"/>
      <c r="FE1197" s="18"/>
      <c r="FF1197" s="18"/>
      <c r="FG1197" s="18"/>
      <c r="FH1197" s="18"/>
      <c r="FI1197" s="18"/>
      <c r="FJ1197" s="18"/>
      <c r="FK1197" s="18"/>
      <c r="FL1197" s="18"/>
      <c r="FM1197" s="18"/>
      <c r="FN1197" s="18"/>
      <c r="FO1197" s="18"/>
      <c r="FP1197" s="18"/>
      <c r="FQ1197" s="18"/>
      <c r="FR1197" s="18"/>
      <c r="FS1197" s="18"/>
      <c r="FT1197" s="18"/>
      <c r="FU1197" s="18"/>
      <c r="FV1197" s="18"/>
      <c r="FW1197" s="18"/>
      <c r="FX1197" s="18"/>
      <c r="FY1197" s="18"/>
      <c r="FZ1197" s="18"/>
      <c r="GA1197" s="18"/>
      <c r="GB1197" s="18"/>
      <c r="GC1197" s="18"/>
      <c r="GD1197" s="18"/>
      <c r="GE1197" s="18"/>
      <c r="GF1197" s="18"/>
      <c r="GG1197" s="18"/>
      <c r="GH1197" s="18"/>
      <c r="GI1197" s="18"/>
      <c r="GJ1197" s="18"/>
      <c r="GK1197" s="18"/>
      <c r="GL1197" s="18"/>
      <c r="GM1197" s="18"/>
      <c r="GN1197" s="18"/>
      <c r="GO1197" s="18"/>
      <c r="GP1197" s="18"/>
      <c r="GQ1197" s="18"/>
      <c r="GR1197" s="18"/>
      <c r="GS1197" s="18"/>
      <c r="GT1197" s="18"/>
      <c r="GU1197" s="18"/>
      <c r="GV1197" s="18"/>
      <c r="GW1197" s="18"/>
      <c r="GX1197" s="18"/>
      <c r="GY1197" s="18"/>
      <c r="GZ1197" s="18"/>
      <c r="HA1197" s="18"/>
      <c r="HB1197" s="18"/>
      <c r="HC1197" s="18"/>
      <c r="HD1197" s="18"/>
      <c r="HE1197" s="18"/>
      <c r="HF1197" s="18"/>
      <c r="HG1197" s="13"/>
      <c r="HH1197" s="13"/>
      <c r="HI1197" s="13"/>
      <c r="HJ1197" s="13"/>
      <c r="HK1197" s="13"/>
      <c r="HL1197" s="13"/>
      <c r="HM1197" s="13"/>
      <c r="HN1197" s="13"/>
      <c r="HO1197" s="13"/>
      <c r="HP1197" s="13"/>
      <c r="HQ1197" s="13"/>
      <c r="HR1197" s="13"/>
      <c r="HS1197" s="13"/>
      <c r="HT1197" s="13"/>
      <c r="HU1197" s="18"/>
      <c r="HV1197" s="18"/>
      <c r="HW1197" s="18"/>
      <c r="HX1197" s="18"/>
      <c r="HY1197" s="18"/>
      <c r="HZ1197" s="18"/>
      <c r="IA1197" s="18"/>
      <c r="IB1197" s="18"/>
      <c r="IC1197" s="18"/>
      <c r="ID1197" s="18"/>
      <c r="IE1197" s="18"/>
      <c r="IF1197" s="18"/>
      <c r="IG1197" s="18"/>
      <c r="IH1197" s="18"/>
      <c r="II1197" s="18"/>
      <c r="IJ1197" s="18"/>
      <c r="IK1197" s="18"/>
      <c r="IL1197" s="18"/>
      <c r="IM1197" s="18"/>
      <c r="IN1197" s="18"/>
      <c r="IO1197" s="18"/>
      <c r="IP1197" s="18"/>
      <c r="IQ1197" s="18"/>
      <c r="IR1197" s="18"/>
      <c r="IS1197" s="18"/>
      <c r="IT1197" s="18"/>
      <c r="IU1197" s="18"/>
      <c r="IV1197" s="18"/>
      <c r="IW1197" s="18"/>
      <c r="IX1197" s="18"/>
      <c r="IY1197" s="18"/>
      <c r="IZ1197" s="18"/>
      <c r="JA1197" s="18"/>
      <c r="JB1197" s="18"/>
      <c r="JC1197" s="18"/>
      <c r="JD1197" s="18"/>
      <c r="JE1197" s="18"/>
      <c r="JF1197" s="18"/>
      <c r="JG1197" s="18"/>
      <c r="JH1197" s="18"/>
      <c r="JI1197" s="18"/>
      <c r="JJ1197" s="18"/>
      <c r="JK1197" s="18"/>
      <c r="JL1197" s="18"/>
      <c r="JM1197" s="18"/>
      <c r="JN1197" s="18"/>
      <c r="JO1197" s="18"/>
      <c r="JP1197" s="18"/>
      <c r="JQ1197" s="18"/>
      <c r="JR1197" s="18"/>
      <c r="JS1197" s="18"/>
      <c r="JT1197" s="18"/>
      <c r="JU1197" s="18"/>
      <c r="JV1197" s="18"/>
      <c r="JW1197" s="18"/>
      <c r="JX1197" s="18"/>
      <c r="JY1197" s="18"/>
      <c r="JZ1197" s="18"/>
      <c r="KA1197" s="18"/>
      <c r="KB1197" s="18"/>
      <c r="KC1197" s="18"/>
      <c r="KD1197" s="18"/>
      <c r="KE1197" s="18"/>
      <c r="KF1197" s="18"/>
      <c r="KG1197" s="18"/>
      <c r="KH1197" s="18"/>
      <c r="KI1197" s="18"/>
      <c r="KJ1197" s="18"/>
      <c r="KK1197" s="18"/>
      <c r="KL1197" s="18"/>
      <c r="KM1197" s="18"/>
      <c r="KN1197" s="18"/>
      <c r="KO1197" s="18"/>
      <c r="KP1197" s="18"/>
    </row>
    <row r="1198" spans="1:302">
      <c r="P1198" s="14"/>
      <c r="AS1198" s="14"/>
      <c r="AT1198" s="18"/>
      <c r="AU1198" s="18"/>
      <c r="AV1198" s="18"/>
      <c r="AW1198" s="18"/>
      <c r="AX1198" s="18"/>
      <c r="AY1198" s="18"/>
      <c r="AZ1198" s="18"/>
      <c r="BA1198" s="18"/>
      <c r="BB1198" s="18"/>
      <c r="BC1198" s="18"/>
      <c r="BD1198" s="18"/>
      <c r="BE1198" s="18"/>
      <c r="BF1198" s="18"/>
      <c r="BG1198" s="18"/>
      <c r="BH1198" s="18"/>
      <c r="BI1198" s="18"/>
      <c r="BJ1198" s="18"/>
      <c r="BK1198" s="18"/>
      <c r="BL1198" s="18"/>
      <c r="BM1198" s="18"/>
      <c r="BN1198" s="18"/>
      <c r="BO1198" s="18"/>
      <c r="BP1198" s="18"/>
      <c r="BQ1198" s="18"/>
      <c r="BR1198" s="18"/>
      <c r="BS1198" s="18"/>
      <c r="BT1198" s="18"/>
      <c r="BU1198" s="18"/>
      <c r="BV1198" s="18"/>
      <c r="BW1198" s="18"/>
      <c r="BX1198" s="18"/>
      <c r="BY1198" s="18"/>
      <c r="BZ1198" s="18"/>
      <c r="CA1198" s="18"/>
      <c r="CB1198" s="18"/>
      <c r="CC1198" s="18"/>
      <c r="CD1198" s="18"/>
      <c r="CE1198" s="18"/>
      <c r="CF1198" s="18"/>
      <c r="CG1198" s="18"/>
      <c r="CH1198" s="18"/>
      <c r="CI1198" s="18"/>
      <c r="CJ1198" s="18"/>
      <c r="CK1198" s="18"/>
      <c r="CL1198" s="18"/>
      <c r="CM1198" s="18"/>
      <c r="CN1198" s="18"/>
      <c r="CO1198" s="18"/>
      <c r="CP1198" s="18"/>
      <c r="CQ1198" s="18"/>
      <c r="CR1198" s="18"/>
      <c r="CS1198" s="18"/>
      <c r="CT1198" s="18"/>
      <c r="CU1198" s="18"/>
      <c r="CV1198" s="18"/>
      <c r="CW1198" s="18"/>
      <c r="CX1198" s="18"/>
      <c r="CY1198" s="18"/>
      <c r="CZ1198" s="18"/>
      <c r="DA1198" s="18"/>
      <c r="DB1198" s="18"/>
      <c r="DC1198" s="18"/>
      <c r="DD1198" s="18"/>
      <c r="DE1198" s="18"/>
      <c r="DF1198" s="18"/>
      <c r="DG1198" s="18"/>
      <c r="DH1198" s="18"/>
      <c r="DI1198" s="18"/>
      <c r="DJ1198" s="18"/>
      <c r="DK1198" s="18"/>
      <c r="DL1198" s="18"/>
      <c r="DM1198" s="18"/>
      <c r="DN1198" s="18"/>
      <c r="DO1198" s="18"/>
      <c r="DP1198" s="18"/>
      <c r="DQ1198" s="18"/>
      <c r="DR1198" s="18"/>
      <c r="DS1198" s="18"/>
      <c r="DT1198" s="18"/>
      <c r="DU1198" s="18"/>
      <c r="DV1198" s="18"/>
      <c r="DW1198" s="18"/>
      <c r="DX1198" s="18"/>
      <c r="DY1198" s="18"/>
      <c r="DZ1198" s="18"/>
      <c r="EA1198" s="18"/>
      <c r="EB1198" s="18"/>
      <c r="EC1198" s="18"/>
      <c r="ED1198" s="18"/>
      <c r="EE1198" s="18"/>
      <c r="EF1198" s="18"/>
      <c r="EG1198" s="18"/>
      <c r="EH1198" s="18"/>
      <c r="EI1198" s="18"/>
      <c r="EJ1198" s="18"/>
      <c r="EK1198" s="18"/>
      <c r="EL1198" s="18"/>
      <c r="EM1198" s="18"/>
      <c r="EN1198" s="18"/>
      <c r="EO1198" s="18"/>
      <c r="EP1198" s="18"/>
      <c r="EQ1198" s="18"/>
      <c r="ER1198" s="18"/>
      <c r="ES1198" s="18"/>
      <c r="ET1198" s="18"/>
      <c r="EU1198" s="18"/>
      <c r="EV1198" s="18"/>
      <c r="EW1198" s="18"/>
      <c r="EX1198" s="18"/>
      <c r="EY1198" s="18"/>
      <c r="EZ1198" s="18"/>
      <c r="FA1198" s="18"/>
      <c r="FB1198" s="18"/>
      <c r="FC1198" s="18"/>
      <c r="FD1198" s="18"/>
      <c r="FE1198" s="18"/>
      <c r="FF1198" s="18"/>
      <c r="FG1198" s="18"/>
      <c r="FH1198" s="18"/>
      <c r="FI1198" s="18"/>
      <c r="FJ1198" s="18"/>
      <c r="FK1198" s="18"/>
      <c r="FL1198" s="18"/>
      <c r="FM1198" s="18"/>
      <c r="FN1198" s="18"/>
      <c r="FO1198" s="18"/>
      <c r="FP1198" s="18"/>
      <c r="FQ1198" s="18"/>
      <c r="FR1198" s="18"/>
      <c r="FS1198" s="18"/>
      <c r="FT1198" s="18"/>
      <c r="FU1198" s="18"/>
      <c r="FV1198" s="18"/>
      <c r="FW1198" s="18"/>
      <c r="FX1198" s="18"/>
      <c r="FY1198" s="18"/>
      <c r="FZ1198" s="18"/>
      <c r="GA1198" s="18"/>
      <c r="GB1198" s="18"/>
      <c r="GC1198" s="18"/>
      <c r="GD1198" s="18"/>
      <c r="GE1198" s="18"/>
      <c r="GF1198" s="18"/>
      <c r="GG1198" s="18"/>
      <c r="GH1198" s="18"/>
      <c r="GI1198" s="18"/>
      <c r="GJ1198" s="18"/>
      <c r="GK1198" s="18"/>
      <c r="GL1198" s="18"/>
      <c r="GM1198" s="18"/>
      <c r="GN1198" s="18"/>
      <c r="GO1198" s="18"/>
      <c r="GP1198" s="18"/>
      <c r="GQ1198" s="18"/>
      <c r="GR1198" s="18"/>
      <c r="GS1198" s="18"/>
      <c r="GT1198" s="18"/>
      <c r="GU1198" s="18"/>
      <c r="GV1198" s="18"/>
      <c r="GW1198" s="18"/>
      <c r="GX1198" s="18"/>
      <c r="GY1198" s="18"/>
      <c r="GZ1198" s="18"/>
      <c r="HA1198" s="18"/>
      <c r="HB1198" s="18"/>
      <c r="HC1198" s="18"/>
      <c r="HD1198" s="18"/>
      <c r="HE1198" s="18"/>
      <c r="HF1198" s="18"/>
      <c r="HG1198" s="13"/>
      <c r="HH1198" s="13"/>
      <c r="HI1198" s="13"/>
      <c r="HJ1198" s="13"/>
      <c r="HK1198" s="13"/>
      <c r="HL1198" s="13"/>
      <c r="HM1198" s="13"/>
      <c r="HN1198" s="13"/>
      <c r="HO1198" s="13"/>
      <c r="HP1198" s="13"/>
      <c r="HQ1198" s="13"/>
      <c r="HR1198" s="13"/>
      <c r="HS1198" s="13"/>
      <c r="HT1198" s="13"/>
      <c r="HU1198" s="18"/>
      <c r="HV1198" s="18"/>
      <c r="HW1198" s="18"/>
      <c r="HX1198" s="18"/>
      <c r="HY1198" s="18"/>
      <c r="HZ1198" s="18"/>
      <c r="IA1198" s="18"/>
      <c r="IB1198" s="18"/>
      <c r="IC1198" s="18"/>
      <c r="ID1198" s="18"/>
      <c r="IE1198" s="18"/>
      <c r="IF1198" s="18"/>
      <c r="IG1198" s="18"/>
      <c r="IH1198" s="18"/>
      <c r="II1198" s="18"/>
      <c r="IJ1198" s="18"/>
      <c r="IK1198" s="18"/>
      <c r="IL1198" s="18"/>
      <c r="IM1198" s="18"/>
      <c r="IN1198" s="18"/>
      <c r="IO1198" s="18"/>
      <c r="IP1198" s="18"/>
      <c r="IQ1198" s="18"/>
      <c r="IR1198" s="18"/>
      <c r="IS1198" s="18"/>
      <c r="IT1198" s="18"/>
      <c r="IU1198" s="18"/>
      <c r="IV1198" s="18"/>
      <c r="IW1198" s="18"/>
      <c r="IX1198" s="18"/>
      <c r="IY1198" s="18"/>
      <c r="IZ1198" s="18"/>
      <c r="JA1198" s="18"/>
      <c r="JB1198" s="18"/>
      <c r="JC1198" s="18"/>
      <c r="JD1198" s="18"/>
      <c r="JE1198" s="18"/>
      <c r="JF1198" s="18"/>
      <c r="JG1198" s="18"/>
      <c r="JH1198" s="18"/>
      <c r="JI1198" s="18"/>
      <c r="JJ1198" s="18"/>
      <c r="JK1198" s="18"/>
      <c r="JL1198" s="18"/>
      <c r="JM1198" s="18"/>
      <c r="JN1198" s="18"/>
      <c r="JO1198" s="18"/>
      <c r="JP1198" s="18"/>
      <c r="JQ1198" s="18"/>
      <c r="JR1198" s="18"/>
      <c r="JS1198" s="18"/>
      <c r="JT1198" s="18"/>
      <c r="JU1198" s="18"/>
      <c r="JV1198" s="18"/>
      <c r="JW1198" s="18"/>
      <c r="JX1198" s="18"/>
      <c r="JY1198" s="18"/>
      <c r="JZ1198" s="18"/>
      <c r="KA1198" s="18"/>
      <c r="KB1198" s="18"/>
      <c r="KC1198" s="18"/>
      <c r="KD1198" s="18"/>
      <c r="KE1198" s="18"/>
      <c r="KF1198" s="18"/>
      <c r="KG1198" s="18"/>
      <c r="KH1198" s="18"/>
      <c r="KI1198" s="18"/>
      <c r="KJ1198" s="18"/>
      <c r="KK1198" s="18"/>
      <c r="KL1198" s="18"/>
      <c r="KM1198" s="18"/>
      <c r="KN1198" s="18"/>
      <c r="KO1198" s="18"/>
      <c r="KP1198" s="18"/>
    </row>
    <row r="1199" spans="1:302">
      <c r="P1199" s="14"/>
      <c r="AS1199" s="14"/>
      <c r="AT1199" s="18"/>
      <c r="AU1199" s="18"/>
      <c r="AV1199" s="18"/>
      <c r="AW1199" s="18"/>
      <c r="AX1199" s="18"/>
      <c r="AY1199" s="18"/>
      <c r="AZ1199" s="18"/>
      <c r="BA1199" s="18"/>
      <c r="BB1199" s="18"/>
      <c r="BC1199" s="18"/>
      <c r="BD1199" s="18"/>
      <c r="BE1199" s="18"/>
      <c r="BF1199" s="18"/>
      <c r="BG1199" s="18"/>
      <c r="BH1199" s="18"/>
      <c r="BI1199" s="18"/>
      <c r="BJ1199" s="18"/>
      <c r="BK1199" s="18"/>
      <c r="BL1199" s="18"/>
      <c r="BM1199" s="18"/>
      <c r="BN1199" s="18"/>
      <c r="BO1199" s="18"/>
      <c r="BP1199" s="18"/>
      <c r="BQ1199" s="18"/>
      <c r="BR1199" s="18"/>
      <c r="BS1199" s="18"/>
      <c r="BT1199" s="18"/>
      <c r="BU1199" s="18"/>
      <c r="BV1199" s="18"/>
      <c r="BW1199" s="18"/>
      <c r="BX1199" s="18"/>
      <c r="BY1199" s="18"/>
      <c r="BZ1199" s="18"/>
      <c r="CA1199" s="18"/>
      <c r="CB1199" s="18"/>
      <c r="CC1199" s="18"/>
      <c r="CD1199" s="18"/>
      <c r="CE1199" s="18"/>
      <c r="CF1199" s="18"/>
      <c r="CG1199" s="18"/>
      <c r="CH1199" s="18"/>
      <c r="CI1199" s="18"/>
      <c r="CJ1199" s="18"/>
      <c r="CK1199" s="18"/>
      <c r="CL1199" s="18"/>
      <c r="CM1199" s="18"/>
      <c r="CN1199" s="18"/>
      <c r="CO1199" s="18"/>
      <c r="CP1199" s="18"/>
      <c r="CQ1199" s="18"/>
      <c r="CR1199" s="18"/>
      <c r="CS1199" s="18"/>
      <c r="CT1199" s="18"/>
      <c r="CU1199" s="18"/>
      <c r="CV1199" s="18"/>
      <c r="CW1199" s="18"/>
      <c r="CX1199" s="18"/>
      <c r="CY1199" s="18"/>
      <c r="CZ1199" s="18"/>
      <c r="DA1199" s="18"/>
      <c r="DB1199" s="18"/>
      <c r="DC1199" s="18"/>
      <c r="DD1199" s="18"/>
      <c r="DE1199" s="18"/>
      <c r="DF1199" s="18"/>
      <c r="DG1199" s="18"/>
      <c r="DH1199" s="18"/>
      <c r="DI1199" s="18"/>
      <c r="DJ1199" s="18"/>
      <c r="DK1199" s="18"/>
      <c r="DL1199" s="18"/>
      <c r="DM1199" s="18"/>
      <c r="DN1199" s="18"/>
      <c r="DO1199" s="18"/>
      <c r="DP1199" s="18"/>
      <c r="DQ1199" s="18"/>
      <c r="DR1199" s="18"/>
      <c r="DS1199" s="18"/>
      <c r="DT1199" s="18"/>
      <c r="DU1199" s="18"/>
      <c r="DV1199" s="18"/>
      <c r="DW1199" s="18"/>
      <c r="DX1199" s="18"/>
      <c r="DY1199" s="18"/>
      <c r="DZ1199" s="18"/>
      <c r="EA1199" s="18"/>
      <c r="EB1199" s="18"/>
      <c r="EC1199" s="18"/>
      <c r="ED1199" s="18"/>
      <c r="EE1199" s="18"/>
      <c r="EF1199" s="18"/>
      <c r="EG1199" s="18"/>
      <c r="EH1199" s="18"/>
      <c r="EI1199" s="18"/>
      <c r="EJ1199" s="18"/>
      <c r="EK1199" s="18"/>
      <c r="EL1199" s="18"/>
      <c r="EM1199" s="18"/>
      <c r="EN1199" s="18"/>
      <c r="EO1199" s="18"/>
      <c r="EP1199" s="18"/>
      <c r="EQ1199" s="18"/>
      <c r="ER1199" s="18"/>
      <c r="ES1199" s="18"/>
      <c r="ET1199" s="18"/>
      <c r="EU1199" s="18"/>
      <c r="EV1199" s="18"/>
      <c r="EW1199" s="18"/>
      <c r="EX1199" s="18"/>
      <c r="EY1199" s="18"/>
      <c r="EZ1199" s="18"/>
      <c r="FA1199" s="18"/>
      <c r="FB1199" s="18"/>
      <c r="FC1199" s="18"/>
      <c r="FD1199" s="18"/>
      <c r="FE1199" s="18"/>
      <c r="FF1199" s="18"/>
      <c r="FG1199" s="18"/>
      <c r="FH1199" s="18"/>
      <c r="FI1199" s="18"/>
      <c r="FJ1199" s="18"/>
      <c r="FK1199" s="18"/>
      <c r="FL1199" s="18"/>
      <c r="FM1199" s="18"/>
      <c r="FN1199" s="18"/>
      <c r="FO1199" s="18"/>
      <c r="FP1199" s="18"/>
      <c r="FQ1199" s="18"/>
      <c r="FR1199" s="18"/>
      <c r="FS1199" s="18"/>
      <c r="FT1199" s="18"/>
      <c r="FU1199" s="18"/>
      <c r="FV1199" s="18"/>
      <c r="FW1199" s="18"/>
      <c r="FX1199" s="18"/>
      <c r="FY1199" s="18"/>
      <c r="FZ1199" s="18"/>
      <c r="GA1199" s="18"/>
      <c r="GB1199" s="18"/>
      <c r="GC1199" s="18"/>
      <c r="GD1199" s="18"/>
      <c r="GE1199" s="18"/>
      <c r="GF1199" s="18"/>
      <c r="GG1199" s="18"/>
      <c r="GH1199" s="18"/>
      <c r="GI1199" s="18"/>
      <c r="GJ1199" s="18"/>
      <c r="GK1199" s="18"/>
      <c r="GL1199" s="18"/>
      <c r="GM1199" s="18"/>
      <c r="GN1199" s="18"/>
      <c r="GO1199" s="18"/>
      <c r="GP1199" s="18"/>
      <c r="GQ1199" s="18"/>
      <c r="GR1199" s="18"/>
      <c r="GS1199" s="18"/>
      <c r="GT1199" s="18"/>
      <c r="GU1199" s="18"/>
      <c r="GV1199" s="18"/>
      <c r="GW1199" s="18"/>
      <c r="GX1199" s="18"/>
      <c r="GY1199" s="18"/>
      <c r="GZ1199" s="18"/>
      <c r="HA1199" s="18"/>
      <c r="HB1199" s="18"/>
      <c r="HC1199" s="18"/>
      <c r="HD1199" s="18"/>
      <c r="HE1199" s="18"/>
      <c r="HF1199" s="18"/>
      <c r="HG1199" s="13"/>
      <c r="HH1199" s="13"/>
      <c r="HI1199" s="13"/>
      <c r="HJ1199" s="13"/>
      <c r="HK1199" s="13"/>
      <c r="HL1199" s="13"/>
      <c r="HM1199" s="13"/>
      <c r="HN1199" s="13"/>
      <c r="HO1199" s="13"/>
      <c r="HP1199" s="13"/>
      <c r="HQ1199" s="13"/>
      <c r="HR1199" s="13"/>
      <c r="HS1199" s="13"/>
      <c r="HT1199" s="13"/>
      <c r="HU1199" s="18"/>
      <c r="HV1199" s="18"/>
      <c r="HW1199" s="18"/>
      <c r="HX1199" s="18"/>
      <c r="HY1199" s="18"/>
      <c r="HZ1199" s="18"/>
      <c r="IA1199" s="18"/>
      <c r="IB1199" s="18"/>
      <c r="IC1199" s="18"/>
      <c r="ID1199" s="18"/>
      <c r="IE1199" s="18"/>
      <c r="IF1199" s="18"/>
      <c r="IG1199" s="18"/>
      <c r="IH1199" s="18"/>
      <c r="II1199" s="18"/>
      <c r="IJ1199" s="18"/>
      <c r="IK1199" s="18"/>
      <c r="IL1199" s="18"/>
      <c r="IM1199" s="18"/>
      <c r="IN1199" s="18"/>
      <c r="IO1199" s="18"/>
      <c r="IP1199" s="18"/>
      <c r="IQ1199" s="18"/>
      <c r="IR1199" s="18"/>
      <c r="IS1199" s="18"/>
      <c r="IT1199" s="18"/>
      <c r="IU1199" s="18"/>
      <c r="IV1199" s="18"/>
      <c r="IW1199" s="18"/>
      <c r="IX1199" s="18"/>
      <c r="IY1199" s="18"/>
      <c r="IZ1199" s="18"/>
      <c r="JA1199" s="18"/>
      <c r="JB1199" s="18"/>
      <c r="JC1199" s="18"/>
      <c r="JD1199" s="18"/>
      <c r="JE1199" s="18"/>
      <c r="JF1199" s="18"/>
      <c r="JG1199" s="18"/>
      <c r="JH1199" s="18"/>
      <c r="JI1199" s="18"/>
      <c r="JJ1199" s="18"/>
      <c r="JK1199" s="18"/>
      <c r="JL1199" s="18"/>
      <c r="JM1199" s="18"/>
      <c r="JN1199" s="18"/>
      <c r="JO1199" s="18"/>
      <c r="JP1199" s="18"/>
      <c r="JQ1199" s="18"/>
      <c r="JR1199" s="18"/>
      <c r="JS1199" s="18"/>
      <c r="JT1199" s="18"/>
      <c r="JU1199" s="18"/>
      <c r="JV1199" s="18"/>
      <c r="JW1199" s="18"/>
      <c r="JX1199" s="18"/>
      <c r="JY1199" s="18"/>
      <c r="JZ1199" s="18"/>
      <c r="KA1199" s="18"/>
      <c r="KB1199" s="18"/>
      <c r="KC1199" s="18"/>
      <c r="KD1199" s="18"/>
      <c r="KE1199" s="18"/>
      <c r="KF1199" s="18"/>
      <c r="KG1199" s="18"/>
      <c r="KH1199" s="18"/>
      <c r="KI1199" s="18"/>
      <c r="KJ1199" s="18"/>
      <c r="KK1199" s="18"/>
      <c r="KL1199" s="18"/>
      <c r="KM1199" s="18"/>
      <c r="KN1199" s="18"/>
      <c r="KO1199" s="18"/>
      <c r="KP1199" s="18"/>
    </row>
    <row r="1200" spans="1:302">
      <c r="P1200" s="14"/>
      <c r="AS1200" s="14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  <c r="EW1200" s="18"/>
      <c r="EX1200" s="18"/>
      <c r="EY1200" s="18"/>
      <c r="EZ1200" s="18"/>
      <c r="FA1200" s="18"/>
      <c r="FB1200" s="18"/>
      <c r="FC1200" s="18"/>
      <c r="FD1200" s="18"/>
      <c r="FE1200" s="18"/>
      <c r="FF1200" s="18"/>
      <c r="FG1200" s="18"/>
      <c r="FH1200" s="18"/>
      <c r="FI1200" s="18"/>
      <c r="FJ1200" s="18"/>
      <c r="FK1200" s="18"/>
      <c r="FL1200" s="18"/>
      <c r="FM1200" s="18"/>
      <c r="FN1200" s="18"/>
      <c r="FO1200" s="18"/>
      <c r="FP1200" s="18"/>
      <c r="FQ1200" s="18"/>
      <c r="FR1200" s="18"/>
      <c r="FS1200" s="18"/>
      <c r="FT1200" s="18"/>
      <c r="FU1200" s="18"/>
      <c r="FV1200" s="18"/>
      <c r="FW1200" s="18"/>
      <c r="FX1200" s="18"/>
      <c r="FY1200" s="18"/>
      <c r="FZ1200" s="18"/>
      <c r="GA1200" s="18"/>
      <c r="GB1200" s="18"/>
      <c r="GC1200" s="18"/>
      <c r="GD1200" s="18"/>
      <c r="GE1200" s="18"/>
      <c r="GF1200" s="18"/>
      <c r="GG1200" s="18"/>
      <c r="GH1200" s="18"/>
      <c r="GI1200" s="18"/>
      <c r="GJ1200" s="18"/>
      <c r="GK1200" s="18"/>
      <c r="GL1200" s="18"/>
      <c r="GM1200" s="18"/>
      <c r="GN1200" s="18"/>
      <c r="GO1200" s="18"/>
      <c r="GP1200" s="18"/>
      <c r="GQ1200" s="18"/>
      <c r="GR1200" s="18"/>
      <c r="GS1200" s="18"/>
      <c r="GT1200" s="18"/>
      <c r="GU1200" s="18"/>
      <c r="GV1200" s="18"/>
      <c r="GW1200" s="18"/>
      <c r="GX1200" s="18"/>
      <c r="GY1200" s="18"/>
      <c r="GZ1200" s="18"/>
      <c r="HA1200" s="18"/>
      <c r="HB1200" s="18"/>
      <c r="HC1200" s="18"/>
      <c r="HD1200" s="18"/>
      <c r="HE1200" s="18"/>
      <c r="HF1200" s="18"/>
      <c r="HG1200" s="13"/>
      <c r="HH1200" s="13"/>
      <c r="HI1200" s="13"/>
      <c r="HJ1200" s="13"/>
      <c r="HK1200" s="13"/>
      <c r="HL1200" s="13"/>
      <c r="HM1200" s="13"/>
      <c r="HN1200" s="13"/>
      <c r="HO1200" s="13"/>
      <c r="HP1200" s="13"/>
      <c r="HQ1200" s="13"/>
      <c r="HR1200" s="13"/>
      <c r="HS1200" s="13"/>
      <c r="HT1200" s="13"/>
      <c r="HU1200" s="18"/>
      <c r="HV1200" s="18"/>
      <c r="HW1200" s="18"/>
      <c r="HX1200" s="18"/>
      <c r="HY1200" s="18"/>
      <c r="HZ1200" s="18"/>
      <c r="IA1200" s="18"/>
      <c r="IB1200" s="18"/>
      <c r="IC1200" s="18"/>
      <c r="ID1200" s="18"/>
      <c r="IE1200" s="18"/>
      <c r="IF1200" s="18"/>
      <c r="IG1200" s="18"/>
      <c r="IH1200" s="18"/>
      <c r="II1200" s="18"/>
      <c r="IJ1200" s="18"/>
      <c r="IK1200" s="18"/>
      <c r="IL1200" s="18"/>
      <c r="IM1200" s="18"/>
      <c r="IN1200" s="18"/>
      <c r="IO1200" s="18"/>
      <c r="IP1200" s="18"/>
      <c r="IQ1200" s="18"/>
      <c r="IR1200" s="18"/>
      <c r="IS1200" s="18"/>
      <c r="IT1200" s="18"/>
      <c r="IU1200" s="18"/>
      <c r="IV1200" s="18"/>
      <c r="IW1200" s="18"/>
      <c r="IX1200" s="18"/>
      <c r="IY1200" s="18"/>
      <c r="IZ1200" s="18"/>
      <c r="JA1200" s="18"/>
      <c r="JB1200" s="18"/>
      <c r="JC1200" s="18"/>
      <c r="JD1200" s="18"/>
      <c r="JE1200" s="18"/>
      <c r="JF1200" s="18"/>
      <c r="JG1200" s="18"/>
      <c r="JH1200" s="18"/>
      <c r="JI1200" s="18"/>
      <c r="JJ1200" s="18"/>
      <c r="JK1200" s="18"/>
      <c r="JL1200" s="18"/>
      <c r="JM1200" s="18"/>
      <c r="JN1200" s="18"/>
      <c r="JO1200" s="18"/>
      <c r="JP1200" s="18"/>
      <c r="JQ1200" s="18"/>
      <c r="JR1200" s="18"/>
      <c r="JS1200" s="18"/>
      <c r="JT1200" s="18"/>
      <c r="JU1200" s="18"/>
      <c r="JV1200" s="18"/>
      <c r="JW1200" s="18"/>
      <c r="JX1200" s="18"/>
      <c r="JY1200" s="18"/>
      <c r="JZ1200" s="18"/>
      <c r="KA1200" s="18"/>
      <c r="KB1200" s="18"/>
      <c r="KC1200" s="18"/>
      <c r="KD1200" s="18"/>
      <c r="KE1200" s="18"/>
      <c r="KF1200" s="18"/>
      <c r="KG1200" s="18"/>
      <c r="KH1200" s="18"/>
      <c r="KI1200" s="18"/>
      <c r="KJ1200" s="18"/>
      <c r="KK1200" s="18"/>
      <c r="KL1200" s="18"/>
      <c r="KM1200" s="18"/>
      <c r="KN1200" s="18"/>
      <c r="KO1200" s="18"/>
      <c r="KP1200" s="18"/>
    </row>
    <row r="1201" spans="1:302">
      <c r="P1201" s="14"/>
      <c r="AS1201" s="14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  <c r="EW1201" s="18"/>
      <c r="EX1201" s="18"/>
      <c r="EY1201" s="18"/>
      <c r="EZ1201" s="18"/>
      <c r="FA1201" s="18"/>
      <c r="FB1201" s="18"/>
      <c r="FC1201" s="18"/>
      <c r="FD1201" s="18"/>
      <c r="FE1201" s="18"/>
      <c r="FF1201" s="18"/>
      <c r="FG1201" s="18"/>
      <c r="FH1201" s="18"/>
      <c r="FI1201" s="18"/>
      <c r="FJ1201" s="18"/>
      <c r="FK1201" s="18"/>
      <c r="FL1201" s="18"/>
      <c r="FM1201" s="18"/>
      <c r="FN1201" s="18"/>
      <c r="FO1201" s="18"/>
      <c r="FP1201" s="18"/>
      <c r="FQ1201" s="18"/>
      <c r="FR1201" s="18"/>
      <c r="FS1201" s="18"/>
      <c r="FT1201" s="18"/>
      <c r="FU1201" s="18"/>
      <c r="FV1201" s="18"/>
      <c r="FW1201" s="18"/>
      <c r="FX1201" s="18"/>
      <c r="FY1201" s="18"/>
      <c r="FZ1201" s="18"/>
      <c r="GA1201" s="18"/>
      <c r="GB1201" s="18"/>
      <c r="GC1201" s="18"/>
      <c r="GD1201" s="18"/>
      <c r="GE1201" s="18"/>
      <c r="GF1201" s="18"/>
      <c r="GG1201" s="18"/>
      <c r="GH1201" s="18"/>
      <c r="GI1201" s="18"/>
      <c r="GJ1201" s="18"/>
      <c r="GK1201" s="18"/>
      <c r="GL1201" s="18"/>
      <c r="GM1201" s="18"/>
      <c r="GN1201" s="18"/>
      <c r="GO1201" s="18"/>
      <c r="GP1201" s="18"/>
      <c r="GQ1201" s="18"/>
      <c r="GR1201" s="18"/>
      <c r="GS1201" s="18"/>
      <c r="GT1201" s="18"/>
      <c r="GU1201" s="18"/>
      <c r="GV1201" s="18"/>
      <c r="GW1201" s="18"/>
      <c r="GX1201" s="18"/>
      <c r="GY1201" s="18"/>
      <c r="GZ1201" s="18"/>
      <c r="HA1201" s="18"/>
      <c r="HB1201" s="18"/>
      <c r="HC1201" s="18"/>
      <c r="HD1201" s="18"/>
      <c r="HE1201" s="18"/>
      <c r="HF1201" s="18"/>
      <c r="HG1201" s="13"/>
      <c r="HH1201" s="13"/>
      <c r="HI1201" s="13"/>
      <c r="HJ1201" s="13"/>
      <c r="HK1201" s="13"/>
      <c r="HL1201" s="13"/>
      <c r="HM1201" s="13"/>
      <c r="HN1201" s="13"/>
      <c r="HO1201" s="13"/>
      <c r="HP1201" s="13"/>
      <c r="HQ1201" s="13"/>
      <c r="HR1201" s="13"/>
      <c r="HS1201" s="13"/>
      <c r="HT1201" s="13"/>
      <c r="HU1201" s="18"/>
      <c r="HV1201" s="18"/>
      <c r="HW1201" s="18"/>
      <c r="HX1201" s="18"/>
      <c r="HY1201" s="18"/>
      <c r="HZ1201" s="18"/>
      <c r="IA1201" s="18"/>
      <c r="IB1201" s="18"/>
      <c r="IC1201" s="18"/>
      <c r="ID1201" s="18"/>
      <c r="IE1201" s="18"/>
      <c r="IF1201" s="18"/>
      <c r="IG1201" s="18"/>
      <c r="IH1201" s="18"/>
      <c r="II1201" s="18"/>
      <c r="IJ1201" s="18"/>
      <c r="IK1201" s="18"/>
      <c r="IL1201" s="18"/>
      <c r="IM1201" s="18"/>
      <c r="IN1201" s="18"/>
      <c r="IO1201" s="18"/>
      <c r="IP1201" s="18"/>
      <c r="IQ1201" s="18"/>
      <c r="IR1201" s="18"/>
      <c r="IS1201" s="18"/>
      <c r="IT1201" s="18"/>
      <c r="IU1201" s="18"/>
      <c r="IV1201" s="18"/>
      <c r="IW1201" s="18"/>
      <c r="IX1201" s="18"/>
      <c r="IY1201" s="18"/>
      <c r="IZ1201" s="18"/>
      <c r="JA1201" s="18"/>
      <c r="JB1201" s="18"/>
      <c r="JC1201" s="18"/>
      <c r="JD1201" s="18"/>
      <c r="JE1201" s="18"/>
      <c r="JF1201" s="18"/>
      <c r="JG1201" s="18"/>
      <c r="JH1201" s="18"/>
      <c r="JI1201" s="18"/>
      <c r="JJ1201" s="18"/>
      <c r="JK1201" s="18"/>
      <c r="JL1201" s="18"/>
      <c r="JM1201" s="18"/>
      <c r="JN1201" s="18"/>
      <c r="JO1201" s="18"/>
      <c r="JP1201" s="18"/>
      <c r="JQ1201" s="18"/>
      <c r="JR1201" s="18"/>
      <c r="JS1201" s="18"/>
      <c r="JT1201" s="18"/>
      <c r="JU1201" s="18"/>
      <c r="JV1201" s="18"/>
      <c r="JW1201" s="18"/>
      <c r="JX1201" s="18"/>
      <c r="JY1201" s="18"/>
      <c r="JZ1201" s="18"/>
      <c r="KA1201" s="18"/>
      <c r="KB1201" s="18"/>
      <c r="KC1201" s="18"/>
      <c r="KD1201" s="18"/>
      <c r="KE1201" s="18"/>
      <c r="KF1201" s="18"/>
      <c r="KG1201" s="18"/>
      <c r="KH1201" s="18"/>
      <c r="KI1201" s="18"/>
      <c r="KJ1201" s="18"/>
      <c r="KK1201" s="18"/>
      <c r="KL1201" s="18"/>
      <c r="KM1201" s="18"/>
      <c r="KN1201" s="18"/>
      <c r="KO1201" s="18"/>
      <c r="KP1201" s="18"/>
    </row>
    <row r="1202" spans="1:302">
      <c r="P1202" s="14"/>
      <c r="AS1202" s="14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  <c r="EW1202" s="18"/>
      <c r="EX1202" s="18"/>
      <c r="EY1202" s="18"/>
      <c r="EZ1202" s="18"/>
      <c r="FA1202" s="18"/>
      <c r="FB1202" s="18"/>
      <c r="FC1202" s="18"/>
      <c r="FD1202" s="18"/>
      <c r="FE1202" s="18"/>
      <c r="FF1202" s="18"/>
      <c r="FG1202" s="18"/>
      <c r="FH1202" s="18"/>
      <c r="FI1202" s="18"/>
      <c r="FJ1202" s="18"/>
      <c r="FK1202" s="18"/>
      <c r="FL1202" s="18"/>
      <c r="FM1202" s="18"/>
      <c r="FN1202" s="18"/>
      <c r="FO1202" s="18"/>
      <c r="FP1202" s="18"/>
      <c r="FQ1202" s="18"/>
      <c r="FR1202" s="18"/>
      <c r="FS1202" s="18"/>
      <c r="FT1202" s="18"/>
      <c r="FU1202" s="18"/>
      <c r="FV1202" s="18"/>
      <c r="FW1202" s="18"/>
      <c r="FX1202" s="18"/>
      <c r="FY1202" s="18"/>
      <c r="FZ1202" s="18"/>
      <c r="GA1202" s="18"/>
      <c r="GB1202" s="18"/>
      <c r="GC1202" s="18"/>
      <c r="GD1202" s="18"/>
      <c r="GE1202" s="18"/>
      <c r="GF1202" s="18"/>
      <c r="GG1202" s="18"/>
      <c r="GH1202" s="18"/>
      <c r="GI1202" s="18"/>
      <c r="GJ1202" s="18"/>
      <c r="GK1202" s="18"/>
      <c r="GL1202" s="18"/>
      <c r="GM1202" s="18"/>
      <c r="GN1202" s="18"/>
      <c r="GO1202" s="18"/>
      <c r="GP1202" s="18"/>
      <c r="GQ1202" s="18"/>
      <c r="GR1202" s="18"/>
      <c r="GS1202" s="18"/>
      <c r="GT1202" s="18"/>
      <c r="GU1202" s="18"/>
      <c r="GV1202" s="18"/>
      <c r="GW1202" s="18"/>
      <c r="GX1202" s="18"/>
      <c r="GY1202" s="18"/>
      <c r="GZ1202" s="18"/>
      <c r="HA1202" s="18"/>
      <c r="HB1202" s="18"/>
      <c r="HC1202" s="18"/>
      <c r="HD1202" s="18"/>
      <c r="HE1202" s="18"/>
      <c r="HF1202" s="18"/>
      <c r="HG1202" s="13"/>
      <c r="HH1202" s="13"/>
      <c r="HI1202" s="13"/>
      <c r="HJ1202" s="13"/>
      <c r="HK1202" s="13"/>
      <c r="HL1202" s="13"/>
      <c r="HM1202" s="13"/>
      <c r="HN1202" s="13"/>
      <c r="HO1202" s="13"/>
      <c r="HP1202" s="13"/>
      <c r="HQ1202" s="13"/>
      <c r="HR1202" s="13"/>
      <c r="HS1202" s="13"/>
      <c r="HT1202" s="13"/>
      <c r="HU1202" s="18"/>
      <c r="HV1202" s="18"/>
      <c r="HW1202" s="18"/>
      <c r="HX1202" s="18"/>
      <c r="HY1202" s="18"/>
      <c r="HZ1202" s="18"/>
      <c r="IA1202" s="18"/>
      <c r="IB1202" s="18"/>
      <c r="IC1202" s="18"/>
      <c r="ID1202" s="18"/>
      <c r="IE1202" s="18"/>
      <c r="IF1202" s="18"/>
      <c r="IG1202" s="18"/>
      <c r="IH1202" s="18"/>
      <c r="II1202" s="18"/>
      <c r="IJ1202" s="18"/>
      <c r="IK1202" s="18"/>
      <c r="IL1202" s="18"/>
      <c r="IM1202" s="18"/>
      <c r="IN1202" s="18"/>
      <c r="IO1202" s="18"/>
      <c r="IP1202" s="18"/>
      <c r="IQ1202" s="18"/>
      <c r="IR1202" s="18"/>
      <c r="IS1202" s="18"/>
      <c r="IT1202" s="18"/>
      <c r="IU1202" s="18"/>
      <c r="IV1202" s="18"/>
      <c r="IW1202" s="18"/>
      <c r="IX1202" s="18"/>
      <c r="IY1202" s="18"/>
      <c r="IZ1202" s="18"/>
      <c r="JA1202" s="18"/>
      <c r="JB1202" s="18"/>
      <c r="JC1202" s="18"/>
      <c r="JD1202" s="18"/>
      <c r="JE1202" s="18"/>
      <c r="JF1202" s="18"/>
      <c r="JG1202" s="18"/>
      <c r="JH1202" s="18"/>
      <c r="JI1202" s="18"/>
      <c r="JJ1202" s="18"/>
      <c r="JK1202" s="18"/>
      <c r="JL1202" s="18"/>
      <c r="JM1202" s="18"/>
      <c r="JN1202" s="18"/>
      <c r="JO1202" s="18"/>
      <c r="JP1202" s="18"/>
      <c r="JQ1202" s="18"/>
      <c r="JR1202" s="18"/>
      <c r="JS1202" s="18"/>
      <c r="JT1202" s="18"/>
      <c r="JU1202" s="18"/>
      <c r="JV1202" s="18"/>
      <c r="JW1202" s="18"/>
      <c r="JX1202" s="18"/>
      <c r="JY1202" s="18"/>
      <c r="JZ1202" s="18"/>
      <c r="KA1202" s="18"/>
      <c r="KB1202" s="18"/>
      <c r="KC1202" s="18"/>
      <c r="KD1202" s="18"/>
      <c r="KE1202" s="18"/>
      <c r="KF1202" s="18"/>
      <c r="KG1202" s="18"/>
      <c r="KH1202" s="18"/>
      <c r="KI1202" s="18"/>
      <c r="KJ1202" s="18"/>
      <c r="KK1202" s="18"/>
      <c r="KL1202" s="18"/>
      <c r="KM1202" s="18"/>
      <c r="KN1202" s="18"/>
      <c r="KO1202" s="18"/>
      <c r="KP1202" s="18"/>
    </row>
    <row r="1203" spans="1:302">
      <c r="A1203" s="14"/>
      <c r="B1203" s="14"/>
      <c r="F1203" s="14"/>
      <c r="K1203" s="14"/>
      <c r="L1203" s="14"/>
      <c r="P1203" s="14"/>
      <c r="AS1203" s="14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  <c r="EW1203" s="18"/>
      <c r="EX1203" s="18"/>
      <c r="EY1203" s="18"/>
      <c r="EZ1203" s="18"/>
      <c r="FA1203" s="18"/>
      <c r="FB1203" s="18"/>
      <c r="FC1203" s="18"/>
      <c r="FD1203" s="18"/>
      <c r="FE1203" s="18"/>
      <c r="FF1203" s="18"/>
      <c r="FG1203" s="18"/>
      <c r="FH1203" s="18"/>
      <c r="FI1203" s="18"/>
      <c r="FJ1203" s="18"/>
      <c r="FK1203" s="18"/>
      <c r="FL1203" s="18"/>
      <c r="FM1203" s="18"/>
      <c r="FN1203" s="18"/>
      <c r="FO1203" s="18"/>
      <c r="FP1203" s="18"/>
      <c r="FQ1203" s="18"/>
      <c r="FR1203" s="18"/>
      <c r="FS1203" s="18"/>
      <c r="FT1203" s="18"/>
      <c r="FU1203" s="18"/>
      <c r="FV1203" s="18"/>
      <c r="FW1203" s="18"/>
      <c r="FX1203" s="18"/>
      <c r="FY1203" s="18"/>
      <c r="FZ1203" s="18"/>
      <c r="GA1203" s="18"/>
      <c r="GB1203" s="18"/>
      <c r="GC1203" s="18"/>
      <c r="GD1203" s="18"/>
      <c r="GE1203" s="18"/>
      <c r="GF1203" s="18"/>
      <c r="GG1203" s="18"/>
      <c r="GH1203" s="18"/>
      <c r="GI1203" s="18"/>
      <c r="GJ1203" s="18"/>
      <c r="GK1203" s="18"/>
      <c r="GL1203" s="18"/>
      <c r="GM1203" s="18"/>
      <c r="GN1203" s="18"/>
      <c r="GO1203" s="18"/>
      <c r="GP1203" s="18"/>
      <c r="GQ1203" s="18"/>
      <c r="GR1203" s="18"/>
      <c r="GS1203" s="18"/>
      <c r="GT1203" s="18"/>
      <c r="GU1203" s="18"/>
      <c r="GV1203" s="18"/>
      <c r="GW1203" s="18"/>
      <c r="GX1203" s="18"/>
      <c r="GY1203" s="18"/>
      <c r="GZ1203" s="18"/>
      <c r="HA1203" s="18"/>
      <c r="HB1203" s="18"/>
      <c r="HC1203" s="18"/>
      <c r="HD1203" s="18"/>
      <c r="HE1203" s="18"/>
      <c r="HF1203" s="18"/>
      <c r="HG1203" s="13"/>
      <c r="HH1203" s="13"/>
      <c r="HI1203" s="13"/>
      <c r="HJ1203" s="13"/>
      <c r="HK1203" s="13"/>
      <c r="HL1203" s="13"/>
      <c r="HM1203" s="13"/>
      <c r="HN1203" s="13"/>
      <c r="HO1203" s="13"/>
      <c r="HP1203" s="13"/>
      <c r="HQ1203" s="13"/>
      <c r="HR1203" s="13"/>
      <c r="HS1203" s="13"/>
      <c r="HT1203" s="13"/>
      <c r="HU1203" s="18"/>
      <c r="HV1203" s="18"/>
      <c r="HW1203" s="18"/>
      <c r="HX1203" s="18"/>
      <c r="HY1203" s="18"/>
      <c r="HZ1203" s="18"/>
      <c r="IA1203" s="18"/>
      <c r="IB1203" s="18"/>
      <c r="IC1203" s="18"/>
      <c r="ID1203" s="18"/>
      <c r="IE1203" s="18"/>
      <c r="IF1203" s="18"/>
      <c r="IG1203" s="18"/>
      <c r="IH1203" s="18"/>
      <c r="II1203" s="18"/>
      <c r="IJ1203" s="18"/>
      <c r="IK1203" s="18"/>
      <c r="IL1203" s="18"/>
      <c r="IM1203" s="18"/>
      <c r="IN1203" s="18"/>
      <c r="IO1203" s="18"/>
      <c r="IP1203" s="18"/>
      <c r="IQ1203" s="18"/>
      <c r="IR1203" s="18"/>
      <c r="IS1203" s="18"/>
      <c r="IT1203" s="18"/>
      <c r="IU1203" s="18"/>
      <c r="IV1203" s="18"/>
      <c r="IW1203" s="18"/>
      <c r="IX1203" s="18"/>
      <c r="IY1203" s="18"/>
      <c r="IZ1203" s="18"/>
      <c r="JA1203" s="18"/>
      <c r="JB1203" s="18"/>
      <c r="JC1203" s="18"/>
      <c r="JD1203" s="18"/>
      <c r="JE1203" s="18"/>
      <c r="JF1203" s="18"/>
      <c r="JG1203" s="18"/>
      <c r="JH1203" s="18"/>
      <c r="JI1203" s="18"/>
      <c r="JJ1203" s="18"/>
      <c r="JK1203" s="18"/>
      <c r="JL1203" s="18"/>
      <c r="JM1203" s="18"/>
      <c r="JN1203" s="18"/>
      <c r="JO1203" s="18"/>
      <c r="JP1203" s="18"/>
      <c r="JQ1203" s="18"/>
      <c r="JR1203" s="18"/>
      <c r="JS1203" s="18"/>
      <c r="JT1203" s="18"/>
      <c r="JU1203" s="18"/>
      <c r="JV1203" s="18"/>
      <c r="JW1203" s="18"/>
      <c r="JX1203" s="18"/>
      <c r="JY1203" s="18"/>
      <c r="JZ1203" s="18"/>
      <c r="KA1203" s="18"/>
      <c r="KB1203" s="18"/>
      <c r="KC1203" s="18"/>
      <c r="KD1203" s="18"/>
      <c r="KE1203" s="18"/>
      <c r="KF1203" s="18"/>
      <c r="KG1203" s="18"/>
      <c r="KH1203" s="18"/>
      <c r="KI1203" s="18"/>
      <c r="KJ1203" s="18"/>
      <c r="KK1203" s="18"/>
      <c r="KL1203" s="18"/>
      <c r="KM1203" s="18"/>
      <c r="KN1203" s="18"/>
      <c r="KO1203" s="18"/>
      <c r="KP1203" s="18"/>
    </row>
    <row r="1204" spans="1:302">
      <c r="A1204" s="14"/>
      <c r="B1204" s="14"/>
      <c r="F1204" s="14"/>
      <c r="K1204" s="14"/>
      <c r="L1204" s="14"/>
      <c r="P1204" s="14"/>
      <c r="AS1204" s="14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  <c r="EW1204" s="18"/>
      <c r="EX1204" s="18"/>
      <c r="EY1204" s="18"/>
      <c r="EZ1204" s="18"/>
      <c r="FA1204" s="18"/>
      <c r="FB1204" s="18"/>
      <c r="FC1204" s="18"/>
      <c r="FD1204" s="18"/>
      <c r="FE1204" s="18"/>
      <c r="FF1204" s="18"/>
      <c r="FG1204" s="18"/>
      <c r="FH1204" s="18"/>
      <c r="FI1204" s="18"/>
      <c r="FJ1204" s="18"/>
      <c r="FK1204" s="18"/>
      <c r="FL1204" s="18"/>
      <c r="FM1204" s="18"/>
      <c r="FN1204" s="18"/>
      <c r="FO1204" s="18"/>
      <c r="FP1204" s="18"/>
      <c r="FQ1204" s="18"/>
      <c r="FR1204" s="18"/>
      <c r="FS1204" s="18"/>
      <c r="FT1204" s="18"/>
      <c r="FU1204" s="18"/>
      <c r="FV1204" s="18"/>
      <c r="FW1204" s="18"/>
      <c r="FX1204" s="18"/>
      <c r="FY1204" s="18"/>
      <c r="FZ1204" s="18"/>
      <c r="GA1204" s="18"/>
      <c r="GB1204" s="18"/>
      <c r="GC1204" s="18"/>
      <c r="GD1204" s="18"/>
      <c r="GE1204" s="18"/>
      <c r="GF1204" s="18"/>
      <c r="GG1204" s="18"/>
      <c r="GH1204" s="18"/>
      <c r="GI1204" s="18"/>
      <c r="GJ1204" s="18"/>
      <c r="GK1204" s="18"/>
      <c r="GL1204" s="18"/>
      <c r="GM1204" s="18"/>
      <c r="GN1204" s="18"/>
      <c r="GO1204" s="18"/>
      <c r="GP1204" s="18"/>
      <c r="GQ1204" s="18"/>
      <c r="GR1204" s="18"/>
      <c r="GS1204" s="18"/>
      <c r="GT1204" s="18"/>
      <c r="GU1204" s="18"/>
      <c r="GV1204" s="18"/>
      <c r="GW1204" s="18"/>
      <c r="GX1204" s="18"/>
      <c r="GY1204" s="18"/>
      <c r="GZ1204" s="18"/>
      <c r="HA1204" s="18"/>
      <c r="HB1204" s="18"/>
      <c r="HC1204" s="18"/>
      <c r="HD1204" s="18"/>
      <c r="HE1204" s="18"/>
      <c r="HF1204" s="18"/>
      <c r="HG1204" s="13"/>
      <c r="HH1204" s="13"/>
      <c r="HI1204" s="13"/>
      <c r="HJ1204" s="13"/>
      <c r="HK1204" s="13"/>
      <c r="HL1204" s="13"/>
      <c r="HM1204" s="13"/>
      <c r="HN1204" s="13"/>
      <c r="HO1204" s="13"/>
      <c r="HP1204" s="13"/>
      <c r="HQ1204" s="13"/>
      <c r="HR1204" s="13"/>
      <c r="HS1204" s="13"/>
      <c r="HT1204" s="13"/>
      <c r="HU1204" s="18"/>
      <c r="HV1204" s="18"/>
      <c r="HW1204" s="18"/>
      <c r="HX1204" s="18"/>
      <c r="HY1204" s="18"/>
      <c r="HZ1204" s="18"/>
      <c r="IA1204" s="18"/>
      <c r="IB1204" s="18"/>
      <c r="IC1204" s="18"/>
      <c r="ID1204" s="18"/>
      <c r="IE1204" s="18"/>
      <c r="IF1204" s="18"/>
      <c r="IG1204" s="18"/>
      <c r="IH1204" s="18"/>
      <c r="II1204" s="18"/>
      <c r="IJ1204" s="18"/>
      <c r="IK1204" s="18"/>
      <c r="IL1204" s="18"/>
      <c r="IM1204" s="18"/>
      <c r="IN1204" s="18"/>
      <c r="IO1204" s="18"/>
      <c r="IP1204" s="18"/>
      <c r="IQ1204" s="18"/>
      <c r="IR1204" s="18"/>
      <c r="IS1204" s="18"/>
      <c r="IT1204" s="18"/>
      <c r="IU1204" s="18"/>
      <c r="IV1204" s="18"/>
      <c r="IW1204" s="18"/>
      <c r="IX1204" s="18"/>
      <c r="IY1204" s="18"/>
      <c r="IZ1204" s="18"/>
      <c r="JA1204" s="18"/>
      <c r="JB1204" s="18"/>
      <c r="JC1204" s="18"/>
      <c r="JD1204" s="18"/>
      <c r="JE1204" s="18"/>
      <c r="JF1204" s="18"/>
      <c r="JG1204" s="18"/>
      <c r="JH1204" s="18"/>
      <c r="JI1204" s="18"/>
      <c r="JJ1204" s="18"/>
      <c r="JK1204" s="18"/>
      <c r="JL1204" s="18"/>
      <c r="JM1204" s="18"/>
      <c r="JN1204" s="18"/>
      <c r="JO1204" s="18"/>
      <c r="JP1204" s="18"/>
      <c r="JQ1204" s="18"/>
      <c r="JR1204" s="18"/>
      <c r="JS1204" s="18"/>
      <c r="JT1204" s="18"/>
      <c r="JU1204" s="18"/>
      <c r="JV1204" s="18"/>
      <c r="JW1204" s="18"/>
      <c r="JX1204" s="18"/>
      <c r="JY1204" s="18"/>
      <c r="JZ1204" s="18"/>
      <c r="KA1204" s="18"/>
      <c r="KB1204" s="18"/>
      <c r="KC1204" s="18"/>
      <c r="KD1204" s="18"/>
      <c r="KE1204" s="18"/>
      <c r="KF1204" s="18"/>
      <c r="KG1204" s="18"/>
      <c r="KH1204" s="18"/>
      <c r="KI1204" s="18"/>
      <c r="KJ1204" s="18"/>
      <c r="KK1204" s="18"/>
      <c r="KL1204" s="18"/>
      <c r="KM1204" s="18"/>
      <c r="KN1204" s="18"/>
      <c r="KO1204" s="18"/>
      <c r="KP1204" s="18"/>
    </row>
    <row r="1205" spans="1:302">
      <c r="A1205" s="14"/>
      <c r="B1205" s="14"/>
      <c r="F1205" s="14"/>
      <c r="K1205" s="14"/>
      <c r="L1205" s="14"/>
      <c r="P1205" s="14"/>
      <c r="AB1205" s="14"/>
      <c r="AC1205" s="14"/>
      <c r="AG1205" s="14"/>
      <c r="AH1205" s="14"/>
      <c r="AI1205" s="3"/>
      <c r="AJ1205" s="14"/>
      <c r="AK1205" s="42"/>
      <c r="AS1205" s="14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  <c r="EW1205" s="18"/>
      <c r="EX1205" s="18"/>
      <c r="EY1205" s="18"/>
      <c r="EZ1205" s="18"/>
      <c r="FA1205" s="18"/>
      <c r="FB1205" s="18"/>
      <c r="FC1205" s="18"/>
      <c r="FD1205" s="18"/>
      <c r="FE1205" s="18"/>
      <c r="FF1205" s="18"/>
      <c r="FG1205" s="18"/>
      <c r="FH1205" s="18"/>
      <c r="FI1205" s="18"/>
      <c r="FJ1205" s="18"/>
      <c r="FK1205" s="18"/>
      <c r="FL1205" s="18"/>
      <c r="FM1205" s="18"/>
      <c r="FN1205" s="18"/>
      <c r="FO1205" s="18"/>
      <c r="FP1205" s="18"/>
      <c r="FQ1205" s="18"/>
      <c r="FR1205" s="18"/>
      <c r="FS1205" s="18"/>
      <c r="FT1205" s="18"/>
      <c r="FU1205" s="18"/>
      <c r="FV1205" s="18"/>
      <c r="FW1205" s="18"/>
      <c r="FX1205" s="18"/>
      <c r="FY1205" s="18"/>
      <c r="FZ1205" s="18"/>
      <c r="GA1205" s="18"/>
      <c r="GB1205" s="18"/>
      <c r="GC1205" s="18"/>
      <c r="GD1205" s="18"/>
      <c r="GE1205" s="18"/>
      <c r="GF1205" s="18"/>
      <c r="GG1205" s="18"/>
      <c r="GH1205" s="18"/>
      <c r="GI1205" s="18"/>
      <c r="GJ1205" s="18"/>
      <c r="GK1205" s="18"/>
      <c r="GL1205" s="18"/>
      <c r="GM1205" s="18"/>
      <c r="GN1205" s="18"/>
      <c r="GO1205" s="18"/>
      <c r="GP1205" s="18"/>
      <c r="GQ1205" s="18"/>
      <c r="GR1205" s="18"/>
      <c r="GS1205" s="18"/>
      <c r="GT1205" s="18"/>
      <c r="GU1205" s="18"/>
      <c r="GV1205" s="18"/>
      <c r="GW1205" s="18"/>
      <c r="GX1205" s="18"/>
      <c r="GY1205" s="18"/>
      <c r="GZ1205" s="18"/>
      <c r="HA1205" s="18"/>
      <c r="HB1205" s="18"/>
      <c r="HC1205" s="18"/>
      <c r="HD1205" s="18"/>
      <c r="HE1205" s="18"/>
      <c r="HF1205" s="18"/>
      <c r="HG1205" s="13"/>
      <c r="HH1205" s="13"/>
      <c r="HI1205" s="13"/>
      <c r="HJ1205" s="13"/>
      <c r="HK1205" s="13"/>
      <c r="HL1205" s="13"/>
      <c r="HM1205" s="13"/>
      <c r="HN1205" s="13"/>
      <c r="HO1205" s="13"/>
      <c r="HP1205" s="13"/>
      <c r="HQ1205" s="13"/>
      <c r="HR1205" s="13"/>
      <c r="HS1205" s="13"/>
      <c r="HT1205" s="13"/>
      <c r="HU1205" s="18"/>
      <c r="HV1205" s="18"/>
      <c r="HW1205" s="18"/>
      <c r="HX1205" s="18"/>
      <c r="HY1205" s="18"/>
      <c r="HZ1205" s="18"/>
      <c r="IA1205" s="18"/>
      <c r="IB1205" s="18"/>
      <c r="IC1205" s="18"/>
      <c r="ID1205" s="18"/>
      <c r="IE1205" s="18"/>
      <c r="IF1205" s="18"/>
      <c r="IG1205" s="18"/>
      <c r="IH1205" s="18"/>
      <c r="II1205" s="18"/>
      <c r="IJ1205" s="18"/>
      <c r="IK1205" s="18"/>
      <c r="IL1205" s="18"/>
      <c r="IM1205" s="18"/>
      <c r="IN1205" s="18"/>
      <c r="IO1205" s="18"/>
      <c r="IP1205" s="18"/>
      <c r="IQ1205" s="18"/>
      <c r="IR1205" s="18"/>
      <c r="IS1205" s="18"/>
      <c r="IT1205" s="18"/>
      <c r="IU1205" s="18"/>
      <c r="IV1205" s="18"/>
      <c r="IW1205" s="18"/>
      <c r="IX1205" s="18"/>
      <c r="IY1205" s="18"/>
      <c r="IZ1205" s="18"/>
      <c r="JA1205" s="18"/>
      <c r="JB1205" s="18"/>
      <c r="JC1205" s="18"/>
      <c r="JD1205" s="18"/>
      <c r="JE1205" s="18"/>
      <c r="JF1205" s="18"/>
      <c r="JG1205" s="18"/>
      <c r="JH1205" s="18"/>
      <c r="JI1205" s="18"/>
      <c r="JJ1205" s="18"/>
      <c r="JK1205" s="18"/>
      <c r="JL1205" s="18"/>
      <c r="JM1205" s="18"/>
      <c r="JN1205" s="18"/>
      <c r="JO1205" s="18"/>
      <c r="JP1205" s="18"/>
      <c r="JQ1205" s="18"/>
      <c r="JR1205" s="18"/>
      <c r="JS1205" s="18"/>
      <c r="JT1205" s="18"/>
      <c r="JU1205" s="18"/>
      <c r="JV1205" s="18"/>
      <c r="JW1205" s="18"/>
      <c r="JX1205" s="18"/>
      <c r="JY1205" s="18"/>
      <c r="JZ1205" s="18"/>
      <c r="KA1205" s="18"/>
      <c r="KB1205" s="18"/>
      <c r="KC1205" s="18"/>
      <c r="KD1205" s="18"/>
      <c r="KE1205" s="18"/>
      <c r="KF1205" s="18"/>
      <c r="KG1205" s="18"/>
      <c r="KH1205" s="18"/>
      <c r="KI1205" s="18"/>
      <c r="KJ1205" s="18"/>
      <c r="KK1205" s="18"/>
      <c r="KL1205" s="18"/>
      <c r="KM1205" s="18"/>
      <c r="KN1205" s="18"/>
      <c r="KO1205" s="18"/>
      <c r="KP1205" s="18"/>
    </row>
    <row r="1206" spans="1:302">
      <c r="A1206" s="14"/>
      <c r="B1206" s="14"/>
      <c r="F1206" s="14"/>
      <c r="K1206" s="14"/>
      <c r="L1206" s="14"/>
      <c r="P1206" s="14"/>
      <c r="AB1206" s="14"/>
      <c r="AC1206" s="14"/>
      <c r="AG1206" s="14"/>
      <c r="AH1206" s="14"/>
      <c r="AI1206" s="3"/>
      <c r="AJ1206" s="14"/>
      <c r="AK1206" s="42"/>
      <c r="AS1206" s="14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  <c r="EW1206" s="18"/>
      <c r="EX1206" s="18"/>
      <c r="EY1206" s="18"/>
      <c r="EZ1206" s="18"/>
      <c r="FA1206" s="18"/>
      <c r="FB1206" s="18"/>
      <c r="FC1206" s="18"/>
      <c r="FD1206" s="18"/>
      <c r="FE1206" s="18"/>
      <c r="FF1206" s="18"/>
      <c r="FG1206" s="18"/>
      <c r="FH1206" s="18"/>
      <c r="FI1206" s="18"/>
      <c r="FJ1206" s="18"/>
      <c r="FK1206" s="18"/>
      <c r="FL1206" s="18"/>
      <c r="FM1206" s="18"/>
      <c r="FN1206" s="18"/>
      <c r="FO1206" s="18"/>
      <c r="FP1206" s="18"/>
      <c r="FQ1206" s="18"/>
      <c r="FR1206" s="18"/>
      <c r="FS1206" s="18"/>
      <c r="FT1206" s="18"/>
      <c r="FU1206" s="18"/>
      <c r="FV1206" s="18"/>
      <c r="FW1206" s="18"/>
      <c r="FX1206" s="18"/>
      <c r="FY1206" s="18"/>
      <c r="FZ1206" s="18"/>
      <c r="GA1206" s="18"/>
      <c r="GB1206" s="18"/>
      <c r="GC1206" s="18"/>
      <c r="GD1206" s="18"/>
      <c r="GE1206" s="18"/>
      <c r="GF1206" s="18"/>
      <c r="GG1206" s="18"/>
      <c r="GH1206" s="18"/>
      <c r="GI1206" s="18"/>
      <c r="GJ1206" s="18"/>
      <c r="GK1206" s="18"/>
      <c r="GL1206" s="18"/>
      <c r="GM1206" s="18"/>
      <c r="GN1206" s="18"/>
      <c r="GO1206" s="18"/>
      <c r="GP1206" s="18"/>
      <c r="GQ1206" s="18"/>
      <c r="GR1206" s="18"/>
      <c r="GS1206" s="18"/>
      <c r="GT1206" s="18"/>
      <c r="GU1206" s="18"/>
      <c r="GV1206" s="18"/>
      <c r="GW1206" s="18"/>
      <c r="GX1206" s="18"/>
      <c r="GY1206" s="18"/>
      <c r="GZ1206" s="18"/>
      <c r="HA1206" s="18"/>
      <c r="HB1206" s="18"/>
      <c r="HC1206" s="18"/>
      <c r="HD1206" s="18"/>
      <c r="HE1206" s="18"/>
      <c r="HF1206" s="18"/>
      <c r="HG1206" s="13"/>
      <c r="HH1206" s="13"/>
      <c r="HI1206" s="13"/>
      <c r="HJ1206" s="13"/>
      <c r="HK1206" s="13"/>
      <c r="HL1206" s="13"/>
      <c r="HM1206" s="13"/>
      <c r="HN1206" s="13"/>
      <c r="HO1206" s="13"/>
      <c r="HP1206" s="13"/>
      <c r="HQ1206" s="13"/>
      <c r="HR1206" s="13"/>
      <c r="HS1206" s="13"/>
      <c r="HT1206" s="13"/>
      <c r="HU1206" s="18"/>
      <c r="HV1206" s="18"/>
      <c r="HW1206" s="18"/>
      <c r="HX1206" s="18"/>
      <c r="HY1206" s="18"/>
      <c r="HZ1206" s="18"/>
      <c r="IA1206" s="18"/>
      <c r="IB1206" s="18"/>
      <c r="IC1206" s="18"/>
      <c r="ID1206" s="18"/>
      <c r="IE1206" s="18"/>
      <c r="IF1206" s="18"/>
      <c r="IG1206" s="18"/>
      <c r="IH1206" s="18"/>
      <c r="II1206" s="18"/>
      <c r="IJ1206" s="18"/>
      <c r="IK1206" s="18"/>
      <c r="IL1206" s="18"/>
      <c r="IM1206" s="18"/>
      <c r="IN1206" s="18"/>
      <c r="IO1206" s="18"/>
      <c r="IP1206" s="18"/>
      <c r="IQ1206" s="18"/>
      <c r="IR1206" s="18"/>
      <c r="IS1206" s="18"/>
      <c r="IT1206" s="18"/>
      <c r="IU1206" s="18"/>
      <c r="IV1206" s="18"/>
      <c r="IW1206" s="18"/>
      <c r="IX1206" s="18"/>
      <c r="IY1206" s="18"/>
      <c r="IZ1206" s="18"/>
      <c r="JA1206" s="18"/>
      <c r="JB1206" s="18"/>
      <c r="JC1206" s="18"/>
      <c r="JD1206" s="18"/>
      <c r="JE1206" s="18"/>
      <c r="JF1206" s="18"/>
      <c r="JG1206" s="18"/>
      <c r="JH1206" s="18"/>
      <c r="JI1206" s="18"/>
      <c r="JJ1206" s="18"/>
      <c r="JK1206" s="18"/>
      <c r="JL1206" s="18"/>
      <c r="JM1206" s="18"/>
      <c r="JN1206" s="18"/>
      <c r="JO1206" s="18"/>
      <c r="JP1206" s="18"/>
      <c r="JQ1206" s="18"/>
      <c r="JR1206" s="18"/>
      <c r="JS1206" s="18"/>
      <c r="JT1206" s="18"/>
      <c r="JU1206" s="18"/>
      <c r="JV1206" s="18"/>
      <c r="JW1206" s="18"/>
      <c r="JX1206" s="18"/>
      <c r="JY1206" s="18"/>
      <c r="JZ1206" s="18"/>
      <c r="KA1206" s="18"/>
      <c r="KB1206" s="18"/>
      <c r="KC1206" s="18"/>
      <c r="KD1206" s="18"/>
      <c r="KE1206" s="18"/>
      <c r="KF1206" s="18"/>
      <c r="KG1206" s="18"/>
      <c r="KH1206" s="18"/>
      <c r="KI1206" s="18"/>
      <c r="KJ1206" s="18"/>
      <c r="KK1206" s="18"/>
      <c r="KL1206" s="18"/>
      <c r="KM1206" s="18"/>
      <c r="KN1206" s="18"/>
      <c r="KO1206" s="18"/>
      <c r="KP1206" s="18"/>
    </row>
    <row r="1207" spans="1:302">
      <c r="A1207" s="14"/>
      <c r="B1207" s="14"/>
      <c r="F1207" s="14"/>
      <c r="K1207" s="14"/>
      <c r="L1207" s="14"/>
      <c r="P1207" s="14"/>
      <c r="AB1207" s="14"/>
      <c r="AC1207" s="14"/>
      <c r="AG1207" s="14"/>
      <c r="AH1207" s="14"/>
      <c r="AI1207" s="3"/>
      <c r="AJ1207" s="14"/>
      <c r="AK1207" s="42"/>
      <c r="AS1207" s="14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  <c r="EW1207" s="18"/>
      <c r="EX1207" s="18"/>
      <c r="EY1207" s="18"/>
      <c r="EZ1207" s="18"/>
      <c r="FA1207" s="18"/>
      <c r="FB1207" s="18"/>
      <c r="FC1207" s="18"/>
      <c r="FD1207" s="18"/>
      <c r="FE1207" s="18"/>
      <c r="FF1207" s="18"/>
      <c r="FG1207" s="18"/>
      <c r="FH1207" s="18"/>
      <c r="FI1207" s="18"/>
      <c r="FJ1207" s="18"/>
      <c r="FK1207" s="18"/>
      <c r="FL1207" s="18"/>
      <c r="FM1207" s="18"/>
      <c r="FN1207" s="18"/>
      <c r="FO1207" s="18"/>
      <c r="FP1207" s="18"/>
      <c r="FQ1207" s="18"/>
      <c r="FR1207" s="18"/>
      <c r="FS1207" s="18"/>
      <c r="FT1207" s="18"/>
      <c r="FU1207" s="18"/>
      <c r="FV1207" s="18"/>
      <c r="FW1207" s="18"/>
      <c r="FX1207" s="18"/>
      <c r="FY1207" s="18"/>
      <c r="FZ1207" s="18"/>
      <c r="GA1207" s="18"/>
      <c r="GB1207" s="18"/>
      <c r="GC1207" s="18"/>
      <c r="GD1207" s="18"/>
      <c r="GE1207" s="18"/>
      <c r="GF1207" s="18"/>
      <c r="GG1207" s="18"/>
      <c r="GH1207" s="18"/>
      <c r="GI1207" s="18"/>
      <c r="GJ1207" s="18"/>
      <c r="GK1207" s="18"/>
      <c r="GL1207" s="18"/>
      <c r="GM1207" s="18"/>
      <c r="GN1207" s="18"/>
      <c r="GO1207" s="18"/>
      <c r="GP1207" s="18"/>
      <c r="GQ1207" s="18"/>
      <c r="GR1207" s="18"/>
      <c r="GS1207" s="18"/>
      <c r="GT1207" s="18"/>
      <c r="GU1207" s="18"/>
      <c r="GV1207" s="18"/>
      <c r="GW1207" s="18"/>
      <c r="GX1207" s="18"/>
      <c r="GY1207" s="18"/>
      <c r="GZ1207" s="18"/>
      <c r="HA1207" s="18"/>
      <c r="HB1207" s="18"/>
      <c r="HC1207" s="18"/>
      <c r="HD1207" s="18"/>
      <c r="HE1207" s="18"/>
      <c r="HF1207" s="18"/>
      <c r="HG1207" s="13"/>
      <c r="HH1207" s="13"/>
      <c r="HI1207" s="13"/>
      <c r="HJ1207" s="13"/>
      <c r="HK1207" s="13"/>
      <c r="HL1207" s="13"/>
      <c r="HM1207" s="13"/>
      <c r="HN1207" s="13"/>
      <c r="HO1207" s="13"/>
      <c r="HP1207" s="13"/>
      <c r="HQ1207" s="13"/>
      <c r="HR1207" s="13"/>
      <c r="HS1207" s="13"/>
      <c r="HT1207" s="13"/>
      <c r="HU1207" s="18"/>
      <c r="HV1207" s="18"/>
      <c r="HW1207" s="18"/>
      <c r="HX1207" s="18"/>
      <c r="HY1207" s="18"/>
      <c r="HZ1207" s="18"/>
      <c r="IA1207" s="18"/>
      <c r="IB1207" s="18"/>
      <c r="IC1207" s="18"/>
      <c r="ID1207" s="18"/>
      <c r="IE1207" s="18"/>
      <c r="IF1207" s="18"/>
      <c r="IG1207" s="18"/>
      <c r="IH1207" s="18"/>
      <c r="II1207" s="18"/>
      <c r="IJ1207" s="18"/>
      <c r="IK1207" s="18"/>
      <c r="IL1207" s="18"/>
      <c r="IM1207" s="18"/>
      <c r="IN1207" s="18"/>
      <c r="IO1207" s="18"/>
      <c r="IP1207" s="18"/>
      <c r="IQ1207" s="18"/>
      <c r="IR1207" s="18"/>
      <c r="IS1207" s="18"/>
      <c r="IT1207" s="18"/>
      <c r="IU1207" s="18"/>
      <c r="IV1207" s="18"/>
      <c r="IW1207" s="18"/>
      <c r="IX1207" s="18"/>
      <c r="IY1207" s="18"/>
      <c r="IZ1207" s="18"/>
      <c r="JA1207" s="18"/>
      <c r="JB1207" s="18"/>
      <c r="JC1207" s="18"/>
      <c r="JD1207" s="18"/>
      <c r="JE1207" s="18"/>
      <c r="JF1207" s="18"/>
      <c r="JG1207" s="18"/>
      <c r="JH1207" s="18"/>
      <c r="JI1207" s="18"/>
      <c r="JJ1207" s="18"/>
      <c r="JK1207" s="18"/>
      <c r="JL1207" s="18"/>
      <c r="JM1207" s="18"/>
      <c r="JN1207" s="18"/>
      <c r="JO1207" s="18"/>
      <c r="JP1207" s="18"/>
      <c r="JQ1207" s="18"/>
      <c r="JR1207" s="18"/>
      <c r="JS1207" s="18"/>
      <c r="JT1207" s="18"/>
      <c r="JU1207" s="18"/>
      <c r="JV1207" s="18"/>
      <c r="JW1207" s="18"/>
      <c r="JX1207" s="18"/>
      <c r="JY1207" s="18"/>
      <c r="JZ1207" s="18"/>
      <c r="KA1207" s="18"/>
      <c r="KB1207" s="18"/>
      <c r="KC1207" s="18"/>
      <c r="KD1207" s="18"/>
      <c r="KE1207" s="18"/>
      <c r="KF1207" s="18"/>
      <c r="KG1207" s="18"/>
      <c r="KH1207" s="18"/>
      <c r="KI1207" s="18"/>
      <c r="KJ1207" s="18"/>
      <c r="KK1207" s="18"/>
      <c r="KL1207" s="18"/>
      <c r="KM1207" s="18"/>
      <c r="KN1207" s="18"/>
      <c r="KO1207" s="18"/>
      <c r="KP1207" s="18"/>
    </row>
    <row r="1208" spans="1:302">
      <c r="A1208" s="14"/>
      <c r="B1208" s="14"/>
      <c r="F1208" s="14"/>
      <c r="K1208" s="14"/>
      <c r="L1208" s="14"/>
      <c r="P1208" s="14"/>
      <c r="AB1208" s="14"/>
      <c r="AC1208" s="14"/>
      <c r="AG1208" s="14"/>
      <c r="AH1208" s="14"/>
      <c r="AI1208" s="3"/>
      <c r="AJ1208" s="14"/>
      <c r="AK1208" s="42"/>
      <c r="AS1208" s="14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  <c r="EW1208" s="18"/>
      <c r="EX1208" s="18"/>
      <c r="EY1208" s="18"/>
      <c r="EZ1208" s="18"/>
      <c r="FA1208" s="18"/>
      <c r="FB1208" s="18"/>
      <c r="FC1208" s="18"/>
      <c r="FD1208" s="18"/>
      <c r="FE1208" s="18"/>
      <c r="FF1208" s="18"/>
      <c r="FG1208" s="18"/>
      <c r="FH1208" s="18"/>
      <c r="FI1208" s="18"/>
      <c r="FJ1208" s="18"/>
      <c r="FK1208" s="18"/>
      <c r="FL1208" s="18"/>
      <c r="FM1208" s="18"/>
      <c r="FN1208" s="18"/>
      <c r="FO1208" s="18"/>
      <c r="FP1208" s="18"/>
      <c r="FQ1208" s="18"/>
      <c r="FR1208" s="18"/>
      <c r="FS1208" s="18"/>
      <c r="FT1208" s="18"/>
      <c r="FU1208" s="18"/>
      <c r="FV1208" s="18"/>
      <c r="FW1208" s="18"/>
      <c r="FX1208" s="18"/>
      <c r="FY1208" s="18"/>
      <c r="FZ1208" s="18"/>
      <c r="GA1208" s="18"/>
      <c r="GB1208" s="18"/>
      <c r="GC1208" s="18"/>
      <c r="GD1208" s="18"/>
      <c r="GE1208" s="18"/>
      <c r="GF1208" s="18"/>
      <c r="GG1208" s="18"/>
      <c r="GH1208" s="18"/>
      <c r="GI1208" s="18"/>
      <c r="GJ1208" s="18"/>
      <c r="GK1208" s="18"/>
      <c r="GL1208" s="18"/>
      <c r="GM1208" s="18"/>
      <c r="GN1208" s="18"/>
      <c r="GO1208" s="18"/>
      <c r="GP1208" s="18"/>
      <c r="GQ1208" s="18"/>
      <c r="GR1208" s="18"/>
      <c r="GS1208" s="18"/>
      <c r="GT1208" s="18"/>
      <c r="GU1208" s="18"/>
      <c r="GV1208" s="18"/>
      <c r="GW1208" s="18"/>
      <c r="GX1208" s="18"/>
      <c r="GY1208" s="18"/>
      <c r="GZ1208" s="18"/>
      <c r="HA1208" s="18"/>
      <c r="HB1208" s="18"/>
      <c r="HC1208" s="18"/>
      <c r="HD1208" s="18"/>
      <c r="HE1208" s="18"/>
      <c r="HF1208" s="18"/>
      <c r="HG1208" s="13"/>
      <c r="HH1208" s="13"/>
      <c r="HI1208" s="13"/>
      <c r="HJ1208" s="13"/>
      <c r="HK1208" s="13"/>
      <c r="HL1208" s="13"/>
      <c r="HM1208" s="13"/>
      <c r="HN1208" s="13"/>
      <c r="HO1208" s="13"/>
      <c r="HP1208" s="13"/>
      <c r="HQ1208" s="13"/>
      <c r="HR1208" s="13"/>
      <c r="HS1208" s="13"/>
      <c r="HT1208" s="13"/>
      <c r="HU1208" s="18"/>
      <c r="HV1208" s="18"/>
      <c r="HW1208" s="18"/>
      <c r="HX1208" s="18"/>
      <c r="HY1208" s="18"/>
      <c r="HZ1208" s="18"/>
      <c r="IA1208" s="18"/>
      <c r="IB1208" s="18"/>
      <c r="IC1208" s="18"/>
      <c r="ID1208" s="18"/>
      <c r="IE1208" s="18"/>
      <c r="IF1208" s="18"/>
      <c r="IG1208" s="18"/>
      <c r="IH1208" s="18"/>
      <c r="II1208" s="18"/>
      <c r="IJ1208" s="18"/>
      <c r="IK1208" s="18"/>
      <c r="IL1208" s="18"/>
      <c r="IM1208" s="18"/>
      <c r="IN1208" s="18"/>
      <c r="IO1208" s="18"/>
      <c r="IP1208" s="18"/>
      <c r="IQ1208" s="18"/>
      <c r="IR1208" s="18"/>
      <c r="IS1208" s="18"/>
      <c r="IT1208" s="18"/>
      <c r="IU1208" s="18"/>
      <c r="IV1208" s="18"/>
      <c r="IW1208" s="18"/>
      <c r="IX1208" s="18"/>
      <c r="IY1208" s="18"/>
      <c r="IZ1208" s="18"/>
      <c r="JA1208" s="18"/>
      <c r="JB1208" s="18"/>
      <c r="JC1208" s="18"/>
      <c r="JD1208" s="18"/>
      <c r="JE1208" s="18"/>
      <c r="JF1208" s="18"/>
      <c r="JG1208" s="18"/>
      <c r="JH1208" s="18"/>
      <c r="JI1208" s="18"/>
      <c r="JJ1208" s="18"/>
      <c r="JK1208" s="18"/>
      <c r="JL1208" s="18"/>
      <c r="JM1208" s="18"/>
      <c r="JN1208" s="18"/>
      <c r="JO1208" s="18"/>
      <c r="JP1208" s="18"/>
      <c r="JQ1208" s="18"/>
      <c r="JR1208" s="18"/>
      <c r="JS1208" s="18"/>
      <c r="JT1208" s="18"/>
      <c r="JU1208" s="18"/>
      <c r="JV1208" s="18"/>
      <c r="JW1208" s="18"/>
      <c r="JX1208" s="18"/>
      <c r="JY1208" s="18"/>
      <c r="JZ1208" s="18"/>
      <c r="KA1208" s="18"/>
      <c r="KB1208" s="18"/>
      <c r="KC1208" s="18"/>
      <c r="KD1208" s="18"/>
      <c r="KE1208" s="18"/>
      <c r="KF1208" s="18"/>
      <c r="KG1208" s="18"/>
      <c r="KH1208" s="18"/>
      <c r="KI1208" s="18"/>
      <c r="KJ1208" s="18"/>
      <c r="KK1208" s="18"/>
      <c r="KL1208" s="18"/>
      <c r="KM1208" s="18"/>
      <c r="KN1208" s="18"/>
      <c r="KO1208" s="18"/>
      <c r="KP1208" s="18"/>
    </row>
    <row r="1209" spans="1:302">
      <c r="A1209" s="14"/>
      <c r="B1209" s="14"/>
      <c r="F1209" s="14"/>
      <c r="K1209" s="14"/>
      <c r="L1209" s="14"/>
      <c r="P1209" s="14"/>
      <c r="AB1209" s="14"/>
      <c r="AC1209" s="14"/>
      <c r="AG1209" s="14"/>
      <c r="AH1209" s="14"/>
      <c r="AI1209" s="3"/>
      <c r="AJ1209" s="14"/>
      <c r="AK1209" s="42"/>
      <c r="AS1209" s="14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  <c r="EW1209" s="18"/>
      <c r="EX1209" s="18"/>
      <c r="EY1209" s="18"/>
      <c r="EZ1209" s="18"/>
      <c r="FA1209" s="18"/>
      <c r="FB1209" s="18"/>
      <c r="FC1209" s="18"/>
      <c r="FD1209" s="18"/>
      <c r="FE1209" s="18"/>
      <c r="FF1209" s="18"/>
      <c r="FG1209" s="18"/>
      <c r="FH1209" s="18"/>
      <c r="FI1209" s="18"/>
      <c r="FJ1209" s="18"/>
      <c r="FK1209" s="18"/>
      <c r="FL1209" s="18"/>
      <c r="FM1209" s="18"/>
      <c r="FN1209" s="18"/>
      <c r="FO1209" s="18"/>
      <c r="FP1209" s="18"/>
      <c r="FQ1209" s="18"/>
      <c r="FR1209" s="18"/>
      <c r="FS1209" s="18"/>
      <c r="FT1209" s="18"/>
      <c r="FU1209" s="18"/>
      <c r="FV1209" s="18"/>
      <c r="FW1209" s="18"/>
      <c r="FX1209" s="18"/>
      <c r="FY1209" s="18"/>
      <c r="FZ1209" s="18"/>
      <c r="GA1209" s="18"/>
      <c r="GB1209" s="18"/>
      <c r="GC1209" s="18"/>
      <c r="GD1209" s="18"/>
      <c r="GE1209" s="18"/>
      <c r="GF1209" s="18"/>
      <c r="GG1209" s="18"/>
      <c r="GH1209" s="18"/>
      <c r="GI1209" s="18"/>
      <c r="GJ1209" s="18"/>
      <c r="GK1209" s="18"/>
      <c r="GL1209" s="18"/>
      <c r="GM1209" s="18"/>
      <c r="GN1209" s="18"/>
      <c r="GO1209" s="18"/>
      <c r="GP1209" s="18"/>
      <c r="GQ1209" s="18"/>
      <c r="GR1209" s="18"/>
      <c r="GS1209" s="18"/>
      <c r="GT1209" s="18"/>
      <c r="GU1209" s="18"/>
      <c r="GV1209" s="18"/>
      <c r="GW1209" s="18"/>
      <c r="GX1209" s="18"/>
      <c r="GY1209" s="18"/>
      <c r="GZ1209" s="18"/>
      <c r="HA1209" s="18"/>
      <c r="HB1209" s="18"/>
      <c r="HC1209" s="18"/>
      <c r="HD1209" s="18"/>
      <c r="HE1209" s="18"/>
      <c r="HF1209" s="18"/>
      <c r="HG1209" s="13"/>
      <c r="HH1209" s="13"/>
      <c r="HI1209" s="13"/>
      <c r="HJ1209" s="13"/>
      <c r="HK1209" s="13"/>
      <c r="HL1209" s="13"/>
      <c r="HM1209" s="13"/>
      <c r="HN1209" s="13"/>
      <c r="HO1209" s="13"/>
      <c r="HP1209" s="13"/>
      <c r="HQ1209" s="13"/>
      <c r="HR1209" s="13"/>
      <c r="HS1209" s="13"/>
      <c r="HT1209" s="13"/>
      <c r="HU1209" s="18"/>
      <c r="HV1209" s="18"/>
      <c r="HW1209" s="18"/>
      <c r="HX1209" s="18"/>
      <c r="HY1209" s="18"/>
      <c r="HZ1209" s="18"/>
      <c r="IA1209" s="18"/>
      <c r="IB1209" s="18"/>
      <c r="IC1209" s="18"/>
      <c r="ID1209" s="18"/>
      <c r="IE1209" s="18"/>
      <c r="IF1209" s="18"/>
      <c r="IG1209" s="18"/>
      <c r="IH1209" s="18"/>
      <c r="II1209" s="18"/>
      <c r="IJ1209" s="18"/>
      <c r="IK1209" s="18"/>
      <c r="IL1209" s="18"/>
      <c r="IM1209" s="18"/>
      <c r="IN1209" s="18"/>
      <c r="IO1209" s="18"/>
      <c r="IP1209" s="18"/>
      <c r="IQ1209" s="18"/>
      <c r="IR1209" s="18"/>
      <c r="IS1209" s="18"/>
      <c r="IT1209" s="18"/>
      <c r="IU1209" s="18"/>
      <c r="IV1209" s="18"/>
      <c r="IW1209" s="18"/>
      <c r="IX1209" s="18"/>
      <c r="IY1209" s="18"/>
      <c r="IZ1209" s="18"/>
      <c r="JA1209" s="18"/>
      <c r="JB1209" s="18"/>
      <c r="JC1209" s="18"/>
      <c r="JD1209" s="18"/>
      <c r="JE1209" s="18"/>
      <c r="JF1209" s="18"/>
      <c r="JG1209" s="18"/>
      <c r="JH1209" s="18"/>
      <c r="JI1209" s="18"/>
      <c r="JJ1209" s="18"/>
      <c r="JK1209" s="18"/>
      <c r="JL1209" s="18"/>
      <c r="JM1209" s="18"/>
      <c r="JN1209" s="18"/>
      <c r="JO1209" s="18"/>
      <c r="JP1209" s="18"/>
      <c r="JQ1209" s="18"/>
      <c r="JR1209" s="18"/>
      <c r="JS1209" s="18"/>
      <c r="JT1209" s="18"/>
      <c r="JU1209" s="18"/>
      <c r="JV1209" s="18"/>
      <c r="JW1209" s="18"/>
      <c r="JX1209" s="18"/>
      <c r="JY1209" s="18"/>
      <c r="JZ1209" s="18"/>
      <c r="KA1209" s="18"/>
      <c r="KB1209" s="18"/>
      <c r="KC1209" s="18"/>
      <c r="KD1209" s="18"/>
      <c r="KE1209" s="18"/>
      <c r="KF1209" s="18"/>
      <c r="KG1209" s="18"/>
      <c r="KH1209" s="18"/>
      <c r="KI1209" s="18"/>
      <c r="KJ1209" s="18"/>
      <c r="KK1209" s="18"/>
      <c r="KL1209" s="18"/>
      <c r="KM1209" s="18"/>
      <c r="KN1209" s="18"/>
      <c r="KO1209" s="18"/>
      <c r="KP1209" s="18"/>
    </row>
    <row r="1210" spans="1:302">
      <c r="A1210" s="14"/>
      <c r="B1210" s="14"/>
      <c r="F1210" s="14"/>
      <c r="K1210" s="14"/>
      <c r="L1210" s="14"/>
      <c r="P1210" s="14"/>
      <c r="AB1210" s="14"/>
      <c r="AC1210" s="14"/>
      <c r="AG1210" s="14"/>
      <c r="AH1210" s="14"/>
      <c r="AI1210" s="3"/>
      <c r="AJ1210" s="14"/>
      <c r="AK1210" s="42"/>
      <c r="AS1210" s="14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  <c r="EW1210" s="18"/>
      <c r="EX1210" s="18"/>
      <c r="EY1210" s="18"/>
      <c r="EZ1210" s="18"/>
      <c r="FA1210" s="18"/>
      <c r="FB1210" s="18"/>
      <c r="FC1210" s="18"/>
      <c r="FD1210" s="18"/>
      <c r="FE1210" s="18"/>
      <c r="FF1210" s="18"/>
      <c r="FG1210" s="18"/>
      <c r="FH1210" s="18"/>
      <c r="FI1210" s="18"/>
      <c r="FJ1210" s="18"/>
      <c r="FK1210" s="18"/>
      <c r="FL1210" s="18"/>
      <c r="FM1210" s="18"/>
      <c r="FN1210" s="18"/>
      <c r="FO1210" s="18"/>
      <c r="FP1210" s="18"/>
      <c r="FQ1210" s="18"/>
      <c r="FR1210" s="18"/>
      <c r="FS1210" s="18"/>
      <c r="FT1210" s="18"/>
      <c r="FU1210" s="18"/>
      <c r="FV1210" s="18"/>
      <c r="FW1210" s="18"/>
      <c r="FX1210" s="18"/>
      <c r="FY1210" s="18"/>
      <c r="FZ1210" s="18"/>
      <c r="GA1210" s="18"/>
      <c r="GB1210" s="18"/>
      <c r="GC1210" s="18"/>
      <c r="GD1210" s="18"/>
      <c r="GE1210" s="18"/>
      <c r="GF1210" s="18"/>
      <c r="GG1210" s="18"/>
      <c r="GH1210" s="18"/>
      <c r="GI1210" s="18"/>
      <c r="GJ1210" s="18"/>
      <c r="GK1210" s="18"/>
      <c r="GL1210" s="18"/>
      <c r="GM1210" s="18"/>
      <c r="GN1210" s="18"/>
      <c r="GO1210" s="18"/>
      <c r="GP1210" s="18"/>
      <c r="GQ1210" s="18"/>
      <c r="GR1210" s="18"/>
      <c r="GS1210" s="18"/>
      <c r="GT1210" s="18"/>
      <c r="GU1210" s="18"/>
      <c r="GV1210" s="18"/>
      <c r="GW1210" s="18"/>
      <c r="GX1210" s="18"/>
      <c r="GY1210" s="18"/>
      <c r="GZ1210" s="18"/>
      <c r="HA1210" s="18"/>
      <c r="HB1210" s="18"/>
      <c r="HC1210" s="18"/>
      <c r="HD1210" s="18"/>
      <c r="HE1210" s="18"/>
      <c r="HF1210" s="18"/>
      <c r="HG1210" s="13"/>
      <c r="HH1210" s="13"/>
      <c r="HI1210" s="13"/>
      <c r="HJ1210" s="13"/>
      <c r="HK1210" s="13"/>
      <c r="HL1210" s="13"/>
      <c r="HM1210" s="13"/>
      <c r="HN1210" s="13"/>
      <c r="HO1210" s="13"/>
      <c r="HP1210" s="13"/>
      <c r="HQ1210" s="13"/>
      <c r="HR1210" s="13"/>
      <c r="HS1210" s="13"/>
      <c r="HT1210" s="13"/>
      <c r="HU1210" s="18"/>
      <c r="HV1210" s="18"/>
      <c r="HW1210" s="18"/>
      <c r="HX1210" s="18"/>
      <c r="HY1210" s="18"/>
      <c r="HZ1210" s="18"/>
      <c r="IA1210" s="18"/>
      <c r="IB1210" s="18"/>
      <c r="IC1210" s="18"/>
      <c r="ID1210" s="18"/>
      <c r="IE1210" s="18"/>
      <c r="IF1210" s="18"/>
      <c r="IG1210" s="18"/>
      <c r="IH1210" s="18"/>
      <c r="II1210" s="18"/>
      <c r="IJ1210" s="18"/>
      <c r="IK1210" s="18"/>
      <c r="IL1210" s="18"/>
      <c r="IM1210" s="18"/>
      <c r="IN1210" s="18"/>
      <c r="IO1210" s="18"/>
      <c r="IP1210" s="18"/>
      <c r="IQ1210" s="18"/>
      <c r="IR1210" s="18"/>
      <c r="IS1210" s="18"/>
      <c r="IT1210" s="18"/>
      <c r="IU1210" s="18"/>
      <c r="IV1210" s="18"/>
      <c r="IW1210" s="18"/>
      <c r="IX1210" s="18"/>
      <c r="IY1210" s="18"/>
      <c r="IZ1210" s="18"/>
      <c r="JA1210" s="18"/>
      <c r="JB1210" s="18"/>
      <c r="JC1210" s="18"/>
      <c r="JD1210" s="18"/>
      <c r="JE1210" s="18"/>
      <c r="JF1210" s="18"/>
      <c r="JG1210" s="18"/>
      <c r="JH1210" s="18"/>
      <c r="JI1210" s="18"/>
      <c r="JJ1210" s="18"/>
      <c r="JK1210" s="18"/>
      <c r="JL1210" s="18"/>
      <c r="JM1210" s="18"/>
      <c r="JN1210" s="18"/>
      <c r="JO1210" s="18"/>
      <c r="JP1210" s="18"/>
      <c r="JQ1210" s="18"/>
      <c r="JR1210" s="18"/>
      <c r="JS1210" s="18"/>
      <c r="JT1210" s="18"/>
      <c r="JU1210" s="18"/>
      <c r="JV1210" s="18"/>
      <c r="JW1210" s="18"/>
      <c r="JX1210" s="18"/>
      <c r="JY1210" s="18"/>
      <c r="JZ1210" s="18"/>
      <c r="KA1210" s="18"/>
      <c r="KB1210" s="18"/>
      <c r="KC1210" s="18"/>
      <c r="KD1210" s="18"/>
      <c r="KE1210" s="18"/>
      <c r="KF1210" s="18"/>
      <c r="KG1210" s="18"/>
      <c r="KH1210" s="18"/>
      <c r="KI1210" s="18"/>
      <c r="KJ1210" s="18"/>
      <c r="KK1210" s="18"/>
      <c r="KL1210" s="18"/>
      <c r="KM1210" s="18"/>
      <c r="KN1210" s="18"/>
      <c r="KO1210" s="18"/>
      <c r="KP1210" s="18"/>
    </row>
    <row r="1211" spans="1:302">
      <c r="A1211" s="14"/>
      <c r="B1211" s="14"/>
      <c r="F1211" s="14"/>
      <c r="K1211" s="14"/>
      <c r="L1211" s="14"/>
      <c r="P1211" s="14"/>
      <c r="AB1211" s="14"/>
      <c r="AC1211" s="14"/>
      <c r="AG1211" s="14"/>
      <c r="AH1211" s="14"/>
      <c r="AI1211" s="3"/>
      <c r="AJ1211" s="14"/>
      <c r="AK1211" s="42"/>
      <c r="AS1211" s="14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  <c r="EW1211" s="18"/>
      <c r="EX1211" s="18"/>
      <c r="EY1211" s="18"/>
      <c r="EZ1211" s="18"/>
      <c r="FA1211" s="18"/>
      <c r="FB1211" s="18"/>
      <c r="FC1211" s="18"/>
      <c r="FD1211" s="18"/>
      <c r="FE1211" s="18"/>
      <c r="FF1211" s="18"/>
      <c r="FG1211" s="18"/>
      <c r="FH1211" s="18"/>
      <c r="FI1211" s="18"/>
      <c r="FJ1211" s="18"/>
      <c r="FK1211" s="18"/>
      <c r="FL1211" s="18"/>
      <c r="FM1211" s="18"/>
      <c r="FN1211" s="18"/>
      <c r="FO1211" s="18"/>
      <c r="FP1211" s="18"/>
      <c r="FQ1211" s="18"/>
      <c r="FR1211" s="18"/>
      <c r="FS1211" s="18"/>
      <c r="FT1211" s="18"/>
      <c r="FU1211" s="18"/>
      <c r="FV1211" s="18"/>
      <c r="FW1211" s="18"/>
      <c r="FX1211" s="18"/>
      <c r="FY1211" s="18"/>
      <c r="FZ1211" s="18"/>
      <c r="GA1211" s="18"/>
      <c r="GB1211" s="18"/>
      <c r="GC1211" s="18"/>
      <c r="GD1211" s="18"/>
      <c r="GE1211" s="18"/>
      <c r="GF1211" s="18"/>
      <c r="GG1211" s="18"/>
      <c r="GH1211" s="18"/>
      <c r="GI1211" s="18"/>
      <c r="GJ1211" s="18"/>
      <c r="GK1211" s="18"/>
      <c r="GL1211" s="18"/>
      <c r="GM1211" s="18"/>
      <c r="GN1211" s="18"/>
      <c r="GO1211" s="18"/>
      <c r="GP1211" s="18"/>
      <c r="GQ1211" s="18"/>
      <c r="GR1211" s="18"/>
      <c r="GS1211" s="18"/>
      <c r="GT1211" s="18"/>
      <c r="GU1211" s="18"/>
      <c r="GV1211" s="18"/>
      <c r="GW1211" s="18"/>
      <c r="GX1211" s="18"/>
      <c r="GY1211" s="18"/>
      <c r="GZ1211" s="18"/>
      <c r="HA1211" s="18"/>
      <c r="HB1211" s="18"/>
      <c r="HC1211" s="18"/>
      <c r="HD1211" s="18"/>
      <c r="HE1211" s="18"/>
      <c r="HF1211" s="18"/>
      <c r="HG1211" s="13"/>
      <c r="HH1211" s="13"/>
      <c r="HI1211" s="13"/>
      <c r="HJ1211" s="13"/>
      <c r="HK1211" s="13"/>
      <c r="HL1211" s="13"/>
      <c r="HM1211" s="13"/>
      <c r="HN1211" s="13"/>
      <c r="HO1211" s="13"/>
      <c r="HP1211" s="13"/>
      <c r="HQ1211" s="13"/>
      <c r="HR1211" s="13"/>
      <c r="HS1211" s="13"/>
      <c r="HT1211" s="13"/>
      <c r="HU1211" s="18"/>
      <c r="HV1211" s="18"/>
      <c r="HW1211" s="18"/>
      <c r="HX1211" s="18"/>
      <c r="HY1211" s="18"/>
      <c r="HZ1211" s="18"/>
      <c r="IA1211" s="18"/>
      <c r="IB1211" s="18"/>
      <c r="IC1211" s="18"/>
      <c r="ID1211" s="18"/>
      <c r="IE1211" s="18"/>
      <c r="IF1211" s="18"/>
      <c r="IG1211" s="18"/>
      <c r="IH1211" s="18"/>
      <c r="II1211" s="18"/>
      <c r="IJ1211" s="18"/>
      <c r="IK1211" s="18"/>
      <c r="IL1211" s="18"/>
      <c r="IM1211" s="18"/>
      <c r="IN1211" s="18"/>
      <c r="IO1211" s="18"/>
      <c r="IP1211" s="18"/>
      <c r="IQ1211" s="18"/>
      <c r="IR1211" s="18"/>
      <c r="IS1211" s="18"/>
      <c r="IT1211" s="18"/>
      <c r="IU1211" s="18"/>
      <c r="IV1211" s="18"/>
      <c r="IW1211" s="18"/>
      <c r="IX1211" s="18"/>
      <c r="IY1211" s="18"/>
      <c r="IZ1211" s="18"/>
      <c r="JA1211" s="18"/>
      <c r="JB1211" s="18"/>
      <c r="JC1211" s="18"/>
      <c r="JD1211" s="18"/>
      <c r="JE1211" s="18"/>
      <c r="JF1211" s="18"/>
      <c r="JG1211" s="18"/>
      <c r="JH1211" s="18"/>
      <c r="JI1211" s="18"/>
      <c r="JJ1211" s="18"/>
      <c r="JK1211" s="18"/>
      <c r="JL1211" s="18"/>
      <c r="JM1211" s="18"/>
      <c r="JN1211" s="18"/>
      <c r="JO1211" s="18"/>
      <c r="JP1211" s="18"/>
      <c r="JQ1211" s="18"/>
      <c r="JR1211" s="18"/>
      <c r="JS1211" s="18"/>
      <c r="JT1211" s="18"/>
      <c r="JU1211" s="18"/>
      <c r="JV1211" s="18"/>
      <c r="JW1211" s="18"/>
      <c r="JX1211" s="18"/>
      <c r="JY1211" s="18"/>
      <c r="JZ1211" s="18"/>
      <c r="KA1211" s="18"/>
      <c r="KB1211" s="18"/>
      <c r="KC1211" s="18"/>
      <c r="KD1211" s="18"/>
      <c r="KE1211" s="18"/>
      <c r="KF1211" s="18"/>
      <c r="KG1211" s="18"/>
      <c r="KH1211" s="18"/>
      <c r="KI1211" s="18"/>
      <c r="KJ1211" s="18"/>
      <c r="KK1211" s="18"/>
      <c r="KL1211" s="18"/>
      <c r="KM1211" s="18"/>
      <c r="KN1211" s="18"/>
      <c r="KO1211" s="18"/>
      <c r="KP1211" s="18"/>
    </row>
    <row r="1212" spans="1:302">
      <c r="A1212" s="14"/>
      <c r="B1212" s="14"/>
      <c r="F1212" s="14"/>
      <c r="K1212" s="14"/>
      <c r="L1212" s="14"/>
      <c r="P1212" s="14"/>
      <c r="AB1212" s="14"/>
      <c r="AC1212" s="14"/>
      <c r="AG1212" s="14"/>
      <c r="AH1212" s="14"/>
      <c r="AI1212" s="3"/>
      <c r="AJ1212" s="14"/>
      <c r="AK1212" s="42"/>
      <c r="AS1212" s="14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  <c r="EW1212" s="18"/>
      <c r="EX1212" s="18"/>
      <c r="EY1212" s="18"/>
      <c r="EZ1212" s="18"/>
      <c r="FA1212" s="18"/>
      <c r="FB1212" s="18"/>
      <c r="FC1212" s="18"/>
      <c r="FD1212" s="18"/>
      <c r="FE1212" s="18"/>
      <c r="FF1212" s="18"/>
      <c r="FG1212" s="18"/>
      <c r="FH1212" s="18"/>
      <c r="FI1212" s="18"/>
      <c r="FJ1212" s="18"/>
      <c r="FK1212" s="18"/>
      <c r="FL1212" s="18"/>
      <c r="FM1212" s="18"/>
      <c r="FN1212" s="18"/>
      <c r="FO1212" s="18"/>
      <c r="FP1212" s="18"/>
      <c r="FQ1212" s="18"/>
      <c r="FR1212" s="18"/>
      <c r="FS1212" s="18"/>
      <c r="FT1212" s="18"/>
      <c r="FU1212" s="18"/>
      <c r="FV1212" s="18"/>
      <c r="FW1212" s="18"/>
      <c r="FX1212" s="18"/>
      <c r="FY1212" s="18"/>
      <c r="FZ1212" s="18"/>
      <c r="GA1212" s="18"/>
      <c r="GB1212" s="18"/>
      <c r="GC1212" s="18"/>
      <c r="GD1212" s="18"/>
      <c r="GE1212" s="18"/>
      <c r="GF1212" s="18"/>
      <c r="GG1212" s="18"/>
      <c r="GH1212" s="18"/>
      <c r="GI1212" s="18"/>
      <c r="GJ1212" s="18"/>
      <c r="GK1212" s="18"/>
      <c r="GL1212" s="18"/>
      <c r="GM1212" s="18"/>
      <c r="GN1212" s="18"/>
      <c r="GO1212" s="18"/>
      <c r="GP1212" s="18"/>
      <c r="GQ1212" s="18"/>
      <c r="GR1212" s="18"/>
      <c r="GS1212" s="18"/>
      <c r="GT1212" s="18"/>
      <c r="GU1212" s="18"/>
      <c r="GV1212" s="18"/>
      <c r="GW1212" s="18"/>
      <c r="GX1212" s="18"/>
      <c r="GY1212" s="18"/>
      <c r="GZ1212" s="18"/>
      <c r="HA1212" s="18"/>
      <c r="HB1212" s="18"/>
      <c r="HC1212" s="18"/>
      <c r="HD1212" s="18"/>
      <c r="HE1212" s="18"/>
      <c r="HF1212" s="18"/>
      <c r="HG1212" s="13"/>
      <c r="HH1212" s="13"/>
      <c r="HI1212" s="13"/>
      <c r="HJ1212" s="13"/>
      <c r="HK1212" s="13"/>
      <c r="HL1212" s="13"/>
      <c r="HM1212" s="13"/>
      <c r="HN1212" s="13"/>
      <c r="HO1212" s="13"/>
      <c r="HP1212" s="13"/>
      <c r="HQ1212" s="13"/>
      <c r="HR1212" s="13"/>
      <c r="HS1212" s="13"/>
      <c r="HT1212" s="13"/>
      <c r="HU1212" s="18"/>
      <c r="HV1212" s="18"/>
      <c r="HW1212" s="18"/>
      <c r="HX1212" s="18"/>
      <c r="HY1212" s="18"/>
      <c r="HZ1212" s="18"/>
      <c r="IA1212" s="18"/>
      <c r="IB1212" s="18"/>
      <c r="IC1212" s="18"/>
      <c r="ID1212" s="18"/>
      <c r="IE1212" s="18"/>
      <c r="IF1212" s="18"/>
      <c r="IG1212" s="18"/>
      <c r="IH1212" s="18"/>
      <c r="II1212" s="18"/>
      <c r="IJ1212" s="18"/>
      <c r="IK1212" s="18"/>
      <c r="IL1212" s="18"/>
      <c r="IM1212" s="18"/>
      <c r="IN1212" s="18"/>
      <c r="IO1212" s="18"/>
      <c r="IP1212" s="18"/>
      <c r="IQ1212" s="18"/>
      <c r="IR1212" s="18"/>
      <c r="IS1212" s="18"/>
      <c r="IT1212" s="18"/>
      <c r="IU1212" s="18"/>
      <c r="IV1212" s="18"/>
      <c r="IW1212" s="18"/>
      <c r="IX1212" s="18"/>
      <c r="IY1212" s="18"/>
      <c r="IZ1212" s="18"/>
      <c r="JA1212" s="18"/>
      <c r="JB1212" s="18"/>
      <c r="JC1212" s="18"/>
      <c r="JD1212" s="18"/>
      <c r="JE1212" s="18"/>
      <c r="JF1212" s="18"/>
      <c r="JG1212" s="18"/>
      <c r="JH1212" s="18"/>
      <c r="JI1212" s="18"/>
      <c r="JJ1212" s="18"/>
      <c r="JK1212" s="18"/>
      <c r="JL1212" s="18"/>
      <c r="JM1212" s="18"/>
      <c r="JN1212" s="18"/>
      <c r="JO1212" s="18"/>
      <c r="JP1212" s="18"/>
      <c r="JQ1212" s="18"/>
      <c r="JR1212" s="18"/>
      <c r="JS1212" s="18"/>
      <c r="JT1212" s="18"/>
      <c r="JU1212" s="18"/>
      <c r="JV1212" s="18"/>
      <c r="JW1212" s="18"/>
      <c r="JX1212" s="18"/>
      <c r="JY1212" s="18"/>
      <c r="JZ1212" s="18"/>
      <c r="KA1212" s="18"/>
      <c r="KB1212" s="18"/>
      <c r="KC1212" s="18"/>
      <c r="KD1212" s="18"/>
      <c r="KE1212" s="18"/>
      <c r="KF1212" s="18"/>
      <c r="KG1212" s="18"/>
      <c r="KH1212" s="18"/>
      <c r="KI1212" s="18"/>
      <c r="KJ1212" s="18"/>
      <c r="KK1212" s="18"/>
      <c r="KL1212" s="18"/>
      <c r="KM1212" s="18"/>
      <c r="KN1212" s="18"/>
      <c r="KO1212" s="18"/>
      <c r="KP1212" s="18"/>
    </row>
    <row r="1213" spans="1:302">
      <c r="A1213" s="14"/>
      <c r="B1213" s="14"/>
      <c r="F1213" s="14"/>
      <c r="K1213" s="14"/>
      <c r="L1213" s="14"/>
      <c r="P1213" s="14"/>
      <c r="AB1213" s="14"/>
      <c r="AC1213" s="14"/>
      <c r="AG1213" s="14"/>
      <c r="AH1213" s="14"/>
      <c r="AI1213" s="3"/>
      <c r="AJ1213" s="14"/>
      <c r="AK1213" s="42"/>
      <c r="AS1213" s="14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  <c r="EW1213" s="18"/>
      <c r="EX1213" s="18"/>
      <c r="EY1213" s="18"/>
      <c r="EZ1213" s="18"/>
      <c r="FA1213" s="18"/>
      <c r="FB1213" s="18"/>
      <c r="FC1213" s="18"/>
      <c r="FD1213" s="18"/>
      <c r="FE1213" s="18"/>
      <c r="FF1213" s="18"/>
      <c r="FG1213" s="18"/>
      <c r="FH1213" s="18"/>
      <c r="FI1213" s="18"/>
      <c r="FJ1213" s="18"/>
      <c r="FK1213" s="18"/>
      <c r="FL1213" s="18"/>
      <c r="FM1213" s="18"/>
      <c r="FN1213" s="18"/>
      <c r="FO1213" s="18"/>
      <c r="FP1213" s="18"/>
      <c r="FQ1213" s="18"/>
      <c r="FR1213" s="18"/>
      <c r="FS1213" s="18"/>
      <c r="FT1213" s="18"/>
      <c r="FU1213" s="18"/>
      <c r="FV1213" s="18"/>
      <c r="FW1213" s="18"/>
      <c r="FX1213" s="18"/>
      <c r="FY1213" s="18"/>
      <c r="FZ1213" s="18"/>
      <c r="GA1213" s="18"/>
      <c r="GB1213" s="18"/>
      <c r="GC1213" s="18"/>
      <c r="GD1213" s="18"/>
      <c r="GE1213" s="18"/>
      <c r="GF1213" s="18"/>
      <c r="GG1213" s="18"/>
      <c r="GH1213" s="18"/>
      <c r="GI1213" s="18"/>
      <c r="GJ1213" s="18"/>
      <c r="GK1213" s="18"/>
      <c r="GL1213" s="18"/>
      <c r="GM1213" s="18"/>
      <c r="GN1213" s="18"/>
      <c r="GO1213" s="18"/>
      <c r="GP1213" s="18"/>
      <c r="GQ1213" s="18"/>
      <c r="GR1213" s="18"/>
      <c r="GS1213" s="18"/>
      <c r="GT1213" s="18"/>
      <c r="GU1213" s="18"/>
      <c r="GV1213" s="18"/>
      <c r="GW1213" s="18"/>
      <c r="GX1213" s="18"/>
      <c r="GY1213" s="18"/>
      <c r="GZ1213" s="18"/>
      <c r="HA1213" s="18"/>
      <c r="HB1213" s="18"/>
      <c r="HC1213" s="18"/>
      <c r="HD1213" s="18"/>
      <c r="HE1213" s="18"/>
      <c r="HF1213" s="18"/>
      <c r="HG1213" s="13"/>
      <c r="HH1213" s="13"/>
      <c r="HI1213" s="13"/>
      <c r="HJ1213" s="13"/>
      <c r="HK1213" s="13"/>
      <c r="HL1213" s="13"/>
      <c r="HM1213" s="13"/>
      <c r="HN1213" s="13"/>
      <c r="HO1213" s="13"/>
      <c r="HP1213" s="13"/>
      <c r="HQ1213" s="13"/>
      <c r="HR1213" s="13"/>
      <c r="HS1213" s="13"/>
      <c r="HT1213" s="13"/>
      <c r="HU1213" s="18"/>
      <c r="HV1213" s="18"/>
      <c r="HW1213" s="18"/>
      <c r="HX1213" s="18"/>
      <c r="HY1213" s="18"/>
      <c r="HZ1213" s="18"/>
      <c r="IA1213" s="18"/>
      <c r="IB1213" s="18"/>
      <c r="IC1213" s="18"/>
      <c r="ID1213" s="18"/>
      <c r="IE1213" s="18"/>
      <c r="IF1213" s="18"/>
      <c r="IG1213" s="18"/>
      <c r="IH1213" s="18"/>
      <c r="II1213" s="18"/>
      <c r="IJ1213" s="18"/>
      <c r="IK1213" s="18"/>
      <c r="IL1213" s="18"/>
      <c r="IM1213" s="18"/>
      <c r="IN1213" s="18"/>
      <c r="IO1213" s="18"/>
      <c r="IP1213" s="18"/>
      <c r="IQ1213" s="18"/>
      <c r="IR1213" s="18"/>
      <c r="IS1213" s="18"/>
      <c r="IT1213" s="18"/>
      <c r="IU1213" s="18"/>
      <c r="IV1213" s="18"/>
      <c r="IW1213" s="18"/>
      <c r="IX1213" s="18"/>
      <c r="IY1213" s="18"/>
      <c r="IZ1213" s="18"/>
      <c r="JA1213" s="18"/>
      <c r="JB1213" s="18"/>
      <c r="JC1213" s="18"/>
      <c r="JD1213" s="18"/>
      <c r="JE1213" s="18"/>
      <c r="JF1213" s="18"/>
      <c r="JG1213" s="18"/>
      <c r="JH1213" s="18"/>
      <c r="JI1213" s="18"/>
      <c r="JJ1213" s="18"/>
      <c r="JK1213" s="18"/>
      <c r="JL1213" s="18"/>
      <c r="JM1213" s="18"/>
      <c r="JN1213" s="18"/>
      <c r="JO1213" s="18"/>
      <c r="JP1213" s="18"/>
      <c r="JQ1213" s="18"/>
      <c r="JR1213" s="18"/>
      <c r="JS1213" s="18"/>
      <c r="JT1213" s="18"/>
      <c r="JU1213" s="18"/>
      <c r="JV1213" s="18"/>
      <c r="JW1213" s="18"/>
      <c r="JX1213" s="18"/>
      <c r="JY1213" s="18"/>
      <c r="JZ1213" s="18"/>
      <c r="KA1213" s="18"/>
      <c r="KB1213" s="18"/>
      <c r="KC1213" s="18"/>
      <c r="KD1213" s="18"/>
      <c r="KE1213" s="18"/>
      <c r="KF1213" s="18"/>
      <c r="KG1213" s="18"/>
      <c r="KH1213" s="18"/>
      <c r="KI1213" s="18"/>
      <c r="KJ1213" s="18"/>
      <c r="KK1213" s="18"/>
      <c r="KL1213" s="18"/>
      <c r="KM1213" s="18"/>
      <c r="KN1213" s="18"/>
      <c r="KO1213" s="18"/>
      <c r="KP1213" s="18"/>
    </row>
    <row r="1214" spans="1:302">
      <c r="A1214" s="14"/>
      <c r="B1214" s="14"/>
      <c r="F1214" s="14"/>
      <c r="K1214" s="14"/>
      <c r="L1214" s="14"/>
      <c r="P1214" s="14"/>
      <c r="AB1214" s="14"/>
      <c r="AC1214" s="14"/>
      <c r="AG1214" s="14"/>
      <c r="AH1214" s="14"/>
      <c r="AI1214" s="3"/>
      <c r="AJ1214" s="14"/>
      <c r="AK1214" s="42"/>
      <c r="AS1214" s="14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  <c r="EW1214" s="18"/>
      <c r="EX1214" s="18"/>
      <c r="EY1214" s="18"/>
      <c r="EZ1214" s="18"/>
      <c r="FA1214" s="18"/>
      <c r="FB1214" s="18"/>
      <c r="FC1214" s="18"/>
      <c r="FD1214" s="18"/>
      <c r="FE1214" s="18"/>
      <c r="FF1214" s="18"/>
      <c r="FG1214" s="18"/>
      <c r="FH1214" s="18"/>
      <c r="FI1214" s="18"/>
      <c r="FJ1214" s="18"/>
      <c r="FK1214" s="18"/>
      <c r="FL1214" s="18"/>
      <c r="FM1214" s="18"/>
      <c r="FN1214" s="18"/>
      <c r="FO1214" s="18"/>
      <c r="FP1214" s="18"/>
      <c r="FQ1214" s="18"/>
      <c r="FR1214" s="18"/>
      <c r="FS1214" s="18"/>
      <c r="FT1214" s="18"/>
      <c r="FU1214" s="18"/>
      <c r="FV1214" s="18"/>
      <c r="FW1214" s="18"/>
      <c r="FX1214" s="18"/>
      <c r="FY1214" s="18"/>
      <c r="FZ1214" s="18"/>
      <c r="GA1214" s="18"/>
      <c r="GB1214" s="18"/>
      <c r="GC1214" s="18"/>
      <c r="GD1214" s="18"/>
      <c r="GE1214" s="18"/>
      <c r="GF1214" s="18"/>
      <c r="GG1214" s="18"/>
      <c r="GH1214" s="18"/>
      <c r="GI1214" s="18"/>
      <c r="GJ1214" s="18"/>
      <c r="GK1214" s="18"/>
      <c r="GL1214" s="18"/>
      <c r="GM1214" s="18"/>
      <c r="GN1214" s="18"/>
      <c r="GO1214" s="18"/>
      <c r="GP1214" s="18"/>
      <c r="GQ1214" s="18"/>
      <c r="GR1214" s="18"/>
      <c r="GS1214" s="18"/>
      <c r="GT1214" s="18"/>
      <c r="GU1214" s="18"/>
      <c r="GV1214" s="18"/>
      <c r="GW1214" s="18"/>
      <c r="GX1214" s="18"/>
      <c r="GY1214" s="18"/>
      <c r="GZ1214" s="18"/>
      <c r="HA1214" s="18"/>
      <c r="HB1214" s="18"/>
      <c r="HC1214" s="18"/>
      <c r="HD1214" s="18"/>
      <c r="HE1214" s="18"/>
      <c r="HF1214" s="18"/>
      <c r="HG1214" s="13"/>
      <c r="HH1214" s="13"/>
      <c r="HI1214" s="13"/>
      <c r="HJ1214" s="13"/>
      <c r="HK1214" s="13"/>
      <c r="HL1214" s="13"/>
      <c r="HM1214" s="13"/>
      <c r="HN1214" s="13"/>
      <c r="HO1214" s="13"/>
      <c r="HP1214" s="13"/>
      <c r="HQ1214" s="13"/>
      <c r="HR1214" s="13"/>
      <c r="HS1214" s="13"/>
      <c r="HT1214" s="13"/>
      <c r="HU1214" s="18"/>
      <c r="HV1214" s="18"/>
      <c r="HW1214" s="18"/>
      <c r="HX1214" s="18"/>
      <c r="HY1214" s="18"/>
      <c r="HZ1214" s="18"/>
      <c r="IA1214" s="18"/>
      <c r="IB1214" s="18"/>
      <c r="IC1214" s="18"/>
      <c r="ID1214" s="18"/>
      <c r="IE1214" s="18"/>
      <c r="IF1214" s="18"/>
      <c r="IG1214" s="18"/>
      <c r="IH1214" s="18"/>
      <c r="II1214" s="18"/>
      <c r="IJ1214" s="18"/>
      <c r="IK1214" s="18"/>
      <c r="IL1214" s="18"/>
      <c r="IM1214" s="18"/>
      <c r="IN1214" s="18"/>
      <c r="IO1214" s="18"/>
      <c r="IP1214" s="18"/>
      <c r="IQ1214" s="18"/>
      <c r="IR1214" s="18"/>
      <c r="IS1214" s="18"/>
      <c r="IT1214" s="18"/>
      <c r="IU1214" s="18"/>
      <c r="IV1214" s="18"/>
      <c r="IW1214" s="18"/>
      <c r="IX1214" s="18"/>
      <c r="IY1214" s="18"/>
      <c r="IZ1214" s="18"/>
      <c r="JA1214" s="18"/>
      <c r="JB1214" s="18"/>
      <c r="JC1214" s="18"/>
      <c r="JD1214" s="18"/>
      <c r="JE1214" s="18"/>
      <c r="JF1214" s="18"/>
      <c r="JG1214" s="18"/>
      <c r="JH1214" s="18"/>
      <c r="JI1214" s="18"/>
      <c r="JJ1214" s="18"/>
      <c r="JK1214" s="18"/>
      <c r="JL1214" s="18"/>
      <c r="JM1214" s="18"/>
      <c r="JN1214" s="18"/>
      <c r="JO1214" s="18"/>
      <c r="JP1214" s="18"/>
      <c r="JQ1214" s="18"/>
      <c r="JR1214" s="18"/>
      <c r="JS1214" s="18"/>
      <c r="JT1214" s="18"/>
      <c r="JU1214" s="18"/>
      <c r="JV1214" s="18"/>
      <c r="JW1214" s="18"/>
      <c r="JX1214" s="18"/>
      <c r="JY1214" s="18"/>
      <c r="JZ1214" s="18"/>
      <c r="KA1214" s="18"/>
      <c r="KB1214" s="18"/>
      <c r="KC1214" s="18"/>
      <c r="KD1214" s="18"/>
      <c r="KE1214" s="18"/>
      <c r="KF1214" s="18"/>
      <c r="KG1214" s="18"/>
      <c r="KH1214" s="18"/>
      <c r="KI1214" s="18"/>
      <c r="KJ1214" s="18"/>
      <c r="KK1214" s="18"/>
      <c r="KL1214" s="18"/>
      <c r="KM1214" s="18"/>
      <c r="KN1214" s="18"/>
      <c r="KO1214" s="18"/>
      <c r="KP1214" s="18"/>
    </row>
    <row r="1215" spans="1:302">
      <c r="A1215" s="14"/>
      <c r="B1215" s="14"/>
      <c r="F1215" s="14"/>
      <c r="K1215" s="14"/>
      <c r="L1215" s="14"/>
      <c r="P1215" s="14"/>
      <c r="AB1215" s="14"/>
      <c r="AC1215" s="14"/>
      <c r="AG1215" s="14"/>
      <c r="AH1215" s="14"/>
      <c r="AI1215" s="3"/>
      <c r="AJ1215" s="14"/>
      <c r="AK1215" s="42"/>
      <c r="AS1215" s="14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  <c r="EW1215" s="18"/>
      <c r="EX1215" s="18"/>
      <c r="EY1215" s="18"/>
      <c r="EZ1215" s="18"/>
      <c r="FA1215" s="18"/>
      <c r="FB1215" s="18"/>
      <c r="FC1215" s="18"/>
      <c r="FD1215" s="18"/>
      <c r="FE1215" s="18"/>
      <c r="FF1215" s="18"/>
      <c r="FG1215" s="18"/>
      <c r="FH1215" s="18"/>
      <c r="FI1215" s="18"/>
      <c r="FJ1215" s="18"/>
      <c r="FK1215" s="18"/>
      <c r="FL1215" s="18"/>
      <c r="FM1215" s="18"/>
      <c r="FN1215" s="18"/>
      <c r="FO1215" s="18"/>
      <c r="FP1215" s="18"/>
      <c r="FQ1215" s="18"/>
      <c r="FR1215" s="18"/>
      <c r="FS1215" s="18"/>
      <c r="FT1215" s="18"/>
      <c r="FU1215" s="18"/>
      <c r="FV1215" s="18"/>
      <c r="FW1215" s="18"/>
      <c r="FX1215" s="18"/>
      <c r="FY1215" s="18"/>
      <c r="FZ1215" s="18"/>
      <c r="GA1215" s="18"/>
      <c r="GB1215" s="18"/>
      <c r="GC1215" s="18"/>
      <c r="GD1215" s="18"/>
      <c r="GE1215" s="18"/>
      <c r="GF1215" s="18"/>
      <c r="GG1215" s="18"/>
      <c r="GH1215" s="18"/>
      <c r="GI1215" s="18"/>
      <c r="GJ1215" s="18"/>
      <c r="GK1215" s="18"/>
      <c r="GL1215" s="18"/>
      <c r="GM1215" s="18"/>
      <c r="GN1215" s="18"/>
      <c r="GO1215" s="18"/>
      <c r="GP1215" s="18"/>
      <c r="GQ1215" s="18"/>
      <c r="GR1215" s="18"/>
      <c r="GS1215" s="18"/>
      <c r="GT1215" s="18"/>
      <c r="GU1215" s="18"/>
      <c r="GV1215" s="18"/>
      <c r="GW1215" s="18"/>
      <c r="GX1215" s="18"/>
      <c r="GY1215" s="18"/>
      <c r="GZ1215" s="18"/>
      <c r="HA1215" s="18"/>
      <c r="HB1215" s="18"/>
      <c r="HC1215" s="18"/>
      <c r="HD1215" s="18"/>
      <c r="HE1215" s="18"/>
      <c r="HF1215" s="18"/>
      <c r="HG1215" s="13"/>
      <c r="HH1215" s="13"/>
      <c r="HI1215" s="13"/>
      <c r="HJ1215" s="13"/>
      <c r="HK1215" s="13"/>
      <c r="HL1215" s="13"/>
      <c r="HM1215" s="13"/>
      <c r="HN1215" s="13"/>
      <c r="HO1215" s="13"/>
      <c r="HP1215" s="13"/>
      <c r="HQ1215" s="13"/>
      <c r="HR1215" s="13"/>
      <c r="HS1215" s="13"/>
      <c r="HT1215" s="13"/>
      <c r="HU1215" s="18"/>
      <c r="HV1215" s="18"/>
      <c r="HW1215" s="18"/>
      <c r="HX1215" s="18"/>
      <c r="HY1215" s="18"/>
      <c r="HZ1215" s="18"/>
      <c r="IA1215" s="18"/>
      <c r="IB1215" s="18"/>
      <c r="IC1215" s="18"/>
      <c r="ID1215" s="18"/>
      <c r="IE1215" s="18"/>
      <c r="IF1215" s="18"/>
      <c r="IG1215" s="18"/>
      <c r="IH1215" s="18"/>
      <c r="II1215" s="18"/>
      <c r="IJ1215" s="18"/>
      <c r="IK1215" s="18"/>
      <c r="IL1215" s="18"/>
      <c r="IM1215" s="18"/>
      <c r="IN1215" s="18"/>
      <c r="IO1215" s="18"/>
      <c r="IP1215" s="18"/>
      <c r="IQ1215" s="18"/>
      <c r="IR1215" s="18"/>
      <c r="IS1215" s="18"/>
      <c r="IT1215" s="18"/>
      <c r="IU1215" s="18"/>
      <c r="IV1215" s="18"/>
      <c r="IW1215" s="18"/>
      <c r="IX1215" s="18"/>
      <c r="IY1215" s="18"/>
      <c r="IZ1215" s="18"/>
      <c r="JA1215" s="18"/>
      <c r="JB1215" s="18"/>
      <c r="JC1215" s="18"/>
      <c r="JD1215" s="18"/>
      <c r="JE1215" s="18"/>
      <c r="JF1215" s="18"/>
      <c r="JG1215" s="18"/>
      <c r="JH1215" s="18"/>
      <c r="JI1215" s="18"/>
      <c r="JJ1215" s="18"/>
      <c r="JK1215" s="18"/>
      <c r="JL1215" s="18"/>
      <c r="JM1215" s="18"/>
      <c r="JN1215" s="18"/>
      <c r="JO1215" s="18"/>
      <c r="JP1215" s="18"/>
      <c r="JQ1215" s="18"/>
      <c r="JR1215" s="18"/>
      <c r="JS1215" s="18"/>
      <c r="JT1215" s="18"/>
      <c r="JU1215" s="18"/>
      <c r="JV1215" s="18"/>
      <c r="JW1215" s="18"/>
      <c r="JX1215" s="18"/>
      <c r="JY1215" s="18"/>
      <c r="JZ1215" s="18"/>
      <c r="KA1215" s="18"/>
      <c r="KB1215" s="18"/>
      <c r="KC1215" s="18"/>
      <c r="KD1215" s="18"/>
      <c r="KE1215" s="18"/>
      <c r="KF1215" s="18"/>
      <c r="KG1215" s="18"/>
      <c r="KH1215" s="18"/>
      <c r="KI1215" s="18"/>
      <c r="KJ1215" s="18"/>
      <c r="KK1215" s="18"/>
      <c r="KL1215" s="18"/>
      <c r="KM1215" s="18"/>
      <c r="KN1215" s="18"/>
      <c r="KO1215" s="18"/>
      <c r="KP1215" s="18"/>
    </row>
    <row r="1216" spans="1:302">
      <c r="P1216" s="14"/>
      <c r="AB1216" s="14"/>
      <c r="AC1216" s="14"/>
      <c r="AG1216" s="14"/>
      <c r="AH1216" s="14"/>
      <c r="AI1216" s="3"/>
      <c r="AJ1216" s="14"/>
      <c r="AK1216" s="42"/>
      <c r="AS1216" s="14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3"/>
      <c r="HH1216" s="13"/>
      <c r="HI1216" s="13"/>
      <c r="HJ1216" s="13"/>
      <c r="HK1216" s="13"/>
      <c r="HL1216" s="13"/>
      <c r="HM1216" s="13"/>
      <c r="HN1216" s="13"/>
      <c r="HO1216" s="13"/>
      <c r="HP1216" s="13"/>
      <c r="HQ1216" s="13"/>
      <c r="HR1216" s="13"/>
      <c r="HS1216" s="13"/>
      <c r="HT1216" s="13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  <c r="IK1216" s="18"/>
      <c r="IL1216" s="18"/>
      <c r="IM1216" s="18"/>
      <c r="IN1216" s="18"/>
      <c r="IO1216" s="18"/>
      <c r="IP1216" s="18"/>
      <c r="IQ1216" s="18"/>
      <c r="IR1216" s="18"/>
      <c r="IS1216" s="18"/>
      <c r="IT1216" s="18"/>
      <c r="IU1216" s="18"/>
      <c r="IV1216" s="18"/>
      <c r="IW1216" s="18"/>
      <c r="IX1216" s="18"/>
      <c r="IY1216" s="18"/>
      <c r="IZ1216" s="18"/>
      <c r="JA1216" s="18"/>
      <c r="JB1216" s="18"/>
      <c r="JC1216" s="18"/>
      <c r="JD1216" s="18"/>
      <c r="JE1216" s="18"/>
      <c r="JF1216" s="18"/>
      <c r="JG1216" s="18"/>
      <c r="JH1216" s="18"/>
      <c r="JI1216" s="18"/>
      <c r="JJ1216" s="18"/>
      <c r="JK1216" s="18"/>
      <c r="JL1216" s="18"/>
      <c r="JM1216" s="18"/>
      <c r="JN1216" s="18"/>
      <c r="JO1216" s="18"/>
      <c r="JP1216" s="18"/>
      <c r="JQ1216" s="18"/>
      <c r="JR1216" s="18"/>
      <c r="JS1216" s="18"/>
      <c r="JT1216" s="18"/>
      <c r="JU1216" s="18"/>
      <c r="JV1216" s="18"/>
      <c r="JW1216" s="18"/>
      <c r="JX1216" s="18"/>
      <c r="JY1216" s="18"/>
      <c r="JZ1216" s="18"/>
      <c r="KA1216" s="18"/>
      <c r="KB1216" s="18"/>
      <c r="KC1216" s="18"/>
      <c r="KD1216" s="18"/>
      <c r="KE1216" s="18"/>
      <c r="KF1216" s="18"/>
      <c r="KG1216" s="18"/>
      <c r="KH1216" s="18"/>
      <c r="KI1216" s="18"/>
      <c r="KJ1216" s="18"/>
      <c r="KK1216" s="18"/>
      <c r="KL1216" s="18"/>
      <c r="KM1216" s="18"/>
      <c r="KN1216" s="18"/>
      <c r="KO1216" s="18"/>
      <c r="KP1216" s="18"/>
    </row>
    <row r="1217" spans="1:302">
      <c r="P1217" s="14"/>
      <c r="AB1217" s="14"/>
      <c r="AC1217" s="14"/>
      <c r="AG1217" s="14"/>
      <c r="AH1217" s="14"/>
      <c r="AI1217" s="3"/>
      <c r="AJ1217" s="14"/>
      <c r="AK1217" s="42"/>
      <c r="AS1217" s="14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3"/>
      <c r="HH1217" s="13"/>
      <c r="HI1217" s="13"/>
      <c r="HJ1217" s="13"/>
      <c r="HK1217" s="13"/>
      <c r="HL1217" s="13"/>
      <c r="HM1217" s="13"/>
      <c r="HN1217" s="13"/>
      <c r="HO1217" s="13"/>
      <c r="HP1217" s="13"/>
      <c r="HQ1217" s="13"/>
      <c r="HR1217" s="13"/>
      <c r="HS1217" s="13"/>
      <c r="HT1217" s="13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  <c r="IW1217" s="18"/>
      <c r="IX1217" s="18"/>
      <c r="IY1217" s="18"/>
      <c r="IZ1217" s="18"/>
      <c r="JA1217" s="18"/>
      <c r="JB1217" s="18"/>
      <c r="JC1217" s="18"/>
      <c r="JD1217" s="18"/>
      <c r="JE1217" s="18"/>
      <c r="JF1217" s="18"/>
      <c r="JG1217" s="18"/>
      <c r="JH1217" s="18"/>
      <c r="JI1217" s="18"/>
      <c r="JJ1217" s="18"/>
      <c r="JK1217" s="18"/>
      <c r="JL1217" s="18"/>
      <c r="JM1217" s="18"/>
      <c r="JN1217" s="18"/>
      <c r="JO1217" s="18"/>
      <c r="JP1217" s="18"/>
      <c r="JQ1217" s="18"/>
      <c r="JR1217" s="18"/>
      <c r="JS1217" s="18"/>
      <c r="JT1217" s="18"/>
      <c r="JU1217" s="18"/>
      <c r="JV1217" s="18"/>
      <c r="JW1217" s="18"/>
      <c r="JX1217" s="18"/>
      <c r="JY1217" s="18"/>
      <c r="JZ1217" s="18"/>
      <c r="KA1217" s="18"/>
      <c r="KB1217" s="18"/>
      <c r="KC1217" s="18"/>
      <c r="KD1217" s="18"/>
      <c r="KE1217" s="18"/>
      <c r="KF1217" s="18"/>
      <c r="KG1217" s="18"/>
      <c r="KH1217" s="18"/>
      <c r="KI1217" s="18"/>
      <c r="KJ1217" s="18"/>
      <c r="KK1217" s="18"/>
      <c r="KL1217" s="18"/>
      <c r="KM1217" s="18"/>
      <c r="KN1217" s="18"/>
      <c r="KO1217" s="18"/>
      <c r="KP1217" s="18"/>
    </row>
    <row r="1220" spans="1:302">
      <c r="A1220" s="18"/>
      <c r="B1220" s="18"/>
      <c r="C1220" s="18"/>
      <c r="D1220" s="18"/>
      <c r="E1220" s="18"/>
      <c r="F1220" s="18"/>
      <c r="G1220" s="18"/>
      <c r="H1220" s="18"/>
      <c r="I1220" s="18"/>
      <c r="J1220" s="18"/>
      <c r="K1220" s="18"/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  <c r="IN1220" s="18"/>
      <c r="IO1220" s="18"/>
      <c r="IP1220" s="18"/>
      <c r="IQ1220" s="18"/>
      <c r="IR1220" s="18"/>
      <c r="IS1220" s="18"/>
      <c r="IT1220" s="18"/>
      <c r="IU1220" s="18"/>
      <c r="IV1220" s="18"/>
      <c r="IW1220" s="18"/>
      <c r="IX1220" s="18"/>
      <c r="IY1220" s="18"/>
      <c r="IZ1220" s="18"/>
      <c r="JA1220" s="18"/>
      <c r="JB1220" s="18"/>
      <c r="JC1220" s="18"/>
      <c r="JD1220" s="18"/>
      <c r="JE1220" s="18"/>
      <c r="JF1220" s="18"/>
      <c r="JG1220" s="18"/>
      <c r="JH1220" s="18"/>
      <c r="JI1220" s="18"/>
      <c r="JJ1220" s="18"/>
      <c r="JK1220" s="18"/>
      <c r="JL1220" s="18"/>
      <c r="JM1220" s="18"/>
      <c r="JN1220" s="18"/>
      <c r="JO1220" s="18"/>
      <c r="JP1220" s="18"/>
      <c r="JQ1220" s="18"/>
      <c r="JR1220" s="18"/>
      <c r="JS1220" s="18"/>
      <c r="JT1220" s="18"/>
      <c r="JU1220" s="18"/>
      <c r="JV1220" s="18"/>
      <c r="JW1220" s="18"/>
      <c r="JX1220" s="18"/>
      <c r="JY1220" s="18"/>
      <c r="JZ1220" s="18"/>
      <c r="KA1220" s="18"/>
      <c r="KB1220" s="18"/>
      <c r="KC1220" s="18"/>
      <c r="KD1220" s="18"/>
      <c r="KE1220" s="18"/>
      <c r="KF1220" s="18"/>
      <c r="KG1220" s="18"/>
      <c r="KH1220" s="18"/>
      <c r="KI1220" s="18"/>
      <c r="KJ1220" s="18"/>
      <c r="KK1220" s="18"/>
      <c r="KL1220" s="18"/>
      <c r="KM1220" s="18"/>
      <c r="KN1220" s="18"/>
      <c r="KO1220" s="18"/>
      <c r="KP1220" s="18"/>
    </row>
    <row r="1221" spans="1:302">
      <c r="A1221" s="18"/>
      <c r="B1221" s="18"/>
      <c r="C1221" s="18"/>
      <c r="D1221" s="18"/>
      <c r="E1221" s="18"/>
      <c r="F1221" s="18"/>
      <c r="G1221" s="18"/>
      <c r="H1221" s="18"/>
      <c r="I1221" s="18"/>
      <c r="J1221" s="18"/>
      <c r="K1221" s="18"/>
      <c r="L1221" s="18"/>
      <c r="M1221" s="18"/>
      <c r="N1221" s="18"/>
      <c r="O1221" s="18"/>
      <c r="P1221" s="18"/>
      <c r="Q1221" s="18"/>
      <c r="R1221" s="18"/>
      <c r="S1221" s="18"/>
      <c r="T1221" s="18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  <c r="IN1221" s="18"/>
      <c r="IO1221" s="18"/>
      <c r="IP1221" s="18"/>
      <c r="IQ1221" s="18"/>
      <c r="IR1221" s="18"/>
      <c r="IS1221" s="18"/>
      <c r="IT1221" s="18"/>
      <c r="IU1221" s="18"/>
      <c r="IV1221" s="18"/>
      <c r="IW1221" s="18"/>
      <c r="IX1221" s="18"/>
      <c r="IY1221" s="18"/>
      <c r="IZ1221" s="18"/>
      <c r="JA1221" s="18"/>
      <c r="JB1221" s="18"/>
      <c r="JC1221" s="18"/>
      <c r="JD1221" s="18"/>
      <c r="JE1221" s="18"/>
      <c r="JF1221" s="18"/>
      <c r="JG1221" s="18"/>
      <c r="JH1221" s="18"/>
      <c r="JI1221" s="18"/>
      <c r="JJ1221" s="18"/>
      <c r="JK1221" s="18"/>
      <c r="JL1221" s="18"/>
      <c r="JM1221" s="18"/>
      <c r="JN1221" s="18"/>
      <c r="JO1221" s="18"/>
      <c r="JP1221" s="18"/>
      <c r="JQ1221" s="18"/>
      <c r="JR1221" s="18"/>
      <c r="JS1221" s="18"/>
      <c r="JT1221" s="18"/>
      <c r="JU1221" s="18"/>
      <c r="JV1221" s="18"/>
      <c r="JW1221" s="18"/>
      <c r="JX1221" s="18"/>
      <c r="JY1221" s="18"/>
      <c r="JZ1221" s="18"/>
      <c r="KA1221" s="18"/>
      <c r="KB1221" s="18"/>
      <c r="KC1221" s="18"/>
      <c r="KD1221" s="18"/>
      <c r="KE1221" s="18"/>
      <c r="KF1221" s="18"/>
      <c r="KG1221" s="18"/>
      <c r="KH1221" s="18"/>
      <c r="KI1221" s="18"/>
      <c r="KJ1221" s="18"/>
      <c r="KK1221" s="18"/>
      <c r="KL1221" s="18"/>
      <c r="KM1221" s="18"/>
      <c r="KN1221" s="18"/>
      <c r="KO1221" s="18"/>
      <c r="KP1221" s="18"/>
    </row>
  </sheetData>
  <dataConsolidate function="var"/>
  <mergeCells count="291">
    <mergeCell ref="F166:G166"/>
    <mergeCell ref="G108:G109"/>
    <mergeCell ref="K108:K109"/>
    <mergeCell ref="G134:G135"/>
    <mergeCell ref="K134:K135"/>
    <mergeCell ref="B125:C126"/>
    <mergeCell ref="G125:G126"/>
    <mergeCell ref="K125:K126"/>
    <mergeCell ref="K117:K118"/>
    <mergeCell ref="B153:C153"/>
    <mergeCell ref="B151:C152"/>
    <mergeCell ref="G151:G152"/>
    <mergeCell ref="K151:K152"/>
    <mergeCell ref="B92:C92"/>
    <mergeCell ref="K73:K74"/>
    <mergeCell ref="AJ98:AK99"/>
    <mergeCell ref="B99:C100"/>
    <mergeCell ref="G99:G100"/>
    <mergeCell ref="K99:K100"/>
    <mergeCell ref="AJ100:AK100"/>
    <mergeCell ref="B101:C101"/>
    <mergeCell ref="AF101:AG101"/>
    <mergeCell ref="K90:K91"/>
    <mergeCell ref="G90:G91"/>
    <mergeCell ref="G73:G74"/>
    <mergeCell ref="AJ33:AK33"/>
    <mergeCell ref="K32:K33"/>
    <mergeCell ref="G40:G41"/>
    <mergeCell ref="AJ41:AK41"/>
    <mergeCell ref="K82:K83"/>
    <mergeCell ref="G57:G58"/>
    <mergeCell ref="K57:K58"/>
    <mergeCell ref="B59:C59"/>
    <mergeCell ref="B90:C91"/>
    <mergeCell ref="G65:G66"/>
    <mergeCell ref="B24:C25"/>
    <mergeCell ref="G24:G25"/>
    <mergeCell ref="K24:K25"/>
    <mergeCell ref="AJ25:AK25"/>
    <mergeCell ref="B26:C26"/>
    <mergeCell ref="AF26:AG26"/>
    <mergeCell ref="G49:G50"/>
    <mergeCell ref="K49:K50"/>
    <mergeCell ref="X499:AB499"/>
    <mergeCell ref="X498:AB498"/>
    <mergeCell ref="G171:G173"/>
    <mergeCell ref="I318:K318"/>
    <mergeCell ref="I363:K363"/>
    <mergeCell ref="I205:K205"/>
    <mergeCell ref="I202:K202"/>
    <mergeCell ref="I287:K287"/>
    <mergeCell ref="I271:K271"/>
    <mergeCell ref="I354:K354"/>
    <mergeCell ref="I284:K284"/>
    <mergeCell ref="I186:K186"/>
    <mergeCell ref="I239:K239"/>
    <mergeCell ref="I189:K189"/>
    <mergeCell ref="I221:K221"/>
    <mergeCell ref="P171:P173"/>
    <mergeCell ref="I342:K342"/>
    <mergeCell ref="I176:K176"/>
    <mergeCell ref="G505:I505"/>
    <mergeCell ref="I339:K339"/>
    <mergeCell ref="I298:K298"/>
    <mergeCell ref="I327:K327"/>
    <mergeCell ref="I193:K193"/>
    <mergeCell ref="I309:K309"/>
    <mergeCell ref="I249:K249"/>
    <mergeCell ref="I336:K336"/>
    <mergeCell ref="I478:K478"/>
    <mergeCell ref="I260:K260"/>
    <mergeCell ref="I390:K390"/>
    <mergeCell ref="I392:K392"/>
    <mergeCell ref="I382:K382"/>
    <mergeCell ref="A4:A8"/>
    <mergeCell ref="C4:C8"/>
    <mergeCell ref="D4:D8"/>
    <mergeCell ref="E4:E8"/>
    <mergeCell ref="A171:A173"/>
    <mergeCell ref="B51:C51"/>
    <mergeCell ref="B108:C109"/>
    <mergeCell ref="B110:C110"/>
    <mergeCell ref="B117:C118"/>
    <mergeCell ref="B162:C162"/>
    <mergeCell ref="B57:C58"/>
    <mergeCell ref="B134:C135"/>
    <mergeCell ref="B136:C136"/>
    <mergeCell ref="B65:C66"/>
    <mergeCell ref="B142:C143"/>
    <mergeCell ref="B16:C17"/>
    <mergeCell ref="B18:C18"/>
    <mergeCell ref="B40:C41"/>
    <mergeCell ref="B160:C161"/>
    <mergeCell ref="B119:C119"/>
    <mergeCell ref="B32:C33"/>
    <mergeCell ref="B75:C75"/>
    <mergeCell ref="B84:C84"/>
    <mergeCell ref="B127:C127"/>
    <mergeCell ref="D515:E515"/>
    <mergeCell ref="D520:E520"/>
    <mergeCell ref="D525:E525"/>
    <mergeCell ref="B523:C523"/>
    <mergeCell ref="B506:C506"/>
    <mergeCell ref="B505:C505"/>
    <mergeCell ref="B507:C507"/>
    <mergeCell ref="D507:E507"/>
    <mergeCell ref="B509:C509"/>
    <mergeCell ref="D514:E514"/>
    <mergeCell ref="D505:E505"/>
    <mergeCell ref="D516:E516"/>
    <mergeCell ref="D508:E508"/>
    <mergeCell ref="D512:E512"/>
    <mergeCell ref="B511:C511"/>
    <mergeCell ref="B510:C510"/>
    <mergeCell ref="B515:C515"/>
    <mergeCell ref="B517:C517"/>
    <mergeCell ref="B516:C516"/>
    <mergeCell ref="B508:C508"/>
    <mergeCell ref="D509:E509"/>
    <mergeCell ref="D511:E511"/>
    <mergeCell ref="B514:C514"/>
    <mergeCell ref="D506:E506"/>
    <mergeCell ref="D510:E510"/>
    <mergeCell ref="G508:I508"/>
    <mergeCell ref="B513:C513"/>
    <mergeCell ref="B512:C512"/>
    <mergeCell ref="D513:E513"/>
    <mergeCell ref="B504:D504"/>
    <mergeCell ref="AJ31:AK32"/>
    <mergeCell ref="I230:K230"/>
    <mergeCell ref="I171:K173"/>
    <mergeCell ref="I373:K373"/>
    <mergeCell ref="I410:K410"/>
    <mergeCell ref="I469:K469"/>
    <mergeCell ref="I433:K433"/>
    <mergeCell ref="I457:K457"/>
    <mergeCell ref="I470:K470"/>
    <mergeCell ref="I445:K445"/>
    <mergeCell ref="I419:K419"/>
    <mergeCell ref="AB171:AB173"/>
    <mergeCell ref="I209:K209"/>
    <mergeCell ref="I174:K174"/>
    <mergeCell ref="F171:F173"/>
    <mergeCell ref="D171:D173"/>
    <mergeCell ref="I401:K401"/>
    <mergeCell ref="B34:C34"/>
    <mergeCell ref="B534:C534"/>
    <mergeCell ref="D518:E518"/>
    <mergeCell ref="D519:E519"/>
    <mergeCell ref="B519:C519"/>
    <mergeCell ref="B527:C527"/>
    <mergeCell ref="D517:E517"/>
    <mergeCell ref="B533:C533"/>
    <mergeCell ref="B522:C522"/>
    <mergeCell ref="B531:C531"/>
    <mergeCell ref="B532:C532"/>
    <mergeCell ref="B521:C521"/>
    <mergeCell ref="B528:C528"/>
    <mergeCell ref="D526:E526"/>
    <mergeCell ref="B524:C524"/>
    <mergeCell ref="D523:E523"/>
    <mergeCell ref="B525:C525"/>
    <mergeCell ref="B526:C526"/>
    <mergeCell ref="D524:E524"/>
    <mergeCell ref="D522:E522"/>
    <mergeCell ref="B530:C530"/>
    <mergeCell ref="B529:C529"/>
    <mergeCell ref="B520:C520"/>
    <mergeCell ref="D527:E527"/>
    <mergeCell ref="B518:C518"/>
    <mergeCell ref="IQ7:JO7"/>
    <mergeCell ref="AD4:AD8"/>
    <mergeCell ref="AT7:AZ7"/>
    <mergeCell ref="BA7:BF7"/>
    <mergeCell ref="BG7:BJ7"/>
    <mergeCell ref="BK7:BW7"/>
    <mergeCell ref="CS7:DL7"/>
    <mergeCell ref="BX7:CR7"/>
    <mergeCell ref="HU7:IO7"/>
    <mergeCell ref="DO7:GN7"/>
    <mergeCell ref="AF4:AF8"/>
    <mergeCell ref="AG4:AG8"/>
    <mergeCell ref="HU497:HV497"/>
    <mergeCell ref="BX497:BY497"/>
    <mergeCell ref="AF92:AG92"/>
    <mergeCell ref="AJ39:AK40"/>
    <mergeCell ref="AJ48:AK49"/>
    <mergeCell ref="AJ50:AK50"/>
    <mergeCell ref="AJ107:AK108"/>
    <mergeCell ref="AJ116:AK117"/>
    <mergeCell ref="AH123:AH124"/>
    <mergeCell ref="AJ124:AK125"/>
    <mergeCell ref="AJ126:AK126"/>
    <mergeCell ref="AJ83:AK83"/>
    <mergeCell ref="AF127:AG127"/>
    <mergeCell ref="AH149:AH150"/>
    <mergeCell ref="AJ150:AK151"/>
    <mergeCell ref="AJ133:AK134"/>
    <mergeCell ref="AJ135:AK135"/>
    <mergeCell ref="AJ58:AK58"/>
    <mergeCell ref="AJ109:AK109"/>
    <mergeCell ref="AJ74:AK74"/>
    <mergeCell ref="AF153:AG153"/>
    <mergeCell ref="AJ152:AK152"/>
    <mergeCell ref="AD102:AF102"/>
    <mergeCell ref="G507:I507"/>
    <mergeCell ref="G506:I506"/>
    <mergeCell ref="AR1:AS2"/>
    <mergeCell ref="AS7:AS8"/>
    <mergeCell ref="AL1:AM2"/>
    <mergeCell ref="AN1:AP2"/>
    <mergeCell ref="AJ4:AK5"/>
    <mergeCell ref="AD171:AD173"/>
    <mergeCell ref="AJ91:AK91"/>
    <mergeCell ref="AJ56:AK57"/>
    <mergeCell ref="AJ64:AK65"/>
    <mergeCell ref="AJ118:AK118"/>
    <mergeCell ref="AH55:AH56"/>
    <mergeCell ref="AH140:AH141"/>
    <mergeCell ref="AJ141:AK142"/>
    <mergeCell ref="AJ143:AK143"/>
    <mergeCell ref="AF144:AG144"/>
    <mergeCell ref="AJ66:AK66"/>
    <mergeCell ref="AH14:AH15"/>
    <mergeCell ref="AJ15:AK16"/>
    <mergeCell ref="AJ89:AK90"/>
    <mergeCell ref="AJ17:AK17"/>
    <mergeCell ref="AF18:AG18"/>
    <mergeCell ref="AH88:AH89"/>
    <mergeCell ref="AG637:AH637"/>
    <mergeCell ref="AG534:AH534"/>
    <mergeCell ref="AF171:AF174"/>
    <mergeCell ref="AH38:AH39"/>
    <mergeCell ref="AH30:AH31"/>
    <mergeCell ref="AH47:AH48"/>
    <mergeCell ref="AH115:AH116"/>
    <mergeCell ref="AF162:AG162"/>
    <mergeCell ref="AH132:AH133"/>
    <mergeCell ref="AF136:AG136"/>
    <mergeCell ref="AH158:AH159"/>
    <mergeCell ref="AF67:AG67"/>
    <mergeCell ref="AH71:AH72"/>
    <mergeCell ref="AF119:AG119"/>
    <mergeCell ref="AF42:AG42"/>
    <mergeCell ref="AF75:AG75"/>
    <mergeCell ref="AF161:AG161"/>
    <mergeCell ref="AF110:AG110"/>
    <mergeCell ref="AF34:AG34"/>
    <mergeCell ref="AF51:AG51"/>
    <mergeCell ref="AH106:AH107"/>
    <mergeCell ref="AF84:AG84"/>
    <mergeCell ref="AF59:AG59"/>
    <mergeCell ref="F2:G2"/>
    <mergeCell ref="D2:E2"/>
    <mergeCell ref="K2:P2"/>
    <mergeCell ref="I4:I8"/>
    <mergeCell ref="K4:K8"/>
    <mergeCell ref="F4:F8"/>
    <mergeCell ref="F3:G3"/>
    <mergeCell ref="P4:P8"/>
    <mergeCell ref="AB4:AB8"/>
    <mergeCell ref="Q4:Q8"/>
    <mergeCell ref="R4:R8"/>
    <mergeCell ref="G4:G8"/>
    <mergeCell ref="O4:O8"/>
    <mergeCell ref="L4:L8"/>
    <mergeCell ref="M4:M8"/>
    <mergeCell ref="G16:G17"/>
    <mergeCell ref="K16:K17"/>
    <mergeCell ref="G32:G33"/>
    <mergeCell ref="B144:C144"/>
    <mergeCell ref="AJ159:AK160"/>
    <mergeCell ref="G142:G143"/>
    <mergeCell ref="K142:K143"/>
    <mergeCell ref="G117:G118"/>
    <mergeCell ref="K65:K66"/>
    <mergeCell ref="B67:C67"/>
    <mergeCell ref="B73:C74"/>
    <mergeCell ref="G160:G161"/>
    <mergeCell ref="K160:K161"/>
    <mergeCell ref="AJ161:AK161"/>
    <mergeCell ref="AH80:AH81"/>
    <mergeCell ref="AJ81:AK82"/>
    <mergeCell ref="B82:C83"/>
    <mergeCell ref="G82:G83"/>
    <mergeCell ref="B49:C50"/>
    <mergeCell ref="K40:K41"/>
    <mergeCell ref="B42:C42"/>
    <mergeCell ref="AJ72:AK73"/>
    <mergeCell ref="AH22:AH23"/>
    <mergeCell ref="AJ23:AK24"/>
  </mergeCells>
  <conditionalFormatting sqref="AD458 AD402 AD158 AD132 AD139:AD140 AD105:AD106 AD115 AD149 AD123 AD97 AD88 AD80 AD71 AD47 AD55 AD63 AD38 AD30 AD14 AD22">
    <cfRule type="cellIs" dxfId="145" priority="165" operator="between">
      <formula>-0.05</formula>
      <formula>-1</formula>
    </cfRule>
  </conditionalFormatting>
  <conditionalFormatting sqref="AG105:AG106 AG115 AG123 AG132 AG140 AG149 AG158 AG102 AG97 AG88 AG80">
    <cfRule type="cellIs" dxfId="144" priority="139" operator="greaterThan">
      <formula>0.04</formula>
    </cfRule>
  </conditionalFormatting>
  <conditionalFormatting sqref="Q103:Q111">
    <cfRule type="expression" dxfId="143" priority="114">
      <formula>IF(#REF!&lt;&gt;"",#REF!&gt;#REF!,)</formula>
    </cfRule>
    <cfRule type="cellIs" dxfId="142" priority="115" operator="lessThan">
      <formula>#REF!</formula>
    </cfRule>
  </conditionalFormatting>
  <conditionalFormatting sqref="Q103:Q111">
    <cfRule type="expression" dxfId="141" priority="112">
      <formula>IF(#REF!&lt;&gt;"",#REF!&gt;#REF!,)</formula>
    </cfRule>
    <cfRule type="cellIs" dxfId="140" priority="113" operator="lessThan">
      <formula>#REF!</formula>
    </cfRule>
  </conditionalFormatting>
  <conditionalFormatting sqref="Q103:Q111">
    <cfRule type="expression" dxfId="139" priority="110">
      <formula>IF(S103&lt;&gt;"",#REF!&gt;S103,)</formula>
    </cfRule>
    <cfRule type="cellIs" dxfId="138" priority="111" operator="lessThan">
      <formula>R103</formula>
    </cfRule>
  </conditionalFormatting>
  <conditionalFormatting sqref="Q156:Q164">
    <cfRule type="expression" dxfId="137" priority="104">
      <formula>IF(#REF!&lt;&gt;"",#REF!&gt;#REF!,)</formula>
    </cfRule>
    <cfRule type="cellIs" dxfId="136" priority="105" operator="lessThan">
      <formula>#REF!</formula>
    </cfRule>
  </conditionalFormatting>
  <conditionalFormatting sqref="Q156:Q164">
    <cfRule type="expression" dxfId="135" priority="102">
      <formula>IF(#REF!&lt;&gt;"",#REF!&gt;#REF!,)</formula>
    </cfRule>
    <cfRule type="cellIs" dxfId="134" priority="103" operator="lessThan">
      <formula>#REF!</formula>
    </cfRule>
  </conditionalFormatting>
  <conditionalFormatting sqref="Q156:Q164">
    <cfRule type="expression" dxfId="133" priority="100">
      <formula>IF(S156&lt;&gt;"",#REF!&gt;S156,)</formula>
    </cfRule>
    <cfRule type="cellIs" dxfId="132" priority="101" operator="lessThan">
      <formula>R156</formula>
    </cfRule>
  </conditionalFormatting>
  <conditionalFormatting sqref="Q138:Q154">
    <cfRule type="expression" dxfId="131" priority="86">
      <formula>IF(#REF!&lt;&gt;"",#REF!&gt;#REF!,)</formula>
    </cfRule>
    <cfRule type="cellIs" dxfId="130" priority="87" operator="lessThan">
      <formula>#REF!</formula>
    </cfRule>
  </conditionalFormatting>
  <conditionalFormatting sqref="Q138:Q154">
    <cfRule type="expression" dxfId="129" priority="84">
      <formula>IF(#REF!&lt;&gt;"",#REF!&gt;#REF!,)</formula>
    </cfRule>
    <cfRule type="cellIs" dxfId="128" priority="85" operator="lessThan">
      <formula>#REF!</formula>
    </cfRule>
  </conditionalFormatting>
  <conditionalFormatting sqref="Q138:Q154">
    <cfRule type="expression" dxfId="127" priority="82">
      <formula>IF(S138&lt;&gt;"",#REF!&gt;S138,)</formula>
    </cfRule>
    <cfRule type="cellIs" dxfId="126" priority="83" operator="lessThan">
      <formula>R138</formula>
    </cfRule>
  </conditionalFormatting>
  <conditionalFormatting sqref="Q146">
    <cfRule type="expression" dxfId="125" priority="64">
      <formula>IF(S146&lt;&gt;"",#REF!&gt;S146,)</formula>
    </cfRule>
    <cfRule type="cellIs" dxfId="124" priority="65" operator="lessThan">
      <formula>R146</formula>
    </cfRule>
  </conditionalFormatting>
  <conditionalFormatting sqref="AG79">
    <cfRule type="cellIs" dxfId="123" priority="60" operator="greaterThan">
      <formula>0.04</formula>
    </cfRule>
  </conditionalFormatting>
  <conditionalFormatting sqref="AG70">
    <cfRule type="cellIs" dxfId="122" priority="59" operator="greaterThan">
      <formula>0.04</formula>
    </cfRule>
  </conditionalFormatting>
  <conditionalFormatting sqref="AG62">
    <cfRule type="cellIs" dxfId="121" priority="58" operator="greaterThan">
      <formula>0.04</formula>
    </cfRule>
  </conditionalFormatting>
  <conditionalFormatting sqref="AG54">
    <cfRule type="cellIs" dxfId="120" priority="57" operator="greaterThan">
      <formula>0.04</formula>
    </cfRule>
  </conditionalFormatting>
  <conditionalFormatting sqref="AG46">
    <cfRule type="cellIs" dxfId="119" priority="56" operator="greaterThan">
      <formula>0.04</formula>
    </cfRule>
  </conditionalFormatting>
  <conditionalFormatting sqref="AG37">
    <cfRule type="cellIs" dxfId="118" priority="55" operator="greaterThan">
      <formula>0.04</formula>
    </cfRule>
  </conditionalFormatting>
  <conditionalFormatting sqref="AG29">
    <cfRule type="cellIs" dxfId="117" priority="54" operator="greaterThan">
      <formula>0.04</formula>
    </cfRule>
  </conditionalFormatting>
  <conditionalFormatting sqref="AG21">
    <cfRule type="cellIs" dxfId="116" priority="53" operator="greaterThan">
      <formula>0.04</formula>
    </cfRule>
  </conditionalFormatting>
  <conditionalFormatting sqref="AG13">
    <cfRule type="cellIs" dxfId="115" priority="52" operator="greaterThan">
      <formula>0.04</formula>
    </cfRule>
  </conditionalFormatting>
  <conditionalFormatting sqref="AG79">
    <cfRule type="cellIs" dxfId="114" priority="51" operator="greaterThan">
      <formula>0.04</formula>
    </cfRule>
  </conditionalFormatting>
  <conditionalFormatting sqref="AG87">
    <cfRule type="cellIs" dxfId="113" priority="50" operator="greaterThan">
      <formula>0.04</formula>
    </cfRule>
  </conditionalFormatting>
  <conditionalFormatting sqref="AG96">
    <cfRule type="cellIs" dxfId="112" priority="49" operator="greaterThan">
      <formula>0.04</formula>
    </cfRule>
  </conditionalFormatting>
  <conditionalFormatting sqref="AG105">
    <cfRule type="cellIs" dxfId="111" priority="48" operator="greaterThan">
      <formula>0.04</formula>
    </cfRule>
  </conditionalFormatting>
  <conditionalFormatting sqref="AG114">
    <cfRule type="cellIs" dxfId="110" priority="47" operator="greaterThan">
      <formula>0.04</formula>
    </cfRule>
  </conditionalFormatting>
  <conditionalFormatting sqref="AG122">
    <cfRule type="cellIs" dxfId="109" priority="46" operator="greaterThan">
      <formula>0.04</formula>
    </cfRule>
  </conditionalFormatting>
  <conditionalFormatting sqref="AG131">
    <cfRule type="cellIs" dxfId="108" priority="45" operator="greaterThan">
      <formula>0.04</formula>
    </cfRule>
  </conditionalFormatting>
  <conditionalFormatting sqref="AG139">
    <cfRule type="cellIs" dxfId="107" priority="44" operator="greaterThan">
      <formula>0.04</formula>
    </cfRule>
  </conditionalFormatting>
  <conditionalFormatting sqref="AG148">
    <cfRule type="cellIs" dxfId="106" priority="43" operator="greaterThan">
      <formula>0.04</formula>
    </cfRule>
  </conditionalFormatting>
  <conditionalFormatting sqref="AG157">
    <cfRule type="cellIs" dxfId="105" priority="42" operator="greaterThan">
      <formula>0.04</formula>
    </cfRule>
  </conditionalFormatting>
  <conditionalFormatting sqref="AD458 AD402 AD158 AD132 AD139:AD140 AD105:AD106 AD115 AD149 AD123 AD97 AD88 AD80 AD71 AD47 AD55 AD63 AD38 AD30 AD14 AD22">
    <cfRule type="cellIs" dxfId="81" priority="41" operator="between">
      <formula>-0.05</formula>
      <formula>-1</formula>
    </cfRule>
  </conditionalFormatting>
  <conditionalFormatting sqref="AG105:AG106 AG115 AG123 AG132 AG140 AG149 AG158 AG102 AG97 AG88 AG80">
    <cfRule type="cellIs" dxfId="79" priority="40" operator="greaterThan">
      <formula>0.04</formula>
    </cfRule>
  </conditionalFormatting>
  <conditionalFormatting sqref="Q103:Q111">
    <cfRule type="expression" dxfId="77" priority="38">
      <formula>IF(#REF!&lt;&gt;"",#REF!&gt;#REF!,)</formula>
    </cfRule>
    <cfRule type="cellIs" dxfId="76" priority="39" operator="lessThan">
      <formula>#REF!</formula>
    </cfRule>
  </conditionalFormatting>
  <conditionalFormatting sqref="Q103:Q111">
    <cfRule type="expression" dxfId="73" priority="36">
      <formula>IF(#REF!&lt;&gt;"",#REF!&gt;#REF!,)</formula>
    </cfRule>
    <cfRule type="cellIs" dxfId="72" priority="37" operator="lessThan">
      <formula>#REF!</formula>
    </cfRule>
  </conditionalFormatting>
  <conditionalFormatting sqref="Q103:Q111">
    <cfRule type="expression" dxfId="69" priority="34">
      <formula>IF(S103&lt;&gt;"",#REF!&gt;S103,)</formula>
    </cfRule>
    <cfRule type="cellIs" dxfId="68" priority="35" operator="lessThan">
      <formula>R103</formula>
    </cfRule>
  </conditionalFormatting>
  <conditionalFormatting sqref="Q156:Q164">
    <cfRule type="expression" dxfId="65" priority="32">
      <formula>IF(#REF!&lt;&gt;"",#REF!&gt;#REF!,)</formula>
    </cfRule>
    <cfRule type="cellIs" dxfId="64" priority="33" operator="lessThan">
      <formula>#REF!</formula>
    </cfRule>
  </conditionalFormatting>
  <conditionalFormatting sqref="Q156:Q164">
    <cfRule type="expression" dxfId="61" priority="30">
      <formula>IF(#REF!&lt;&gt;"",#REF!&gt;#REF!,)</formula>
    </cfRule>
    <cfRule type="cellIs" dxfId="60" priority="31" operator="lessThan">
      <formula>#REF!</formula>
    </cfRule>
  </conditionalFormatting>
  <conditionalFormatting sqref="Q156:Q164">
    <cfRule type="expression" dxfId="57" priority="28">
      <formula>IF(S156&lt;&gt;"",#REF!&gt;S156,)</formula>
    </cfRule>
    <cfRule type="cellIs" dxfId="56" priority="29" operator="lessThan">
      <formula>R156</formula>
    </cfRule>
  </conditionalFormatting>
  <conditionalFormatting sqref="Q138:Q154">
    <cfRule type="expression" dxfId="53" priority="26">
      <formula>IF(#REF!&lt;&gt;"",#REF!&gt;#REF!,)</formula>
    </cfRule>
    <cfRule type="cellIs" dxfId="52" priority="27" operator="lessThan">
      <formula>#REF!</formula>
    </cfRule>
  </conditionalFormatting>
  <conditionalFormatting sqref="Q138:Q154">
    <cfRule type="expression" dxfId="49" priority="24">
      <formula>IF(#REF!&lt;&gt;"",#REF!&gt;#REF!,)</formula>
    </cfRule>
    <cfRule type="cellIs" dxfId="48" priority="25" operator="lessThan">
      <formula>#REF!</formula>
    </cfRule>
  </conditionalFormatting>
  <conditionalFormatting sqref="Q138:Q154">
    <cfRule type="expression" dxfId="45" priority="22">
      <formula>IF(S138&lt;&gt;"",#REF!&gt;S138,)</formula>
    </cfRule>
    <cfRule type="cellIs" dxfId="44" priority="23" operator="lessThan">
      <formula>R138</formula>
    </cfRule>
  </conditionalFormatting>
  <conditionalFormatting sqref="Q146">
    <cfRule type="expression" dxfId="41" priority="20">
      <formula>IF(S146&lt;&gt;"",#REF!&gt;S146,)</formula>
    </cfRule>
    <cfRule type="cellIs" dxfId="40" priority="21" operator="lessThan">
      <formula>R146</formula>
    </cfRule>
  </conditionalFormatting>
  <conditionalFormatting sqref="AG79">
    <cfRule type="cellIs" dxfId="37" priority="19" operator="greaterThan">
      <formula>0.04</formula>
    </cfRule>
  </conditionalFormatting>
  <conditionalFormatting sqref="AG70">
    <cfRule type="cellIs" dxfId="35" priority="18" operator="greaterThan">
      <formula>0.04</formula>
    </cfRule>
  </conditionalFormatting>
  <conditionalFormatting sqref="AG62">
    <cfRule type="cellIs" dxfId="33" priority="17" operator="greaterThan">
      <formula>0.04</formula>
    </cfRule>
  </conditionalFormatting>
  <conditionalFormatting sqref="AG54">
    <cfRule type="cellIs" dxfId="31" priority="16" operator="greaterThan">
      <formula>0.04</formula>
    </cfRule>
  </conditionalFormatting>
  <conditionalFormatting sqref="AG46">
    <cfRule type="cellIs" dxfId="29" priority="15" operator="greaterThan">
      <formula>0.04</formula>
    </cfRule>
  </conditionalFormatting>
  <conditionalFormatting sqref="AG37">
    <cfRule type="cellIs" dxfId="27" priority="14" operator="greaterThan">
      <formula>0.04</formula>
    </cfRule>
  </conditionalFormatting>
  <conditionalFormatting sqref="AG29">
    <cfRule type="cellIs" dxfId="25" priority="13" operator="greaterThan">
      <formula>0.04</formula>
    </cfRule>
  </conditionalFormatting>
  <conditionalFormatting sqref="AG21">
    <cfRule type="cellIs" dxfId="23" priority="12" operator="greaterThan">
      <formula>0.04</formula>
    </cfRule>
  </conditionalFormatting>
  <conditionalFormatting sqref="AG13">
    <cfRule type="cellIs" dxfId="21" priority="11" operator="greaterThan">
      <formula>0.04</formula>
    </cfRule>
  </conditionalFormatting>
  <conditionalFormatting sqref="AG79">
    <cfRule type="cellIs" dxfId="19" priority="10" operator="greaterThan">
      <formula>0.04</formula>
    </cfRule>
  </conditionalFormatting>
  <conditionalFormatting sqref="AG87">
    <cfRule type="cellIs" dxfId="17" priority="9" operator="greaterThan">
      <formula>0.04</formula>
    </cfRule>
  </conditionalFormatting>
  <conditionalFormatting sqref="AG96">
    <cfRule type="cellIs" dxfId="15" priority="8" operator="greaterThan">
      <formula>0.04</formula>
    </cfRule>
  </conditionalFormatting>
  <conditionalFormatting sqref="AG105">
    <cfRule type="cellIs" dxfId="13" priority="7" operator="greaterThan">
      <formula>0.04</formula>
    </cfRule>
  </conditionalFormatting>
  <conditionalFormatting sqref="AG114">
    <cfRule type="cellIs" dxfId="11" priority="6" operator="greaterThan">
      <formula>0.04</formula>
    </cfRule>
  </conditionalFormatting>
  <conditionalFormatting sqref="AG122">
    <cfRule type="cellIs" dxfId="9" priority="5" operator="greaterThan">
      <formula>0.04</formula>
    </cfRule>
  </conditionalFormatting>
  <conditionalFormatting sqref="AG131">
    <cfRule type="cellIs" dxfId="7" priority="4" operator="greaterThan">
      <formula>0.04</formula>
    </cfRule>
  </conditionalFormatting>
  <conditionalFormatting sqref="AG139">
    <cfRule type="cellIs" dxfId="5" priority="3" operator="greaterThan">
      <formula>0.04</formula>
    </cfRule>
  </conditionalFormatting>
  <conditionalFormatting sqref="AG148">
    <cfRule type="cellIs" dxfId="3" priority="2" operator="greaterThan">
      <formula>0.04</formula>
    </cfRule>
  </conditionalFormatting>
  <conditionalFormatting sqref="AG157">
    <cfRule type="cellIs" dxfId="1" priority="1" operator="greaterThan">
      <formula>0.04</formula>
    </cfRule>
  </conditionalFormatting>
  <dataValidations count="12">
    <dataValidation type="list" allowBlank="1" sqref="AF158 AF132 AF140 AF123 AF106 AF115 AF149 AL249 AL239 AL298 AL271 AL260 AL373 AL287 AL284 AF97 AF88 AF71 AF22 AF14 AF30 AF38 AF63 AF55 AF47 AF80">
      <formula1>VALUTA</formula1>
    </dataValidation>
    <dataValidation allowBlank="1" showErrorMessage="1" sqref="AJ158:AK158 AJ123:AK123 AJ115:AK115 AJ97:AK97 AJ88:AK88 AJ71:AK71 AJ22:AK22 AJ14:AK14 AJ30:AK30 AJ38:AK38 AJ63:AK63 AJ80:AK80"/>
    <dataValidation type="list" allowBlank="1" sqref="AJ162:AJ163 AJ136:AJ137 AJ127:AJ128 AJ119:AJ120 AJ110:AJ111 AJ153 AJ144:AJ145 AJ95 AJ101 AJ92:AJ93 AJ75:AJ76 AJ18:AJ19 AJ10 AJ26:AJ27 AJ34:AJ35 AJ42 AJ61 AJ67 AJ59 AJ51:AJ52 AJ84">
      <formula1>SUBORD</formula1>
    </dataValidation>
    <dataValidation type="list" allowBlank="1" sqref="AJ159 AJ133 AJ141 AJ124 AJ107 AJ116 AJ150 AJ98 AJ89 AJ72 AJ23 AJ15 AJ31 AJ39 AJ64 AJ56 AJ48 AJ81">
      <formula1>SETTORE</formula1>
    </dataValidation>
    <dataValidation type="list" allowBlank="1" showErrorMessage="1" sqref="AI159 AH132:AI133 AJ132:AK132 AJ140:AK140 AH140:AI141 AI124 AH123:AH124 AH106:AI107 AJ106:AK106 AI116 AH115:AH116 AI150 AJ149:AK149 AH149:AH150 AH158:AH159 AI98 AH97:AH98 AH88:AH89 AI89 AH71:AI72 AI23 AH22:AH23 AH14:AH15 AI15 AH30:AH31 AI31 AH38:AI39 AI64 AH63:AH64 AH55:AH56 AJ55:AK55 AI56 AH47:AI48 AJ47:AK47 AH80:AH81 AI81">
      <formula1>BASE</formula1>
    </dataValidation>
    <dataValidation type="list" allowBlank="1" showErrorMessage="1" sqref="G160:G161 G151:G152 G117:G118 G108:G109 G125:G126 G142:G143 G134:G135 G99:G100 G90:G91 G73:G74 G32:G33 G16:G17 G24:G25 G49 G57:G58 G65:G66 G40:G41 G82:G83">
      <formula1>SCAD</formula1>
    </dataValidation>
    <dataValidation type="list" allowBlank="1" showErrorMessage="1" sqref="K160:L161 K151:K152 K117:L118 K108:L109 K125:L126 K142:L143 K134:L135 K99:K100 K90:L91 K73:K74 K32:L33 K16:K17 K24:K25 K49:L50 K57:K58 K65:K66 K40:K41 K82:K83">
      <formula1>NAZIONE</formula1>
    </dataValidation>
    <dataValidation type="list" allowBlank="1" sqref="E161 E152 E118 E109 E126 E143 E135 E100 E91 E74 E33 E17 E25 E50 E58 E66 E41 E83">
      <formula1>TASSA</formula1>
    </dataValidation>
    <dataValidation type="list" allowBlank="1" sqref="A157 A148 A114 A105 A122 A139 A131 A96 A87 A70 A29 A13 A21 A46 A54 A62 A37 A79">
      <formula1>EMITTENTE</formula1>
    </dataValidation>
    <dataValidation type="list" allowBlank="1" sqref="B157 B148 B114 B105 B122 B139 B131 B96 B87 B70 B29 B13 B21 B46 B54 B62 B37 B79">
      <formula1>RATING</formula1>
    </dataValidation>
    <dataValidation type="list" allowBlank="1" sqref="B160 B151 B117 B125 B90 B32 B57">
      <formula1>TIPO</formula1>
    </dataValidation>
    <dataValidation type="list" allowBlank="1" sqref="B134:C135 B108:C109 B142:C143 B99:C100 B73:C74 B16:C17 B24:C25 B49:C50 B65:C66 B40:C41 B82:C83">
      <formula1>TIPO3</formula1>
    </dataValidation>
  </dataValidations>
  <hyperlinks>
    <hyperlink ref="A410" r:id="rId1"/>
    <hyperlink ref="A445" r:id="rId2"/>
    <hyperlink ref="A457" r:id="rId3"/>
    <hyperlink ref="A318" r:id="rId4"/>
    <hyperlink ref="A478" r:id="rId5" display="Eni"/>
    <hyperlink ref="A193" r:id="rId6" display="X-BEAR"/>
    <hyperlink ref="A469" r:id="rId7"/>
    <hyperlink ref="A327" r:id="rId8" display="Lyxor ETF Lever MIB"/>
    <hyperlink ref="A176" r:id="rId9" display="X-BEAR"/>
    <hyperlink ref="A373" r:id="rId10"/>
    <hyperlink ref="A433" r:id="rId11" display="Generali"/>
    <hyperlink ref="A186" r:id="rId12" display="X-BEAR"/>
    <hyperlink ref="A189" r:id="rId13"/>
    <hyperlink ref="A401" r:id="rId14"/>
  </hyperlinks>
  <pageMargins left="0" right="0" top="0" bottom="0" header="0.39370078740157483" footer="0.31496062992125984"/>
  <pageSetup paperSize="9" scale="80" orientation="landscape" horizontalDpi="4294967293" verticalDpi="4294967293" r:id="rId15"/>
  <legacyDrawing r:id="rId16"/>
</worksheet>
</file>

<file path=xl/worksheets/sheet2.xml><?xml version="1.0" encoding="utf-8"?>
<worksheet xmlns="http://schemas.openxmlformats.org/spreadsheetml/2006/main" xmlns:r="http://schemas.openxmlformats.org/officeDocument/2006/relationships">
  <dimension ref="A1:KP160"/>
  <sheetViews>
    <sheetView tabSelected="1" workbookViewId="0">
      <pane ySplit="5" topLeftCell="A6" activePane="bottomLeft" state="frozen"/>
      <selection pane="bottomLeft" activeCell="AO19" sqref="AO19"/>
    </sheetView>
  </sheetViews>
  <sheetFormatPr defaultRowHeight="12.75"/>
  <cols>
    <col min="1" max="1" width="26.28515625" customWidth="1"/>
    <col min="2" max="2" width="0" hidden="1" customWidth="1"/>
    <col min="3" max="3" width="12.85546875" customWidth="1"/>
    <col min="4" max="4" width="11.28515625" hidden="1" customWidth="1"/>
    <col min="5" max="5" width="0" hidden="1" customWidth="1"/>
    <col min="7" max="7" width="11.42578125" customWidth="1"/>
    <col min="8" max="8" width="0" hidden="1" customWidth="1"/>
    <col min="10" max="10" width="0" hidden="1" customWidth="1"/>
    <col min="12" max="14" width="9.140625" hidden="1" customWidth="1"/>
    <col min="15" max="15" width="12.140625" customWidth="1"/>
    <col min="16" max="20" width="9.140625" hidden="1" customWidth="1"/>
    <col min="21" max="21" width="11" hidden="1" customWidth="1"/>
    <col min="22" max="32" width="9.140625" hidden="1" customWidth="1"/>
    <col min="34" max="34" width="21.5703125" customWidth="1"/>
    <col min="35" max="35" width="10.85546875" customWidth="1"/>
    <col min="36" max="36" width="20.42578125" style="906" customWidth="1"/>
    <col min="40" max="40" width="11" customWidth="1"/>
  </cols>
  <sheetData>
    <row r="1" spans="1:302" s="18" customFormat="1" ht="11.1" customHeight="1">
      <c r="A1" s="1077" t="s">
        <v>167</v>
      </c>
      <c r="B1" s="873" t="s">
        <v>356</v>
      </c>
      <c r="C1" s="999" t="s">
        <v>519</v>
      </c>
      <c r="D1" s="999" t="s">
        <v>402</v>
      </c>
      <c r="E1" s="1001" t="s">
        <v>401</v>
      </c>
      <c r="F1" s="999" t="s">
        <v>400</v>
      </c>
      <c r="G1" s="999" t="s">
        <v>399</v>
      </c>
      <c r="H1" s="871"/>
      <c r="I1" s="998" t="s">
        <v>514</v>
      </c>
      <c r="J1" s="871"/>
      <c r="K1" s="999" t="s">
        <v>398</v>
      </c>
      <c r="L1" s="1003" t="s">
        <v>516</v>
      </c>
      <c r="M1" s="1004" t="s">
        <v>516</v>
      </c>
      <c r="N1" s="872"/>
      <c r="O1" s="999" t="s">
        <v>515</v>
      </c>
      <c r="P1" s="1001" t="s">
        <v>162</v>
      </c>
      <c r="Q1" s="1001" t="s">
        <v>397</v>
      </c>
      <c r="R1" s="1001" t="s">
        <v>396</v>
      </c>
      <c r="S1" s="668" t="s">
        <v>394</v>
      </c>
      <c r="T1" s="668"/>
      <c r="U1" s="668"/>
      <c r="V1" s="668"/>
      <c r="W1" s="668"/>
      <c r="X1" s="14"/>
      <c r="Y1" s="37"/>
      <c r="Z1" s="37"/>
      <c r="AA1" s="14"/>
      <c r="AB1" s="1002" t="s">
        <v>161</v>
      </c>
      <c r="AC1" s="876"/>
      <c r="AD1" s="1001" t="s">
        <v>160</v>
      </c>
      <c r="AE1" s="875"/>
      <c r="AF1" s="1061" t="s">
        <v>395</v>
      </c>
      <c r="AG1" s="1061" t="s">
        <v>347</v>
      </c>
      <c r="AH1" s="878"/>
      <c r="AI1" s="999" t="s">
        <v>517</v>
      </c>
      <c r="AJ1" s="908"/>
      <c r="AK1" s="999" t="s">
        <v>518</v>
      </c>
      <c r="AL1" s="227"/>
      <c r="AM1" s="227"/>
      <c r="AN1" s="227"/>
      <c r="AO1" s="227"/>
      <c r="AP1" s="227"/>
      <c r="AQ1" s="227"/>
      <c r="AR1" s="879"/>
      <c r="AS1" s="886"/>
      <c r="AT1" s="15"/>
      <c r="AU1" s="15"/>
      <c r="AV1" s="96"/>
      <c r="AW1" s="15"/>
      <c r="AX1" s="15"/>
      <c r="AY1" s="15"/>
      <c r="AZ1" s="15"/>
      <c r="BA1" s="15"/>
      <c r="BB1" s="15"/>
      <c r="BC1" s="15"/>
      <c r="BD1" s="15"/>
      <c r="BE1" s="15"/>
      <c r="BF1" s="15"/>
      <c r="BG1" s="15"/>
      <c r="BH1" s="15"/>
      <c r="BI1" s="15"/>
      <c r="BJ1" s="15"/>
      <c r="BK1" s="15"/>
      <c r="BL1" s="15"/>
      <c r="BM1" s="96"/>
      <c r="BN1" s="15"/>
      <c r="BO1" s="15"/>
      <c r="BP1" s="15"/>
      <c r="BQ1" s="880"/>
      <c r="BR1" s="15"/>
      <c r="BS1" s="15"/>
      <c r="BT1" s="15"/>
      <c r="BU1" s="15"/>
      <c r="BV1" s="15"/>
      <c r="BW1" s="15"/>
      <c r="BX1" s="15"/>
      <c r="BY1" s="15"/>
      <c r="BZ1" s="15"/>
      <c r="CA1" s="15"/>
      <c r="CB1" s="15"/>
      <c r="CC1" s="15"/>
      <c r="CD1" s="15"/>
      <c r="CE1" s="15"/>
      <c r="CF1" s="15"/>
      <c r="CG1" s="15"/>
      <c r="CH1" s="15"/>
      <c r="CI1" s="15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15"/>
      <c r="CV1" s="15"/>
      <c r="CW1" s="15"/>
      <c r="CX1" s="15"/>
      <c r="CY1" s="15"/>
      <c r="CZ1" s="15"/>
      <c r="DA1" s="15"/>
      <c r="DB1" s="15"/>
      <c r="DC1" s="15"/>
      <c r="DD1" s="15"/>
      <c r="DE1" s="15"/>
      <c r="DF1" s="15"/>
      <c r="DG1" s="15"/>
      <c r="DH1" s="15"/>
      <c r="DI1" s="15"/>
      <c r="DJ1" s="15"/>
      <c r="DK1" s="15"/>
      <c r="DL1" s="15"/>
      <c r="DM1" s="15"/>
      <c r="DN1" s="15"/>
      <c r="DO1" s="15"/>
      <c r="DP1" s="15"/>
      <c r="DQ1" s="15"/>
      <c r="DR1" s="15"/>
      <c r="DS1" s="15"/>
      <c r="DT1" s="15"/>
      <c r="DU1" s="15"/>
      <c r="DV1" s="15"/>
      <c r="DW1" s="15"/>
      <c r="DX1" s="15"/>
      <c r="DY1" s="15"/>
      <c r="DZ1" s="15"/>
      <c r="EA1" s="15"/>
      <c r="EB1" s="15"/>
      <c r="EC1" s="15"/>
      <c r="ED1" s="15"/>
      <c r="EE1" s="15"/>
      <c r="EF1" s="15"/>
      <c r="EG1" s="15"/>
      <c r="EH1" s="15"/>
      <c r="EI1" s="15"/>
      <c r="EJ1" s="15"/>
      <c r="EK1" s="15"/>
      <c r="EL1" s="15"/>
      <c r="EM1" s="15"/>
      <c r="EN1" s="15"/>
      <c r="EO1" s="15"/>
      <c r="EP1" s="15"/>
      <c r="EQ1" s="15"/>
      <c r="ER1" s="15"/>
      <c r="ES1" s="15"/>
      <c r="ET1" s="15"/>
      <c r="EU1" s="15"/>
      <c r="EV1" s="15"/>
      <c r="EW1" s="15"/>
      <c r="EX1" s="15"/>
      <c r="EY1" s="15"/>
      <c r="EZ1" s="15"/>
      <c r="FA1" s="15"/>
      <c r="FB1" s="15"/>
      <c r="FC1" s="15"/>
      <c r="FD1" s="15"/>
      <c r="FE1" s="15"/>
      <c r="FF1" s="15"/>
      <c r="FG1" s="15"/>
      <c r="FH1" s="15"/>
      <c r="FI1" s="15"/>
      <c r="FJ1" s="15"/>
      <c r="FK1" s="15"/>
      <c r="FL1" s="15"/>
      <c r="FM1" s="15"/>
      <c r="FN1" s="15"/>
      <c r="FO1" s="15"/>
      <c r="FP1" s="15"/>
      <c r="FQ1" s="15"/>
      <c r="FR1" s="15"/>
      <c r="FS1" s="15"/>
      <c r="FT1" s="15"/>
      <c r="FU1" s="15"/>
      <c r="FV1" s="15"/>
      <c r="FW1" s="15"/>
      <c r="FX1" s="15"/>
      <c r="FY1" s="15"/>
      <c r="FZ1" s="15"/>
      <c r="GA1" s="15"/>
      <c r="GB1" s="15"/>
      <c r="GC1" s="15"/>
      <c r="GD1" s="15"/>
      <c r="GE1" s="15"/>
      <c r="GF1" s="15"/>
      <c r="GG1" s="15"/>
      <c r="GH1" s="15"/>
      <c r="GI1" s="15"/>
      <c r="GJ1" s="15"/>
      <c r="GK1" s="15"/>
      <c r="GL1" s="15"/>
      <c r="GM1" s="15"/>
      <c r="GN1" s="15"/>
      <c r="GO1" s="15"/>
      <c r="GP1" s="15"/>
      <c r="GQ1" s="15"/>
      <c r="GR1" s="15"/>
      <c r="GS1" s="15"/>
      <c r="GT1" s="15"/>
      <c r="GU1" s="15"/>
      <c r="GV1" s="15"/>
      <c r="GW1" s="15"/>
      <c r="GX1" s="15"/>
      <c r="GY1" s="15"/>
      <c r="GZ1" s="15"/>
      <c r="HA1" s="15"/>
      <c r="HB1" s="15"/>
      <c r="HC1" s="15"/>
      <c r="HD1" s="15"/>
      <c r="HE1" s="15"/>
      <c r="HF1" s="1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15"/>
      <c r="HV1" s="15"/>
      <c r="HW1" s="15"/>
      <c r="HX1" s="15"/>
      <c r="HY1" s="15"/>
      <c r="HZ1" s="15"/>
      <c r="IA1" s="15"/>
      <c r="IB1" s="15"/>
      <c r="IC1" s="15"/>
      <c r="ID1" s="15"/>
      <c r="IE1" s="15"/>
      <c r="IF1" s="15"/>
      <c r="IG1" s="15"/>
      <c r="IH1" s="15"/>
      <c r="II1" s="15"/>
      <c r="IJ1" s="15"/>
      <c r="IK1" s="15"/>
      <c r="IL1" s="15"/>
      <c r="IM1" s="15"/>
      <c r="IN1" s="15"/>
      <c r="IO1" s="15"/>
      <c r="IP1" s="15"/>
      <c r="IQ1" s="15"/>
      <c r="IR1" s="15"/>
      <c r="IS1" s="15"/>
      <c r="IT1" s="15"/>
      <c r="IU1" s="15"/>
      <c r="IV1" s="15"/>
      <c r="IW1" s="15"/>
      <c r="IX1" s="15"/>
      <c r="IY1" s="15"/>
      <c r="IZ1" s="15"/>
      <c r="JA1" s="15"/>
      <c r="JB1" s="15"/>
      <c r="JC1" s="15"/>
      <c r="JD1" s="15"/>
      <c r="JE1" s="15"/>
      <c r="JF1" s="15"/>
      <c r="JG1" s="15"/>
      <c r="JH1" s="15"/>
      <c r="JI1" s="15"/>
      <c r="JJ1" s="15"/>
      <c r="JK1" s="15"/>
      <c r="JL1" s="15"/>
      <c r="JM1" s="15"/>
      <c r="JN1" s="15"/>
      <c r="JO1" s="15"/>
      <c r="JP1" s="15"/>
      <c r="JQ1" s="15"/>
      <c r="JR1" s="15"/>
      <c r="JS1" s="15"/>
      <c r="JT1" s="15"/>
      <c r="JU1" s="15"/>
      <c r="JV1" s="15"/>
      <c r="JW1" s="15"/>
      <c r="JX1" s="15"/>
      <c r="JY1" s="15"/>
      <c r="JZ1" s="15"/>
      <c r="KA1" s="15"/>
      <c r="KB1" s="15"/>
      <c r="KC1" s="15"/>
      <c r="KD1" s="15"/>
      <c r="KE1" s="15"/>
      <c r="KF1" s="15"/>
      <c r="KG1" s="15"/>
      <c r="KH1" s="15"/>
      <c r="KI1" s="15"/>
      <c r="KJ1" s="15"/>
      <c r="KK1" s="15"/>
      <c r="KL1" s="15"/>
      <c r="KM1" s="15"/>
      <c r="KN1" s="15"/>
      <c r="KO1" s="15"/>
      <c r="KP1" s="15"/>
    </row>
    <row r="2" spans="1:302" s="18" customFormat="1" ht="11.1" customHeight="1">
      <c r="A2" s="1077"/>
      <c r="B2" s="873"/>
      <c r="C2" s="999"/>
      <c r="D2" s="999"/>
      <c r="E2" s="1001"/>
      <c r="F2" s="999"/>
      <c r="G2" s="999"/>
      <c r="H2" s="871"/>
      <c r="I2" s="998"/>
      <c r="J2" s="871"/>
      <c r="K2" s="999"/>
      <c r="L2" s="1003"/>
      <c r="M2" s="1003"/>
      <c r="N2" s="872"/>
      <c r="O2" s="999"/>
      <c r="P2" s="1001"/>
      <c r="Q2" s="1001"/>
      <c r="R2" s="1001"/>
      <c r="S2" s="655" t="s">
        <v>384</v>
      </c>
      <c r="T2" s="655"/>
      <c r="U2" s="655"/>
      <c r="V2" s="655"/>
      <c r="W2" s="655"/>
      <c r="X2" s="655"/>
      <c r="Y2" s="656"/>
      <c r="Z2" s="656"/>
      <c r="AA2" s="655"/>
      <c r="AB2" s="1002"/>
      <c r="AC2" s="876"/>
      <c r="AD2" s="1001"/>
      <c r="AE2" s="875"/>
      <c r="AF2" s="1061"/>
      <c r="AG2" s="1061"/>
      <c r="AH2" s="878"/>
      <c r="AI2" s="999"/>
      <c r="AJ2" s="908"/>
      <c r="AK2" s="999"/>
      <c r="AL2" s="227"/>
      <c r="AM2" s="227"/>
      <c r="AN2" s="227"/>
      <c r="AO2" s="227"/>
      <c r="AP2" s="227"/>
      <c r="AQ2" s="227"/>
      <c r="AR2" s="879"/>
      <c r="AS2" s="879"/>
      <c r="AT2" s="15"/>
      <c r="AU2" s="15"/>
      <c r="AV2" s="881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882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  <c r="JB2" s="15"/>
      <c r="JC2" s="15"/>
      <c r="JD2" s="15"/>
      <c r="JE2" s="15"/>
      <c r="JF2" s="15"/>
      <c r="JG2" s="15"/>
      <c r="JH2" s="15"/>
      <c r="JI2" s="15"/>
      <c r="JJ2" s="15"/>
      <c r="JK2" s="15"/>
      <c r="JL2" s="15"/>
      <c r="JM2" s="15"/>
      <c r="JN2" s="15"/>
      <c r="JO2" s="15"/>
      <c r="JP2" s="15"/>
      <c r="JQ2" s="15"/>
      <c r="JR2" s="15"/>
      <c r="JS2" s="15"/>
      <c r="JT2" s="15"/>
      <c r="JU2" s="15"/>
      <c r="JV2" s="15"/>
      <c r="JW2" s="15"/>
      <c r="JX2" s="15"/>
      <c r="JY2" s="15"/>
      <c r="JZ2" s="15"/>
      <c r="KA2" s="15"/>
      <c r="KB2" s="15"/>
      <c r="KC2" s="15"/>
      <c r="KD2" s="15"/>
      <c r="KE2" s="15"/>
      <c r="KF2" s="15"/>
      <c r="KG2" s="15"/>
      <c r="KH2" s="15"/>
      <c r="KI2" s="15"/>
      <c r="KJ2" s="15"/>
      <c r="KK2" s="15"/>
      <c r="KL2" s="15"/>
      <c r="KM2" s="15"/>
      <c r="KN2" s="15"/>
      <c r="KO2" s="15"/>
      <c r="KP2" s="15"/>
    </row>
    <row r="3" spans="1:302" s="18" customFormat="1" ht="11.1" customHeight="1">
      <c r="A3" s="1077"/>
      <c r="B3" s="873"/>
      <c r="C3" s="999"/>
      <c r="D3" s="999"/>
      <c r="E3" s="1001"/>
      <c r="F3" s="999"/>
      <c r="G3" s="999"/>
      <c r="H3" s="871"/>
      <c r="I3" s="998"/>
      <c r="J3" s="871"/>
      <c r="K3" s="999"/>
      <c r="L3" s="1003"/>
      <c r="M3" s="1003"/>
      <c r="N3" s="872"/>
      <c r="O3" s="999"/>
      <c r="P3" s="1001"/>
      <c r="Q3" s="1001"/>
      <c r="R3" s="1001"/>
      <c r="S3" s="655"/>
      <c r="T3" s="655"/>
      <c r="U3" s="655"/>
      <c r="V3" s="655"/>
      <c r="W3" s="655"/>
      <c r="X3" s="655"/>
      <c r="Y3" s="656"/>
      <c r="Z3" s="656"/>
      <c r="AA3" s="655"/>
      <c r="AB3" s="1002"/>
      <c r="AC3" s="876"/>
      <c r="AD3" s="1001"/>
      <c r="AE3" s="875"/>
      <c r="AF3" s="1061"/>
      <c r="AG3" s="1061"/>
      <c r="AH3" s="878"/>
      <c r="AI3" s="999"/>
      <c r="AJ3" s="721"/>
      <c r="AK3" s="999"/>
      <c r="AL3" s="227"/>
      <c r="AM3" s="227"/>
      <c r="AN3" s="227"/>
      <c r="AO3" s="227"/>
      <c r="AP3" s="227"/>
      <c r="AQ3" s="227"/>
      <c r="AR3" s="879"/>
      <c r="AS3" s="879"/>
      <c r="AT3" s="15"/>
      <c r="AU3" s="15"/>
      <c r="AV3" s="723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723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15"/>
    </row>
    <row r="4" spans="1:302" s="18" customFormat="1" ht="11.1" customHeight="1">
      <c r="A4" s="1077"/>
      <c r="B4" s="873"/>
      <c r="C4" s="999"/>
      <c r="D4" s="999"/>
      <c r="E4" s="1001"/>
      <c r="F4" s="999"/>
      <c r="G4" s="999"/>
      <c r="H4" s="871"/>
      <c r="I4" s="998"/>
      <c r="J4" s="871"/>
      <c r="K4" s="999"/>
      <c r="L4" s="1003"/>
      <c r="M4" s="1003"/>
      <c r="N4" s="872"/>
      <c r="O4" s="999"/>
      <c r="P4" s="1001"/>
      <c r="Q4" s="1001"/>
      <c r="R4" s="1001"/>
      <c r="S4" s="655"/>
      <c r="T4" s="655"/>
      <c r="U4" s="655"/>
      <c r="V4" s="655"/>
      <c r="W4" s="655"/>
      <c r="X4" s="655"/>
      <c r="Y4" s="656"/>
      <c r="Z4" s="656"/>
      <c r="AA4" s="655"/>
      <c r="AB4" s="1002"/>
      <c r="AC4" s="876"/>
      <c r="AD4" s="1001"/>
      <c r="AE4" s="875"/>
      <c r="AF4" s="1061"/>
      <c r="AG4" s="1061"/>
      <c r="AH4" s="878"/>
      <c r="AI4" s="999"/>
      <c r="AJ4" s="877"/>
      <c r="AK4" s="999"/>
      <c r="AL4" s="227"/>
      <c r="AM4" s="227"/>
      <c r="AN4" s="227"/>
      <c r="AO4" s="227"/>
      <c r="AP4" s="227"/>
      <c r="AQ4" s="227"/>
      <c r="AR4" s="879"/>
      <c r="AS4" s="1089"/>
      <c r="AT4" s="1090"/>
      <c r="AU4" s="1090"/>
      <c r="AV4" s="1090"/>
      <c r="AW4" s="1090"/>
      <c r="AX4" s="1090"/>
      <c r="AY4" s="1090"/>
      <c r="AZ4" s="1090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86"/>
      <c r="DI4" s="1086"/>
      <c r="DJ4" s="1086"/>
      <c r="DK4" s="1086"/>
      <c r="DL4" s="1086"/>
      <c r="DM4" s="874"/>
      <c r="DN4" s="874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87"/>
      <c r="EB4" s="1087"/>
      <c r="EC4" s="1087"/>
      <c r="ED4" s="1087"/>
      <c r="EE4" s="1087"/>
      <c r="EF4" s="1087"/>
      <c r="EG4" s="1087"/>
      <c r="EH4" s="1087"/>
      <c r="EI4" s="1087"/>
      <c r="EJ4" s="1087"/>
      <c r="EK4" s="1087"/>
      <c r="EL4" s="1087"/>
      <c r="EM4" s="1087"/>
      <c r="EN4" s="1087"/>
      <c r="EO4" s="1087"/>
      <c r="EP4" s="1087"/>
      <c r="EQ4" s="1087"/>
      <c r="ER4" s="1087"/>
      <c r="ES4" s="1087"/>
      <c r="ET4" s="1087"/>
      <c r="EU4" s="1087"/>
      <c r="EV4" s="1087"/>
      <c r="EW4" s="1087"/>
      <c r="EX4" s="1087"/>
      <c r="EY4" s="1087"/>
      <c r="EZ4" s="1087"/>
      <c r="FA4" s="1087"/>
      <c r="FB4" s="1087"/>
      <c r="FC4" s="1087"/>
      <c r="FD4" s="1087"/>
      <c r="FE4" s="1087"/>
      <c r="FF4" s="1087"/>
      <c r="FG4" s="1087"/>
      <c r="FH4" s="1087"/>
      <c r="FI4" s="1087"/>
      <c r="FJ4" s="1087"/>
      <c r="FK4" s="1087"/>
      <c r="FL4" s="1087"/>
      <c r="FM4" s="1087"/>
      <c r="FN4" s="1087"/>
      <c r="FO4" s="1087"/>
      <c r="FP4" s="1087"/>
      <c r="FQ4" s="1087"/>
      <c r="FR4" s="1087"/>
      <c r="FS4" s="1087"/>
      <c r="FT4" s="1087"/>
      <c r="FU4" s="1087"/>
      <c r="FV4" s="1087"/>
      <c r="FW4" s="1087"/>
      <c r="FX4" s="1087"/>
      <c r="FY4" s="1087"/>
      <c r="FZ4" s="1087"/>
      <c r="GA4" s="1087"/>
      <c r="GB4" s="1087"/>
      <c r="GC4" s="1087"/>
      <c r="GD4" s="1087"/>
      <c r="GE4" s="1087"/>
      <c r="GF4" s="1087"/>
      <c r="GG4" s="1087"/>
      <c r="GH4" s="1087"/>
      <c r="GI4" s="1087"/>
      <c r="GJ4" s="1087"/>
      <c r="GK4" s="1087"/>
      <c r="GL4" s="1087"/>
      <c r="GM4" s="1087"/>
      <c r="GN4" s="1087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1086"/>
      <c r="HV4" s="1086"/>
      <c r="HW4" s="1086"/>
      <c r="HX4" s="1086"/>
      <c r="HY4" s="1086"/>
      <c r="HZ4" s="1086"/>
      <c r="IA4" s="1086"/>
      <c r="IB4" s="1086"/>
      <c r="IC4" s="1086"/>
      <c r="ID4" s="1086"/>
      <c r="IE4" s="1086"/>
      <c r="IF4" s="1086"/>
      <c r="IG4" s="1086"/>
      <c r="IH4" s="1086"/>
      <c r="II4" s="1086"/>
      <c r="IJ4" s="1086"/>
      <c r="IK4" s="1086"/>
      <c r="IL4" s="1086"/>
      <c r="IM4" s="1086"/>
      <c r="IN4" s="1086"/>
      <c r="IO4" s="1086"/>
      <c r="IP4" s="15"/>
      <c r="IQ4" s="1088"/>
      <c r="IR4" s="1088"/>
      <c r="IS4" s="1088"/>
      <c r="IT4" s="1088"/>
      <c r="IU4" s="1088"/>
      <c r="IV4" s="1088"/>
      <c r="IW4" s="1088"/>
      <c r="IX4" s="1088"/>
      <c r="IY4" s="1088"/>
      <c r="IZ4" s="1088"/>
      <c r="JA4" s="1088"/>
      <c r="JB4" s="1088"/>
      <c r="JC4" s="1088"/>
      <c r="JD4" s="1088"/>
      <c r="JE4" s="1088"/>
      <c r="JF4" s="1088"/>
      <c r="JG4" s="1088"/>
      <c r="JH4" s="1088"/>
      <c r="JI4" s="1088"/>
      <c r="JJ4" s="1088"/>
      <c r="JK4" s="1088"/>
      <c r="JL4" s="1088"/>
      <c r="JM4" s="1088"/>
      <c r="JN4" s="1088"/>
      <c r="JO4" s="1088"/>
      <c r="JP4" s="15"/>
      <c r="JQ4" s="15"/>
      <c r="JR4" s="15"/>
      <c r="JS4" s="15"/>
      <c r="JT4" s="15"/>
      <c r="JU4" s="15"/>
      <c r="JV4" s="15"/>
      <c r="JW4" s="15"/>
      <c r="JX4" s="15"/>
      <c r="JY4" s="15"/>
      <c r="JZ4" s="15"/>
      <c r="KA4" s="15"/>
      <c r="KB4" s="15"/>
      <c r="KC4" s="15"/>
      <c r="KD4" s="15"/>
      <c r="KE4" s="15"/>
      <c r="KF4" s="15"/>
      <c r="KG4" s="15"/>
      <c r="KH4" s="15"/>
      <c r="KI4" s="15"/>
      <c r="KJ4" s="15"/>
      <c r="KK4" s="15"/>
      <c r="KL4" s="15"/>
      <c r="KM4" s="15"/>
      <c r="KN4" s="15"/>
      <c r="KO4" s="15"/>
      <c r="KP4" s="15"/>
    </row>
    <row r="5" spans="1:302" s="18" customFormat="1" ht="11.1" customHeight="1">
      <c r="A5" s="1077"/>
      <c r="B5" s="873" t="s">
        <v>166</v>
      </c>
      <c r="C5" s="1076"/>
      <c r="D5" s="999"/>
      <c r="E5" s="1001"/>
      <c r="F5" s="999"/>
      <c r="G5" s="999"/>
      <c r="H5" s="871"/>
      <c r="I5" s="998"/>
      <c r="J5" s="871"/>
      <c r="K5" s="999"/>
      <c r="L5" s="1003"/>
      <c r="M5" s="1005"/>
      <c r="N5" s="872"/>
      <c r="O5" s="999"/>
      <c r="P5" s="1001"/>
      <c r="Q5" s="1001"/>
      <c r="R5" s="1001"/>
      <c r="S5" s="655"/>
      <c r="T5" s="655"/>
      <c r="U5" s="655"/>
      <c r="V5" s="655"/>
      <c r="W5" s="655"/>
      <c r="X5" s="657" t="s">
        <v>348</v>
      </c>
      <c r="Y5" s="656"/>
      <c r="Z5" s="656"/>
      <c r="AA5" s="655"/>
      <c r="AB5" s="1002"/>
      <c r="AC5" s="876"/>
      <c r="AD5" s="1001"/>
      <c r="AE5" s="875"/>
      <c r="AF5" s="1061"/>
      <c r="AG5" s="1061" t="s">
        <v>347</v>
      </c>
      <c r="AH5" s="883"/>
      <c r="AI5" s="999"/>
      <c r="AJ5" s="721"/>
      <c r="AK5" s="999"/>
      <c r="AL5" s="227"/>
      <c r="AM5" s="225"/>
      <c r="AN5" s="227"/>
      <c r="AO5" s="227"/>
      <c r="AP5" s="178"/>
      <c r="AQ5" s="178"/>
      <c r="AR5" s="178"/>
      <c r="AS5" s="1089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1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15"/>
      <c r="JQ5" s="15"/>
      <c r="JR5" s="15"/>
      <c r="JS5" s="15"/>
      <c r="JT5" s="1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15"/>
      <c r="KP5" s="15"/>
    </row>
    <row r="6" spans="1:302" s="807" customFormat="1" ht="13.5" thickBot="1">
      <c r="AJ6" s="906"/>
    </row>
    <row r="7" spans="1:302" ht="32.25" thickBot="1">
      <c r="A7" s="904" t="s">
        <v>436</v>
      </c>
      <c r="B7" s="200" t="e">
        <f>(VLOOKUP(A7,U7:V10,2,FALSE))</f>
        <v>#N/A</v>
      </c>
      <c r="C7" s="887">
        <f>VLOOKUP(A7,AR31:AS42,2,FALSE)</f>
        <v>11</v>
      </c>
      <c r="D7" s="11"/>
      <c r="E7" s="11"/>
      <c r="F7" s="56"/>
      <c r="G7" s="903" t="s">
        <v>447</v>
      </c>
      <c r="H7" s="56"/>
      <c r="I7" s="760"/>
      <c r="J7" s="760"/>
      <c r="K7" s="227"/>
      <c r="L7" s="5"/>
      <c r="M7" s="5"/>
      <c r="N7" s="859"/>
      <c r="P7" s="15"/>
      <c r="Q7" s="772"/>
      <c r="R7" s="772"/>
      <c r="S7" s="772"/>
      <c r="T7" s="772"/>
      <c r="W7" s="772"/>
      <c r="AH7" s="903">
        <v>2024</v>
      </c>
      <c r="AM7" s="905"/>
      <c r="AR7" s="807"/>
      <c r="AS7" s="807"/>
    </row>
    <row r="8" spans="1:302" ht="12.75" customHeight="1">
      <c r="A8" s="870"/>
      <c r="B8" s="386"/>
      <c r="C8" s="759"/>
      <c r="D8" s="857"/>
      <c r="E8" s="18"/>
      <c r="F8" s="861"/>
      <c r="G8" s="862"/>
      <c r="H8" s="862"/>
      <c r="I8" s="863"/>
      <c r="J8" s="863"/>
      <c r="K8" s="864"/>
      <c r="L8" s="865"/>
      <c r="M8" s="761"/>
      <c r="N8" s="859"/>
      <c r="O8" s="15"/>
      <c r="P8" s="15"/>
      <c r="Q8" s="772"/>
      <c r="R8" s="772"/>
      <c r="S8" s="772"/>
      <c r="T8" s="772"/>
      <c r="W8" s="772"/>
      <c r="AR8" s="807"/>
      <c r="AS8" s="807"/>
    </row>
    <row r="9" spans="1:302" s="807" customFormat="1" ht="13.5" thickBot="1">
      <c r="AG9" s="885"/>
      <c r="AJ9" s="906"/>
    </row>
    <row r="10" spans="1:302" s="807" customFormat="1" ht="15">
      <c r="A10" s="866" t="str">
        <f t="array" aca="1" ref="A10" ca="1">IFERROR(INDIRECT("A"&amp;SMALL(IF($L$33:$M$209=$C$7,ROW($A$33:$A$209)),ROW(A1))),"")</f>
        <v>ALERION</v>
      </c>
      <c r="B10" s="909"/>
      <c r="C10" s="910">
        <f t="array" aca="1" ref="C10" ca="1">IFERROR(INDIRECT("C"&amp;SMALL(IF($L$33:$M$209=$C$7,ROW($C$33:$C$209)),ROW(A1))),"")</f>
        <v>46694</v>
      </c>
      <c r="D10" s="909"/>
      <c r="E10" s="909"/>
      <c r="F10" s="889">
        <f t="array" aca="1" ref="F10" ca="1">IFERROR(INDIRECT("F"&amp;SMALL(IF($L$33:$M$209=$C$7,ROW($F$33:$F$209)),ROW(A1))),"")</f>
        <v>2.2499999999999999E-2</v>
      </c>
      <c r="G10" s="868">
        <f t="array" aca="1" ref="G10" ca="1">IFERROR(INDIRECT("G"&amp;SMALL(IF($L$33:$M$209=$C$7,ROW($G$33:$G$209)),ROW(A1))),"")</f>
        <v>1000</v>
      </c>
      <c r="H10" s="909"/>
      <c r="I10" s="909"/>
      <c r="J10" s="909"/>
      <c r="K10" s="852" t="str">
        <f t="array" aca="1" ref="K10" ca="1">IFERROR(INDIRECT("K"&amp;SMALL(IF($L$33:$M$209=$C$7,ROW($K$33:$K$209)),ROW(A1))),"")</f>
        <v>NOV</v>
      </c>
      <c r="L10" s="909"/>
      <c r="M10" s="909"/>
      <c r="N10" s="909"/>
      <c r="O10" s="890">
        <f t="array" aca="1" ref="O10" ca="1">IFERROR(INDIRECT("O"&amp;SMALL(IF($L$33:$M$209=$C$7,ROW($O$33:$O$209)),ROW(A1))),"")</f>
        <v>16.650000000000002</v>
      </c>
      <c r="P10" s="909"/>
      <c r="Q10" s="909"/>
      <c r="R10" s="909"/>
      <c r="S10" s="909"/>
      <c r="T10" s="909"/>
      <c r="U10" s="925"/>
      <c r="V10" s="909"/>
      <c r="W10" s="909"/>
      <c r="X10" s="909"/>
      <c r="Y10" s="909"/>
      <c r="Z10" s="909"/>
      <c r="AA10" s="909"/>
      <c r="AB10" s="909"/>
      <c r="AC10" s="909"/>
      <c r="AD10" s="909"/>
      <c r="AE10" s="909"/>
      <c r="AF10" s="909"/>
      <c r="AG10" s="983">
        <f t="array" aca="1" ref="AG10" ca="1">IFERROR(INDIRECT("AG"&amp;SMALL(IF($L$33:$M$209=$C$7,ROW($AG$33:$AG$209)),ROW(A1))),"")</f>
        <v>2.9417186063256245E-2</v>
      </c>
      <c r="AH10" s="911" t="str">
        <f t="array" aca="1" ref="AH10" ca="1">IFERROR(INDIRECT("AH"&amp;SMALL(IF($L$33:$M$209=$C$7,ROW($AH$33:$AH$209)),ROW(A1))),"")</f>
        <v>INTESA</v>
      </c>
      <c r="AI10" s="912">
        <f t="shared" ref="AI10:AI29" ca="1" si="0">IF(C10&lt;&gt;"",YEAR(C10),"")</f>
        <v>2027</v>
      </c>
      <c r="AJ10" s="913" t="str">
        <f t="shared" ref="AJ10:AJ29" ca="1" si="1">IF($AH$7=AI10,"SCADENZA TITOLO","")</f>
        <v/>
      </c>
      <c r="AK10" s="927">
        <f t="shared" ref="AK10:AK29" ca="1" si="2">IF(C10&lt;&gt;"",DAY(C10),"")</f>
        <v>3</v>
      </c>
      <c r="AR10" s="772"/>
      <c r="AS10" s="772"/>
    </row>
    <row r="11" spans="1:302" ht="15">
      <c r="A11" s="854" t="str">
        <f t="array" aca="1" ref="A11" ca="1">IFERROR(INDIRECT("A"&amp;SMALL(IF($L$33:$M$209=$C$7,ROW($A$33:$A$209)),ROW(A2))),"")</f>
        <v>OVS</v>
      </c>
      <c r="B11" s="774"/>
      <c r="C11" s="387">
        <f t="array" aca="1" ref="C11" ca="1">IFERROR(INDIRECT("C"&amp;SMALL(IF($L$33:$M$209=$C$7,ROW($C$33:$C$209)),ROW(A2))),"")</f>
        <v>46701</v>
      </c>
      <c r="D11" s="774"/>
      <c r="E11" s="774"/>
      <c r="F11" s="561">
        <f t="array" aca="1" ref="F11" ca="1">IFERROR(INDIRECT("F"&amp;SMALL(IF($L$33:$M$209=$C$7,ROW($F$33:$F$209)),ROW(A2))),"")</f>
        <v>2.2499999999999999E-2</v>
      </c>
      <c r="G11" s="383">
        <f t="array" aca="1" ref="G11" ca="1">IFERROR(INDIRECT("G"&amp;SMALL(IF($L$33:$M$209=$C$7,ROW($G$33:$G$209)),ROW(A2))),"")</f>
        <v>1000</v>
      </c>
      <c r="H11" s="774"/>
      <c r="I11" s="774"/>
      <c r="J11" s="774"/>
      <c r="K11" s="879" t="str">
        <f t="array" aca="1" ref="K11" ca="1">IFERROR(INDIRECT("K"&amp;SMALL(IF($L$33:$M$209=$C$7,ROW($K$33:$K$209)),ROW(A2))),"")</f>
        <v>NOV</v>
      </c>
      <c r="L11" s="774"/>
      <c r="M11" s="774"/>
      <c r="N11" s="774"/>
      <c r="O11" s="851">
        <f t="array" aca="1" ref="O11" ca="1">IFERROR(INDIRECT("O"&amp;SMALL(IF($L$33:$M$209=$C$7,ROW($O$33:$O$209)),ROW(A2))),"")</f>
        <v>16.650000000000002</v>
      </c>
      <c r="P11" s="774"/>
      <c r="Q11" s="774"/>
      <c r="R11" s="774"/>
      <c r="S11" s="774"/>
      <c r="T11" s="774"/>
      <c r="U11" s="924"/>
      <c r="V11" s="774"/>
      <c r="W11" s="774"/>
      <c r="X11" s="774"/>
      <c r="Y11" s="774"/>
      <c r="Z11" s="774"/>
      <c r="AA11" s="774"/>
      <c r="AB11" s="774"/>
      <c r="AC11" s="774"/>
      <c r="AD11" s="774"/>
      <c r="AE11" s="774"/>
      <c r="AF11" s="774"/>
      <c r="AG11" s="983">
        <f t="array" aca="1" ref="AG11" ca="1">IFERROR(INDIRECT("AG"&amp;SMALL(IF($L$33:$M$209=$C$7,ROW($AG$33:$AG$209)),ROW(A2))),"")</f>
        <v>2.744359063429589E-2</v>
      </c>
      <c r="AH11" s="914" t="str">
        <f t="array" aca="1" ref="AH11" ca="1">IFERROR(INDIRECT("AH"&amp;SMALL(IF($L$33:$M$209=$C$7,ROW($AH$33:$AH$209)),ROW(A2))),"")</f>
        <v>INTESA</v>
      </c>
      <c r="AI11" s="761">
        <f t="shared" ca="1" si="0"/>
        <v>2027</v>
      </c>
      <c r="AJ11" s="915" t="str">
        <f t="shared" ca="1" si="1"/>
        <v/>
      </c>
      <c r="AK11" s="928">
        <f t="shared" ca="1" si="2"/>
        <v>10</v>
      </c>
      <c r="AR11" s="772"/>
      <c r="AS11" s="772"/>
    </row>
    <row r="12" spans="1:302" ht="15">
      <c r="A12" s="854" t="str">
        <f t="array" aca="1" ref="A12" ca="1">IFERROR(INDIRECT("A"&amp;SMALL(IF($L$33:$M$209=$C$7,ROW($A$33:$A$209)),ROW(A3))),"")</f>
        <v>CARRARO</v>
      </c>
      <c r="B12" s="774"/>
      <c r="C12" s="387">
        <f t="array" aca="1" ref="C12" ca="1">IFERROR(INDIRECT("C"&amp;SMALL(IF($L$33:$M$209=$C$7,ROW($C$33:$C$209)),ROW(A3))),"")</f>
        <v>47063</v>
      </c>
      <c r="D12" s="774"/>
      <c r="E12" s="774"/>
      <c r="F12" s="561">
        <f t="array" aca="1" ref="F12" ca="1">IFERROR(INDIRECT("F"&amp;SMALL(IF($L$33:$M$209=$C$7,ROW($F$33:$F$209)),ROW(A3))),"")</f>
        <v>7.7499999999999999E-2</v>
      </c>
      <c r="G12" s="383">
        <f t="array" aca="1" ref="G12" ca="1">IFERROR(INDIRECT("G"&amp;SMALL(IF($L$33:$M$209=$C$7,ROW($G$33:$G$209)),ROW(A3))),"")</f>
        <v>1000</v>
      </c>
      <c r="H12" s="774"/>
      <c r="I12" s="774"/>
      <c r="J12" s="774"/>
      <c r="K12" s="879" t="str">
        <f t="array" aca="1" ref="K12" ca="1">IFERROR(INDIRECT("K"&amp;SMALL(IF($L$33:$M$209=$C$7,ROW($K$33:$K$209)),ROW(A3))),"")</f>
        <v>MAG/NOV</v>
      </c>
      <c r="L12" s="774"/>
      <c r="M12" s="774"/>
      <c r="N12" s="774"/>
      <c r="O12" s="851">
        <f t="array" aca="1" ref="O12" ca="1">IFERROR(INDIRECT("O"&amp;SMALL(IF($L$33:$M$209=$C$7,ROW($O$33:$O$209)),ROW(A3))),"")</f>
        <v>28.675000000000001</v>
      </c>
      <c r="P12" s="774"/>
      <c r="Q12" s="774"/>
      <c r="R12" s="774"/>
      <c r="S12" s="774"/>
      <c r="T12" s="774"/>
      <c r="U12" s="924"/>
      <c r="V12" s="774"/>
      <c r="W12" s="774"/>
      <c r="X12" s="774"/>
      <c r="Y12" s="774"/>
      <c r="Z12" s="774"/>
      <c r="AA12" s="774"/>
      <c r="AB12" s="774"/>
      <c r="AC12" s="774"/>
      <c r="AD12" s="774"/>
      <c r="AE12" s="774"/>
      <c r="AF12" s="774"/>
      <c r="AG12" s="983">
        <f t="array" aca="1" ref="AG12" ca="1">IFERROR(INDIRECT("AG"&amp;SMALL(IF($L$33:$M$209=$C$7,ROW($AG$33:$AG$209)),ROW(A3))),"")</f>
        <v>4.4826860243444185E-2</v>
      </c>
      <c r="AH12" s="914" t="str">
        <f t="array" aca="1" ref="AH12" ca="1">IFERROR(INDIRECT("AH"&amp;SMALL(IF($L$33:$M$209=$C$7,ROW($AH$33:$AH$209)),ROW(A3))),"")</f>
        <v>INTESA</v>
      </c>
      <c r="AI12" s="761">
        <f t="shared" ca="1" si="0"/>
        <v>2028</v>
      </c>
      <c r="AJ12" s="915" t="str">
        <f t="shared" ca="1" si="1"/>
        <v/>
      </c>
      <c r="AK12" s="928">
        <f t="shared" ca="1" si="2"/>
        <v>6</v>
      </c>
      <c r="AR12" s="772"/>
      <c r="AS12" s="772"/>
    </row>
    <row r="13" spans="1:302" ht="15">
      <c r="A13" s="854" t="str">
        <f t="array" aca="1" ref="A13" ca="1">IFERROR(INDIRECT("A"&amp;SMALL(IF($L$33:$M$209=$C$7,ROW($A$33:$A$209)),ROW(A4))),"")</f>
        <v>ITALIA</v>
      </c>
      <c r="B13" s="774"/>
      <c r="C13" s="387">
        <f t="array" aca="1" ref="C13" ca="1">IFERROR(INDIRECT("C"&amp;SMALL(IF($L$33:$M$209=$C$7,ROW($C$33:$C$209)),ROW(A4))),"")</f>
        <v>48884</v>
      </c>
      <c r="D13" s="774"/>
      <c r="E13" s="774"/>
      <c r="F13" s="561">
        <f t="array" aca="1" ref="F13" ca="1">IFERROR(INDIRECT("F"&amp;SMALL(IF($L$33:$M$209=$C$7,ROW($F$33:$F$209)),ROW(A4))),"")</f>
        <v>4.3499999999999997E-2</v>
      </c>
      <c r="G13" s="383">
        <f t="array" aca="1" ref="G13" ca="1">IFERROR(INDIRECT("G"&amp;SMALL(IF($L$33:$M$209=$C$7,ROW($G$33:$G$209)),ROW(A4))),"")</f>
        <v>1000</v>
      </c>
      <c r="H13" s="774"/>
      <c r="I13" s="774"/>
      <c r="J13" s="774"/>
      <c r="K13" s="879" t="str">
        <f t="array" aca="1" ref="K13" ca="1">IFERROR(INDIRECT("K"&amp;SMALL(IF($L$33:$M$209=$C$7,ROW($K$33:$K$209)),ROW(A4))),"")</f>
        <v>MAG/NOV</v>
      </c>
      <c r="L13" s="774"/>
      <c r="M13" s="774"/>
      <c r="N13" s="774"/>
      <c r="O13" s="851">
        <f t="array" aca="1" ref="O13" ca="1">IFERROR(INDIRECT("O"&amp;SMALL(IF($L$33:$M$209=$C$7,ROW($O$33:$O$209)),ROW(A4))),"")</f>
        <v>19.03125</v>
      </c>
      <c r="P13" s="774"/>
      <c r="Q13" s="774"/>
      <c r="R13" s="774"/>
      <c r="S13" s="774"/>
      <c r="T13" s="774"/>
      <c r="U13" s="924"/>
      <c r="V13" s="774"/>
      <c r="W13" s="774"/>
      <c r="X13" s="774"/>
      <c r="Y13" s="774"/>
      <c r="Z13" s="774"/>
      <c r="AA13" s="774"/>
      <c r="AB13" s="774"/>
      <c r="AC13" s="774"/>
      <c r="AD13" s="774"/>
      <c r="AE13" s="774"/>
      <c r="AF13" s="774"/>
      <c r="AG13" s="983">
        <f t="array" aca="1" ref="AG13" ca="1">IFERROR(INDIRECT("AG"&amp;SMALL(IF($L$33:$M$209=$C$7,ROW($AG$33:$AG$209)),ROW(A4))),"")</f>
        <v>2.9961930441815422E-2</v>
      </c>
      <c r="AH13" s="914" t="str">
        <f t="array" aca="1" ref="AH13" ca="1">IFERROR(INDIRECT("AH"&amp;SMALL(IF($L$33:$M$209=$C$7,ROW($AH$33:$AH$209)),ROW(A4))),"")</f>
        <v>INTESA</v>
      </c>
      <c r="AI13" s="761">
        <f t="shared" ca="1" si="0"/>
        <v>2033</v>
      </c>
      <c r="AJ13" s="915" t="str">
        <f t="shared" ca="1" si="1"/>
        <v/>
      </c>
      <c r="AK13" s="928">
        <f t="shared" ca="1" si="2"/>
        <v>1</v>
      </c>
      <c r="AR13" s="772"/>
      <c r="AS13" s="772"/>
    </row>
    <row r="14" spans="1:302" ht="15">
      <c r="A14" s="854" t="str">
        <f t="array" aca="1" ref="A14" ca="1">IFERROR(INDIRECT("A"&amp;SMALL(IF($L$33:$M$209=$C$7,ROW($A$33:$A$209)),ROW(A5))),"")</f>
        <v/>
      </c>
      <c r="B14" s="774"/>
      <c r="C14" s="387" t="str">
        <f t="array" aca="1" ref="C14" ca="1">IFERROR(INDIRECT("C"&amp;SMALL(IF($L$33:$M$209=$C$7,ROW($C$33:$C$209)),ROW(A5))),"")</f>
        <v/>
      </c>
      <c r="D14" s="774"/>
      <c r="E14" s="774"/>
      <c r="F14" s="561" t="str">
        <f t="array" aca="1" ref="F14" ca="1">IFERROR(INDIRECT("F"&amp;SMALL(IF($L$33:$M$209=$C$7,ROW($F$33:$F$209)),ROW(A5))),"")</f>
        <v/>
      </c>
      <c r="G14" s="383" t="str">
        <f t="array" aca="1" ref="G14" ca="1">IFERROR(INDIRECT("G"&amp;SMALL(IF($L$33:$M$209=$C$7,ROW($G$33:$G$209)),ROW(A5))),"")</f>
        <v/>
      </c>
      <c r="H14" s="774"/>
      <c r="I14" s="774"/>
      <c r="J14" s="774"/>
      <c r="K14" s="879" t="str">
        <f t="array" aca="1" ref="K14" ca="1">IFERROR(INDIRECT("K"&amp;SMALL(IF($L$33:$M$209=$C$7,ROW($K$33:$K$209)),ROW(A5))),"")</f>
        <v/>
      </c>
      <c r="L14" s="774"/>
      <c r="M14" s="774"/>
      <c r="N14" s="774"/>
      <c r="O14" s="851" t="str">
        <f t="array" aca="1" ref="O14" ca="1">IFERROR(INDIRECT("O"&amp;SMALL(IF($L$33:$M$209=$C$7,ROW($O$33:$O$209)),ROW(A5))),"")</f>
        <v/>
      </c>
      <c r="P14" s="774"/>
      <c r="Q14" s="774"/>
      <c r="R14" s="774"/>
      <c r="S14" s="774"/>
      <c r="T14" s="774"/>
      <c r="U14" s="924"/>
      <c r="V14" s="774"/>
      <c r="W14" s="774"/>
      <c r="X14" s="774"/>
      <c r="Y14" s="774"/>
      <c r="Z14" s="774"/>
      <c r="AA14" s="774"/>
      <c r="AB14" s="774"/>
      <c r="AC14" s="774"/>
      <c r="AD14" s="774"/>
      <c r="AE14" s="774"/>
      <c r="AF14" s="774"/>
      <c r="AG14" s="983" t="str">
        <f t="array" aca="1" ref="AG14" ca="1">IFERROR(INDIRECT("AG"&amp;SMALL(IF($L$33:$M$209=$C$7,ROW($AG$33:$AG$209)),ROW(A5))),"")</f>
        <v/>
      </c>
      <c r="AH14" s="914" t="str">
        <f t="array" aca="1" ref="AH14" ca="1">IFERROR(INDIRECT("AH"&amp;SMALL(IF($L$33:$M$209=$C$7,ROW($AH$33:$AH$209)),ROW(A5))),"")</f>
        <v/>
      </c>
      <c r="AI14" s="761" t="str">
        <f t="shared" ca="1" si="0"/>
        <v/>
      </c>
      <c r="AJ14" s="915" t="str">
        <f t="shared" ca="1" si="1"/>
        <v/>
      </c>
      <c r="AK14" s="928" t="str">
        <f t="shared" ca="1" si="2"/>
        <v/>
      </c>
      <c r="AR14" s="772"/>
      <c r="AS14" s="772"/>
    </row>
    <row r="15" spans="1:302" ht="15">
      <c r="A15" s="854" t="str">
        <f t="array" aca="1" ref="A15" ca="1">IFERROR(INDIRECT("A"&amp;SMALL(IF($L$33:$M$209=$C$7,ROW($A$33:$A$209)),ROW(A6))),"")</f>
        <v/>
      </c>
      <c r="B15" s="774"/>
      <c r="C15" s="387" t="str">
        <f t="array" aca="1" ref="C15" ca="1">IFERROR(INDIRECT("C"&amp;SMALL(IF($L$33:$M$209=$C$7,ROW($C$33:$C$209)),ROW(A6))),"")</f>
        <v/>
      </c>
      <c r="D15" s="774"/>
      <c r="E15" s="774"/>
      <c r="F15" s="561" t="str">
        <f t="array" aca="1" ref="F15" ca="1">IFERROR(INDIRECT("F"&amp;SMALL(IF($L$33:$M$209=$C$7,ROW($F$33:$F$209)),ROW(A6))),"")</f>
        <v/>
      </c>
      <c r="G15" s="383" t="str">
        <f t="array" aca="1" ref="G15" ca="1">IFERROR(INDIRECT("G"&amp;SMALL(IF($L$33:$M$209=$C$7,ROW($G$33:$G$209)),ROW(A6))),"")</f>
        <v/>
      </c>
      <c r="H15" s="774"/>
      <c r="I15" s="774"/>
      <c r="J15" s="774"/>
      <c r="K15" s="879" t="str">
        <f t="array" aca="1" ref="K15" ca="1">IFERROR(INDIRECT("K"&amp;SMALL(IF($L$33:$M$209=$C$7,ROW($K$33:$K$209)),ROW(A6))),"")</f>
        <v/>
      </c>
      <c r="L15" s="774"/>
      <c r="M15" s="774"/>
      <c r="N15" s="774"/>
      <c r="O15" s="851" t="str">
        <f t="array" aca="1" ref="O15" ca="1">IFERROR(INDIRECT("O"&amp;SMALL(IF($L$33:$M$209=$C$7,ROW($O$33:$O$209)),ROW(A6))),"")</f>
        <v/>
      </c>
      <c r="P15" s="774"/>
      <c r="Q15" s="774"/>
      <c r="R15" s="774"/>
      <c r="S15" s="774"/>
      <c r="T15" s="774"/>
      <c r="U15" s="924"/>
      <c r="V15" s="774"/>
      <c r="W15" s="774"/>
      <c r="X15" s="774"/>
      <c r="Y15" s="774"/>
      <c r="Z15" s="774"/>
      <c r="AA15" s="774"/>
      <c r="AB15" s="774"/>
      <c r="AC15" s="774"/>
      <c r="AD15" s="774"/>
      <c r="AE15" s="774"/>
      <c r="AF15" s="774"/>
      <c r="AG15" s="983" t="str">
        <f t="array" aca="1" ref="AG15" ca="1">IFERROR(INDIRECT("AG"&amp;SMALL(IF($L$33:$M$209=$C$7,ROW($AG$33:$AG$209)),ROW(A6))),"")</f>
        <v/>
      </c>
      <c r="AH15" s="914" t="str">
        <f t="array" aca="1" ref="AH15" ca="1">IFERROR(INDIRECT("AH"&amp;SMALL(IF($L$33:$M$209=$C$7,ROW($AH$33:$AH$209)),ROW(A6))),"")</f>
        <v/>
      </c>
      <c r="AI15" s="761" t="str">
        <f t="shared" ca="1" si="0"/>
        <v/>
      </c>
      <c r="AJ15" s="915" t="str">
        <f t="shared" ca="1" si="1"/>
        <v/>
      </c>
      <c r="AK15" s="928" t="str">
        <f t="shared" ca="1" si="2"/>
        <v/>
      </c>
      <c r="AR15" s="772"/>
      <c r="AS15" s="772"/>
    </row>
    <row r="16" spans="1:302" ht="15">
      <c r="A16" s="854" t="str">
        <f t="array" aca="1" ref="A16" ca="1">IFERROR(INDIRECT("A"&amp;SMALL(IF($L$33:$M$209=$C$7,ROW($A$33:$A$209)),ROW(A7))),"")</f>
        <v/>
      </c>
      <c r="B16" s="774"/>
      <c r="C16" s="387" t="str">
        <f t="array" aca="1" ref="C16" ca="1">IFERROR(INDIRECT("C"&amp;SMALL(IF($L$33:$M$209=$C$7,ROW($C$33:$C$209)),ROW(A7))),"")</f>
        <v/>
      </c>
      <c r="D16" s="774"/>
      <c r="E16" s="774"/>
      <c r="F16" s="561" t="str">
        <f t="array" aca="1" ref="F16" ca="1">IFERROR(INDIRECT("F"&amp;SMALL(IF($L$33:$M$209=$C$7,ROW($F$33:$F$209)),ROW(A7))),"")</f>
        <v/>
      </c>
      <c r="G16" s="383" t="str">
        <f t="array" aca="1" ref="G16" ca="1">IFERROR(INDIRECT("G"&amp;SMALL(IF($L$33:$M$209=$C$7,ROW($G$33:$G$209)),ROW(A7))),"")</f>
        <v/>
      </c>
      <c r="H16" s="774"/>
      <c r="I16" s="774"/>
      <c r="J16" s="774"/>
      <c r="K16" s="879" t="str">
        <f t="array" aca="1" ref="K16" ca="1">IFERROR(INDIRECT("K"&amp;SMALL(IF($L$33:$M$209=$C$7,ROW($K$33:$K$209)),ROW(A7))),"")</f>
        <v/>
      </c>
      <c r="L16" s="774"/>
      <c r="M16" s="774"/>
      <c r="N16" s="774"/>
      <c r="O16" s="851" t="str">
        <f t="array" aca="1" ref="O16" ca="1">IFERROR(INDIRECT("O"&amp;SMALL(IF($L$33:$M$209=$C$7,ROW($O$33:$O$209)),ROW(A7))),"")</f>
        <v/>
      </c>
      <c r="P16" s="774"/>
      <c r="Q16" s="774"/>
      <c r="R16" s="774"/>
      <c r="S16" s="774"/>
      <c r="T16" s="774"/>
      <c r="U16" s="924"/>
      <c r="V16" s="774"/>
      <c r="W16" s="774"/>
      <c r="X16" s="774"/>
      <c r="Y16" s="774"/>
      <c r="Z16" s="774"/>
      <c r="AA16" s="774"/>
      <c r="AB16" s="774"/>
      <c r="AC16" s="774"/>
      <c r="AD16" s="774"/>
      <c r="AE16" s="774"/>
      <c r="AF16" s="774"/>
      <c r="AG16" s="983" t="str">
        <f t="array" aca="1" ref="AG16" ca="1">IFERROR(INDIRECT("AG"&amp;SMALL(IF($L$33:$M$209=$C$7,ROW($AG$33:$AG$209)),ROW(A7))),"")</f>
        <v/>
      </c>
      <c r="AH16" s="914" t="str">
        <f t="array" aca="1" ref="AH16" ca="1">IFERROR(INDIRECT("AH"&amp;SMALL(IF($L$33:$M$209=$C$7,ROW($AH$33:$AH$209)),ROW(A7))),"")</f>
        <v/>
      </c>
      <c r="AI16" s="761" t="str">
        <f t="shared" ca="1" si="0"/>
        <v/>
      </c>
      <c r="AJ16" s="915" t="str">
        <f t="shared" ca="1" si="1"/>
        <v/>
      </c>
      <c r="AK16" s="928" t="str">
        <f t="shared" ca="1" si="2"/>
        <v/>
      </c>
      <c r="AR16" s="772"/>
      <c r="AS16" s="772"/>
    </row>
    <row r="17" spans="1:45" s="807" customFormat="1" ht="15">
      <c r="A17" s="854" t="str">
        <f t="array" aca="1" ref="A17" ca="1">IFERROR(INDIRECT("A"&amp;SMALL(IF($L$33:$M$209=$C$7,ROW($A$33:$A$209)),ROW(A8))),"")</f>
        <v/>
      </c>
      <c r="B17" s="774"/>
      <c r="C17" s="387" t="str">
        <f t="array" aca="1" ref="C17" ca="1">IFERROR(INDIRECT("C"&amp;SMALL(IF($L$33:$M$209=$C$7,ROW($C$33:$C$209)),ROW(A8))),"")</f>
        <v/>
      </c>
      <c r="D17" s="774"/>
      <c r="E17" s="774"/>
      <c r="F17" s="561" t="str">
        <f t="array" aca="1" ref="F17" ca="1">IFERROR(INDIRECT("F"&amp;SMALL(IF($L$33:$M$209=$C$7,ROW($F$33:$F$209)),ROW(A8))),"")</f>
        <v/>
      </c>
      <c r="G17" s="383" t="str">
        <f t="array" aca="1" ref="G17" ca="1">IFERROR(INDIRECT("G"&amp;SMALL(IF($L$33:$M$209=$C$7,ROW($G$33:$G$209)),ROW(A8))),"")</f>
        <v/>
      </c>
      <c r="H17" s="774"/>
      <c r="I17" s="774"/>
      <c r="J17" s="774"/>
      <c r="K17" s="879" t="str">
        <f t="array" aca="1" ref="K17" ca="1">IFERROR(INDIRECT("K"&amp;SMALL(IF($L$33:$M$209=$C$7,ROW($K$33:$K$209)),ROW(A8))),"")</f>
        <v/>
      </c>
      <c r="L17" s="774"/>
      <c r="M17" s="774"/>
      <c r="N17" s="774"/>
      <c r="O17" s="851" t="str">
        <f t="array" aca="1" ref="O17" ca="1">IFERROR(INDIRECT("O"&amp;SMALL(IF($L$33:$M$209=$C$7,ROW($O$33:$O$209)),ROW(A8))),"")</f>
        <v/>
      </c>
      <c r="P17" s="774"/>
      <c r="Q17" s="774"/>
      <c r="R17" s="774"/>
      <c r="S17" s="774"/>
      <c r="T17" s="774"/>
      <c r="U17" s="924"/>
      <c r="V17" s="774"/>
      <c r="W17" s="774"/>
      <c r="X17" s="774"/>
      <c r="Y17" s="774"/>
      <c r="Z17" s="774"/>
      <c r="AA17" s="774"/>
      <c r="AB17" s="774"/>
      <c r="AC17" s="774"/>
      <c r="AD17" s="774"/>
      <c r="AE17" s="774"/>
      <c r="AF17" s="774"/>
      <c r="AG17" s="983" t="str">
        <f t="array" aca="1" ref="AG17" ca="1">IFERROR(INDIRECT("AG"&amp;SMALL(IF($L$33:$M$209=$C$7,ROW($AG$33:$AG$209)),ROW(A8))),"")</f>
        <v/>
      </c>
      <c r="AH17" s="914" t="str">
        <f t="array" aca="1" ref="AH17" ca="1">IFERROR(INDIRECT("AH"&amp;SMALL(IF($L$33:$M$209=$C$7,ROW($AH$33:$AH$209)),ROW(A8))),"")</f>
        <v/>
      </c>
      <c r="AI17" s="761" t="str">
        <f t="shared" ca="1" si="0"/>
        <v/>
      </c>
      <c r="AJ17" s="915" t="str">
        <f t="shared" ca="1" si="1"/>
        <v/>
      </c>
      <c r="AK17" s="928" t="str">
        <f t="shared" ca="1" si="2"/>
        <v/>
      </c>
      <c r="AR17" s="772"/>
      <c r="AS17" s="772"/>
    </row>
    <row r="18" spans="1:45" s="807" customFormat="1" ht="15">
      <c r="A18" s="854" t="str">
        <f t="array" aca="1" ref="A18" ca="1">IFERROR(INDIRECT("A"&amp;SMALL(IF($L$33:$M$209=$C$7,ROW($A$33:$A$209)),ROW(A9))),"")</f>
        <v/>
      </c>
      <c r="B18" s="774"/>
      <c r="C18" s="387" t="str">
        <f t="array" aca="1" ref="C18" ca="1">IFERROR(INDIRECT("C"&amp;SMALL(IF($L$33:$M$209=$C$7,ROW($C$33:$C$209)),ROW(A9))),"")</f>
        <v/>
      </c>
      <c r="D18" s="774"/>
      <c r="E18" s="774"/>
      <c r="F18" s="561" t="str">
        <f t="array" aca="1" ref="F18" ca="1">IFERROR(INDIRECT("F"&amp;SMALL(IF($L$33:$M$209=$C$7,ROW($F$33:$F$209)),ROW(A9))),"")</f>
        <v/>
      </c>
      <c r="G18" s="383" t="str">
        <f t="array" aca="1" ref="G18" ca="1">IFERROR(INDIRECT("G"&amp;SMALL(IF($L$33:$M$209=$C$7,ROW($G$33:$G$209)),ROW(A9))),"")</f>
        <v/>
      </c>
      <c r="H18" s="774"/>
      <c r="I18" s="774"/>
      <c r="J18" s="774"/>
      <c r="K18" s="879" t="str">
        <f t="array" aca="1" ref="K18" ca="1">IFERROR(INDIRECT("K"&amp;SMALL(IF($L$33:$M$209=$C$7,ROW($K$33:$K$209)),ROW(A9))),"")</f>
        <v/>
      </c>
      <c r="L18" s="774"/>
      <c r="M18" s="774"/>
      <c r="N18" s="774"/>
      <c r="O18" s="851" t="str">
        <f t="array" aca="1" ref="O18" ca="1">IFERROR(INDIRECT("O"&amp;SMALL(IF($L$33:$M$209=$C$7,ROW($O$33:$O$209)),ROW(A9))),"")</f>
        <v/>
      </c>
      <c r="P18" s="774"/>
      <c r="Q18" s="774"/>
      <c r="R18" s="774"/>
      <c r="S18" s="774"/>
      <c r="T18" s="774"/>
      <c r="U18" s="924"/>
      <c r="V18" s="774"/>
      <c r="W18" s="774"/>
      <c r="X18" s="774"/>
      <c r="Y18" s="774"/>
      <c r="Z18" s="774"/>
      <c r="AA18" s="774"/>
      <c r="AB18" s="774"/>
      <c r="AC18" s="774"/>
      <c r="AD18" s="774"/>
      <c r="AE18" s="774"/>
      <c r="AF18" s="774"/>
      <c r="AG18" s="983" t="str">
        <f t="array" aca="1" ref="AG18" ca="1">IFERROR(INDIRECT("AG"&amp;SMALL(IF($L$33:$M$209=$C$7,ROW($AG$33:$AG$209)),ROW(A9))),"")</f>
        <v/>
      </c>
      <c r="AH18" s="914" t="str">
        <f t="array" aca="1" ref="AH18" ca="1">IFERROR(INDIRECT("AH"&amp;SMALL(IF($L$33:$M$209=$C$7,ROW($AH$33:$AH$209)),ROW(A9))),"")</f>
        <v/>
      </c>
      <c r="AI18" s="761" t="str">
        <f t="shared" ca="1" si="0"/>
        <v/>
      </c>
      <c r="AJ18" s="915" t="str">
        <f t="shared" ca="1" si="1"/>
        <v/>
      </c>
      <c r="AK18" s="928" t="str">
        <f t="shared" ca="1" si="2"/>
        <v/>
      </c>
      <c r="AR18" s="772"/>
      <c r="AS18" s="772"/>
    </row>
    <row r="19" spans="1:45" s="807" customFormat="1" ht="15">
      <c r="A19" s="854" t="str">
        <f t="array" aca="1" ref="A19" ca="1">IFERROR(INDIRECT("A"&amp;SMALL(IF($L$33:$M$209=$C$7,ROW($A$33:$A$209)),ROW(A10))),"")</f>
        <v/>
      </c>
      <c r="B19" s="774"/>
      <c r="C19" s="387" t="str">
        <f t="array" aca="1" ref="C19" ca="1">IFERROR(INDIRECT("C"&amp;SMALL(IF($L$33:$M$209=$C$7,ROW($C$33:$C$209)),ROW(A10))),"")</f>
        <v/>
      </c>
      <c r="D19" s="774"/>
      <c r="E19" s="774"/>
      <c r="F19" s="561" t="str">
        <f t="array" aca="1" ref="F19" ca="1">IFERROR(INDIRECT("F"&amp;SMALL(IF($L$33:$M$209=$C$7,ROW($F$33:$F$209)),ROW(A10))),"")</f>
        <v/>
      </c>
      <c r="G19" s="383" t="str">
        <f t="array" aca="1" ref="G19" ca="1">IFERROR(INDIRECT("G"&amp;SMALL(IF($L$33:$M$209=$C$7,ROW($G$33:$G$209)),ROW(A10))),"")</f>
        <v/>
      </c>
      <c r="H19" s="774"/>
      <c r="I19" s="774"/>
      <c r="J19" s="774"/>
      <c r="K19" s="879" t="str">
        <f t="array" aca="1" ref="K19" ca="1">IFERROR(INDIRECT("K"&amp;SMALL(IF($L$33:$M$209=$C$7,ROW($K$33:$K$209)),ROW(A10))),"")</f>
        <v/>
      </c>
      <c r="L19" s="774"/>
      <c r="M19" s="774"/>
      <c r="N19" s="774"/>
      <c r="O19" s="851" t="str">
        <f t="array" aca="1" ref="O19" ca="1">IFERROR(INDIRECT("O"&amp;SMALL(IF($L$33:$M$209=$C$7,ROW($O$33:$O$209)),ROW(A10))),"")</f>
        <v/>
      </c>
      <c r="P19" s="774"/>
      <c r="Q19" s="774"/>
      <c r="R19" s="774"/>
      <c r="S19" s="774"/>
      <c r="T19" s="774"/>
      <c r="U19" s="924"/>
      <c r="V19" s="774"/>
      <c r="W19" s="774"/>
      <c r="X19" s="774"/>
      <c r="Y19" s="774"/>
      <c r="Z19" s="774"/>
      <c r="AA19" s="774"/>
      <c r="AB19" s="774"/>
      <c r="AC19" s="774"/>
      <c r="AD19" s="774"/>
      <c r="AE19" s="774"/>
      <c r="AF19" s="774"/>
      <c r="AG19" s="983" t="str">
        <f t="array" aca="1" ref="AG19" ca="1">IFERROR(INDIRECT("AG"&amp;SMALL(IF($L$33:$M$209=$C$7,ROW($AG$33:$AG$209)),ROW(A10))),"")</f>
        <v/>
      </c>
      <c r="AH19" s="914" t="str">
        <f t="array" aca="1" ref="AH19" ca="1">IFERROR(INDIRECT("AH"&amp;SMALL(IF($L$33:$M$209=$C$7,ROW($AH$33:$AH$209)),ROW(A10))),"")</f>
        <v/>
      </c>
      <c r="AI19" s="761" t="str">
        <f t="shared" ca="1" si="0"/>
        <v/>
      </c>
      <c r="AJ19" s="915" t="str">
        <f t="shared" ca="1" si="1"/>
        <v/>
      </c>
      <c r="AK19" s="928" t="str">
        <f t="shared" ca="1" si="2"/>
        <v/>
      </c>
      <c r="AR19" s="772"/>
      <c r="AS19" s="772"/>
    </row>
    <row r="20" spans="1:45" s="807" customFormat="1" ht="15">
      <c r="A20" s="854" t="str">
        <f t="array" aca="1" ref="A20" ca="1">IFERROR(INDIRECT("A"&amp;SMALL(IF($L$33:$M$209=$C$7,ROW($A$33:$A$209)),ROW(A11))),"")</f>
        <v/>
      </c>
      <c r="B20" s="774"/>
      <c r="C20" s="387" t="str">
        <f t="array" aca="1" ref="C20" ca="1">IFERROR(INDIRECT("C"&amp;SMALL(IF($L$33:$M$209=$C$7,ROW($C$33:$C$209)),ROW(A11))),"")</f>
        <v/>
      </c>
      <c r="D20" s="774"/>
      <c r="E20" s="774"/>
      <c r="F20" s="561" t="str">
        <f t="array" aca="1" ref="F20" ca="1">IFERROR(INDIRECT("F"&amp;SMALL(IF($L$33:$M$209=$C$7,ROW($F$33:$F$209)),ROW(A11))),"")</f>
        <v/>
      </c>
      <c r="G20" s="383" t="str">
        <f t="array" aca="1" ref="G20" ca="1">IFERROR(INDIRECT("G"&amp;SMALL(IF($L$33:$M$209=$C$7,ROW($G$33:$G$209)),ROW(A11))),"")</f>
        <v/>
      </c>
      <c r="H20" s="774"/>
      <c r="I20" s="774"/>
      <c r="J20" s="774"/>
      <c r="K20" s="879" t="str">
        <f t="array" aca="1" ref="K20" ca="1">IFERROR(INDIRECT("K"&amp;SMALL(IF($L$33:$M$209=$C$7,ROW($K$33:$K$209)),ROW(A11))),"")</f>
        <v/>
      </c>
      <c r="L20" s="774"/>
      <c r="M20" s="774"/>
      <c r="N20" s="774"/>
      <c r="O20" s="851" t="str">
        <f t="array" aca="1" ref="O20" ca="1">IFERROR(INDIRECT("O"&amp;SMALL(IF($L$33:$M$209=$C$7,ROW($O$33:$O$209)),ROW(A11))),"")</f>
        <v/>
      </c>
      <c r="P20" s="774"/>
      <c r="Q20" s="774"/>
      <c r="R20" s="774"/>
      <c r="S20" s="774"/>
      <c r="T20" s="774"/>
      <c r="U20" s="924"/>
      <c r="V20" s="774"/>
      <c r="W20" s="774"/>
      <c r="X20" s="774"/>
      <c r="Y20" s="774"/>
      <c r="Z20" s="774"/>
      <c r="AA20" s="774"/>
      <c r="AB20" s="774"/>
      <c r="AC20" s="774"/>
      <c r="AD20" s="774"/>
      <c r="AE20" s="774"/>
      <c r="AF20" s="774"/>
      <c r="AG20" s="983" t="str">
        <f t="array" aca="1" ref="AG20" ca="1">IFERROR(INDIRECT("AG"&amp;SMALL(IF($L$33:$M$209=$C$7,ROW($AG$33:$AG$209)),ROW(A11))),"")</f>
        <v/>
      </c>
      <c r="AH20" s="914" t="str">
        <f t="array" aca="1" ref="AH20" ca="1">IFERROR(INDIRECT("AH"&amp;SMALL(IF($L$33:$M$209=$C$7,ROW($AH$33:$AH$209)),ROW(A11))),"")</f>
        <v/>
      </c>
      <c r="AI20" s="761" t="str">
        <f t="shared" ca="1" si="0"/>
        <v/>
      </c>
      <c r="AJ20" s="915" t="str">
        <f t="shared" ca="1" si="1"/>
        <v/>
      </c>
      <c r="AK20" s="928" t="str">
        <f t="shared" ca="1" si="2"/>
        <v/>
      </c>
      <c r="AR20" s="772"/>
      <c r="AS20" s="772"/>
    </row>
    <row r="21" spans="1:45" s="807" customFormat="1" ht="15">
      <c r="A21" s="854" t="str">
        <f t="array" aca="1" ref="A21" ca="1">IFERROR(INDIRECT("A"&amp;SMALL(IF($L$33:$M$209=$C$7,ROW($A$33:$A$209)),ROW(A12))),"")</f>
        <v/>
      </c>
      <c r="B21" s="774"/>
      <c r="C21" s="387" t="str">
        <f t="array" aca="1" ref="C21" ca="1">IFERROR(INDIRECT("C"&amp;SMALL(IF($L$33:$M$209=$C$7,ROW($C$33:$C$209)),ROW(A12))),"")</f>
        <v/>
      </c>
      <c r="D21" s="774"/>
      <c r="E21" s="774"/>
      <c r="F21" s="561" t="str">
        <f t="array" aca="1" ref="F21" ca="1">IFERROR(INDIRECT("F"&amp;SMALL(IF($L$33:$M$209=$C$7,ROW($F$33:$F$209)),ROW(A12))),"")</f>
        <v/>
      </c>
      <c r="G21" s="383" t="str">
        <f t="array" aca="1" ref="G21" ca="1">IFERROR(INDIRECT("G"&amp;SMALL(IF($L$33:$M$209=$C$7,ROW($G$33:$G$209)),ROW(A12))),"")</f>
        <v/>
      </c>
      <c r="H21" s="774"/>
      <c r="I21" s="774"/>
      <c r="J21" s="774"/>
      <c r="K21" s="879" t="str">
        <f t="array" aca="1" ref="K21" ca="1">IFERROR(INDIRECT("K"&amp;SMALL(IF($L$33:$M$209=$C$7,ROW($K$33:$K$209)),ROW(A12))),"")</f>
        <v/>
      </c>
      <c r="L21" s="774"/>
      <c r="M21" s="774"/>
      <c r="N21" s="774"/>
      <c r="O21" s="851" t="str">
        <f t="array" aca="1" ref="O21" ca="1">IFERROR(INDIRECT("O"&amp;SMALL(IF($L$33:$M$209=$C$7,ROW($O$33:$O$209)),ROW(A12))),"")</f>
        <v/>
      </c>
      <c r="P21" s="774"/>
      <c r="Q21" s="774"/>
      <c r="R21" s="774"/>
      <c r="S21" s="774"/>
      <c r="T21" s="774"/>
      <c r="U21" s="924"/>
      <c r="V21" s="774"/>
      <c r="W21" s="774"/>
      <c r="X21" s="774"/>
      <c r="Y21" s="774"/>
      <c r="Z21" s="774"/>
      <c r="AA21" s="774"/>
      <c r="AB21" s="774"/>
      <c r="AC21" s="774"/>
      <c r="AD21" s="774"/>
      <c r="AE21" s="774"/>
      <c r="AF21" s="774"/>
      <c r="AG21" s="983" t="str">
        <f t="array" aca="1" ref="AG21" ca="1">IFERROR(INDIRECT("AG"&amp;SMALL(IF($L$33:$M$209=$C$7,ROW($AG$33:$AG$209)),ROW(A12))),"")</f>
        <v/>
      </c>
      <c r="AH21" s="914" t="str">
        <f t="array" aca="1" ref="AH21" ca="1">IFERROR(INDIRECT("AH"&amp;SMALL(IF($L$33:$M$209=$C$7,ROW($AH$33:$AH$209)),ROW(A12))),"")</f>
        <v/>
      </c>
      <c r="AI21" s="761" t="str">
        <f t="shared" ca="1" si="0"/>
        <v/>
      </c>
      <c r="AJ21" s="915" t="str">
        <f t="shared" ca="1" si="1"/>
        <v/>
      </c>
      <c r="AK21" s="928" t="str">
        <f t="shared" ca="1" si="2"/>
        <v/>
      </c>
    </row>
    <row r="22" spans="1:45" s="807" customFormat="1" ht="15">
      <c r="A22" s="854" t="str">
        <f t="array" aca="1" ref="A22" ca="1">IFERROR(INDIRECT("A"&amp;SMALL(IF($L$33:$M$209=$C$7,ROW($A$33:$A$209)),ROW(A13))),"")</f>
        <v/>
      </c>
      <c r="B22" s="774"/>
      <c r="C22" s="387" t="str">
        <f t="array" aca="1" ref="C22" ca="1">IFERROR(INDIRECT("C"&amp;SMALL(IF($L$33:$M$209=$C$7,ROW($C$33:$C$209)),ROW(A13))),"")</f>
        <v/>
      </c>
      <c r="D22" s="774"/>
      <c r="E22" s="774"/>
      <c r="F22" s="561" t="str">
        <f t="array" aca="1" ref="F22" ca="1">IFERROR(INDIRECT("F"&amp;SMALL(IF($L$33:$M$209=$C$7,ROW($F$33:$F$209)),ROW(A13))),"")</f>
        <v/>
      </c>
      <c r="G22" s="383" t="str">
        <f t="array" aca="1" ref="G22" ca="1">IFERROR(INDIRECT("G"&amp;SMALL(IF($L$33:$M$209=$C$7,ROW($G$33:$G$209)),ROW(A13))),"")</f>
        <v/>
      </c>
      <c r="H22" s="774"/>
      <c r="I22" s="774"/>
      <c r="J22" s="774"/>
      <c r="K22" s="879" t="str">
        <f t="array" aca="1" ref="K22" ca="1">IFERROR(INDIRECT("K"&amp;SMALL(IF($L$33:$M$209=$C$7,ROW($K$33:$K$209)),ROW(A13))),"")</f>
        <v/>
      </c>
      <c r="L22" s="774"/>
      <c r="M22" s="774"/>
      <c r="N22" s="774"/>
      <c r="O22" s="851" t="str">
        <f t="array" aca="1" ref="O22" ca="1">IFERROR(INDIRECT("O"&amp;SMALL(IF($L$33:$M$209=$C$7,ROW($O$33:$O$209)),ROW(A13))),"")</f>
        <v/>
      </c>
      <c r="P22" s="774"/>
      <c r="Q22" s="774"/>
      <c r="R22" s="774"/>
      <c r="S22" s="774"/>
      <c r="T22" s="774"/>
      <c r="U22" s="924"/>
      <c r="V22" s="774"/>
      <c r="W22" s="774"/>
      <c r="X22" s="774"/>
      <c r="Y22" s="774"/>
      <c r="Z22" s="774"/>
      <c r="AA22" s="774"/>
      <c r="AB22" s="774"/>
      <c r="AC22" s="774"/>
      <c r="AD22" s="774"/>
      <c r="AE22" s="774"/>
      <c r="AF22" s="774"/>
      <c r="AG22" s="983" t="str">
        <f t="array" aca="1" ref="AG22" ca="1">IFERROR(INDIRECT("AG"&amp;SMALL(IF($L$33:$M$209=$C$7,ROW($AG$33:$AG$209)),ROW(A13))),"")</f>
        <v/>
      </c>
      <c r="AH22" s="914" t="str">
        <f t="array" aca="1" ref="AH22" ca="1">IFERROR(INDIRECT("AH"&amp;SMALL(IF($L$33:$M$209=$C$7,ROW($AH$33:$AH$209)),ROW(A13))),"")</f>
        <v/>
      </c>
      <c r="AI22" s="761" t="str">
        <f t="shared" ca="1" si="0"/>
        <v/>
      </c>
      <c r="AJ22" s="915" t="str">
        <f t="shared" ca="1" si="1"/>
        <v/>
      </c>
      <c r="AK22" s="928" t="str">
        <f t="shared" ca="1" si="2"/>
        <v/>
      </c>
    </row>
    <row r="23" spans="1:45" s="807" customFormat="1" ht="15">
      <c r="A23" s="854" t="str">
        <f t="array" aca="1" ref="A23" ca="1">IFERROR(INDIRECT("A"&amp;SMALL(IF($L$33:$M$209=$C$7,ROW($A$33:$A$209)),ROW(A14))),"")</f>
        <v/>
      </c>
      <c r="B23" s="774"/>
      <c r="C23" s="387" t="str">
        <f t="array" aca="1" ref="C23" ca="1">IFERROR(INDIRECT("C"&amp;SMALL(IF($L$33:$M$209=$C$7,ROW($C$33:$C$209)),ROW(A14))),"")</f>
        <v/>
      </c>
      <c r="D23" s="774"/>
      <c r="E23" s="774"/>
      <c r="F23" s="561" t="str">
        <f t="array" aca="1" ref="F23" ca="1">IFERROR(INDIRECT("F"&amp;SMALL(IF($L$33:$M$209=$C$7,ROW($F$33:$F$209)),ROW(A14))),"")</f>
        <v/>
      </c>
      <c r="G23" s="383" t="str">
        <f t="array" aca="1" ref="G23" ca="1">IFERROR(INDIRECT("G"&amp;SMALL(IF($L$33:$M$209=$C$7,ROW($G$33:$G$209)),ROW(A14))),"")</f>
        <v/>
      </c>
      <c r="H23" s="774"/>
      <c r="I23" s="774"/>
      <c r="J23" s="774"/>
      <c r="K23" s="879" t="str">
        <f t="array" aca="1" ref="K23" ca="1">IFERROR(INDIRECT("K"&amp;SMALL(IF($L$33:$M$209=$C$7,ROW($K$33:$K$209)),ROW(A14))),"")</f>
        <v/>
      </c>
      <c r="L23" s="774"/>
      <c r="M23" s="774"/>
      <c r="N23" s="774"/>
      <c r="O23" s="851" t="str">
        <f t="array" aca="1" ref="O23" ca="1">IFERROR(INDIRECT("O"&amp;SMALL(IF($L$33:$M$209=$C$7,ROW($O$33:$O$209)),ROW(A14))),"")</f>
        <v/>
      </c>
      <c r="P23" s="774"/>
      <c r="Q23" s="774"/>
      <c r="R23" s="774"/>
      <c r="S23" s="774"/>
      <c r="T23" s="774"/>
      <c r="U23" s="924"/>
      <c r="V23" s="774"/>
      <c r="W23" s="774"/>
      <c r="X23" s="774"/>
      <c r="Y23" s="774"/>
      <c r="Z23" s="774"/>
      <c r="AA23" s="774"/>
      <c r="AB23" s="774"/>
      <c r="AC23" s="774"/>
      <c r="AD23" s="774"/>
      <c r="AE23" s="774"/>
      <c r="AF23" s="774"/>
      <c r="AG23" s="983" t="str">
        <f t="array" aca="1" ref="AG23" ca="1">IFERROR(INDIRECT("AG"&amp;SMALL(IF($L$33:$M$209=$C$7,ROW($AG$33:$AG$209)),ROW(A14))),"")</f>
        <v/>
      </c>
      <c r="AH23" s="914" t="str">
        <f t="array" aca="1" ref="AH23" ca="1">IFERROR(INDIRECT("AH"&amp;SMALL(IF($L$33:$M$209=$C$7,ROW($AH$33:$AH$209)),ROW(A14))),"")</f>
        <v/>
      </c>
      <c r="AI23" s="761" t="str">
        <f t="shared" ca="1" si="0"/>
        <v/>
      </c>
      <c r="AJ23" s="915" t="str">
        <f t="shared" ca="1" si="1"/>
        <v/>
      </c>
      <c r="AK23" s="928" t="str">
        <f t="shared" ca="1" si="2"/>
        <v/>
      </c>
    </row>
    <row r="24" spans="1:45" s="807" customFormat="1" ht="15">
      <c r="A24" s="854" t="str">
        <f t="array" aca="1" ref="A24" ca="1">IFERROR(INDIRECT("A"&amp;SMALL(IF($L$33:$M$209=$C$7,ROW($A$33:$A$209)),ROW(A15))),"")</f>
        <v/>
      </c>
      <c r="B24" s="774"/>
      <c r="C24" s="387" t="str">
        <f t="array" aca="1" ref="C24" ca="1">IFERROR(INDIRECT("C"&amp;SMALL(IF($L$33:$M$209=$C$7,ROW($C$33:$C$209)),ROW(A15))),"")</f>
        <v/>
      </c>
      <c r="D24" s="774"/>
      <c r="E24" s="774"/>
      <c r="F24" s="561" t="str">
        <f t="array" aca="1" ref="F24" ca="1">IFERROR(INDIRECT("F"&amp;SMALL(IF($L$33:$M$209=$C$7,ROW($F$33:$F$209)),ROW(A15))),"")</f>
        <v/>
      </c>
      <c r="G24" s="383" t="str">
        <f t="array" aca="1" ref="G24" ca="1">IFERROR(INDIRECT("G"&amp;SMALL(IF($L$33:$M$209=$C$7,ROW($G$33:$G$209)),ROW(A15))),"")</f>
        <v/>
      </c>
      <c r="H24" s="774"/>
      <c r="I24" s="774"/>
      <c r="J24" s="774"/>
      <c r="K24" s="879" t="str">
        <f t="array" aca="1" ref="K24" ca="1">IFERROR(INDIRECT("K"&amp;SMALL(IF($L$33:$M$209=$C$7,ROW($K$33:$K$209)),ROW(A15))),"")</f>
        <v/>
      </c>
      <c r="L24" s="774"/>
      <c r="M24" s="774"/>
      <c r="N24" s="774"/>
      <c r="O24" s="851" t="str">
        <f t="array" aca="1" ref="O24" ca="1">IFERROR(INDIRECT("O"&amp;SMALL(IF($L$33:$M$209=$C$7,ROW($O$33:$O$209)),ROW(A15))),"")</f>
        <v/>
      </c>
      <c r="P24" s="774"/>
      <c r="Q24" s="774"/>
      <c r="R24" s="774"/>
      <c r="S24" s="774"/>
      <c r="T24" s="774"/>
      <c r="U24" s="924"/>
      <c r="V24" s="774"/>
      <c r="W24" s="774"/>
      <c r="X24" s="774"/>
      <c r="Y24" s="774"/>
      <c r="Z24" s="774"/>
      <c r="AA24" s="774"/>
      <c r="AB24" s="774"/>
      <c r="AC24" s="774"/>
      <c r="AD24" s="774"/>
      <c r="AE24" s="774"/>
      <c r="AF24" s="774"/>
      <c r="AG24" s="983" t="str">
        <f t="array" aca="1" ref="AG24" ca="1">IFERROR(INDIRECT("AG"&amp;SMALL(IF($L$33:$M$209=$C$7,ROW($AG$33:$AG$209)),ROW(A15))),"")</f>
        <v/>
      </c>
      <c r="AH24" s="914" t="str">
        <f t="array" aca="1" ref="AH24" ca="1">IFERROR(INDIRECT("AH"&amp;SMALL(IF($L$33:$M$209=$C$7,ROW($AH$33:$AH$209)),ROW(A15))),"")</f>
        <v/>
      </c>
      <c r="AI24" s="761" t="str">
        <f t="shared" ca="1" si="0"/>
        <v/>
      </c>
      <c r="AJ24" s="915" t="str">
        <f t="shared" ca="1" si="1"/>
        <v/>
      </c>
      <c r="AK24" s="928" t="str">
        <f t="shared" ca="1" si="2"/>
        <v/>
      </c>
    </row>
    <row r="25" spans="1:45" s="807" customFormat="1" ht="15">
      <c r="A25" s="854" t="str">
        <f t="array" aca="1" ref="A25" ca="1">IFERROR(INDIRECT("A"&amp;SMALL(IF($L$33:$M$209=$C$7,ROW($A$33:$A$209)),ROW(A16))),"")</f>
        <v/>
      </c>
      <c r="B25" s="774"/>
      <c r="C25" s="387" t="str">
        <f t="array" aca="1" ref="C25" ca="1">IFERROR(INDIRECT("C"&amp;SMALL(IF($L$33:$M$209=$C$7,ROW($C$33:$C$209)),ROW(A16))),"")</f>
        <v/>
      </c>
      <c r="D25" s="774"/>
      <c r="E25" s="774"/>
      <c r="F25" s="561" t="str">
        <f t="array" aca="1" ref="F25" ca="1">IFERROR(INDIRECT("F"&amp;SMALL(IF($L$33:$M$209=$C$7,ROW($F$33:$F$209)),ROW(A16))),"")</f>
        <v/>
      </c>
      <c r="G25" s="383" t="str">
        <f t="array" aca="1" ref="G25" ca="1">IFERROR(INDIRECT("G"&amp;SMALL(IF($L$33:$M$209=$C$7,ROW($G$33:$G$209)),ROW(A16))),"")</f>
        <v/>
      </c>
      <c r="H25" s="774"/>
      <c r="I25" s="774"/>
      <c r="J25" s="774"/>
      <c r="K25" s="879" t="str">
        <f t="array" aca="1" ref="K25" ca="1">IFERROR(INDIRECT("K"&amp;SMALL(IF($L$33:$M$209=$C$7,ROW($K$33:$K$209)),ROW(A16))),"")</f>
        <v/>
      </c>
      <c r="L25" s="774"/>
      <c r="M25" s="774"/>
      <c r="N25" s="774"/>
      <c r="O25" s="851" t="str">
        <f t="array" aca="1" ref="O25" ca="1">IFERROR(INDIRECT("O"&amp;SMALL(IF($L$33:$M$209=$C$7,ROW($O$33:$O$209)),ROW(A16))),"")</f>
        <v/>
      </c>
      <c r="P25" s="774"/>
      <c r="Q25" s="774"/>
      <c r="R25" s="774"/>
      <c r="S25" s="774"/>
      <c r="T25" s="774"/>
      <c r="U25" s="924"/>
      <c r="V25" s="774"/>
      <c r="W25" s="774"/>
      <c r="X25" s="774"/>
      <c r="Y25" s="774"/>
      <c r="Z25" s="774"/>
      <c r="AA25" s="774"/>
      <c r="AB25" s="774"/>
      <c r="AC25" s="774"/>
      <c r="AD25" s="774"/>
      <c r="AE25" s="774"/>
      <c r="AF25" s="774"/>
      <c r="AG25" s="983" t="str">
        <f t="array" aca="1" ref="AG25" ca="1">IFERROR(INDIRECT("AG"&amp;SMALL(IF($L$33:$M$209=$C$7,ROW($AG$33:$AG$209)),ROW(A16))),"")</f>
        <v/>
      </c>
      <c r="AH25" s="914" t="str">
        <f t="array" aca="1" ref="AH25" ca="1">IFERROR(INDIRECT("AH"&amp;SMALL(IF($L$33:$M$209=$C$7,ROW($AH$33:$AH$209)),ROW(A16))),"")</f>
        <v/>
      </c>
      <c r="AI25" s="761" t="str">
        <f t="shared" ca="1" si="0"/>
        <v/>
      </c>
      <c r="AJ25" s="915" t="str">
        <f t="shared" ca="1" si="1"/>
        <v/>
      </c>
      <c r="AK25" s="928" t="str">
        <f t="shared" ca="1" si="2"/>
        <v/>
      </c>
    </row>
    <row r="26" spans="1:45" s="807" customFormat="1" ht="15">
      <c r="A26" s="854" t="str">
        <f t="array" aca="1" ref="A26" ca="1">IFERROR(INDIRECT("A"&amp;SMALL(IF($L$33:$M$209=$C$7,ROW($A$33:$A$209)),ROW(A17))),"")</f>
        <v/>
      </c>
      <c r="B26" s="774"/>
      <c r="C26" s="387" t="str">
        <f t="array" aca="1" ref="C26" ca="1">IFERROR(INDIRECT("C"&amp;SMALL(IF($L$33:$M$209=$C$7,ROW($C$33:$C$209)),ROW(A17))),"")</f>
        <v/>
      </c>
      <c r="D26" s="774"/>
      <c r="E26" s="774"/>
      <c r="F26" s="561" t="str">
        <f t="array" aca="1" ref="F26" ca="1">IFERROR(INDIRECT("F"&amp;SMALL(IF($L$33:$M$209=$C$7,ROW($F$33:$F$209)),ROW(A17))),"")</f>
        <v/>
      </c>
      <c r="G26" s="383" t="str">
        <f t="array" aca="1" ref="G26" ca="1">IFERROR(INDIRECT("G"&amp;SMALL(IF($L$33:$M$209=$C$7,ROW($G$33:$G$209)),ROW(A17))),"")</f>
        <v/>
      </c>
      <c r="H26" s="774"/>
      <c r="I26" s="774"/>
      <c r="J26" s="774"/>
      <c r="K26" s="879" t="str">
        <f t="array" aca="1" ref="K26" ca="1">IFERROR(INDIRECT("K"&amp;SMALL(IF($L$33:$M$209=$C$7,ROW($K$33:$K$209)),ROW(A17))),"")</f>
        <v/>
      </c>
      <c r="L26" s="774"/>
      <c r="M26" s="774"/>
      <c r="N26" s="774"/>
      <c r="O26" s="851" t="str">
        <f t="array" aca="1" ref="O26" ca="1">IFERROR(INDIRECT("O"&amp;SMALL(IF($L$33:$M$209=$C$7,ROW($O$33:$O$209)),ROW(A17))),"")</f>
        <v/>
      </c>
      <c r="P26" s="774"/>
      <c r="Q26" s="774"/>
      <c r="R26" s="774"/>
      <c r="S26" s="774"/>
      <c r="T26" s="774"/>
      <c r="U26" s="924"/>
      <c r="V26" s="774"/>
      <c r="W26" s="774"/>
      <c r="X26" s="774"/>
      <c r="Y26" s="774"/>
      <c r="Z26" s="774"/>
      <c r="AA26" s="774"/>
      <c r="AB26" s="774"/>
      <c r="AC26" s="774"/>
      <c r="AD26" s="774"/>
      <c r="AE26" s="774"/>
      <c r="AF26" s="774"/>
      <c r="AG26" s="983" t="str">
        <f t="array" aca="1" ref="AG26" ca="1">IFERROR(INDIRECT("AG"&amp;SMALL(IF($L$33:$M$209=$C$7,ROW($AG$33:$AG$209)),ROW(A17))),"")</f>
        <v/>
      </c>
      <c r="AH26" s="914" t="str">
        <f t="array" aca="1" ref="AH26" ca="1">IFERROR(INDIRECT("AH"&amp;SMALL(IF($L$33:$M$209=$C$7,ROW($AH$33:$AH$209)),ROW(A17))),"")</f>
        <v/>
      </c>
      <c r="AI26" s="761" t="str">
        <f t="shared" ca="1" si="0"/>
        <v/>
      </c>
      <c r="AJ26" s="915" t="str">
        <f t="shared" ca="1" si="1"/>
        <v/>
      </c>
      <c r="AK26" s="928" t="str">
        <f t="shared" ca="1" si="2"/>
        <v/>
      </c>
    </row>
    <row r="27" spans="1:45" s="807" customFormat="1" ht="15">
      <c r="A27" s="854" t="str">
        <f t="array" aca="1" ref="A27" ca="1">IFERROR(INDIRECT("A"&amp;SMALL(IF($L$33:$M$209=$C$7,ROW($A$33:$A$209)),ROW(#REF!))),"")</f>
        <v/>
      </c>
      <c r="B27" s="774"/>
      <c r="C27" s="387" t="str">
        <f t="array" aca="1" ref="C27" ca="1">IFERROR(INDIRECT("C"&amp;SMALL(IF($L$33:$M$209=$C$7,ROW($C$33:$C$209)),ROW(#REF!))),"")</f>
        <v/>
      </c>
      <c r="D27" s="774"/>
      <c r="E27" s="774"/>
      <c r="F27" s="561" t="str">
        <f t="array" aca="1" ref="F27" ca="1">IFERROR(INDIRECT("F"&amp;SMALL(IF($L$33:$M$209=$C$7,ROW($F$33:$F$209)),ROW(#REF!))),"")</f>
        <v/>
      </c>
      <c r="G27" s="383" t="str">
        <f t="array" aca="1" ref="G27" ca="1">IFERROR(INDIRECT("G"&amp;SMALL(IF($L$33:$M$209=$C$7,ROW($G$33:$G$209)),ROW(#REF!))),"")</f>
        <v/>
      </c>
      <c r="H27" s="774"/>
      <c r="I27" s="774"/>
      <c r="J27" s="774"/>
      <c r="K27" s="879" t="str">
        <f t="array" aca="1" ref="K27" ca="1">IFERROR(INDIRECT("K"&amp;SMALL(IF($L$33:$M$209=$C$7,ROW($K$33:$K$209)),ROW(#REF!))),"")</f>
        <v/>
      </c>
      <c r="L27" s="774"/>
      <c r="M27" s="774"/>
      <c r="N27" s="774"/>
      <c r="O27" s="851" t="str">
        <f t="array" aca="1" ref="O27" ca="1">IFERROR(INDIRECT("O"&amp;SMALL(IF($L$33:$M$209=$C$7,ROW($O$33:$O$209)),ROW(#REF!))),"")</f>
        <v/>
      </c>
      <c r="P27" s="774"/>
      <c r="Q27" s="774"/>
      <c r="R27" s="774"/>
      <c r="S27" s="774"/>
      <c r="T27" s="774"/>
      <c r="U27" s="924"/>
      <c r="V27" s="774"/>
      <c r="W27" s="774"/>
      <c r="X27" s="774"/>
      <c r="Y27" s="774"/>
      <c r="Z27" s="774"/>
      <c r="AA27" s="774"/>
      <c r="AB27" s="774"/>
      <c r="AC27" s="774"/>
      <c r="AD27" s="774"/>
      <c r="AE27" s="774"/>
      <c r="AF27" s="774"/>
      <c r="AG27" s="983" t="str">
        <f t="array" aca="1" ref="AG27" ca="1">IFERROR(INDIRECT("AG"&amp;SMALL(IF($L$33:$M$209=$C$7,ROW($AG$33:$AG$209)),ROW(#REF!))),"")</f>
        <v/>
      </c>
      <c r="AH27" s="914" t="str">
        <f t="array" aca="1" ref="AH27" ca="1">IFERROR(INDIRECT("AH"&amp;SMALL(IF($L$33:$M$209=$C$7,ROW($AH$33:$AH$209)),ROW(#REF!))),"")</f>
        <v/>
      </c>
      <c r="AI27" s="761" t="str">
        <f t="shared" ca="1" si="0"/>
        <v/>
      </c>
      <c r="AJ27" s="915" t="str">
        <f t="shared" ca="1" si="1"/>
        <v/>
      </c>
      <c r="AK27" s="928" t="str">
        <f t="shared" ca="1" si="2"/>
        <v/>
      </c>
    </row>
    <row r="28" spans="1:45" s="807" customFormat="1" ht="15">
      <c r="A28" s="854" t="str">
        <f t="array" aca="1" ref="A28" ca="1">IFERROR(INDIRECT("A"&amp;SMALL(IF($L$33:$M$209=$C$7,ROW($A$33:$A$209)),ROW(A18))),"")</f>
        <v/>
      </c>
      <c r="B28" s="774"/>
      <c r="C28" s="387" t="str">
        <f t="array" aca="1" ref="C28" ca="1">IFERROR(INDIRECT("C"&amp;SMALL(IF($L$33:$M$209=$C$7,ROW($C$33:$C$209)),ROW(A18))),"")</f>
        <v/>
      </c>
      <c r="D28" s="774"/>
      <c r="E28" s="774"/>
      <c r="F28" s="561" t="str">
        <f t="array" aca="1" ref="F28" ca="1">IFERROR(INDIRECT("F"&amp;SMALL(IF($L$33:$M$209=$C$7,ROW($F$33:$F$209)),ROW(A18))),"")</f>
        <v/>
      </c>
      <c r="G28" s="383" t="str">
        <f t="array" aca="1" ref="G28" ca="1">IFERROR(INDIRECT("G"&amp;SMALL(IF($L$33:$M$209=$C$7,ROW($G$33:$G$209)),ROW(A18))),"")</f>
        <v/>
      </c>
      <c r="H28" s="774"/>
      <c r="I28" s="774"/>
      <c r="J28" s="774"/>
      <c r="K28" s="879" t="str">
        <f t="array" aca="1" ref="K28" ca="1">IFERROR(INDIRECT("K"&amp;SMALL(IF($L$33:$M$209=$C$7,ROW($K$33:$K$209)),ROW(A18))),"")</f>
        <v/>
      </c>
      <c r="L28" s="774"/>
      <c r="M28" s="774"/>
      <c r="N28" s="774"/>
      <c r="O28" s="851" t="str">
        <f t="array" aca="1" ref="O28" ca="1">IFERROR(INDIRECT("O"&amp;SMALL(IF($L$33:$M$209=$C$7,ROW($O$33:$O$209)),ROW(A18))),"")</f>
        <v/>
      </c>
      <c r="P28" s="774"/>
      <c r="Q28" s="774"/>
      <c r="R28" s="774"/>
      <c r="S28" s="774"/>
      <c r="T28" s="774"/>
      <c r="U28" s="924"/>
      <c r="V28" s="774"/>
      <c r="W28" s="774"/>
      <c r="X28" s="774"/>
      <c r="Y28" s="774"/>
      <c r="Z28" s="774"/>
      <c r="AA28" s="774"/>
      <c r="AB28" s="774"/>
      <c r="AC28" s="774"/>
      <c r="AD28" s="774"/>
      <c r="AE28" s="774"/>
      <c r="AF28" s="774"/>
      <c r="AG28" s="983" t="str">
        <f t="array" aca="1" ref="AG28" ca="1">IFERROR(INDIRECT("AG"&amp;SMALL(IF($L$33:$M$209=$C$7,ROW($AG$33:$AG$209)),ROW(A18))),"")</f>
        <v/>
      </c>
      <c r="AH28" s="914" t="str">
        <f t="array" aca="1" ref="AH28" ca="1">IFERROR(INDIRECT("AH"&amp;SMALL(IF($L$33:$M$209=$C$7,ROW($AH$33:$AH$209)),ROW(A18))),"")</f>
        <v/>
      </c>
      <c r="AI28" s="761" t="str">
        <f t="shared" ca="1" si="0"/>
        <v/>
      </c>
      <c r="AJ28" s="915" t="str">
        <f t="shared" ca="1" si="1"/>
        <v/>
      </c>
      <c r="AK28" s="928" t="str">
        <f t="shared" ca="1" si="2"/>
        <v/>
      </c>
    </row>
    <row r="29" spans="1:45" s="807" customFormat="1" ht="15.75" thickBot="1">
      <c r="A29" s="855" t="str">
        <f t="array" aca="1" ref="A29" ca="1">IFERROR(INDIRECT("A"&amp;SMALL(IF($L$33:$M$209=$C$7,ROW($A$33:$A$209)),ROW(A19))),"")</f>
        <v/>
      </c>
      <c r="B29" s="916"/>
      <c r="C29" s="917" t="str">
        <f t="array" aca="1" ref="C29" ca="1">IFERROR(INDIRECT("C"&amp;SMALL(IF($L$33:$M$209=$C$7,ROW($C$33:$C$209)),ROW(A19))),"")</f>
        <v/>
      </c>
      <c r="D29" s="916"/>
      <c r="E29" s="916"/>
      <c r="F29" s="918" t="str">
        <f t="array" aca="1" ref="F29" ca="1">IFERROR(INDIRECT("F"&amp;SMALL(IF($L$33:$M$209=$C$7,ROW($F$33:$F$209)),ROW(A19))),"")</f>
        <v/>
      </c>
      <c r="G29" s="856" t="str">
        <f t="array" aca="1" ref="G29" ca="1">IFERROR(INDIRECT("G"&amp;SMALL(IF($L$33:$M$209=$C$7,ROW($G$33:$G$209)),ROW(A19))),"")</f>
        <v/>
      </c>
      <c r="H29" s="916"/>
      <c r="I29" s="916"/>
      <c r="J29" s="916"/>
      <c r="K29" s="919" t="str">
        <f t="array" aca="1" ref="K29" ca="1">IFERROR(INDIRECT("K"&amp;SMALL(IF($L$33:$M$209=$C$7,ROW($K$33:$K$209)),ROW(A19))),"")</f>
        <v/>
      </c>
      <c r="L29" s="916"/>
      <c r="M29" s="916"/>
      <c r="N29" s="916"/>
      <c r="O29" s="920" t="str">
        <f t="array" aca="1" ref="O29" ca="1">IFERROR(INDIRECT("O"&amp;SMALL(IF($L$33:$M$209=$C$7,ROW($O$33:$O$209)),ROW(A19))),"")</f>
        <v/>
      </c>
      <c r="P29" s="916"/>
      <c r="Q29" s="916"/>
      <c r="R29" s="916"/>
      <c r="S29" s="916"/>
      <c r="T29" s="916"/>
      <c r="U29" s="926"/>
      <c r="V29" s="916"/>
      <c r="W29" s="916"/>
      <c r="X29" s="916"/>
      <c r="Y29" s="916"/>
      <c r="Z29" s="916"/>
      <c r="AA29" s="916"/>
      <c r="AB29" s="916"/>
      <c r="AC29" s="916"/>
      <c r="AD29" s="916"/>
      <c r="AE29" s="916"/>
      <c r="AF29" s="916"/>
      <c r="AG29" s="984" t="str">
        <f t="array" aca="1" ref="AG29" ca="1">IFERROR(INDIRECT("AG"&amp;SMALL(IF($L$33:$M$209=$C$7,ROW($AG$33:$AG$209)),ROW(A19))),"")</f>
        <v/>
      </c>
      <c r="AH29" s="921" t="str">
        <f t="array" aca="1" ref="AH29" ca="1">IFERROR(INDIRECT("AH"&amp;SMALL(IF($L$33:$M$209=$C$7,ROW($AH$33:$AH$209)),ROW(A19))),"")</f>
        <v/>
      </c>
      <c r="AI29" s="922" t="str">
        <f t="shared" ca="1" si="0"/>
        <v/>
      </c>
      <c r="AJ29" s="923" t="str">
        <f t="shared" ca="1" si="1"/>
        <v/>
      </c>
      <c r="AK29" s="929" t="str">
        <f t="shared" ca="1" si="2"/>
        <v/>
      </c>
    </row>
    <row r="30" spans="1:45" s="807" customFormat="1" ht="16.5" thickBot="1">
      <c r="A30" s="870"/>
      <c r="B30" s="879"/>
      <c r="C30" s="495"/>
      <c r="D30" s="456"/>
      <c r="E30" s="561"/>
      <c r="F30" s="383"/>
      <c r="G30" s="879"/>
      <c r="H30" s="879"/>
      <c r="I30" s="851"/>
      <c r="J30" s="383"/>
      <c r="K30" s="879"/>
      <c r="L30" s="81"/>
      <c r="M30" s="884"/>
      <c r="N30" s="859"/>
      <c r="O30" s="869"/>
      <c r="P30" s="15"/>
      <c r="Q30" s="772"/>
      <c r="R30" s="772"/>
      <c r="S30" s="772"/>
      <c r="T30" s="772"/>
      <c r="W30" s="772"/>
      <c r="AJ30" s="906"/>
    </row>
    <row r="31" spans="1:45" ht="18">
      <c r="A31" s="901" t="s">
        <v>435</v>
      </c>
      <c r="B31" s="852"/>
      <c r="C31" s="867"/>
      <c r="D31" s="888"/>
      <c r="E31" s="889"/>
      <c r="F31" s="868"/>
      <c r="G31" s="852"/>
      <c r="H31" s="852"/>
      <c r="I31" s="890"/>
      <c r="J31" s="868"/>
      <c r="K31" s="852"/>
      <c r="L31" s="891"/>
      <c r="M31" s="853"/>
      <c r="N31" s="860"/>
      <c r="O31" s="892"/>
      <c r="P31" s="893"/>
      <c r="Q31" s="894"/>
      <c r="R31" s="894"/>
      <c r="S31" s="894"/>
      <c r="T31" s="894"/>
      <c r="U31" s="894"/>
      <c r="V31" s="894"/>
      <c r="W31" s="894"/>
      <c r="X31" s="894"/>
      <c r="Y31" s="894"/>
      <c r="Z31" s="894"/>
      <c r="AA31" s="894"/>
      <c r="AB31" s="894"/>
      <c r="AC31" s="894"/>
      <c r="AD31" s="894"/>
      <c r="AE31" s="894"/>
      <c r="AF31" s="894"/>
      <c r="AG31" s="894"/>
      <c r="AH31" s="895"/>
      <c r="AR31" s="772" t="s">
        <v>446</v>
      </c>
      <c r="AS31" s="772">
        <v>1</v>
      </c>
    </row>
    <row r="32" spans="1:45" ht="15.75">
      <c r="A32" s="896"/>
      <c r="B32" s="879"/>
      <c r="C32" s="495"/>
      <c r="D32" s="456"/>
      <c r="E32" s="561"/>
      <c r="F32" s="383"/>
      <c r="G32" s="879"/>
      <c r="H32" s="879"/>
      <c r="I32" s="851"/>
      <c r="J32" s="383"/>
      <c r="K32" s="879"/>
      <c r="L32" s="81"/>
      <c r="M32" s="884"/>
      <c r="N32" s="859"/>
      <c r="O32" s="869"/>
      <c r="P32" s="15"/>
      <c r="Q32" s="772"/>
      <c r="R32" s="772"/>
      <c r="S32" s="772"/>
      <c r="T32" s="772"/>
      <c r="U32" s="772"/>
      <c r="V32" s="772"/>
      <c r="W32" s="772"/>
      <c r="X32" s="772"/>
      <c r="Y32" s="772"/>
      <c r="Z32" s="772"/>
      <c r="AA32" s="772"/>
      <c r="AB32" s="772"/>
      <c r="AC32" s="772"/>
      <c r="AD32" s="772"/>
      <c r="AE32" s="772"/>
      <c r="AF32" s="772"/>
      <c r="AG32" s="772"/>
      <c r="AH32" s="897"/>
      <c r="AR32" s="772" t="s">
        <v>445</v>
      </c>
      <c r="AS32" s="772">
        <v>2</v>
      </c>
    </row>
    <row r="33" spans="1:45" s="807" customFormat="1" ht="12.75" customHeight="1">
      <c r="A33" s="854" t="str">
        <f t="array" ref="A33">IF((ROW(ISP!$A1)&gt;SUM(--(ISP!$I$9:$I$158&lt;&gt;"")))+(COLUMN()&gt;COLUMN(ISP!$KP$1)),"",INDEX(ISP!$A$9:$KP$158,SMALL(IF(ISP!$I$9:$I$158&lt;&gt;"",ROW(ISP!$I$9:$I$158)-ROW(ISP!$I$9)+1),ROW(ISP!$A1)),COLUMN()))</f>
        <v>NEWLAT FOOD</v>
      </c>
      <c r="B33" s="497" t="str">
        <f t="array" ref="B33">IF((ROW(ISP!$A1)&gt;SUM(--(ISP!$I$9:$I$158&lt;&gt;"")))+(COLUMN()&gt;COLUMN(ISP!$KP$1)),"",INDEX(ISP!$A$9:$KP$158,SMALL(IF(ISP!$I$9:$I$158&lt;&gt;"",ROW(ISP!$I$9:$I$158)-ROW(ISP!$I$9)+1),ROW(ISP!$A1)),COLUMN()))</f>
        <v>N/R</v>
      </c>
      <c r="C33" s="387">
        <f t="array" ref="C33">IF((ROW(ISP!$A1)&gt;SUM(--(ISP!$I$9:$I$158&lt;&gt;"")))+(COLUMN()&gt;COLUMN(ISP!$KP$1)),"",INDEX(ISP!$A$9:$KP$158,SMALL(IF(ISP!$I$9:$I$158&lt;&gt;"",ROW(ISP!$I$9:$I$158)-ROW(ISP!$I$9)+1),ROW(ISP!$A1)),COLUMN()))</f>
        <v>46437</v>
      </c>
      <c r="D33" s="497">
        <f t="array" ref="D33">IF((ROW(ISP!$A1)&gt;SUM(--(ISP!$I$9:$I$158&lt;&gt;"")))+(COLUMN()&gt;COLUMN(ISP!$KP$1)),"",INDEX(ISP!$A$9:$KP$158,SMALL(IF(ISP!$I$9:$I$158&lt;&gt;"",ROW(ISP!$I$9:$I$158)-ROW(ISP!$I$9)+1),ROW(ISP!$A1)),COLUMN()))</f>
        <v>45232</v>
      </c>
      <c r="E33" s="497">
        <f t="array" ref="E33">IF((ROW(ISP!$A1)&gt;SUM(--(ISP!$I$9:$I$158&lt;&gt;"")))+(COLUMN()&gt;COLUMN(ISP!$KP$1)),"",INDEX(ISP!$A$9:$KP$158,SMALL(IF(ISP!$I$9:$I$158&lt;&gt;"",ROW(ISP!$I$9:$I$158)-ROW(ISP!$I$9)+1),ROW(ISP!$A1)),COLUMN()))</f>
        <v>90.876660000000001</v>
      </c>
      <c r="F33" s="561">
        <f t="array" ref="F33">IF((ROW(ISP!$A1)&gt;SUM(--(ISP!$I$9:$I$158&lt;&gt;"")))+(COLUMN()&gt;COLUMN(ISP!$KP$1)),"",INDEX(ISP!$A$9:$KP$158,SMALL(IF(ISP!$I$9:$I$158&lt;&gt;"",ROW(ISP!$I$9:$I$158)-ROW(ISP!$I$9)+1),ROW(ISP!$A1)),COLUMN()))</f>
        <v>2.6249999999999999E-2</v>
      </c>
      <c r="G33" s="383">
        <f t="array" ref="G33">IF((ROW(ISP!$A1)&gt;SUM(--(ISP!$I$9:$I$158&lt;&gt;"")))+(COLUMN()&gt;COLUMN(ISP!$KP$1)),"",INDEX(ISP!$A$9:$KP$158,SMALL(IF(ISP!$I$9:$I$158&lt;&gt;"",ROW(ISP!$I$9:$I$158)-ROW(ISP!$I$9)+1),ROW(ISP!$A1)),COLUMN()))</f>
        <v>1000</v>
      </c>
      <c r="H33" s="497">
        <f t="array" ref="H33">IF((ROW(ISP!$A1)&gt;SUM(--(ISP!$I$9:$I$158&lt;&gt;"")))+(COLUMN()&gt;COLUMN(ISP!$KP$1)),"",INDEX(ISP!$A$9:$KP$158,SMALL(IF(ISP!$I$9:$I$158&lt;&gt;"",ROW(ISP!$I$9:$I$158)-ROW(ISP!$I$9)+1),ROW(ISP!$A1)),COLUMN()))</f>
        <v>1000</v>
      </c>
      <c r="I33" s="383">
        <f t="array" ref="I33">IF((ROW(ISP!$A1)&gt;SUM(--(ISP!$I$9:$I$158&lt;&gt;"")))+(COLUMN()&gt;COLUMN(ISP!$KP$1)),"",INDEX(ISP!$A$9:$KP$158,SMALL(IF(ISP!$I$9:$I$158&lt;&gt;"",ROW(ISP!$I$9:$I$158)-ROW(ISP!$I$9)+1),ROW(ISP!$A1)),COLUMN()))</f>
        <v>19.425000000000001</v>
      </c>
      <c r="J33" s="497">
        <f t="array" ref="J33">IF((ROW(ISP!$A1)&gt;SUM(--(ISP!$I$9:$I$158&lt;&gt;"")))+(COLUMN()&gt;COLUMN(ISP!$KP$1)),"",INDEX(ISP!$A$9:$KP$158,SMALL(IF(ISP!$I$9:$I$158&lt;&gt;"",ROW(ISP!$I$9:$I$158)-ROW(ISP!$I$9)+1),ROW(ISP!$A1)),COLUMN()))</f>
        <v>19.425000000000001</v>
      </c>
      <c r="K33" s="879" t="str">
        <f t="array" ref="K33">IF((ROW(ISP!$A1)&gt;SUM(--(ISP!$I$9:$I$158&lt;&gt;"")))+(COLUMN()&gt;COLUMN(ISP!$KP$1)),"",INDEX(ISP!$A$9:$KP$158,SMALL(IF(ISP!$I$9:$I$158&lt;&gt;"",ROW(ISP!$I$9:$I$158)-ROW(ISP!$I$9)+1),ROW(ISP!$A1)),COLUMN()))</f>
        <v>FEB</v>
      </c>
      <c r="L33" s="775">
        <f t="array" ref="L33">IF((ROW(ISP!$A1)&gt;SUM(--(ISP!$I$9:$I$158&lt;&gt;"")))+(COLUMN()&gt;COLUMN(ISP!$KP$1)),"",INDEX(ISP!$A$9:$KP$158,SMALL(IF(ISP!$I$9:$I$158&lt;&gt;"",ROW(ISP!$I$9:$I$158)-ROW(ISP!$I$9)+1),ROW(ISP!$A1)),COLUMN()))</f>
        <v>2</v>
      </c>
      <c r="M33" s="775" t="str">
        <f t="array" ref="M33">IF((ROW(ISP!$A1)&gt;SUM(--(ISP!$I$9:$I$158&lt;&gt;"")))+(COLUMN()&gt;COLUMN(ISP!$KP$1)),"",INDEX(ISP!$A$9:$KP$158,SMALL(IF(ISP!$I$9:$I$158&lt;&gt;"",ROW(ISP!$I$9:$I$158)-ROW(ISP!$I$9)+1),ROW(ISP!$A1)),COLUMN()))</f>
        <v/>
      </c>
      <c r="N33" s="497" t="str">
        <f t="array" ref="N33">IF((ROW(ISP!$A1)&gt;SUM(--(ISP!$I$9:$I$158&lt;&gt;"")))+(COLUMN()&gt;COLUMN(ISP!$KP$1)),"",INDEX(ISP!$A$9:$KP$158,SMALL(IF(ISP!$I$9:$I$158&lt;&gt;"",ROW(ISP!$I$9:$I$158)-ROW(ISP!$I$9)+1),ROW(ISP!$A1)),COLUMN()))</f>
        <v/>
      </c>
      <c r="O33" s="383">
        <f t="array" ref="O33">IF((ROW(ISP!$A1)&gt;SUM(--(ISP!$I$9:$I$158&lt;&gt;"")))+(COLUMN()&gt;COLUMN(ISP!$KP$1)),"",INDEX(ISP!$A$9:$KP$158,SMALL(IF(ISP!$I$9:$I$158&lt;&gt;"",ROW(ISP!$I$9:$I$158)-ROW(ISP!$I$9)+1),ROW(ISP!$A1)),COLUMN()))</f>
        <v>19.425000000000001</v>
      </c>
      <c r="P33" s="497">
        <f t="array" ref="P33">IF((ROW(ISP!$A1)&gt;SUM(--(ISP!$I$9:$I$158&lt;&gt;"")))+(COLUMN()&gt;COLUMN(ISP!$KP$1)),"",INDEX(ISP!$A$9:$KP$158,SMALL(IF(ISP!$I$9:$I$158&lt;&gt;"",ROW(ISP!$I$9:$I$158)-ROW(ISP!$I$9)+1),ROW(ISP!$A1)),COLUMN()))</f>
        <v>98.325000762939453</v>
      </c>
      <c r="Q33" s="497">
        <f t="array" ref="Q33">IF((ROW(ISP!$A1)&gt;SUM(--(ISP!$I$9:$I$158&lt;&gt;"")))+(COLUMN()&gt;COLUMN(ISP!$KP$1)),"",INDEX(ISP!$A$9:$KP$158,SMALL(IF(ISP!$I$9:$I$158&lt;&gt;"",ROW(ISP!$I$9:$I$158)-ROW(ISP!$I$9)+1),ROW(ISP!$A1)),COLUMN()))</f>
        <v>0</v>
      </c>
      <c r="R33" s="497">
        <f t="array" ref="R33">IF((ROW(ISP!$A1)&gt;SUM(--(ISP!$I$9:$I$158&lt;&gt;"")))+(COLUMN()&gt;COLUMN(ISP!$KP$1)),"",INDEX(ISP!$A$9:$KP$158,SMALL(IF(ISP!$I$9:$I$158&lt;&gt;"",ROW(ISP!$I$9:$I$158)-ROW(ISP!$I$9)+1),ROW(ISP!$A1)),COLUMN()))</f>
        <v>0</v>
      </c>
      <c r="S33" s="497">
        <f t="array" aca="1" ref="S33" ca="1">IF((ROW(ISP!$A1)&gt;SUM(--(ISP!$I$9:$I$158&lt;&gt;"")))+(COLUMN()&gt;COLUMN(ISP!$KP$1)),"",INDEX(ISP!$A$9:$KP$158,SMALL(IF(ISP!$I$9:$I$158&lt;&gt;"",ROW(ISP!$I$9:$I$158)-ROW(ISP!$I$9)+1),ROW(ISP!$A1)),COLUMN()))</f>
        <v>14.262739726027405</v>
      </c>
      <c r="T33" s="497">
        <f t="array" aca="1" ref="T33" ca="1">IF((ROW(ISP!$A1)&gt;SUM(--(ISP!$I$9:$I$158&lt;&gt;"")))+(COLUMN()&gt;COLUMN(ISP!$KP$1)),"",INDEX(ISP!$A$9:$KP$158,SMALL(IF(ISP!$I$9:$I$158&lt;&gt;"",ROW(ISP!$I$9:$I$158)-ROW(ISP!$I$9)+1),ROW(ISP!$A1)),COLUMN()))</f>
        <v>14.262739726027405</v>
      </c>
      <c r="U33" s="497">
        <f t="array" ref="U33">IF((ROW(ISP!$A1)&gt;SUM(--(ISP!$I$9:$I$158&lt;&gt;"")))+(COLUMN()&gt;COLUMN(ISP!$KP$1)),"",INDEX(ISP!$A$9:$KP$158,SMALL(IF(ISP!$I$9:$I$158&lt;&gt;"",ROW(ISP!$I$9:$I$158)-ROW(ISP!$I$9)+1),ROW(ISP!$A1)),COLUMN()))</f>
        <v>0</v>
      </c>
      <c r="V33" s="497">
        <f t="array" ref="V33">IF((ROW(ISP!$A1)&gt;SUM(--(ISP!$I$9:$I$158&lt;&gt;"")))+(COLUMN()&gt;COLUMN(ISP!$KP$1)),"",INDEX(ISP!$A$9:$KP$158,SMALL(IF(ISP!$I$9:$I$158&lt;&gt;"",ROW(ISP!$I$9:$I$158)-ROW(ISP!$I$9)+1),ROW(ISP!$A1)),COLUMN()))</f>
        <v>0</v>
      </c>
      <c r="W33" s="497">
        <f t="array" ref="W33">IF((ROW(ISP!$A1)&gt;SUM(--(ISP!$I$9:$I$158&lt;&gt;"")))+(COLUMN()&gt;COLUMN(ISP!$KP$1)),"",INDEX(ISP!$A$9:$KP$158,SMALL(IF(ISP!$I$9:$I$158&lt;&gt;"",ROW(ISP!$I$9:$I$158)-ROW(ISP!$I$9)+1),ROW(ISP!$A1)),COLUMN()))</f>
        <v>0</v>
      </c>
      <c r="X33" s="497">
        <f t="array" aca="1" ref="X33" ca="1">IF((ROW(ISP!$A1)&gt;SUM(--(ISP!$I$9:$I$158&lt;&gt;"")))+(COLUMN()&gt;COLUMN(ISP!$KP$1)),"",INDEX(ISP!$A$9:$KP$158,SMALL(IF(ISP!$I$9:$I$158&lt;&gt;"",ROW(ISP!$I$9:$I$158)-ROW(ISP!$I$9)+1),ROW(ISP!$A1)),COLUMN()))</f>
        <v>268</v>
      </c>
      <c r="Y33" s="497">
        <f t="array" aca="1" ref="Y33" ca="1">IF((ROW(ISP!$A1)&gt;SUM(--(ISP!$I$9:$I$158&lt;&gt;"")))+(COLUMN()&gt;COLUMN(ISP!$KP$1)),"",INDEX(ISP!$A$9:$KP$158,SMALL(IF(ISP!$I$9:$I$158&lt;&gt;"",ROW(ISP!$I$9:$I$158)-ROW(ISP!$I$9)+1),ROW(ISP!$A1)),COLUMN()))</f>
        <v>2137.9995077690151</v>
      </c>
      <c r="Z33" s="497">
        <f t="array" aca="1" ref="Z33" ca="1">IF((ROW(ISP!$A1)&gt;SUM(--(ISP!$I$9:$I$158&lt;&gt;"")))+(COLUMN()&gt;COLUMN(ISP!$KP$1)),"",INDEX(ISP!$A$9:$KP$158,SMALL(IF(ISP!$I$9:$I$158&lt;&gt;"",ROW(ISP!$I$9:$I$158)-ROW(ISP!$I$9)+1),ROW(ISP!$A1)),COLUMN()))</f>
        <v>25.166874923581627</v>
      </c>
      <c r="AA33" s="497">
        <f t="array" ref="AA33">IF((ROW(ISP!$A1)&gt;SUM(--(ISP!$I$9:$I$158&lt;&gt;"")))+(COLUMN()&gt;COLUMN(ISP!$KP$1)),"",INDEX(ISP!$A$9:$KP$158,SMALL(IF(ISP!$I$9:$I$158&lt;&gt;"",ROW(ISP!$I$9:$I$158)-ROW(ISP!$I$9)+1),ROW(ISP!$A1)),COLUMN()))</f>
        <v>0</v>
      </c>
      <c r="AB33" s="497">
        <f t="array" aca="1" ref="AB33" ca="1">IF((ROW(ISP!$A1)&gt;SUM(--(ISP!$I$9:$I$158&lt;&gt;"")))+(COLUMN()&gt;COLUMN(ISP!$KP$1)),"",INDEX(ISP!$A$9:$KP$158,SMALL(IF(ISP!$I$9:$I$158&lt;&gt;"",ROW(ISP!$I$9:$I$158)-ROW(ISP!$I$9)+1),ROW(ISP!$A1)),COLUMN()))</f>
        <v>997.51274735542188</v>
      </c>
      <c r="AC33" s="497">
        <f t="array" aca="1" ref="AC33" ca="1">IF((ROW(ISP!$A1)&gt;SUM(--(ISP!$I$9:$I$158&lt;&gt;"")))+(COLUMN()&gt;COLUMN(ISP!$KP$1)),"",INDEX(ISP!$A$9:$KP$158,SMALL(IF(ISP!$I$9:$I$158&lt;&gt;"",ROW(ISP!$I$9:$I$158)-ROW(ISP!$I$9)+1),ROW(ISP!$A1)),COLUMN()))</f>
        <v>997.51274735542188</v>
      </c>
      <c r="AD33" s="497">
        <f t="array" ref="AD33">IF((ROW(ISP!$A1)&gt;SUM(--(ISP!$I$9:$I$158&lt;&gt;"")))+(COLUMN()&gt;COLUMN(ISP!$KP$1)),"",INDEX(ISP!$A$9:$KP$158,SMALL(IF(ISP!$I$9:$I$158&lt;&gt;"",ROW(ISP!$I$9:$I$158)-ROW(ISP!$I$9)+1),ROW(ISP!$A1)),COLUMN()))</f>
        <v>74.48340762939452</v>
      </c>
      <c r="AE33" s="497">
        <f t="array" ref="AE33">IF((ROW(ISP!$A1)&gt;SUM(--(ISP!$I$9:$I$158&lt;&gt;"")))+(COLUMN()&gt;COLUMN(ISP!$KP$1)),"",INDEX(ISP!$A$9:$KP$158,SMALL(IF(ISP!$I$9:$I$158&lt;&gt;"",ROW(ISP!$I$9:$I$158)-ROW(ISP!$I$9)+1),ROW(ISP!$A1)),COLUMN()))</f>
        <v>74.48340762939452</v>
      </c>
      <c r="AF33" s="497">
        <f t="array" aca="1" ref="AF33" ca="1">IF((ROW(ISP!$A1)&gt;SUM(--(ISP!$I$9:$I$158&lt;&gt;"")))+(COLUMN()&gt;COLUMN(ISP!$KP$1)),"",INDEX(ISP!$A$9:$KP$158,SMALL(IF(ISP!$I$9:$I$158&lt;&gt;"",ROW(ISP!$I$9:$I$158)-ROW(ISP!$I$9)+1),ROW(ISP!$A1)),COLUMN()))</f>
        <v>2.137999507769015</v>
      </c>
      <c r="AG33" s="983">
        <f t="array" aca="1" ref="AG33" ca="1">IF((ROW(ISP!$A1)&gt;SUM(--(ISP!$I$9:$I$158&lt;&gt;"")))+(COLUMN()&gt;COLUMN(ISP!$KP$1)),"",INDEX(ISP!$A$9:$KP$158,SMALL(IF(ISP!$I$9:$I$158&lt;&gt;"",ROW(ISP!$I$9:$I$158)-ROW(ISP!$I$9)+1),ROW(ISP!$A1)),COLUMN()))</f>
        <v>2.5166874923581627E-2</v>
      </c>
      <c r="AH33" s="897" t="str">
        <f t="shared" ref="AH33:AH50" si="3">IF(A33="","",$A$31)</f>
        <v>INTESA</v>
      </c>
      <c r="AJ33" s="906"/>
      <c r="AR33" s="772" t="s">
        <v>444</v>
      </c>
      <c r="AS33" s="772">
        <v>3</v>
      </c>
    </row>
    <row r="34" spans="1:45" s="807" customFormat="1" ht="12.75" customHeight="1">
      <c r="A34" s="854" t="str">
        <f t="array" ref="A34">IF((ROW(ISP!$A2)&gt;SUM(--(ISP!$I$9:$I$158&lt;&gt;"")))+(COLUMN()&gt;COLUMN(ISP!$KP$1)),"",INDEX(ISP!$A$9:$KP$158,SMALL(IF(ISP!$I$9:$I$158&lt;&gt;"",ROW(ISP!$I$9:$I$158)-ROW(ISP!$I$9)+1),ROW(ISP!$A2)),COLUMN()))</f>
        <v>TEVA</v>
      </c>
      <c r="B34" s="497" t="str">
        <f t="array" ref="B34">IF((ROW(ISP!$A2)&gt;SUM(--(ISP!$I$9:$I$158&lt;&gt;"")))+(COLUMN()&gt;COLUMN(ISP!$KP$1)),"",INDEX(ISP!$A$9:$KP$158,SMALL(IF(ISP!$I$9:$I$158&lt;&gt;"",ROW(ISP!$I$9:$I$158)-ROW(ISP!$I$9)+1),ROW(ISP!$A2)),COLUMN()))</f>
        <v>BBB</v>
      </c>
      <c r="C34" s="387">
        <f t="array" ref="C34">IF((ROW(ISP!$A2)&gt;SUM(--(ISP!$I$9:$I$158&lt;&gt;"")))+(COLUMN()&gt;COLUMN(ISP!$KP$1)),"",INDEX(ISP!$A$9:$KP$158,SMALL(IF(ISP!$I$9:$I$158&lt;&gt;"",ROW(ISP!$I$9:$I$158)-ROW(ISP!$I$9)+1),ROW(ISP!$A2)),COLUMN()))</f>
        <v>46477</v>
      </c>
      <c r="D34" s="497">
        <f t="array" ref="D34">IF((ROW(ISP!$A2)&gt;SUM(--(ISP!$I$9:$I$158&lt;&gt;"")))+(COLUMN()&gt;COLUMN(ISP!$KP$1)),"",INDEX(ISP!$A$9:$KP$158,SMALL(IF(ISP!$I$9:$I$158&lt;&gt;"",ROW(ISP!$I$9:$I$158)-ROW(ISP!$I$9)+1),ROW(ISP!$A2)),COLUMN()))</f>
        <v>45446</v>
      </c>
      <c r="E34" s="497">
        <f t="array" ref="E34">IF((ROW(ISP!$A2)&gt;SUM(--(ISP!$I$9:$I$158&lt;&gt;"")))+(COLUMN()&gt;COLUMN(ISP!$KP$1)),"",INDEX(ISP!$A$9:$KP$158,SMALL(IF(ISP!$I$9:$I$158&lt;&gt;"",ROW(ISP!$I$9:$I$158)-ROW(ISP!$I$9)+1),ROW(ISP!$A2)),COLUMN()))</f>
        <v>93.47</v>
      </c>
      <c r="F34" s="561">
        <f t="array" ref="F34">IF((ROW(ISP!$A2)&gt;SUM(--(ISP!$I$9:$I$158&lt;&gt;"")))+(COLUMN()&gt;COLUMN(ISP!$KP$1)),"",INDEX(ISP!$A$9:$KP$158,SMALL(IF(ISP!$I$9:$I$158&lt;&gt;"",ROW(ISP!$I$9:$I$158)-ROW(ISP!$I$9)+1),ROW(ISP!$A2)),COLUMN()))</f>
        <v>1.8749999999999999E-2</v>
      </c>
      <c r="G34" s="383">
        <f t="array" ref="G34">IF((ROW(ISP!$A2)&gt;SUM(--(ISP!$I$9:$I$158&lt;&gt;"")))+(COLUMN()&gt;COLUMN(ISP!$KP$1)),"",INDEX(ISP!$A$9:$KP$158,SMALL(IF(ISP!$I$9:$I$158&lt;&gt;"",ROW(ISP!$I$9:$I$158)-ROW(ISP!$I$9)+1),ROW(ISP!$A2)),COLUMN()))</f>
        <v>1000</v>
      </c>
      <c r="H34" s="497">
        <f t="array" ref="H34">IF((ROW(ISP!$A2)&gt;SUM(--(ISP!$I$9:$I$158&lt;&gt;"")))+(COLUMN()&gt;COLUMN(ISP!$KP$1)),"",INDEX(ISP!$A$9:$KP$158,SMALL(IF(ISP!$I$9:$I$158&lt;&gt;"",ROW(ISP!$I$9:$I$158)-ROW(ISP!$I$9)+1),ROW(ISP!$A2)),COLUMN()))</f>
        <v>1000</v>
      </c>
      <c r="I34" s="383">
        <f t="array" ref="I34">IF((ROW(ISP!$A2)&gt;SUM(--(ISP!$I$9:$I$158&lt;&gt;"")))+(COLUMN()&gt;COLUMN(ISP!$KP$1)),"",INDEX(ISP!$A$9:$KP$158,SMALL(IF(ISP!$I$9:$I$158&lt;&gt;"",ROW(ISP!$I$9:$I$158)-ROW(ISP!$I$9)+1),ROW(ISP!$A2)),COLUMN()))</f>
        <v>13.875</v>
      </c>
      <c r="J34" s="497">
        <f t="array" ref="J34">IF((ROW(ISP!$A2)&gt;SUM(--(ISP!$I$9:$I$158&lt;&gt;"")))+(COLUMN()&gt;COLUMN(ISP!$KP$1)),"",INDEX(ISP!$A$9:$KP$158,SMALL(IF(ISP!$I$9:$I$158&lt;&gt;"",ROW(ISP!$I$9:$I$158)-ROW(ISP!$I$9)+1),ROW(ISP!$A2)),COLUMN()))</f>
        <v>13.875</v>
      </c>
      <c r="K34" s="879" t="str">
        <f t="array" ref="K34">IF((ROW(ISP!$A2)&gt;SUM(--(ISP!$I$9:$I$158&lt;&gt;"")))+(COLUMN()&gt;COLUMN(ISP!$KP$1)),"",INDEX(ISP!$A$9:$KP$158,SMALL(IF(ISP!$I$9:$I$158&lt;&gt;"",ROW(ISP!$I$9:$I$158)-ROW(ISP!$I$9)+1),ROW(ISP!$A2)),COLUMN()))</f>
        <v>MAR</v>
      </c>
      <c r="L34" s="775">
        <f t="array" ref="L34">IF((ROW(ISP!$A2)&gt;SUM(--(ISP!$I$9:$I$158&lt;&gt;"")))+(COLUMN()&gt;COLUMN(ISP!$KP$1)),"",INDEX(ISP!$A$9:$KP$158,SMALL(IF(ISP!$I$9:$I$158&lt;&gt;"",ROW(ISP!$I$9:$I$158)-ROW(ISP!$I$9)+1),ROW(ISP!$A2)),COLUMN()))</f>
        <v>3</v>
      </c>
      <c r="M34" s="775" t="str">
        <f t="array" ref="M34">IF((ROW(ISP!$A2)&gt;SUM(--(ISP!$I$9:$I$158&lt;&gt;"")))+(COLUMN()&gt;COLUMN(ISP!$KP$1)),"",INDEX(ISP!$A$9:$KP$158,SMALL(IF(ISP!$I$9:$I$158&lt;&gt;"",ROW(ISP!$I$9:$I$158)-ROW(ISP!$I$9)+1),ROW(ISP!$A2)),COLUMN()))</f>
        <v/>
      </c>
      <c r="N34" s="497" t="str">
        <f t="array" ref="N34">IF((ROW(ISP!$A2)&gt;SUM(--(ISP!$I$9:$I$158&lt;&gt;"")))+(COLUMN()&gt;COLUMN(ISP!$KP$1)),"",INDEX(ISP!$A$9:$KP$158,SMALL(IF(ISP!$I$9:$I$158&lt;&gt;"",ROW(ISP!$I$9:$I$158)-ROW(ISP!$I$9)+1),ROW(ISP!$A2)),COLUMN()))</f>
        <v/>
      </c>
      <c r="O34" s="383">
        <f t="array" ref="O34">IF((ROW(ISP!$A2)&gt;SUM(--(ISP!$I$9:$I$158&lt;&gt;"")))+(COLUMN()&gt;COLUMN(ISP!$KP$1)),"",INDEX(ISP!$A$9:$KP$158,SMALL(IF(ISP!$I$9:$I$158&lt;&gt;"",ROW(ISP!$I$9:$I$158)-ROW(ISP!$I$9)+1),ROW(ISP!$A2)),COLUMN()))</f>
        <v>13.875</v>
      </c>
      <c r="P34" s="497">
        <f t="array" ref="P34">IF((ROW(ISP!$A2)&gt;SUM(--(ISP!$I$9:$I$158&lt;&gt;"")))+(COLUMN()&gt;COLUMN(ISP!$KP$1)),"",INDEX(ISP!$A$9:$KP$158,SMALL(IF(ISP!$I$9:$I$158&lt;&gt;"",ROW(ISP!$I$9:$I$158)-ROW(ISP!$I$9)+1),ROW(ISP!$A2)),COLUMN()))</f>
        <v>95.935001373291016</v>
      </c>
      <c r="Q34" s="497">
        <f t="array" ref="Q34">IF((ROW(ISP!$A2)&gt;SUM(--(ISP!$I$9:$I$158&lt;&gt;"")))+(COLUMN()&gt;COLUMN(ISP!$KP$1)),"",INDEX(ISP!$A$9:$KP$158,SMALL(IF(ISP!$I$9:$I$158&lt;&gt;"",ROW(ISP!$I$9:$I$158)-ROW(ISP!$I$9)+1),ROW(ISP!$A2)),COLUMN()))</f>
        <v>0</v>
      </c>
      <c r="R34" s="497">
        <f t="array" ref="R34">IF((ROW(ISP!$A2)&gt;SUM(--(ISP!$I$9:$I$158&lt;&gt;"")))+(COLUMN()&gt;COLUMN(ISP!$KP$1)),"",INDEX(ISP!$A$9:$KP$158,SMALL(IF(ISP!$I$9:$I$158&lt;&gt;"",ROW(ISP!$I$9:$I$158)-ROW(ISP!$I$9)+1),ROW(ISP!$A2)),COLUMN()))</f>
        <v>0</v>
      </c>
      <c r="S34" s="497">
        <f t="array" aca="1" ref="S34" ca="1">IF((ROW(ISP!$A2)&gt;SUM(--(ISP!$I$9:$I$158&lt;&gt;"")))+(COLUMN()&gt;COLUMN(ISP!$KP$1)),"",INDEX(ISP!$A$9:$KP$158,SMALL(IF(ISP!$I$9:$I$158&lt;&gt;"",ROW(ISP!$I$9:$I$158)-ROW(ISP!$I$9)+1),ROW(ISP!$A2)),COLUMN()))</f>
        <v>8.6291095890410929</v>
      </c>
      <c r="T34" s="497">
        <f t="array" aca="1" ref="T34" ca="1">IF((ROW(ISP!$A2)&gt;SUM(--(ISP!$I$9:$I$158&lt;&gt;"")))+(COLUMN()&gt;COLUMN(ISP!$KP$1)),"",INDEX(ISP!$A$9:$KP$158,SMALL(IF(ISP!$I$9:$I$158&lt;&gt;"",ROW(ISP!$I$9:$I$158)-ROW(ISP!$I$9)+1),ROW(ISP!$A2)),COLUMN()))</f>
        <v>8.6291095890410929</v>
      </c>
      <c r="U34" s="497">
        <f t="array" ref="U34">IF((ROW(ISP!$A2)&gt;SUM(--(ISP!$I$9:$I$158&lt;&gt;"")))+(COLUMN()&gt;COLUMN(ISP!$KP$1)),"",INDEX(ISP!$A$9:$KP$158,SMALL(IF(ISP!$I$9:$I$158&lt;&gt;"",ROW(ISP!$I$9:$I$158)-ROW(ISP!$I$9)+1),ROW(ISP!$A2)),COLUMN()))</f>
        <v>0</v>
      </c>
      <c r="V34" s="497">
        <f t="array" ref="V34">IF((ROW(ISP!$A2)&gt;SUM(--(ISP!$I$9:$I$158&lt;&gt;"")))+(COLUMN()&gt;COLUMN(ISP!$KP$1)),"",INDEX(ISP!$A$9:$KP$158,SMALL(IF(ISP!$I$9:$I$158&lt;&gt;"",ROW(ISP!$I$9:$I$158)-ROW(ISP!$I$9)+1),ROW(ISP!$A2)),COLUMN()))</f>
        <v>0</v>
      </c>
      <c r="W34" s="497">
        <f t="array" ref="W34">IF((ROW(ISP!$A2)&gt;SUM(--(ISP!$I$9:$I$158&lt;&gt;"")))+(COLUMN()&gt;COLUMN(ISP!$KP$1)),"",INDEX(ISP!$A$9:$KP$158,SMALL(IF(ISP!$I$9:$I$158&lt;&gt;"",ROW(ISP!$I$9:$I$158)-ROW(ISP!$I$9)+1),ROW(ISP!$A2)),COLUMN()))</f>
        <v>0</v>
      </c>
      <c r="X34" s="497">
        <f t="array" aca="1" ref="X34" ca="1">IF((ROW(ISP!$A2)&gt;SUM(--(ISP!$I$9:$I$158&lt;&gt;"")))+(COLUMN()&gt;COLUMN(ISP!$KP$1)),"",INDEX(ISP!$A$9:$KP$158,SMALL(IF(ISP!$I$9:$I$158&lt;&gt;"",ROW(ISP!$I$9:$I$158)-ROW(ISP!$I$9)+1),ROW(ISP!$A2)),COLUMN()))</f>
        <v>227</v>
      </c>
      <c r="Y34" s="497">
        <f t="array" aca="1" ref="Y34" ca="1">IF((ROW(ISP!$A2)&gt;SUM(--(ISP!$I$9:$I$158&lt;&gt;"")))+(COLUMN()&gt;COLUMN(ISP!$KP$1)),"",INDEX(ISP!$A$9:$KP$158,SMALL(IF(ISP!$I$9:$I$158&lt;&gt;"",ROW(ISP!$I$9:$I$158)-ROW(ISP!$I$9)+1),ROW(ISP!$A2)),COLUMN()))</f>
        <v>2260.7590503494685</v>
      </c>
      <c r="Z34" s="497">
        <f t="array" aca="1" ref="Z34" ca="1">IF((ROW(ISP!$A2)&gt;SUM(--(ISP!$I$9:$I$158&lt;&gt;"")))+(COLUMN()&gt;COLUMN(ISP!$KP$1)),"",INDEX(ISP!$A$9:$KP$158,SMALL(IF(ISP!$I$9:$I$158&lt;&gt;"",ROW(ISP!$I$9:$I$158)-ROW(ISP!$I$9)+1),ROW(ISP!$A2)),COLUMN()))</f>
        <v>27.292354851666161</v>
      </c>
      <c r="AA34" s="497">
        <f t="array" ref="AA34">IF((ROW(ISP!$A2)&gt;SUM(--(ISP!$I$9:$I$158&lt;&gt;"")))+(COLUMN()&gt;COLUMN(ISP!$KP$1)),"",INDEX(ISP!$A$9:$KP$158,SMALL(IF(ISP!$I$9:$I$158&lt;&gt;"",ROW(ISP!$I$9:$I$158)-ROW(ISP!$I$9)+1),ROW(ISP!$A2)),COLUMN()))</f>
        <v>0</v>
      </c>
      <c r="AB34" s="497">
        <f t="array" aca="1" ref="AB34" ca="1">IF((ROW(ISP!$A2)&gt;SUM(--(ISP!$I$9:$I$158&lt;&gt;"")))+(COLUMN()&gt;COLUMN(ISP!$KP$1)),"",INDEX(ISP!$A$9:$KP$158,SMALL(IF(ISP!$I$9:$I$158&lt;&gt;"",ROW(ISP!$I$9:$I$158)-ROW(ISP!$I$9)+1),ROW(ISP!$A2)),COLUMN()))</f>
        <v>967.97912332195119</v>
      </c>
      <c r="AC34" s="497">
        <f t="array" aca="1" ref="AC34" ca="1">IF((ROW(ISP!$A2)&gt;SUM(--(ISP!$I$9:$I$158&lt;&gt;"")))+(COLUMN()&gt;COLUMN(ISP!$KP$1)),"",INDEX(ISP!$A$9:$KP$158,SMALL(IF(ISP!$I$9:$I$158&lt;&gt;"",ROW(ISP!$I$9:$I$158)-ROW(ISP!$I$9)+1),ROW(ISP!$A2)),COLUMN()))</f>
        <v>967.97912332195119</v>
      </c>
      <c r="AD34" s="497">
        <f t="array" ref="AD34">IF((ROW(ISP!$A2)&gt;SUM(--(ISP!$I$9:$I$158&lt;&gt;"")))+(COLUMN()&gt;COLUMN(ISP!$KP$1)),"",INDEX(ISP!$A$9:$KP$158,SMALL(IF(ISP!$I$9:$I$158&lt;&gt;"",ROW(ISP!$I$9:$I$158)-ROW(ISP!$I$9)+1),ROW(ISP!$A2)),COLUMN()))</f>
        <v>24.650013732910168</v>
      </c>
      <c r="AE34" s="497">
        <f t="array" ref="AE34">IF((ROW(ISP!$A2)&gt;SUM(--(ISP!$I$9:$I$158&lt;&gt;"")))+(COLUMN()&gt;COLUMN(ISP!$KP$1)),"",INDEX(ISP!$A$9:$KP$158,SMALL(IF(ISP!$I$9:$I$158&lt;&gt;"",ROW(ISP!$I$9:$I$158)-ROW(ISP!$I$9)+1),ROW(ISP!$A2)),COLUMN()))</f>
        <v>24.650013732910168</v>
      </c>
      <c r="AF34" s="497">
        <f t="array" aca="1" ref="AF34" ca="1">IF((ROW(ISP!$A2)&gt;SUM(--(ISP!$I$9:$I$158&lt;&gt;"")))+(COLUMN()&gt;COLUMN(ISP!$KP$1)),"",INDEX(ISP!$A$9:$KP$158,SMALL(IF(ISP!$I$9:$I$158&lt;&gt;"",ROW(ISP!$I$9:$I$158)-ROW(ISP!$I$9)+1),ROW(ISP!$A2)),COLUMN()))</f>
        <v>2.2607590503494683</v>
      </c>
      <c r="AG34" s="983">
        <f t="array" aca="1" ref="AG34" ca="1">IF((ROW(ISP!$A2)&gt;SUM(--(ISP!$I$9:$I$158&lt;&gt;"")))+(COLUMN()&gt;COLUMN(ISP!$KP$1)),"",INDEX(ISP!$A$9:$KP$158,SMALL(IF(ISP!$I$9:$I$158&lt;&gt;"",ROW(ISP!$I$9:$I$158)-ROW(ISP!$I$9)+1),ROW(ISP!$A2)),COLUMN()))</f>
        <v>2.7292354851666163E-2</v>
      </c>
      <c r="AH34" s="897" t="str">
        <f t="shared" si="3"/>
        <v>INTESA</v>
      </c>
      <c r="AJ34" s="906"/>
      <c r="AR34" s="772" t="s">
        <v>443</v>
      </c>
      <c r="AS34" s="772">
        <v>4</v>
      </c>
    </row>
    <row r="35" spans="1:45" s="807" customFormat="1" ht="12.75" customHeight="1">
      <c r="A35" s="854" t="str">
        <f t="array" ref="A35">IF((ROW(ISP!$A3)&gt;SUM(--(ISP!$I$9:$I$158&lt;&gt;"")))+(COLUMN()&gt;COLUMN(ISP!$KP$1)),"",INDEX(ISP!$A$9:$KP$158,SMALL(IF(ISP!$I$9:$I$158&lt;&gt;"",ROW(ISP!$I$9:$I$158)-ROW(ISP!$I$9)+1),ROW(ISP!$A3)),COLUMN()))</f>
        <v>ALERION</v>
      </c>
      <c r="B35" s="497" t="str">
        <f t="array" ref="B35">IF((ROW(ISP!$A3)&gt;SUM(--(ISP!$I$9:$I$158&lt;&gt;"")))+(COLUMN()&gt;COLUMN(ISP!$KP$1)),"",INDEX(ISP!$A$9:$KP$158,SMALL(IF(ISP!$I$9:$I$158&lt;&gt;"",ROW(ISP!$I$9:$I$158)-ROW(ISP!$I$9)+1),ROW(ISP!$A3)),COLUMN()))</f>
        <v>N/R</v>
      </c>
      <c r="C35" s="387">
        <f t="array" ref="C35">IF((ROW(ISP!$A3)&gt;SUM(--(ISP!$I$9:$I$158&lt;&gt;"")))+(COLUMN()&gt;COLUMN(ISP!$KP$1)),"",INDEX(ISP!$A$9:$KP$158,SMALL(IF(ISP!$I$9:$I$158&lt;&gt;"",ROW(ISP!$I$9:$I$158)-ROW(ISP!$I$9)+1),ROW(ISP!$A3)),COLUMN()))</f>
        <v>46694</v>
      </c>
      <c r="D35" s="497">
        <f t="array" ref="D35">IF((ROW(ISP!$A3)&gt;SUM(--(ISP!$I$9:$I$158&lt;&gt;"")))+(COLUMN()&gt;COLUMN(ISP!$KP$1)),"",INDEX(ISP!$A$9:$KP$158,SMALL(IF(ISP!$I$9:$I$158&lt;&gt;"",ROW(ISP!$I$9:$I$158)-ROW(ISP!$I$9)+1),ROW(ISP!$A3)),COLUMN()))</f>
        <v>44523</v>
      </c>
      <c r="E35" s="497">
        <f t="array" ref="E35">IF((ROW(ISP!$A3)&gt;SUM(--(ISP!$I$9:$I$158&lt;&gt;"")))+(COLUMN()&gt;COLUMN(ISP!$KP$1)),"",INDEX(ISP!$A$9:$KP$158,SMALL(IF(ISP!$I$9:$I$158&lt;&gt;"",ROW(ISP!$I$9:$I$158)-ROW(ISP!$I$9)+1),ROW(ISP!$A3)),COLUMN()))</f>
        <v>95.339749999999995</v>
      </c>
      <c r="F35" s="561">
        <f t="array" ref="F35">IF((ROW(ISP!$A3)&gt;SUM(--(ISP!$I$9:$I$158&lt;&gt;"")))+(COLUMN()&gt;COLUMN(ISP!$KP$1)),"",INDEX(ISP!$A$9:$KP$158,SMALL(IF(ISP!$I$9:$I$158&lt;&gt;"",ROW(ISP!$I$9:$I$158)-ROW(ISP!$I$9)+1),ROW(ISP!$A3)),COLUMN()))</f>
        <v>2.2499999999999999E-2</v>
      </c>
      <c r="G35" s="383">
        <f t="array" ref="G35">IF((ROW(ISP!$A3)&gt;SUM(--(ISP!$I$9:$I$158&lt;&gt;"")))+(COLUMN()&gt;COLUMN(ISP!$KP$1)),"",INDEX(ISP!$A$9:$KP$158,SMALL(IF(ISP!$I$9:$I$158&lt;&gt;"",ROW(ISP!$I$9:$I$158)-ROW(ISP!$I$9)+1),ROW(ISP!$A3)),COLUMN()))</f>
        <v>1000</v>
      </c>
      <c r="H35" s="497">
        <f t="array" ref="H35">IF((ROW(ISP!$A3)&gt;SUM(--(ISP!$I$9:$I$158&lt;&gt;"")))+(COLUMN()&gt;COLUMN(ISP!$KP$1)),"",INDEX(ISP!$A$9:$KP$158,SMALL(IF(ISP!$I$9:$I$158&lt;&gt;"",ROW(ISP!$I$9:$I$158)-ROW(ISP!$I$9)+1),ROW(ISP!$A3)),COLUMN()))</f>
        <v>1000</v>
      </c>
      <c r="I35" s="383">
        <f t="array" ref="I35">IF((ROW(ISP!$A3)&gt;SUM(--(ISP!$I$9:$I$158&lt;&gt;"")))+(COLUMN()&gt;COLUMN(ISP!$KP$1)),"",INDEX(ISP!$A$9:$KP$158,SMALL(IF(ISP!$I$9:$I$158&lt;&gt;"",ROW(ISP!$I$9:$I$158)-ROW(ISP!$I$9)+1),ROW(ISP!$A3)),COLUMN()))</f>
        <v>16.650000000000002</v>
      </c>
      <c r="J35" s="497">
        <f t="array" ref="J35">IF((ROW(ISP!$A3)&gt;SUM(--(ISP!$I$9:$I$158&lt;&gt;"")))+(COLUMN()&gt;COLUMN(ISP!$KP$1)),"",INDEX(ISP!$A$9:$KP$158,SMALL(IF(ISP!$I$9:$I$158&lt;&gt;"",ROW(ISP!$I$9:$I$158)-ROW(ISP!$I$9)+1),ROW(ISP!$A3)),COLUMN()))</f>
        <v>16.650000000000002</v>
      </c>
      <c r="K35" s="879" t="str">
        <f t="array" ref="K35">IF((ROW(ISP!$A3)&gt;SUM(--(ISP!$I$9:$I$158&lt;&gt;"")))+(COLUMN()&gt;COLUMN(ISP!$KP$1)),"",INDEX(ISP!$A$9:$KP$158,SMALL(IF(ISP!$I$9:$I$158&lt;&gt;"",ROW(ISP!$I$9:$I$158)-ROW(ISP!$I$9)+1),ROW(ISP!$A3)),COLUMN()))</f>
        <v>NOV</v>
      </c>
      <c r="L35" s="775">
        <f t="array" ref="L35">IF((ROW(ISP!$A3)&gt;SUM(--(ISP!$I$9:$I$158&lt;&gt;"")))+(COLUMN()&gt;COLUMN(ISP!$KP$1)),"",INDEX(ISP!$A$9:$KP$158,SMALL(IF(ISP!$I$9:$I$158&lt;&gt;"",ROW(ISP!$I$9:$I$158)-ROW(ISP!$I$9)+1),ROW(ISP!$A3)),COLUMN()))</f>
        <v>11</v>
      </c>
      <c r="M35" s="775" t="str">
        <f t="array" ref="M35">IF((ROW(ISP!$A3)&gt;SUM(--(ISP!$I$9:$I$158&lt;&gt;"")))+(COLUMN()&gt;COLUMN(ISP!$KP$1)),"",INDEX(ISP!$A$9:$KP$158,SMALL(IF(ISP!$I$9:$I$158&lt;&gt;"",ROW(ISP!$I$9:$I$158)-ROW(ISP!$I$9)+1),ROW(ISP!$A3)),COLUMN()))</f>
        <v/>
      </c>
      <c r="N35" s="497" t="str">
        <f t="array" ref="N35">IF((ROW(ISP!$A3)&gt;SUM(--(ISP!$I$9:$I$158&lt;&gt;"")))+(COLUMN()&gt;COLUMN(ISP!$KP$1)),"",INDEX(ISP!$A$9:$KP$158,SMALL(IF(ISP!$I$9:$I$158&lt;&gt;"",ROW(ISP!$I$9:$I$158)-ROW(ISP!$I$9)+1),ROW(ISP!$A3)),COLUMN()))</f>
        <v/>
      </c>
      <c r="O35" s="383">
        <f t="array" ref="O35">IF((ROW(ISP!$A3)&gt;SUM(--(ISP!$I$9:$I$158&lt;&gt;"")))+(COLUMN()&gt;COLUMN(ISP!$KP$1)),"",INDEX(ISP!$A$9:$KP$158,SMALL(IF(ISP!$I$9:$I$158&lt;&gt;"",ROW(ISP!$I$9:$I$158)-ROW(ISP!$I$9)+1),ROW(ISP!$A3)),COLUMN()))</f>
        <v>16.650000000000002</v>
      </c>
      <c r="P35" s="497">
        <f t="array" ref="P35">IF((ROW(ISP!$A3)&gt;SUM(--(ISP!$I$9:$I$158&lt;&gt;"")))+(COLUMN()&gt;COLUMN(ISP!$KP$1)),"",INDEX(ISP!$A$9:$KP$158,SMALL(IF(ISP!$I$9:$I$158&lt;&gt;"",ROW(ISP!$I$9:$I$158)-ROW(ISP!$I$9)+1),ROW(ISP!$A3)),COLUMN()))</f>
        <v>95.25</v>
      </c>
      <c r="Q35" s="497">
        <f t="array" ref="Q35">IF((ROW(ISP!$A3)&gt;SUM(--(ISP!$I$9:$I$158&lt;&gt;"")))+(COLUMN()&gt;COLUMN(ISP!$KP$1)),"",INDEX(ISP!$A$9:$KP$158,SMALL(IF(ISP!$I$9:$I$158&lt;&gt;"",ROW(ISP!$I$9:$I$158)-ROW(ISP!$I$9)+1),ROW(ISP!$A3)),COLUMN()))</f>
        <v>0</v>
      </c>
      <c r="R35" s="497">
        <f t="array" ref="R35">IF((ROW(ISP!$A3)&gt;SUM(--(ISP!$I$9:$I$158&lt;&gt;"")))+(COLUMN()&gt;COLUMN(ISP!$KP$1)),"",INDEX(ISP!$A$9:$KP$158,SMALL(IF(ISP!$I$9:$I$158&lt;&gt;"",ROW(ISP!$I$9:$I$158)-ROW(ISP!$I$9)+1),ROW(ISP!$A3)),COLUMN()))</f>
        <v>0</v>
      </c>
      <c r="S35" s="497">
        <f t="array" aca="1" ref="S35" ca="1">IF((ROW(ISP!$A3)&gt;SUM(--(ISP!$I$9:$I$158&lt;&gt;"")))+(COLUMN()&gt;COLUMN(ISP!$KP$1)),"",INDEX(ISP!$A$9:$KP$158,SMALL(IF(ISP!$I$9:$I$158&lt;&gt;"",ROW(ISP!$I$9:$I$158)-ROW(ISP!$I$9)+1),ROW(ISP!$A3)),COLUMN()))</f>
        <v>0.45616438356162803</v>
      </c>
      <c r="T35" s="497">
        <f t="array" aca="1" ref="T35" ca="1">IF((ROW(ISP!$A3)&gt;SUM(--(ISP!$I$9:$I$158&lt;&gt;"")))+(COLUMN()&gt;COLUMN(ISP!$KP$1)),"",INDEX(ISP!$A$9:$KP$158,SMALL(IF(ISP!$I$9:$I$158&lt;&gt;"",ROW(ISP!$I$9:$I$158)-ROW(ISP!$I$9)+1),ROW(ISP!$A3)),COLUMN()))</f>
        <v>0.45616438356162803</v>
      </c>
      <c r="U35" s="497">
        <f t="array" ref="U35">IF((ROW(ISP!$A3)&gt;SUM(--(ISP!$I$9:$I$158&lt;&gt;"")))+(COLUMN()&gt;COLUMN(ISP!$KP$1)),"",INDEX(ISP!$A$9:$KP$158,SMALL(IF(ISP!$I$9:$I$158&lt;&gt;"",ROW(ISP!$I$9:$I$158)-ROW(ISP!$I$9)+1),ROW(ISP!$A3)),COLUMN()))</f>
        <v>0</v>
      </c>
      <c r="V35" s="497">
        <f t="array" ref="V35">IF((ROW(ISP!$A3)&gt;SUM(--(ISP!$I$9:$I$158&lt;&gt;"")))+(COLUMN()&gt;COLUMN(ISP!$KP$1)),"",INDEX(ISP!$A$9:$KP$158,SMALL(IF(ISP!$I$9:$I$158&lt;&gt;"",ROW(ISP!$I$9:$I$158)-ROW(ISP!$I$9)+1),ROW(ISP!$A3)),COLUMN()))</f>
        <v>0</v>
      </c>
      <c r="W35" s="497">
        <f t="array" ref="W35">IF((ROW(ISP!$A3)&gt;SUM(--(ISP!$I$9:$I$158&lt;&gt;"")))+(COLUMN()&gt;COLUMN(ISP!$KP$1)),"",INDEX(ISP!$A$9:$KP$158,SMALL(IF(ISP!$I$9:$I$158&lt;&gt;"",ROW(ISP!$I$9:$I$158)-ROW(ISP!$I$9)+1),ROW(ISP!$A3)),COLUMN()))</f>
        <v>0</v>
      </c>
      <c r="X35" s="497">
        <f t="array" aca="1" ref="X35" ca="1">IF((ROW(ISP!$A3)&gt;SUM(--(ISP!$I$9:$I$158&lt;&gt;"")))+(COLUMN()&gt;COLUMN(ISP!$KP$1)),"",INDEX(ISP!$A$9:$KP$158,SMALL(IF(ISP!$I$9:$I$158&lt;&gt;"",ROW(ISP!$I$9:$I$158)-ROW(ISP!$I$9)+1),ROW(ISP!$A3)),COLUMN()))</f>
        <v>10</v>
      </c>
      <c r="Y35" s="497">
        <f t="array" aca="1" ref="Y35" ca="1">IF((ROW(ISP!$A3)&gt;SUM(--(ISP!$I$9:$I$158&lt;&gt;"")))+(COLUMN()&gt;COLUMN(ISP!$KP$1)),"",INDEX(ISP!$A$9:$KP$158,SMALL(IF(ISP!$I$9:$I$158&lt;&gt;"",ROW(ISP!$I$9:$I$158)-ROW(ISP!$I$9)+1),ROW(ISP!$A3)),COLUMN()))</f>
        <v>2823.3049796180139</v>
      </c>
      <c r="Z35" s="497">
        <f t="array" aca="1" ref="Z35" ca="1">IF((ROW(ISP!$A3)&gt;SUM(--(ISP!$I$9:$I$158&lt;&gt;"")))+(COLUMN()&gt;COLUMN(ISP!$KP$1)),"",INDEX(ISP!$A$9:$KP$158,SMALL(IF(ISP!$I$9:$I$158&lt;&gt;"",ROW(ISP!$I$9:$I$158)-ROW(ISP!$I$9)+1),ROW(ISP!$A3)),COLUMN()))</f>
        <v>29.417186063256246</v>
      </c>
      <c r="AA35" s="497">
        <f t="array" ref="AA35">IF((ROW(ISP!$A3)&gt;SUM(--(ISP!$I$9:$I$158&lt;&gt;"")))+(COLUMN()&gt;COLUMN(ISP!$KP$1)),"",INDEX(ISP!$A$9:$KP$158,SMALL(IF(ISP!$I$9:$I$158&lt;&gt;"",ROW(ISP!$I$9:$I$158)-ROW(ISP!$I$9)+1),ROW(ISP!$A3)),COLUMN()))</f>
        <v>0</v>
      </c>
      <c r="AB35" s="497">
        <f t="array" aca="1" ref="AB35" ca="1">IF((ROW(ISP!$A3)&gt;SUM(--(ISP!$I$9:$I$158&lt;&gt;"")))+(COLUMN()&gt;COLUMN(ISP!$KP$1)),"",INDEX(ISP!$A$9:$KP$158,SMALL(IF(ISP!$I$9:$I$158&lt;&gt;"",ROW(ISP!$I$9:$I$158)-ROW(ISP!$I$9)+1),ROW(ISP!$A3)),COLUMN()))</f>
        <v>952.9561643835616</v>
      </c>
      <c r="AC35" s="497">
        <f t="array" aca="1" ref="AC35" ca="1">IF((ROW(ISP!$A3)&gt;SUM(--(ISP!$I$9:$I$158&lt;&gt;"")))+(COLUMN()&gt;COLUMN(ISP!$KP$1)),"",INDEX(ISP!$A$9:$KP$158,SMALL(IF(ISP!$I$9:$I$158&lt;&gt;"",ROW(ISP!$I$9:$I$158)-ROW(ISP!$I$9)+1),ROW(ISP!$A3)),COLUMN()))</f>
        <v>952.9561643835616</v>
      </c>
      <c r="AD35" s="497">
        <f t="array" ref="AD35">IF((ROW(ISP!$A3)&gt;SUM(--(ISP!$I$9:$I$158&lt;&gt;"")))+(COLUMN()&gt;COLUMN(ISP!$KP$1)),"",INDEX(ISP!$A$9:$KP$158,SMALL(IF(ISP!$I$9:$I$158&lt;&gt;"",ROW(ISP!$I$9:$I$158)-ROW(ISP!$I$9)+1),ROW(ISP!$A3)),COLUMN()))</f>
        <v>-0.89749999999995111</v>
      </c>
      <c r="AE35" s="497">
        <f t="array" ref="AE35">IF((ROW(ISP!$A3)&gt;SUM(--(ISP!$I$9:$I$158&lt;&gt;"")))+(COLUMN()&gt;COLUMN(ISP!$KP$1)),"",INDEX(ISP!$A$9:$KP$158,SMALL(IF(ISP!$I$9:$I$158&lt;&gt;"",ROW(ISP!$I$9:$I$158)-ROW(ISP!$I$9)+1),ROW(ISP!$A3)),COLUMN()))</f>
        <v>-0.89749999999995111</v>
      </c>
      <c r="AF35" s="497">
        <f t="array" aca="1" ref="AF35" ca="1">IF((ROW(ISP!$A3)&gt;SUM(--(ISP!$I$9:$I$158&lt;&gt;"")))+(COLUMN()&gt;COLUMN(ISP!$KP$1)),"",INDEX(ISP!$A$9:$KP$158,SMALL(IF(ISP!$I$9:$I$158&lt;&gt;"",ROW(ISP!$I$9:$I$158)-ROW(ISP!$I$9)+1),ROW(ISP!$A3)),COLUMN()))</f>
        <v>2.8233049796180141</v>
      </c>
      <c r="AG35" s="983">
        <f t="array" aca="1" ref="AG35" ca="1">IF((ROW(ISP!$A3)&gt;SUM(--(ISP!$I$9:$I$158&lt;&gt;"")))+(COLUMN()&gt;COLUMN(ISP!$KP$1)),"",INDEX(ISP!$A$9:$KP$158,SMALL(IF(ISP!$I$9:$I$158&lt;&gt;"",ROW(ISP!$I$9:$I$158)-ROW(ISP!$I$9)+1),ROW(ISP!$A3)),COLUMN()))</f>
        <v>2.9417186063256245E-2</v>
      </c>
      <c r="AH35" s="897" t="str">
        <f t="shared" si="3"/>
        <v>INTESA</v>
      </c>
      <c r="AJ35" s="906"/>
      <c r="AR35" s="772" t="s">
        <v>442</v>
      </c>
      <c r="AS35" s="772">
        <v>5</v>
      </c>
    </row>
    <row r="36" spans="1:45" s="807" customFormat="1" ht="12.75" customHeight="1">
      <c r="A36" s="854" t="str">
        <f t="array" ref="A36">IF((ROW(ISP!$A4)&gt;SUM(--(ISP!$I$9:$I$158&lt;&gt;"")))+(COLUMN()&gt;COLUMN(ISP!$KP$1)),"",INDEX(ISP!$A$9:$KP$158,SMALL(IF(ISP!$I$9:$I$158&lt;&gt;"",ROW(ISP!$I$9:$I$158)-ROW(ISP!$I$9)+1),ROW(ISP!$A4)),COLUMN()))</f>
        <v>OVS</v>
      </c>
      <c r="B36" s="497" t="str">
        <f t="array" ref="B36">IF((ROW(ISP!$A4)&gt;SUM(--(ISP!$I$9:$I$158&lt;&gt;"")))+(COLUMN()&gt;COLUMN(ISP!$KP$1)),"",INDEX(ISP!$A$9:$KP$158,SMALL(IF(ISP!$I$9:$I$158&lt;&gt;"",ROW(ISP!$I$9:$I$158)-ROW(ISP!$I$9)+1),ROW(ISP!$A4)),COLUMN()))</f>
        <v>N/R</v>
      </c>
      <c r="C36" s="387">
        <f t="array" ref="C36">IF((ROW(ISP!$A4)&gt;SUM(--(ISP!$I$9:$I$158&lt;&gt;"")))+(COLUMN()&gt;COLUMN(ISP!$KP$1)),"",INDEX(ISP!$A$9:$KP$158,SMALL(IF(ISP!$I$9:$I$158&lt;&gt;"",ROW(ISP!$I$9:$I$158)-ROW(ISP!$I$9)+1),ROW(ISP!$A4)),COLUMN()))</f>
        <v>46701</v>
      </c>
      <c r="D36" s="497">
        <f t="array" ref="D36">IF((ROW(ISP!$A4)&gt;SUM(--(ISP!$I$9:$I$158&lt;&gt;"")))+(COLUMN()&gt;COLUMN(ISP!$KP$1)),"",INDEX(ISP!$A$9:$KP$158,SMALL(IF(ISP!$I$9:$I$158&lt;&gt;"",ROW(ISP!$I$9:$I$158)-ROW(ISP!$I$9)+1),ROW(ISP!$A4)),COLUMN()))</f>
        <v>44516</v>
      </c>
      <c r="E36" s="497">
        <f t="array" ref="E36">IF((ROW(ISP!$A4)&gt;SUM(--(ISP!$I$9:$I$158&lt;&gt;"")))+(COLUMN()&gt;COLUMN(ISP!$KP$1)),"",INDEX(ISP!$A$9:$KP$158,SMALL(IF(ISP!$I$9:$I$158&lt;&gt;"",ROW(ISP!$I$9:$I$158)-ROW(ISP!$I$9)+1),ROW(ISP!$A4)),COLUMN()))</f>
        <v>96.659390000000002</v>
      </c>
      <c r="F36" s="561">
        <f t="array" ref="F36">IF((ROW(ISP!$A4)&gt;SUM(--(ISP!$I$9:$I$158&lt;&gt;"")))+(COLUMN()&gt;COLUMN(ISP!$KP$1)),"",INDEX(ISP!$A$9:$KP$158,SMALL(IF(ISP!$I$9:$I$158&lt;&gt;"",ROW(ISP!$I$9:$I$158)-ROW(ISP!$I$9)+1),ROW(ISP!$A4)),COLUMN()))</f>
        <v>2.2499999999999999E-2</v>
      </c>
      <c r="G36" s="383">
        <f t="array" ref="G36">IF((ROW(ISP!$A4)&gt;SUM(--(ISP!$I$9:$I$158&lt;&gt;"")))+(COLUMN()&gt;COLUMN(ISP!$KP$1)),"",INDEX(ISP!$A$9:$KP$158,SMALL(IF(ISP!$I$9:$I$158&lt;&gt;"",ROW(ISP!$I$9:$I$158)-ROW(ISP!$I$9)+1),ROW(ISP!$A4)),COLUMN()))</f>
        <v>1000</v>
      </c>
      <c r="H36" s="497">
        <f t="array" ref="H36">IF((ROW(ISP!$A4)&gt;SUM(--(ISP!$I$9:$I$158&lt;&gt;"")))+(COLUMN()&gt;COLUMN(ISP!$KP$1)),"",INDEX(ISP!$A$9:$KP$158,SMALL(IF(ISP!$I$9:$I$158&lt;&gt;"",ROW(ISP!$I$9:$I$158)-ROW(ISP!$I$9)+1),ROW(ISP!$A4)),COLUMN()))</f>
        <v>1000</v>
      </c>
      <c r="I36" s="383">
        <f t="array" ref="I36">IF((ROW(ISP!$A4)&gt;SUM(--(ISP!$I$9:$I$158&lt;&gt;"")))+(COLUMN()&gt;COLUMN(ISP!$KP$1)),"",INDEX(ISP!$A$9:$KP$158,SMALL(IF(ISP!$I$9:$I$158&lt;&gt;"",ROW(ISP!$I$9:$I$158)-ROW(ISP!$I$9)+1),ROW(ISP!$A4)),COLUMN()))</f>
        <v>16.650000000000002</v>
      </c>
      <c r="J36" s="497">
        <f t="array" ref="J36">IF((ROW(ISP!$A4)&gt;SUM(--(ISP!$I$9:$I$158&lt;&gt;"")))+(COLUMN()&gt;COLUMN(ISP!$KP$1)),"",INDEX(ISP!$A$9:$KP$158,SMALL(IF(ISP!$I$9:$I$158&lt;&gt;"",ROW(ISP!$I$9:$I$158)-ROW(ISP!$I$9)+1),ROW(ISP!$A4)),COLUMN()))</f>
        <v>16.650000000000002</v>
      </c>
      <c r="K36" s="879" t="str">
        <f t="array" ref="K36">IF((ROW(ISP!$A4)&gt;SUM(--(ISP!$I$9:$I$158&lt;&gt;"")))+(COLUMN()&gt;COLUMN(ISP!$KP$1)),"",INDEX(ISP!$A$9:$KP$158,SMALL(IF(ISP!$I$9:$I$158&lt;&gt;"",ROW(ISP!$I$9:$I$158)-ROW(ISP!$I$9)+1),ROW(ISP!$A4)),COLUMN()))</f>
        <v>NOV</v>
      </c>
      <c r="L36" s="775">
        <f t="array" ref="L36">IF((ROW(ISP!$A4)&gt;SUM(--(ISP!$I$9:$I$158&lt;&gt;"")))+(COLUMN()&gt;COLUMN(ISP!$KP$1)),"",INDEX(ISP!$A$9:$KP$158,SMALL(IF(ISP!$I$9:$I$158&lt;&gt;"",ROW(ISP!$I$9:$I$158)-ROW(ISP!$I$9)+1),ROW(ISP!$A4)),COLUMN()))</f>
        <v>11</v>
      </c>
      <c r="M36" s="775" t="str">
        <f t="array" ref="M36">IF((ROW(ISP!$A4)&gt;SUM(--(ISP!$I$9:$I$158&lt;&gt;"")))+(COLUMN()&gt;COLUMN(ISP!$KP$1)),"",INDEX(ISP!$A$9:$KP$158,SMALL(IF(ISP!$I$9:$I$158&lt;&gt;"",ROW(ISP!$I$9:$I$158)-ROW(ISP!$I$9)+1),ROW(ISP!$A4)),COLUMN()))</f>
        <v/>
      </c>
      <c r="N36" s="497" t="str">
        <f t="array" ref="N36">IF((ROW(ISP!$A4)&gt;SUM(--(ISP!$I$9:$I$158&lt;&gt;"")))+(COLUMN()&gt;COLUMN(ISP!$KP$1)),"",INDEX(ISP!$A$9:$KP$158,SMALL(IF(ISP!$I$9:$I$158&lt;&gt;"",ROW(ISP!$I$9:$I$158)-ROW(ISP!$I$9)+1),ROW(ISP!$A4)),COLUMN()))</f>
        <v/>
      </c>
      <c r="O36" s="383">
        <f t="array" ref="O36">IF((ROW(ISP!$A4)&gt;SUM(--(ISP!$I$9:$I$158&lt;&gt;"")))+(COLUMN()&gt;COLUMN(ISP!$KP$1)),"",INDEX(ISP!$A$9:$KP$158,SMALL(IF(ISP!$I$9:$I$158&lt;&gt;"",ROW(ISP!$I$9:$I$158)-ROW(ISP!$I$9)+1),ROW(ISP!$A4)),COLUMN()))</f>
        <v>16.650000000000002</v>
      </c>
      <c r="P36" s="497">
        <f t="array" ref="P36">IF((ROW(ISP!$A4)&gt;SUM(--(ISP!$I$9:$I$158&lt;&gt;"")))+(COLUMN()&gt;COLUMN(ISP!$KP$1)),"",INDEX(ISP!$A$9:$KP$158,SMALL(IF(ISP!$I$9:$I$158&lt;&gt;"",ROW(ISP!$I$9:$I$158)-ROW(ISP!$I$9)+1),ROW(ISP!$A4)),COLUMN()))</f>
        <v>95.94000244140625</v>
      </c>
      <c r="Q36" s="497">
        <f t="array" ref="Q36">IF((ROW(ISP!$A4)&gt;SUM(--(ISP!$I$9:$I$158&lt;&gt;"")))+(COLUMN()&gt;COLUMN(ISP!$KP$1)),"",INDEX(ISP!$A$9:$KP$158,SMALL(IF(ISP!$I$9:$I$158&lt;&gt;"",ROW(ISP!$I$9:$I$158)-ROW(ISP!$I$9)+1),ROW(ISP!$A4)),COLUMN()))</f>
        <v>0</v>
      </c>
      <c r="R36" s="497">
        <f t="array" ref="R36">IF((ROW(ISP!$A4)&gt;SUM(--(ISP!$I$9:$I$158&lt;&gt;"")))+(COLUMN()&gt;COLUMN(ISP!$KP$1)),"",INDEX(ISP!$A$9:$KP$158,SMALL(IF(ISP!$I$9:$I$158&lt;&gt;"",ROW(ISP!$I$9:$I$158)-ROW(ISP!$I$9)+1),ROW(ISP!$A4)),COLUMN()))</f>
        <v>0</v>
      </c>
      <c r="S36" s="497">
        <f t="array" aca="1" ref="S36" ca="1">IF((ROW(ISP!$A4)&gt;SUM(--(ISP!$I$9:$I$158&lt;&gt;"")))+(COLUMN()&gt;COLUMN(ISP!$KP$1)),"",INDEX(ISP!$A$9:$KP$158,SMALL(IF(ISP!$I$9:$I$158&lt;&gt;"",ROW(ISP!$I$9:$I$158)-ROW(ISP!$I$9)+1),ROW(ISP!$A4)),COLUMN()))</f>
        <v>0.13684931506855946</v>
      </c>
      <c r="T36" s="497">
        <f t="array" aca="1" ref="T36" ca="1">IF((ROW(ISP!$A4)&gt;SUM(--(ISP!$I$9:$I$158&lt;&gt;"")))+(COLUMN()&gt;COLUMN(ISP!$KP$1)),"",INDEX(ISP!$A$9:$KP$158,SMALL(IF(ISP!$I$9:$I$158&lt;&gt;"",ROW(ISP!$I$9:$I$158)-ROW(ISP!$I$9)+1),ROW(ISP!$A4)),COLUMN()))</f>
        <v>0.13684931506855946</v>
      </c>
      <c r="U36" s="497">
        <f t="array" ref="U36">IF((ROW(ISP!$A4)&gt;SUM(--(ISP!$I$9:$I$158&lt;&gt;"")))+(COLUMN()&gt;COLUMN(ISP!$KP$1)),"",INDEX(ISP!$A$9:$KP$158,SMALL(IF(ISP!$I$9:$I$158&lt;&gt;"",ROW(ISP!$I$9:$I$158)-ROW(ISP!$I$9)+1),ROW(ISP!$A4)),COLUMN()))</f>
        <v>0</v>
      </c>
      <c r="V36" s="497">
        <f t="array" ref="V36">IF((ROW(ISP!$A4)&gt;SUM(--(ISP!$I$9:$I$158&lt;&gt;"")))+(COLUMN()&gt;COLUMN(ISP!$KP$1)),"",INDEX(ISP!$A$9:$KP$158,SMALL(IF(ISP!$I$9:$I$158&lt;&gt;"",ROW(ISP!$I$9:$I$158)-ROW(ISP!$I$9)+1),ROW(ISP!$A4)),COLUMN()))</f>
        <v>0</v>
      </c>
      <c r="W36" s="497">
        <f t="array" ref="W36">IF((ROW(ISP!$A4)&gt;SUM(--(ISP!$I$9:$I$158&lt;&gt;"")))+(COLUMN()&gt;COLUMN(ISP!$KP$1)),"",INDEX(ISP!$A$9:$KP$158,SMALL(IF(ISP!$I$9:$I$158&lt;&gt;"",ROW(ISP!$I$9:$I$158)-ROW(ISP!$I$9)+1),ROW(ISP!$A4)),COLUMN()))</f>
        <v>0</v>
      </c>
      <c r="X36" s="497">
        <f t="array" aca="1" ref="X36" ca="1">IF((ROW(ISP!$A4)&gt;SUM(--(ISP!$I$9:$I$158&lt;&gt;"")))+(COLUMN()&gt;COLUMN(ISP!$KP$1)),"",INDEX(ISP!$A$9:$KP$158,SMALL(IF(ISP!$I$9:$I$158&lt;&gt;"",ROW(ISP!$I$9:$I$158)-ROW(ISP!$I$9)+1),ROW(ISP!$A4)),COLUMN()))</f>
        <v>3</v>
      </c>
      <c r="Y36" s="497">
        <f t="array" aca="1" ref="Y36" ca="1">IF((ROW(ISP!$A4)&gt;SUM(--(ISP!$I$9:$I$158&lt;&gt;"")))+(COLUMN()&gt;COLUMN(ISP!$KP$1)),"",INDEX(ISP!$A$9:$KP$158,SMALL(IF(ISP!$I$9:$I$158&lt;&gt;"",ROW(ISP!$I$9:$I$158)-ROW(ISP!$I$9)+1),ROW(ISP!$A4)),COLUMN()))</f>
        <v>2847.592526178003</v>
      </c>
      <c r="Z36" s="497">
        <f t="array" aca="1" ref="Z36" ca="1">IF((ROW(ISP!$A4)&gt;SUM(--(ISP!$I$9:$I$158&lt;&gt;"")))+(COLUMN()&gt;COLUMN(ISP!$KP$1)),"",INDEX(ISP!$A$9:$KP$158,SMALL(IF(ISP!$I$9:$I$158&lt;&gt;"",ROW(ISP!$I$9:$I$158)-ROW(ISP!$I$9)+1),ROW(ISP!$A4)),COLUMN()))</f>
        <v>27.443590634295891</v>
      </c>
      <c r="AA36" s="497">
        <f t="array" ref="AA36">IF((ROW(ISP!$A4)&gt;SUM(--(ISP!$I$9:$I$158&lt;&gt;"")))+(COLUMN()&gt;COLUMN(ISP!$KP$1)),"",INDEX(ISP!$A$9:$KP$158,SMALL(IF(ISP!$I$9:$I$158&lt;&gt;"",ROW(ISP!$I$9:$I$158)-ROW(ISP!$I$9)+1),ROW(ISP!$A4)),COLUMN()))</f>
        <v>0</v>
      </c>
      <c r="AB36" s="497">
        <f t="array" aca="1" ref="AB36" ca="1">IF((ROW(ISP!$A4)&gt;SUM(--(ISP!$I$9:$I$158&lt;&gt;"")))+(COLUMN()&gt;COLUMN(ISP!$KP$1)),"",INDEX(ISP!$A$9:$KP$158,SMALL(IF(ISP!$I$9:$I$158&lt;&gt;"",ROW(ISP!$I$9:$I$158)-ROW(ISP!$I$9)+1),ROW(ISP!$A4)),COLUMN()))</f>
        <v>959.536873729131</v>
      </c>
      <c r="AC36" s="497">
        <f t="array" aca="1" ref="AC36" ca="1">IF((ROW(ISP!$A4)&gt;SUM(--(ISP!$I$9:$I$158&lt;&gt;"")))+(COLUMN()&gt;COLUMN(ISP!$KP$1)),"",INDEX(ISP!$A$9:$KP$158,SMALL(IF(ISP!$I$9:$I$158&lt;&gt;"",ROW(ISP!$I$9:$I$158)-ROW(ISP!$I$9)+1),ROW(ISP!$A4)),COLUMN()))</f>
        <v>959.536873729131</v>
      </c>
      <c r="AD36" s="497">
        <f t="array" ref="AD36">IF((ROW(ISP!$A4)&gt;SUM(--(ISP!$I$9:$I$158&lt;&gt;"")))+(COLUMN()&gt;COLUMN(ISP!$KP$1)),"",INDEX(ISP!$A$9:$KP$158,SMALL(IF(ISP!$I$9:$I$158&lt;&gt;"",ROW(ISP!$I$9:$I$158)-ROW(ISP!$I$9)+1),ROW(ISP!$A4)),COLUMN()))</f>
        <v>-7.1938755859375192</v>
      </c>
      <c r="AE36" s="497">
        <f t="array" ref="AE36">IF((ROW(ISP!$A4)&gt;SUM(--(ISP!$I$9:$I$158&lt;&gt;"")))+(COLUMN()&gt;COLUMN(ISP!$KP$1)),"",INDEX(ISP!$A$9:$KP$158,SMALL(IF(ISP!$I$9:$I$158&lt;&gt;"",ROW(ISP!$I$9:$I$158)-ROW(ISP!$I$9)+1),ROW(ISP!$A4)),COLUMN()))</f>
        <v>-7.1938755859375192</v>
      </c>
      <c r="AF36" s="497">
        <f t="array" aca="1" ref="AF36" ca="1">IF((ROW(ISP!$A4)&gt;SUM(--(ISP!$I$9:$I$158&lt;&gt;"")))+(COLUMN()&gt;COLUMN(ISP!$KP$1)),"",INDEX(ISP!$A$9:$KP$158,SMALL(IF(ISP!$I$9:$I$158&lt;&gt;"",ROW(ISP!$I$9:$I$158)-ROW(ISP!$I$9)+1),ROW(ISP!$A4)),COLUMN()))</f>
        <v>2.8475925261780031</v>
      </c>
      <c r="AG36" s="983">
        <f t="array" aca="1" ref="AG36" ca="1">IF((ROW(ISP!$A4)&gt;SUM(--(ISP!$I$9:$I$158&lt;&gt;"")))+(COLUMN()&gt;COLUMN(ISP!$KP$1)),"",INDEX(ISP!$A$9:$KP$158,SMALL(IF(ISP!$I$9:$I$158&lt;&gt;"",ROW(ISP!$I$9:$I$158)-ROW(ISP!$I$9)+1),ROW(ISP!$A4)),COLUMN()))</f>
        <v>2.744359063429589E-2</v>
      </c>
      <c r="AH36" s="897" t="str">
        <f t="shared" si="3"/>
        <v>INTESA</v>
      </c>
      <c r="AJ36" s="906"/>
      <c r="AR36" s="772" t="s">
        <v>441</v>
      </c>
      <c r="AS36" s="772">
        <v>6</v>
      </c>
    </row>
    <row r="37" spans="1:45" s="807" customFormat="1" ht="12.75" customHeight="1">
      <c r="A37" s="854" t="str">
        <f t="array" ref="A37">IF((ROW(ISP!$A5)&gt;SUM(--(ISP!$I$9:$I$158&lt;&gt;"")))+(COLUMN()&gt;COLUMN(ISP!$KP$1)),"",INDEX(ISP!$A$9:$KP$158,SMALL(IF(ISP!$I$9:$I$158&lt;&gt;"",ROW(ISP!$I$9:$I$158)-ROW(ISP!$I$9)+1),ROW(ISP!$A5)),COLUMN()))</f>
        <v>ROMANIA</v>
      </c>
      <c r="B37" s="497" t="str">
        <f t="array" ref="B37">IF((ROW(ISP!$A5)&gt;SUM(--(ISP!$I$9:$I$158&lt;&gt;"")))+(COLUMN()&gt;COLUMN(ISP!$KP$1)),"",INDEX(ISP!$A$9:$KP$158,SMALL(IF(ISP!$I$9:$I$158&lt;&gt;"",ROW(ISP!$I$9:$I$158)-ROW(ISP!$I$9)+1),ROW(ISP!$A5)),COLUMN()))</f>
        <v>BBB</v>
      </c>
      <c r="C37" s="387">
        <f t="array" ref="C37">IF((ROW(ISP!$A5)&gt;SUM(--(ISP!$I$9:$I$158&lt;&gt;"")))+(COLUMN()&gt;COLUMN(ISP!$KP$1)),"",INDEX(ISP!$A$9:$KP$158,SMALL(IF(ISP!$I$9:$I$158&lt;&gt;"",ROW(ISP!$I$9:$I$158)-ROW(ISP!$I$9)+1),ROW(ISP!$A5)),COLUMN()))</f>
        <v>46819</v>
      </c>
      <c r="D37" s="497">
        <f t="array" ref="D37">IF((ROW(ISP!$A5)&gt;SUM(--(ISP!$I$9:$I$158&lt;&gt;"")))+(COLUMN()&gt;COLUMN(ISP!$KP$1)),"",INDEX(ISP!$A$9:$KP$158,SMALL(IF(ISP!$I$9:$I$158&lt;&gt;"",ROW(ISP!$I$9:$I$158)-ROW(ISP!$I$9)+1),ROW(ISP!$A5)),COLUMN()))</f>
        <v>44613</v>
      </c>
      <c r="E37" s="497">
        <f t="array" ref="E37">IF((ROW(ISP!$A5)&gt;SUM(--(ISP!$I$9:$I$158&lt;&gt;"")))+(COLUMN()&gt;COLUMN(ISP!$KP$1)),"",INDEX(ISP!$A$9:$KP$158,SMALL(IF(ISP!$I$9:$I$158&lt;&gt;"",ROW(ISP!$I$9:$I$158)-ROW(ISP!$I$9)+1),ROW(ISP!$A5)),COLUMN()))</f>
        <v>92.509596999999999</v>
      </c>
      <c r="F37" s="561">
        <f t="array" ref="F37">IF((ROW(ISP!$A5)&gt;SUM(--(ISP!$I$9:$I$158&lt;&gt;"")))+(COLUMN()&gt;COLUMN(ISP!$KP$1)),"",INDEX(ISP!$A$9:$KP$158,SMALL(IF(ISP!$I$9:$I$158&lt;&gt;"",ROW(ISP!$I$9:$I$158)-ROW(ISP!$I$9)+1),ROW(ISP!$A5)),COLUMN()))</f>
        <v>2.1250000000000002E-2</v>
      </c>
      <c r="G37" s="383">
        <f t="array" ref="G37">IF((ROW(ISP!$A5)&gt;SUM(--(ISP!$I$9:$I$158&lt;&gt;"")))+(COLUMN()&gt;COLUMN(ISP!$KP$1)),"",INDEX(ISP!$A$9:$KP$158,SMALL(IF(ISP!$I$9:$I$158&lt;&gt;"",ROW(ISP!$I$9:$I$158)-ROW(ISP!$I$9)+1),ROW(ISP!$A5)),COLUMN()))</f>
        <v>1000</v>
      </c>
      <c r="H37" s="497">
        <f t="array" ref="H37">IF((ROW(ISP!$A5)&gt;SUM(--(ISP!$I$9:$I$158&lt;&gt;"")))+(COLUMN()&gt;COLUMN(ISP!$KP$1)),"",INDEX(ISP!$A$9:$KP$158,SMALL(IF(ISP!$I$9:$I$158&lt;&gt;"",ROW(ISP!$I$9:$I$158)-ROW(ISP!$I$9)+1),ROW(ISP!$A5)),COLUMN()))</f>
        <v>1000</v>
      </c>
      <c r="I37" s="383">
        <f t="array" ref="I37">IF((ROW(ISP!$A5)&gt;SUM(--(ISP!$I$9:$I$158&lt;&gt;"")))+(COLUMN()&gt;COLUMN(ISP!$KP$1)),"",INDEX(ISP!$A$9:$KP$158,SMALL(IF(ISP!$I$9:$I$158&lt;&gt;"",ROW(ISP!$I$9:$I$158)-ROW(ISP!$I$9)+1),ROW(ISP!$A5)),COLUMN()))</f>
        <v>18.59375</v>
      </c>
      <c r="J37" s="497">
        <f t="array" ref="J37">IF((ROW(ISP!$A5)&gt;SUM(--(ISP!$I$9:$I$158&lt;&gt;"")))+(COLUMN()&gt;COLUMN(ISP!$KP$1)),"",INDEX(ISP!$A$9:$KP$158,SMALL(IF(ISP!$I$9:$I$158&lt;&gt;"",ROW(ISP!$I$9:$I$158)-ROW(ISP!$I$9)+1),ROW(ISP!$A5)),COLUMN()))</f>
        <v>18.59375</v>
      </c>
      <c r="K37" s="879" t="str">
        <f t="array" ref="K37">IF((ROW(ISP!$A5)&gt;SUM(--(ISP!$I$9:$I$158&lt;&gt;"")))+(COLUMN()&gt;COLUMN(ISP!$KP$1)),"",INDEX(ISP!$A$9:$KP$158,SMALL(IF(ISP!$I$9:$I$158&lt;&gt;"",ROW(ISP!$I$9:$I$158)-ROW(ISP!$I$9)+1),ROW(ISP!$A5)),COLUMN()))</f>
        <v>MAR</v>
      </c>
      <c r="L37" s="775">
        <f t="array" ref="L37">IF((ROW(ISP!$A5)&gt;SUM(--(ISP!$I$9:$I$158&lt;&gt;"")))+(COLUMN()&gt;COLUMN(ISP!$KP$1)),"",INDEX(ISP!$A$9:$KP$158,SMALL(IF(ISP!$I$9:$I$158&lt;&gt;"",ROW(ISP!$I$9:$I$158)-ROW(ISP!$I$9)+1),ROW(ISP!$A5)),COLUMN()))</f>
        <v>3</v>
      </c>
      <c r="M37" s="775" t="str">
        <f t="array" ref="M37">IF((ROW(ISP!$A5)&gt;SUM(--(ISP!$I$9:$I$158&lt;&gt;"")))+(COLUMN()&gt;COLUMN(ISP!$KP$1)),"",INDEX(ISP!$A$9:$KP$158,SMALL(IF(ISP!$I$9:$I$158&lt;&gt;"",ROW(ISP!$I$9:$I$158)-ROW(ISP!$I$9)+1),ROW(ISP!$A5)),COLUMN()))</f>
        <v/>
      </c>
      <c r="N37" s="497" t="str">
        <f t="array" ref="N37">IF((ROW(ISP!$A5)&gt;SUM(--(ISP!$I$9:$I$158&lt;&gt;"")))+(COLUMN()&gt;COLUMN(ISP!$KP$1)),"",INDEX(ISP!$A$9:$KP$158,SMALL(IF(ISP!$I$9:$I$158&lt;&gt;"",ROW(ISP!$I$9:$I$158)-ROW(ISP!$I$9)+1),ROW(ISP!$A5)),COLUMN()))</f>
        <v/>
      </c>
      <c r="O37" s="383">
        <f t="array" ref="O37">IF((ROW(ISP!$A5)&gt;SUM(--(ISP!$I$9:$I$158&lt;&gt;"")))+(COLUMN()&gt;COLUMN(ISP!$KP$1)),"",INDEX(ISP!$A$9:$KP$158,SMALL(IF(ISP!$I$9:$I$158&lt;&gt;"",ROW(ISP!$I$9:$I$158)-ROW(ISP!$I$9)+1),ROW(ISP!$A5)),COLUMN()))</f>
        <v>18.59375</v>
      </c>
      <c r="P37" s="497">
        <f t="array" ref="P37">IF((ROW(ISP!$A5)&gt;SUM(--(ISP!$I$9:$I$158&lt;&gt;"")))+(COLUMN()&gt;COLUMN(ISP!$KP$1)),"",INDEX(ISP!$A$9:$KP$158,SMALL(IF(ISP!$I$9:$I$158&lt;&gt;"",ROW(ISP!$I$9:$I$158)-ROW(ISP!$I$9)+1),ROW(ISP!$A5)),COLUMN()))</f>
        <v>94.55999755859375</v>
      </c>
      <c r="Q37" s="497">
        <f t="array" ref="Q37">IF((ROW(ISP!$A5)&gt;SUM(--(ISP!$I$9:$I$158&lt;&gt;"")))+(COLUMN()&gt;COLUMN(ISP!$KP$1)),"",INDEX(ISP!$A$9:$KP$158,SMALL(IF(ISP!$I$9:$I$158&lt;&gt;"",ROW(ISP!$I$9:$I$158)-ROW(ISP!$I$9)+1),ROW(ISP!$A5)),COLUMN()))</f>
        <v>0</v>
      </c>
      <c r="R37" s="497">
        <f t="array" ref="R37">IF((ROW(ISP!$A5)&gt;SUM(--(ISP!$I$9:$I$158&lt;&gt;"")))+(COLUMN()&gt;COLUMN(ISP!$KP$1)),"",INDEX(ISP!$A$9:$KP$158,SMALL(IF(ISP!$I$9:$I$158&lt;&gt;"",ROW(ISP!$I$9:$I$158)-ROW(ISP!$I$9)+1),ROW(ISP!$A5)),COLUMN()))</f>
        <v>0</v>
      </c>
      <c r="S37" s="497">
        <f t="array" aca="1" ref="S37" ca="1">IF((ROW(ISP!$A5)&gt;SUM(--(ISP!$I$9:$I$158&lt;&gt;"")))+(COLUMN()&gt;COLUMN(ISP!$KP$1)),"",INDEX(ISP!$A$9:$KP$158,SMALL(IF(ISP!$I$9:$I$158&lt;&gt;"",ROW(ISP!$I$9:$I$158)-ROW(ISP!$I$9)+1),ROW(ISP!$A5)),COLUMN()))</f>
        <v>12.786386986301352</v>
      </c>
      <c r="T37" s="497">
        <f t="array" aca="1" ref="T37" ca="1">IF((ROW(ISP!$A5)&gt;SUM(--(ISP!$I$9:$I$158&lt;&gt;"")))+(COLUMN()&gt;COLUMN(ISP!$KP$1)),"",INDEX(ISP!$A$9:$KP$158,SMALL(IF(ISP!$I$9:$I$158&lt;&gt;"",ROW(ISP!$I$9:$I$158)-ROW(ISP!$I$9)+1),ROW(ISP!$A5)),COLUMN()))</f>
        <v>12.786386986301352</v>
      </c>
      <c r="U37" s="497">
        <f t="array" ref="U37">IF((ROW(ISP!$A5)&gt;SUM(--(ISP!$I$9:$I$158&lt;&gt;"")))+(COLUMN()&gt;COLUMN(ISP!$KP$1)),"",INDEX(ISP!$A$9:$KP$158,SMALL(IF(ISP!$I$9:$I$158&lt;&gt;"",ROW(ISP!$I$9:$I$158)-ROW(ISP!$I$9)+1),ROW(ISP!$A5)),COLUMN()))</f>
        <v>0</v>
      </c>
      <c r="V37" s="497">
        <f t="array" ref="V37">IF((ROW(ISP!$A5)&gt;SUM(--(ISP!$I$9:$I$158&lt;&gt;"")))+(COLUMN()&gt;COLUMN(ISP!$KP$1)),"",INDEX(ISP!$A$9:$KP$158,SMALL(IF(ISP!$I$9:$I$158&lt;&gt;"",ROW(ISP!$I$9:$I$158)-ROW(ISP!$I$9)+1),ROW(ISP!$A5)),COLUMN()))</f>
        <v>0</v>
      </c>
      <c r="W37" s="497">
        <f t="array" ref="W37">IF((ROW(ISP!$A5)&gt;SUM(--(ISP!$I$9:$I$158&lt;&gt;"")))+(COLUMN()&gt;COLUMN(ISP!$KP$1)),"",INDEX(ISP!$A$9:$KP$158,SMALL(IF(ISP!$I$9:$I$158&lt;&gt;"",ROW(ISP!$I$9:$I$158)-ROW(ISP!$I$9)+1),ROW(ISP!$A5)),COLUMN()))</f>
        <v>0</v>
      </c>
      <c r="X37" s="497">
        <f t="array" aca="1" ref="X37" ca="1">IF((ROW(ISP!$A5)&gt;SUM(--(ISP!$I$9:$I$158&lt;&gt;"")))+(COLUMN()&gt;COLUMN(ISP!$KP$1)),"",INDEX(ISP!$A$9:$KP$158,SMALL(IF(ISP!$I$9:$I$158&lt;&gt;"",ROW(ISP!$I$9:$I$158)-ROW(ISP!$I$9)+1),ROW(ISP!$A5)),COLUMN()))</f>
        <v>251</v>
      </c>
      <c r="Y37" s="497">
        <f t="array" aca="1" ref="Y37" ca="1">IF((ROW(ISP!$A5)&gt;SUM(--(ISP!$I$9:$I$158&lt;&gt;"")))+(COLUMN()&gt;COLUMN(ISP!$KP$1)),"",INDEX(ISP!$A$9:$KP$158,SMALL(IF(ISP!$I$9:$I$158&lt;&gt;"",ROW(ISP!$I$9:$I$158)-ROW(ISP!$I$9)+1),ROW(ISP!$A5)),COLUMN()))</f>
        <v>3080.4649723854632</v>
      </c>
      <c r="Z37" s="497">
        <f t="array" aca="1" ref="Z37" ca="1">IF((ROW(ISP!$A5)&gt;SUM(--(ISP!$I$9:$I$158&lt;&gt;"")))+(COLUMN()&gt;COLUMN(ISP!$KP$1)),"",INDEX(ISP!$A$9:$KP$158,SMALL(IF(ISP!$I$9:$I$158&lt;&gt;"",ROW(ISP!$I$9:$I$158)-ROW(ISP!$I$9)+1),ROW(ISP!$A5)),COLUMN()))</f>
        <v>34.166954807364853</v>
      </c>
      <c r="AA37" s="497">
        <f t="array" ref="AA37">IF((ROW(ISP!$A5)&gt;SUM(--(ISP!$I$9:$I$158&lt;&gt;"")))+(COLUMN()&gt;COLUMN(ISP!$KP$1)),"",INDEX(ISP!$A$9:$KP$158,SMALL(IF(ISP!$I$9:$I$158&lt;&gt;"",ROW(ISP!$I$9:$I$158)-ROW(ISP!$I$9)+1),ROW(ISP!$A5)),COLUMN()))</f>
        <v>0</v>
      </c>
      <c r="AB37" s="497">
        <f t="array" aca="1" ref="AB37" ca="1">IF((ROW(ISP!$A5)&gt;SUM(--(ISP!$I$9:$I$158&lt;&gt;"")))+(COLUMN()&gt;COLUMN(ISP!$KP$1)),"",INDEX(ISP!$A$9:$KP$158,SMALL(IF(ISP!$I$9:$I$158&lt;&gt;"",ROW(ISP!$I$9:$I$158)-ROW(ISP!$I$9)+1),ROW(ISP!$A5)),COLUMN()))</f>
        <v>958.3863625722388</v>
      </c>
      <c r="AC37" s="497">
        <f t="array" aca="1" ref="AC37" ca="1">IF((ROW(ISP!$A5)&gt;SUM(--(ISP!$I$9:$I$158&lt;&gt;"")))+(COLUMN()&gt;COLUMN(ISP!$KP$1)),"",INDEX(ISP!$A$9:$KP$158,SMALL(IF(ISP!$I$9:$I$158&lt;&gt;"",ROW(ISP!$I$9:$I$158)-ROW(ISP!$I$9)+1),ROW(ISP!$A5)),COLUMN()))</f>
        <v>958.3863625722388</v>
      </c>
      <c r="AD37" s="497">
        <f t="array" ref="AD37">IF((ROW(ISP!$A5)&gt;SUM(--(ISP!$I$9:$I$158&lt;&gt;"")))+(COLUMN()&gt;COLUMN(ISP!$KP$1)),"",INDEX(ISP!$A$9:$KP$158,SMALL(IF(ISP!$I$9:$I$158&lt;&gt;"",ROW(ISP!$I$9:$I$158)-ROW(ISP!$I$9)+1),ROW(ISP!$A5)),COLUMN()))</f>
        <v>20.504005585937506</v>
      </c>
      <c r="AE37" s="497">
        <f t="array" ref="AE37">IF((ROW(ISP!$A5)&gt;SUM(--(ISP!$I$9:$I$158&lt;&gt;"")))+(COLUMN()&gt;COLUMN(ISP!$KP$1)),"",INDEX(ISP!$A$9:$KP$158,SMALL(IF(ISP!$I$9:$I$158&lt;&gt;"",ROW(ISP!$I$9:$I$158)-ROW(ISP!$I$9)+1),ROW(ISP!$A5)),COLUMN()))</f>
        <v>20.504005585937506</v>
      </c>
      <c r="AF37" s="497">
        <f t="array" aca="1" ref="AF37" ca="1">IF((ROW(ISP!$A5)&gt;SUM(--(ISP!$I$9:$I$158&lt;&gt;"")))+(COLUMN()&gt;COLUMN(ISP!$KP$1)),"",INDEX(ISP!$A$9:$KP$158,SMALL(IF(ISP!$I$9:$I$158&lt;&gt;"",ROW(ISP!$I$9:$I$158)-ROW(ISP!$I$9)+1),ROW(ISP!$A5)),COLUMN()))</f>
        <v>3.0804649723854634</v>
      </c>
      <c r="AG37" s="983">
        <f t="array" aca="1" ref="AG37" ca="1">IF((ROW(ISP!$A5)&gt;SUM(--(ISP!$I$9:$I$158&lt;&gt;"")))+(COLUMN()&gt;COLUMN(ISP!$KP$1)),"",INDEX(ISP!$A$9:$KP$158,SMALL(IF(ISP!$I$9:$I$158&lt;&gt;"",ROW(ISP!$I$9:$I$158)-ROW(ISP!$I$9)+1),ROW(ISP!$A5)),COLUMN()))</f>
        <v>3.4166954807364855E-2</v>
      </c>
      <c r="AH37" s="897" t="str">
        <f t="shared" si="3"/>
        <v>INTESA</v>
      </c>
      <c r="AJ37" s="906"/>
      <c r="AR37" s="772" t="s">
        <v>440</v>
      </c>
      <c r="AS37" s="772">
        <v>7</v>
      </c>
    </row>
    <row r="38" spans="1:45" s="807" customFormat="1" ht="12.75" customHeight="1">
      <c r="A38" s="854" t="str">
        <f t="array" ref="A38">IF((ROW(ISP!$A6)&gt;SUM(--(ISP!$I$9:$I$158&lt;&gt;"")))+(COLUMN()&gt;COLUMN(ISP!$KP$1)),"",INDEX(ISP!$A$9:$KP$158,SMALL(IF(ISP!$I$9:$I$158&lt;&gt;"",ROW(ISP!$I$9:$I$158)-ROW(ISP!$I$9)+1),ROW(ISP!$A6)),COLUMN()))</f>
        <v>SOCIETE GENERALE</v>
      </c>
      <c r="B38" s="497" t="str">
        <f t="array" ref="B38">IF((ROW(ISP!$A6)&gt;SUM(--(ISP!$I$9:$I$158&lt;&gt;"")))+(COLUMN()&gt;COLUMN(ISP!$KP$1)),"",INDEX(ISP!$A$9:$KP$158,SMALL(IF(ISP!$I$9:$I$158&lt;&gt;"",ROW(ISP!$I$9:$I$158)-ROW(ISP!$I$9)+1),ROW(ISP!$A6)),COLUMN()))</f>
        <v>A</v>
      </c>
      <c r="C38" s="387">
        <f t="array" ref="C38">IF((ROW(ISP!$A6)&gt;SUM(--(ISP!$I$9:$I$158&lt;&gt;"")))+(COLUMN()&gt;COLUMN(ISP!$KP$1)),"",INDEX(ISP!$A$9:$KP$158,SMALL(IF(ISP!$I$9:$I$158&lt;&gt;"",ROW(ISP!$I$9:$I$158)-ROW(ISP!$I$9)+1),ROW(ISP!$A6)),COLUMN()))</f>
        <v>46931</v>
      </c>
      <c r="D38" s="497">
        <f t="array" ref="D38">IF((ROW(ISP!$A6)&gt;SUM(--(ISP!$I$9:$I$158&lt;&gt;"")))+(COLUMN()&gt;COLUMN(ISP!$KP$1)),"",INDEX(ISP!$A$9:$KP$158,SMALL(IF(ISP!$I$9:$I$158&lt;&gt;"",ROW(ISP!$I$9:$I$158)-ROW(ISP!$I$9)+1),ROW(ISP!$A6)),COLUMN()))</f>
        <v>45173</v>
      </c>
      <c r="E38" s="497">
        <f t="array" ref="E38">IF((ROW(ISP!$A6)&gt;SUM(--(ISP!$I$9:$I$158&lt;&gt;"")))+(COLUMN()&gt;COLUMN(ISP!$KP$1)),"",INDEX(ISP!$A$9:$KP$158,SMALL(IF(ISP!$I$9:$I$158&lt;&gt;"",ROW(ISP!$I$9:$I$158)-ROW(ISP!$I$9)+1),ROW(ISP!$A6)),COLUMN()))</f>
        <v>97.09</v>
      </c>
      <c r="F38" s="561">
        <f t="array" ref="F38">IF((ROW(ISP!$A6)&gt;SUM(--(ISP!$I$9:$I$158&lt;&gt;"")))+(COLUMN()&gt;COLUMN(ISP!$KP$1)),"",INDEX(ISP!$A$9:$KP$158,SMALL(IF(ISP!$I$9:$I$158&lt;&gt;"",ROW(ISP!$I$9:$I$158)-ROW(ISP!$I$9)+1),ROW(ISP!$A6)),COLUMN()))</f>
        <v>3.95E-2</v>
      </c>
      <c r="G38" s="383">
        <f t="array" ref="G38">IF((ROW(ISP!$A6)&gt;SUM(--(ISP!$I$9:$I$158&lt;&gt;"")))+(COLUMN()&gt;COLUMN(ISP!$KP$1)),"",INDEX(ISP!$A$9:$KP$158,SMALL(IF(ISP!$I$9:$I$158&lt;&gt;"",ROW(ISP!$I$9:$I$158)-ROW(ISP!$I$9)+1),ROW(ISP!$A6)),COLUMN()))</f>
        <v>1000</v>
      </c>
      <c r="H38" s="497">
        <f t="array" ref="H38">IF((ROW(ISP!$A6)&gt;SUM(--(ISP!$I$9:$I$158&lt;&gt;"")))+(COLUMN()&gt;COLUMN(ISP!$KP$1)),"",INDEX(ISP!$A$9:$KP$158,SMALL(IF(ISP!$I$9:$I$158&lt;&gt;"",ROW(ISP!$I$9:$I$158)-ROW(ISP!$I$9)+1),ROW(ISP!$A6)),COLUMN()))</f>
        <v>1000</v>
      </c>
      <c r="I38" s="383">
        <f t="array" ref="I38">IF((ROW(ISP!$A6)&gt;SUM(--(ISP!$I$9:$I$158&lt;&gt;"")))+(COLUMN()&gt;COLUMN(ISP!$KP$1)),"",INDEX(ISP!$A$9:$KP$158,SMALL(IF(ISP!$I$9:$I$158&lt;&gt;"",ROW(ISP!$I$9:$I$158)-ROW(ISP!$I$9)+1),ROW(ISP!$A6)),COLUMN()))</f>
        <v>29.23</v>
      </c>
      <c r="J38" s="497">
        <f t="array" ref="J38">IF((ROW(ISP!$A6)&gt;SUM(--(ISP!$I$9:$I$158&lt;&gt;"")))+(COLUMN()&gt;COLUMN(ISP!$KP$1)),"",INDEX(ISP!$A$9:$KP$158,SMALL(IF(ISP!$I$9:$I$158&lt;&gt;"",ROW(ISP!$I$9:$I$158)-ROW(ISP!$I$9)+1),ROW(ISP!$A6)),COLUMN()))</f>
        <v>29.23</v>
      </c>
      <c r="K38" s="879" t="str">
        <f t="array" ref="K38">IF((ROW(ISP!$A6)&gt;SUM(--(ISP!$I$9:$I$158&lt;&gt;"")))+(COLUMN()&gt;COLUMN(ISP!$KP$1)),"",INDEX(ISP!$A$9:$KP$158,SMALL(IF(ISP!$I$9:$I$158&lt;&gt;"",ROW(ISP!$I$9:$I$158)-ROW(ISP!$I$9)+1),ROW(ISP!$A6)),COLUMN()))</f>
        <v>GIU/DIC</v>
      </c>
      <c r="L38" s="775">
        <f t="array" ref="L38">IF((ROW(ISP!$A6)&gt;SUM(--(ISP!$I$9:$I$158&lt;&gt;"")))+(COLUMN()&gt;COLUMN(ISP!$KP$1)),"",INDEX(ISP!$A$9:$KP$158,SMALL(IF(ISP!$I$9:$I$158&lt;&gt;"",ROW(ISP!$I$9:$I$158)-ROW(ISP!$I$9)+1),ROW(ISP!$A6)),COLUMN()))</f>
        <v>6</v>
      </c>
      <c r="M38" s="775">
        <f t="array" ref="M38">IF((ROW(ISP!$A6)&gt;SUM(--(ISP!$I$9:$I$158&lt;&gt;"")))+(COLUMN()&gt;COLUMN(ISP!$KP$1)),"",INDEX(ISP!$A$9:$KP$158,SMALL(IF(ISP!$I$9:$I$158&lt;&gt;"",ROW(ISP!$I$9:$I$158)-ROW(ISP!$I$9)+1),ROW(ISP!$A6)),COLUMN()))</f>
        <v>12</v>
      </c>
      <c r="N38" s="497">
        <f t="array" ref="N38">IF((ROW(ISP!$A6)&gt;SUM(--(ISP!$I$9:$I$158&lt;&gt;"")))+(COLUMN()&gt;COLUMN(ISP!$KP$1)),"",INDEX(ISP!$A$9:$KP$158,SMALL(IF(ISP!$I$9:$I$158&lt;&gt;"",ROW(ISP!$I$9:$I$158)-ROW(ISP!$I$9)+1),ROW(ISP!$A6)),COLUMN()))</f>
        <v>12</v>
      </c>
      <c r="O38" s="383">
        <f t="array" ref="O38">IF((ROW(ISP!$A6)&gt;SUM(--(ISP!$I$9:$I$158&lt;&gt;"")))+(COLUMN()&gt;COLUMN(ISP!$KP$1)),"",INDEX(ISP!$A$9:$KP$158,SMALL(IF(ISP!$I$9:$I$158&lt;&gt;"",ROW(ISP!$I$9:$I$158)-ROW(ISP!$I$9)+1),ROW(ISP!$A6)),COLUMN()))</f>
        <v>14.615</v>
      </c>
      <c r="P38" s="497">
        <f t="array" ref="P38">IF((ROW(ISP!$A6)&gt;SUM(--(ISP!$I$9:$I$158&lt;&gt;"")))+(COLUMN()&gt;COLUMN(ISP!$KP$1)),"",INDEX(ISP!$A$9:$KP$158,SMALL(IF(ISP!$I$9:$I$158&lt;&gt;"",ROW(ISP!$I$9:$I$158)-ROW(ISP!$I$9)+1),ROW(ISP!$A6)),COLUMN()))</f>
        <v>101.12999725341797</v>
      </c>
      <c r="Q38" s="497">
        <f t="array" ref="Q38">IF((ROW(ISP!$A6)&gt;SUM(--(ISP!$I$9:$I$158&lt;&gt;"")))+(COLUMN()&gt;COLUMN(ISP!$KP$1)),"",INDEX(ISP!$A$9:$KP$158,SMALL(IF(ISP!$I$9:$I$158&lt;&gt;"",ROW(ISP!$I$9:$I$158)-ROW(ISP!$I$9)+1),ROW(ISP!$A6)),COLUMN()))</f>
        <v>0</v>
      </c>
      <c r="R38" s="497">
        <f t="array" ref="R38">IF((ROW(ISP!$A6)&gt;SUM(--(ISP!$I$9:$I$158&lt;&gt;"")))+(COLUMN()&gt;COLUMN(ISP!$KP$1)),"",INDEX(ISP!$A$9:$KP$158,SMALL(IF(ISP!$I$9:$I$158&lt;&gt;"",ROW(ISP!$I$9:$I$158)-ROW(ISP!$I$9)+1),ROW(ISP!$A6)),COLUMN()))</f>
        <v>0</v>
      </c>
      <c r="S38" s="497">
        <f t="array" aca="1" ref="S38" ca="1">IF((ROW(ISP!$A6)&gt;SUM(--(ISP!$I$9:$I$158&lt;&gt;"")))+(COLUMN()&gt;COLUMN(ISP!$KP$1)),"",INDEX(ISP!$A$9:$KP$158,SMALL(IF(ISP!$I$9:$I$158&lt;&gt;"",ROW(ISP!$I$9:$I$158)-ROW(ISP!$I$9)+1),ROW(ISP!$A6)),COLUMN()))</f>
        <v>10.891178082191743</v>
      </c>
      <c r="T38" s="497">
        <f t="array" aca="1" ref="T38" ca="1">IF((ROW(ISP!$A6)&gt;SUM(--(ISP!$I$9:$I$158&lt;&gt;"")))+(COLUMN()&gt;COLUMN(ISP!$KP$1)),"",INDEX(ISP!$A$9:$KP$158,SMALL(IF(ISP!$I$9:$I$158&lt;&gt;"",ROW(ISP!$I$9:$I$158)-ROW(ISP!$I$9)+1),ROW(ISP!$A6)),COLUMN()))</f>
        <v>10.891178082191743</v>
      </c>
      <c r="U38" s="497">
        <f t="array" ref="U38">IF((ROW(ISP!$A6)&gt;SUM(--(ISP!$I$9:$I$158&lt;&gt;"")))+(COLUMN()&gt;COLUMN(ISP!$KP$1)),"",INDEX(ISP!$A$9:$KP$158,SMALL(IF(ISP!$I$9:$I$158&lt;&gt;"",ROW(ISP!$I$9:$I$158)-ROW(ISP!$I$9)+1),ROW(ISP!$A6)),COLUMN()))</f>
        <v>0</v>
      </c>
      <c r="V38" s="497">
        <f t="array" ref="V38">IF((ROW(ISP!$A6)&gt;SUM(--(ISP!$I$9:$I$158&lt;&gt;"")))+(COLUMN()&gt;COLUMN(ISP!$KP$1)),"",INDEX(ISP!$A$9:$KP$158,SMALL(IF(ISP!$I$9:$I$158&lt;&gt;"",ROW(ISP!$I$9:$I$158)-ROW(ISP!$I$9)+1),ROW(ISP!$A6)),COLUMN()))</f>
        <v>0</v>
      </c>
      <c r="W38" s="497">
        <f t="array" ref="W38">IF((ROW(ISP!$A6)&gt;SUM(--(ISP!$I$9:$I$158&lt;&gt;"")))+(COLUMN()&gt;COLUMN(ISP!$KP$1)),"",INDEX(ISP!$A$9:$KP$158,SMALL(IF(ISP!$I$9:$I$158&lt;&gt;"",ROW(ISP!$I$9:$I$158)-ROW(ISP!$I$9)+1),ROW(ISP!$A6)),COLUMN()))</f>
        <v>0</v>
      </c>
      <c r="X38" s="497">
        <f t="array" aca="1" ref="X38" ca="1">IF((ROW(ISP!$A6)&gt;SUM(--(ISP!$I$9:$I$158&lt;&gt;"")))+(COLUMN()&gt;COLUMN(ISP!$KP$1)),"",INDEX(ISP!$A$9:$KP$158,SMALL(IF(ISP!$I$9:$I$158&lt;&gt;"",ROW(ISP!$I$9:$I$158)-ROW(ISP!$I$9)+1),ROW(ISP!$A6)),COLUMN()))</f>
        <v>136</v>
      </c>
      <c r="Y38" s="497">
        <f t="array" aca="1" ref="Y38" ca="1">IF((ROW(ISP!$A6)&gt;SUM(--(ISP!$I$9:$I$158&lt;&gt;"")))+(COLUMN()&gt;COLUMN(ISP!$KP$1)),"",INDEX(ISP!$A$9:$KP$158,SMALL(IF(ISP!$I$9:$I$158&lt;&gt;"",ROW(ISP!$I$9:$I$158)-ROW(ISP!$I$9)+1),ROW(ISP!$A6)),COLUMN()))</f>
        <v>3324.2069260267617</v>
      </c>
      <c r="Z38" s="497">
        <f t="array" aca="1" ref="Z38" ca="1">IF((ROW(ISP!$A6)&gt;SUM(--(ISP!$I$9:$I$158&lt;&gt;"")))+(COLUMN()&gt;COLUMN(ISP!$KP$1)),"",INDEX(ISP!$A$9:$KP$158,SMALL(IF(ISP!$I$9:$I$158&lt;&gt;"",ROW(ISP!$I$9:$I$158)-ROW(ISP!$I$9)+1),ROW(ISP!$A6)),COLUMN()))</f>
        <v>26.739156387296067</v>
      </c>
      <c r="AA38" s="497">
        <f t="array" ref="AA38">IF((ROW(ISP!$A6)&gt;SUM(--(ISP!$I$9:$I$158&lt;&gt;"")))+(COLUMN()&gt;COLUMN(ISP!$KP$1)),"",INDEX(ISP!$A$9:$KP$158,SMALL(IF(ISP!$I$9:$I$158&lt;&gt;"",ROW(ISP!$I$9:$I$158)-ROW(ISP!$I$9)+1),ROW(ISP!$A6)),COLUMN()))</f>
        <v>0</v>
      </c>
      <c r="AB38" s="497">
        <f t="array" aca="1" ref="AB38" ca="1">IF((ROW(ISP!$A6)&gt;SUM(--(ISP!$I$9:$I$158&lt;&gt;"")))+(COLUMN()&gt;COLUMN(ISP!$KP$1)),"",INDEX(ISP!$A$9:$KP$158,SMALL(IF(ISP!$I$9:$I$158&lt;&gt;"",ROW(ISP!$I$9:$I$158)-ROW(ISP!$I$9)+1),ROW(ISP!$A6)),COLUMN()))</f>
        <v>1022.1911506163715</v>
      </c>
      <c r="AC38" s="497">
        <f t="array" aca="1" ref="AC38" ca="1">IF((ROW(ISP!$A6)&gt;SUM(--(ISP!$I$9:$I$158&lt;&gt;"")))+(COLUMN()&gt;COLUMN(ISP!$KP$1)),"",INDEX(ISP!$A$9:$KP$158,SMALL(IF(ISP!$I$9:$I$158&lt;&gt;"",ROW(ISP!$I$9:$I$158)-ROW(ISP!$I$9)+1),ROW(ISP!$A6)),COLUMN()))</f>
        <v>1022.1911506163715</v>
      </c>
      <c r="AD38" s="497">
        <f t="array" ref="AD38">IF((ROW(ISP!$A6)&gt;SUM(--(ISP!$I$9:$I$158&lt;&gt;"")))+(COLUMN()&gt;COLUMN(ISP!$KP$1)),"",INDEX(ISP!$A$9:$KP$158,SMALL(IF(ISP!$I$9:$I$158&lt;&gt;"",ROW(ISP!$I$9:$I$158)-ROW(ISP!$I$9)+1),ROW(ISP!$A6)),COLUMN()))</f>
        <v>40.399972534179653</v>
      </c>
      <c r="AE38" s="497">
        <f t="array" ref="AE38">IF((ROW(ISP!$A6)&gt;SUM(--(ISP!$I$9:$I$158&lt;&gt;"")))+(COLUMN()&gt;COLUMN(ISP!$KP$1)),"",INDEX(ISP!$A$9:$KP$158,SMALL(IF(ISP!$I$9:$I$158&lt;&gt;"",ROW(ISP!$I$9:$I$158)-ROW(ISP!$I$9)+1),ROW(ISP!$A6)),COLUMN()))</f>
        <v>40.399972534179653</v>
      </c>
      <c r="AF38" s="497">
        <f t="array" aca="1" ref="AF38" ca="1">IF((ROW(ISP!$A6)&gt;SUM(--(ISP!$I$9:$I$158&lt;&gt;"")))+(COLUMN()&gt;COLUMN(ISP!$KP$1)),"",INDEX(ISP!$A$9:$KP$158,SMALL(IF(ISP!$I$9:$I$158&lt;&gt;"",ROW(ISP!$I$9:$I$158)-ROW(ISP!$I$9)+1),ROW(ISP!$A6)),COLUMN()))</f>
        <v>3.3242069260267617</v>
      </c>
      <c r="AG38" s="983">
        <f t="array" aca="1" ref="AG38" ca="1">IF((ROW(ISP!$A6)&gt;SUM(--(ISP!$I$9:$I$158&lt;&gt;"")))+(COLUMN()&gt;COLUMN(ISP!$KP$1)),"",INDEX(ISP!$A$9:$KP$158,SMALL(IF(ISP!$I$9:$I$158&lt;&gt;"",ROW(ISP!$I$9:$I$158)-ROW(ISP!$I$9)+1),ROW(ISP!$A6)),COLUMN()))</f>
        <v>2.6739156387296067E-2</v>
      </c>
      <c r="AH38" s="897" t="str">
        <f t="shared" si="3"/>
        <v>INTESA</v>
      </c>
      <c r="AJ38" s="906"/>
      <c r="AR38" s="772" t="s">
        <v>439</v>
      </c>
      <c r="AS38" s="772">
        <v>8</v>
      </c>
    </row>
    <row r="39" spans="1:45" s="807" customFormat="1" ht="12.75" customHeight="1">
      <c r="A39" s="854" t="str">
        <f t="array" ref="A39">IF((ROW(ISP!$A7)&gt;SUM(--(ISP!$I$9:$I$158&lt;&gt;"")))+(COLUMN()&gt;COLUMN(ISP!$KP$1)),"",INDEX(ISP!$A$9:$KP$158,SMALL(IF(ISP!$I$9:$I$158&lt;&gt;"",ROW(ISP!$I$9:$I$158)-ROW(ISP!$I$9)+1),ROW(ISP!$A7)),COLUMN()))</f>
        <v>MAIRE TECNIMONT</v>
      </c>
      <c r="B39" s="497" t="str">
        <f t="array" ref="B39">IF((ROW(ISP!$A7)&gt;SUM(--(ISP!$I$9:$I$158&lt;&gt;"")))+(COLUMN()&gt;COLUMN(ISP!$KP$1)),"",INDEX(ISP!$A$9:$KP$158,SMALL(IF(ISP!$I$9:$I$158&lt;&gt;"",ROW(ISP!$I$9:$I$158)-ROW(ISP!$I$9)+1),ROW(ISP!$A7)),COLUMN()))</f>
        <v>N/R</v>
      </c>
      <c r="C39" s="387">
        <f t="array" ref="C39">IF((ROW(ISP!$A7)&gt;SUM(--(ISP!$I$9:$I$158&lt;&gt;"")))+(COLUMN()&gt;COLUMN(ISP!$KP$1)),"",INDEX(ISP!$A$9:$KP$158,SMALL(IF(ISP!$I$9:$I$158&lt;&gt;"",ROW(ISP!$I$9:$I$158)-ROW(ISP!$I$9)+1),ROW(ISP!$A7)),COLUMN()))</f>
        <v>47031</v>
      </c>
      <c r="D39" s="497">
        <f t="array" ref="D39">IF((ROW(ISP!$A7)&gt;SUM(--(ISP!$I$9:$I$158&lt;&gt;"")))+(COLUMN()&gt;COLUMN(ISP!$KP$1)),"",INDEX(ISP!$A$9:$KP$158,SMALL(IF(ISP!$I$9:$I$158&lt;&gt;"",ROW(ISP!$I$9:$I$158)-ROW(ISP!$I$9)+1),ROW(ISP!$A7)),COLUMN()))</f>
        <v>45196</v>
      </c>
      <c r="E39" s="497">
        <f t="array" ref="E39">IF((ROW(ISP!$A7)&gt;SUM(--(ISP!$I$9:$I$158&lt;&gt;"")))+(COLUMN()&gt;COLUMN(ISP!$KP$1)),"",INDEX(ISP!$A$9:$KP$158,SMALL(IF(ISP!$I$9:$I$158&lt;&gt;"",ROW(ISP!$I$9:$I$158)-ROW(ISP!$I$9)+1),ROW(ISP!$A7)),COLUMN()))</f>
        <v>100</v>
      </c>
      <c r="F39" s="561">
        <f t="array" ref="F39">IF((ROW(ISP!$A7)&gt;SUM(--(ISP!$I$9:$I$158&lt;&gt;"")))+(COLUMN()&gt;COLUMN(ISP!$KP$1)),"",INDEX(ISP!$A$9:$KP$158,SMALL(IF(ISP!$I$9:$I$158&lt;&gt;"",ROW(ISP!$I$9:$I$158)-ROW(ISP!$I$9)+1),ROW(ISP!$A7)),COLUMN()))</f>
        <v>6.5000000000000002E-2</v>
      </c>
      <c r="G39" s="383">
        <f t="array" ref="G39">IF((ROW(ISP!$A7)&gt;SUM(--(ISP!$I$9:$I$158&lt;&gt;"")))+(COLUMN()&gt;COLUMN(ISP!$KP$1)),"",INDEX(ISP!$A$9:$KP$158,SMALL(IF(ISP!$I$9:$I$158&lt;&gt;"",ROW(ISP!$I$9:$I$158)-ROW(ISP!$I$9)+1),ROW(ISP!$A7)),COLUMN()))</f>
        <v>1000</v>
      </c>
      <c r="H39" s="497">
        <f t="array" ref="H39">IF((ROW(ISP!$A7)&gt;SUM(--(ISP!$I$9:$I$158&lt;&gt;"")))+(COLUMN()&gt;COLUMN(ISP!$KP$1)),"",INDEX(ISP!$A$9:$KP$158,SMALL(IF(ISP!$I$9:$I$158&lt;&gt;"",ROW(ISP!$I$9:$I$158)-ROW(ISP!$I$9)+1),ROW(ISP!$A7)),COLUMN()))</f>
        <v>1000</v>
      </c>
      <c r="I39" s="383">
        <f t="array" ref="I39">IF((ROW(ISP!$A7)&gt;SUM(--(ISP!$I$9:$I$158&lt;&gt;"")))+(COLUMN()&gt;COLUMN(ISP!$KP$1)),"",INDEX(ISP!$A$9:$KP$158,SMALL(IF(ISP!$I$9:$I$158&lt;&gt;"",ROW(ISP!$I$9:$I$158)-ROW(ISP!$I$9)+1),ROW(ISP!$A7)),COLUMN()))</f>
        <v>48.1</v>
      </c>
      <c r="J39" s="497">
        <f t="array" ref="J39">IF((ROW(ISP!$A7)&gt;SUM(--(ISP!$I$9:$I$158&lt;&gt;"")))+(COLUMN()&gt;COLUMN(ISP!$KP$1)),"",INDEX(ISP!$A$9:$KP$158,SMALL(IF(ISP!$I$9:$I$158&lt;&gt;"",ROW(ISP!$I$9:$I$158)-ROW(ISP!$I$9)+1),ROW(ISP!$A7)),COLUMN()))</f>
        <v>48.1</v>
      </c>
      <c r="K39" s="879" t="str">
        <f t="array" ref="K39">IF((ROW(ISP!$A7)&gt;SUM(--(ISP!$I$9:$I$158&lt;&gt;"")))+(COLUMN()&gt;COLUMN(ISP!$KP$1)),"",INDEX(ISP!$A$9:$KP$158,SMALL(IF(ISP!$I$9:$I$158&lt;&gt;"",ROW(ISP!$I$9:$I$158)-ROW(ISP!$I$9)+1),ROW(ISP!$A7)),COLUMN()))</f>
        <v>APR/OTT</v>
      </c>
      <c r="L39" s="775">
        <f t="array" ref="L39">IF((ROW(ISP!$A7)&gt;SUM(--(ISP!$I$9:$I$158&lt;&gt;"")))+(COLUMN()&gt;COLUMN(ISP!$KP$1)),"",INDEX(ISP!$A$9:$KP$158,SMALL(IF(ISP!$I$9:$I$158&lt;&gt;"",ROW(ISP!$I$9:$I$158)-ROW(ISP!$I$9)+1),ROW(ISP!$A7)),COLUMN()))</f>
        <v>10</v>
      </c>
      <c r="M39" s="775">
        <f t="array" ref="M39">IF((ROW(ISP!$A7)&gt;SUM(--(ISP!$I$9:$I$158&lt;&gt;"")))+(COLUMN()&gt;COLUMN(ISP!$KP$1)),"",INDEX(ISP!$A$9:$KP$158,SMALL(IF(ISP!$I$9:$I$158&lt;&gt;"",ROW(ISP!$I$9:$I$158)-ROW(ISP!$I$9)+1),ROW(ISP!$A7)),COLUMN()))</f>
        <v>4</v>
      </c>
      <c r="N39" s="497">
        <f t="array" ref="N39">IF((ROW(ISP!$A7)&gt;SUM(--(ISP!$I$9:$I$158&lt;&gt;"")))+(COLUMN()&gt;COLUMN(ISP!$KP$1)),"",INDEX(ISP!$A$9:$KP$158,SMALL(IF(ISP!$I$9:$I$158&lt;&gt;"",ROW(ISP!$I$9:$I$158)-ROW(ISP!$I$9)+1),ROW(ISP!$A7)),COLUMN()))</f>
        <v>16</v>
      </c>
      <c r="O39" s="383">
        <f t="array" ref="O39">IF((ROW(ISP!$A7)&gt;SUM(--(ISP!$I$9:$I$158&lt;&gt;"")))+(COLUMN()&gt;COLUMN(ISP!$KP$1)),"",INDEX(ISP!$A$9:$KP$158,SMALL(IF(ISP!$I$9:$I$158&lt;&gt;"",ROW(ISP!$I$9:$I$158)-ROW(ISP!$I$9)+1),ROW(ISP!$A7)),COLUMN()))</f>
        <v>24.05</v>
      </c>
      <c r="P39" s="497">
        <f t="array" ref="P39">IF((ROW(ISP!$A7)&gt;SUM(--(ISP!$I$9:$I$158&lt;&gt;"")))+(COLUMN()&gt;COLUMN(ISP!$KP$1)),"",INDEX(ISP!$A$9:$KP$158,SMALL(IF(ISP!$I$9:$I$158&lt;&gt;"",ROW(ISP!$I$9:$I$158)-ROW(ISP!$I$9)+1),ROW(ISP!$A7)),COLUMN()))</f>
        <v>106.45999908447266</v>
      </c>
      <c r="Q39" s="497">
        <f t="array" ref="Q39">IF((ROW(ISP!$A7)&gt;SUM(--(ISP!$I$9:$I$158&lt;&gt;"")))+(COLUMN()&gt;COLUMN(ISP!$KP$1)),"",INDEX(ISP!$A$9:$KP$158,SMALL(IF(ISP!$I$9:$I$158&lt;&gt;"",ROW(ISP!$I$9:$I$158)-ROW(ISP!$I$9)+1),ROW(ISP!$A7)),COLUMN()))</f>
        <v>0</v>
      </c>
      <c r="R39" s="497">
        <f t="array" ref="R39">IF((ROW(ISP!$A7)&gt;SUM(--(ISP!$I$9:$I$158&lt;&gt;"")))+(COLUMN()&gt;COLUMN(ISP!$KP$1)),"",INDEX(ISP!$A$9:$KP$158,SMALL(IF(ISP!$I$9:$I$158&lt;&gt;"",ROW(ISP!$I$9:$I$158)-ROW(ISP!$I$9)+1),ROW(ISP!$A7)),COLUMN()))</f>
        <v>0</v>
      </c>
      <c r="S39" s="497">
        <f t="array" aca="1" ref="S39" ca="1">IF((ROW(ISP!$A7)&gt;SUM(--(ISP!$I$9:$I$158&lt;&gt;"")))+(COLUMN()&gt;COLUMN(ISP!$KP$1)),"",INDEX(ISP!$A$9:$KP$158,SMALL(IF(ISP!$I$9:$I$158&lt;&gt;"",ROW(ISP!$I$9:$I$158)-ROW(ISP!$I$9)+1),ROW(ISP!$A7)),COLUMN()))</f>
        <v>5.139452054794333</v>
      </c>
      <c r="T39" s="497">
        <f t="array" aca="1" ref="T39" ca="1">IF((ROW(ISP!$A7)&gt;SUM(--(ISP!$I$9:$I$158&lt;&gt;"")))+(COLUMN()&gt;COLUMN(ISP!$KP$1)),"",INDEX(ISP!$A$9:$KP$158,SMALL(IF(ISP!$I$9:$I$158&lt;&gt;"",ROW(ISP!$I$9:$I$158)-ROW(ISP!$I$9)+1),ROW(ISP!$A7)),COLUMN()))</f>
        <v>5.139452054794333</v>
      </c>
      <c r="U39" s="497">
        <f t="array" ref="U39">IF((ROW(ISP!$A7)&gt;SUM(--(ISP!$I$9:$I$158&lt;&gt;"")))+(COLUMN()&gt;COLUMN(ISP!$KP$1)),"",INDEX(ISP!$A$9:$KP$158,SMALL(IF(ISP!$I$9:$I$158&lt;&gt;"",ROW(ISP!$I$9:$I$158)-ROW(ISP!$I$9)+1),ROW(ISP!$A7)),COLUMN()))</f>
        <v>0</v>
      </c>
      <c r="V39" s="497">
        <f t="array" ref="V39">IF((ROW(ISP!$A7)&gt;SUM(--(ISP!$I$9:$I$158&lt;&gt;"")))+(COLUMN()&gt;COLUMN(ISP!$KP$1)),"",INDEX(ISP!$A$9:$KP$158,SMALL(IF(ISP!$I$9:$I$158&lt;&gt;"",ROW(ISP!$I$9:$I$158)-ROW(ISP!$I$9)+1),ROW(ISP!$A7)),COLUMN()))</f>
        <v>0</v>
      </c>
      <c r="W39" s="497">
        <f t="array" ref="W39">IF((ROW(ISP!$A7)&gt;SUM(--(ISP!$I$9:$I$158&lt;&gt;"")))+(COLUMN()&gt;COLUMN(ISP!$KP$1)),"",INDEX(ISP!$A$9:$KP$158,SMALL(IF(ISP!$I$9:$I$158&lt;&gt;"",ROW(ISP!$I$9:$I$158)-ROW(ISP!$I$9)+1),ROW(ISP!$A7)),COLUMN()))</f>
        <v>0</v>
      </c>
      <c r="X39" s="497">
        <f t="array" aca="1" ref="X39" ca="1">IF((ROW(ISP!$A7)&gt;SUM(--(ISP!$I$9:$I$158&lt;&gt;"")))+(COLUMN()&gt;COLUMN(ISP!$KP$1)),"",INDEX(ISP!$A$9:$KP$158,SMALL(IF(ISP!$I$9:$I$158&lt;&gt;"",ROW(ISP!$I$9:$I$158)-ROW(ISP!$I$9)+1),ROW(ISP!$A7)),COLUMN()))</f>
        <v>39</v>
      </c>
      <c r="Y39" s="497">
        <f t="array" aca="1" ref="Y39" ca="1">IF((ROW(ISP!$A7)&gt;SUM(--(ISP!$I$9:$I$158&lt;&gt;"")))+(COLUMN()&gt;COLUMN(ISP!$KP$1)),"",INDEX(ISP!$A$9:$KP$158,SMALL(IF(ISP!$I$9:$I$158&lt;&gt;"",ROW(ISP!$I$9:$I$158)-ROW(ISP!$I$9)+1),ROW(ISP!$A7)),COLUMN()))</f>
        <v>3444.8813292145946</v>
      </c>
      <c r="Z39" s="497">
        <f t="array" aca="1" ref="Z39" ca="1">IF((ROW(ISP!$A7)&gt;SUM(--(ISP!$I$9:$I$158&lt;&gt;"")))+(COLUMN()&gt;COLUMN(ISP!$KP$1)),"",INDEX(ISP!$A$9:$KP$158,SMALL(IF(ISP!$I$9:$I$158&lt;&gt;"",ROW(ISP!$I$9:$I$158)-ROW(ISP!$I$9)+1),ROW(ISP!$A7)),COLUMN()))</f>
        <v>34.516009855615657</v>
      </c>
      <c r="AA39" s="497">
        <f t="array" ref="AA39">IF((ROW(ISP!$A7)&gt;SUM(--(ISP!$I$9:$I$158&lt;&gt;"")))+(COLUMN()&gt;COLUMN(ISP!$KP$1)),"",INDEX(ISP!$A$9:$KP$158,SMALL(IF(ISP!$I$9:$I$158&lt;&gt;"",ROW(ISP!$I$9:$I$158)-ROW(ISP!$I$9)+1),ROW(ISP!$A7)),COLUMN()))</f>
        <v>0</v>
      </c>
      <c r="AB39" s="497">
        <f t="array" aca="1" ref="AB39" ca="1">IF((ROW(ISP!$A7)&gt;SUM(--(ISP!$I$9:$I$158&lt;&gt;"")))+(COLUMN()&gt;COLUMN(ISP!$KP$1)),"",INDEX(ISP!$A$9:$KP$158,SMALL(IF(ISP!$I$9:$I$158&lt;&gt;"",ROW(ISP!$I$9:$I$158)-ROW(ISP!$I$9)+1),ROW(ISP!$A7)),COLUMN()))</f>
        <v>1069.7394428995208</v>
      </c>
      <c r="AC39" s="497">
        <f t="array" aca="1" ref="AC39" ca="1">IF((ROW(ISP!$A7)&gt;SUM(--(ISP!$I$9:$I$158&lt;&gt;"")))+(COLUMN()&gt;COLUMN(ISP!$KP$1)),"",INDEX(ISP!$A$9:$KP$158,SMALL(IF(ISP!$I$9:$I$158&lt;&gt;"",ROW(ISP!$I$9:$I$158)-ROW(ISP!$I$9)+1),ROW(ISP!$A7)),COLUMN()))</f>
        <v>1069.7394428995208</v>
      </c>
      <c r="AD39" s="497">
        <f t="array" ref="AD39">IF((ROW(ISP!$A7)&gt;SUM(--(ISP!$I$9:$I$158&lt;&gt;"")))+(COLUMN()&gt;COLUMN(ISP!$KP$1)),"",INDEX(ISP!$A$9:$KP$158,SMALL(IF(ISP!$I$9:$I$158&lt;&gt;"",ROW(ISP!$I$9:$I$158)-ROW(ISP!$I$9)+1),ROW(ISP!$A7)),COLUMN()))</f>
        <v>64.599990844726563</v>
      </c>
      <c r="AE39" s="497">
        <f t="array" ref="AE39">IF((ROW(ISP!$A7)&gt;SUM(--(ISP!$I$9:$I$158&lt;&gt;"")))+(COLUMN()&gt;COLUMN(ISP!$KP$1)),"",INDEX(ISP!$A$9:$KP$158,SMALL(IF(ISP!$I$9:$I$158&lt;&gt;"",ROW(ISP!$I$9:$I$158)-ROW(ISP!$I$9)+1),ROW(ISP!$A7)),COLUMN()))</f>
        <v>64.599990844726563</v>
      </c>
      <c r="AF39" s="497">
        <f t="array" aca="1" ref="AF39" ca="1">IF((ROW(ISP!$A7)&gt;SUM(--(ISP!$I$9:$I$158&lt;&gt;"")))+(COLUMN()&gt;COLUMN(ISP!$KP$1)),"",INDEX(ISP!$A$9:$KP$158,SMALL(IF(ISP!$I$9:$I$158&lt;&gt;"",ROW(ISP!$I$9:$I$158)-ROW(ISP!$I$9)+1),ROW(ISP!$A7)),COLUMN()))</f>
        <v>3.4448813292145948</v>
      </c>
      <c r="AG39" s="983">
        <f t="array" aca="1" ref="AG39" ca="1">IF((ROW(ISP!$A7)&gt;SUM(--(ISP!$I$9:$I$158&lt;&gt;"")))+(COLUMN()&gt;COLUMN(ISP!$KP$1)),"",INDEX(ISP!$A$9:$KP$158,SMALL(IF(ISP!$I$9:$I$158&lt;&gt;"",ROW(ISP!$I$9:$I$158)-ROW(ISP!$I$9)+1),ROW(ISP!$A7)),COLUMN()))</f>
        <v>3.4516009855615655E-2</v>
      </c>
      <c r="AH39" s="897" t="str">
        <f t="shared" si="3"/>
        <v>INTESA</v>
      </c>
      <c r="AJ39" s="906"/>
      <c r="AR39" s="772" t="s">
        <v>438</v>
      </c>
      <c r="AS39" s="772">
        <v>9</v>
      </c>
    </row>
    <row r="40" spans="1:45" s="807" customFormat="1" ht="12.75" customHeight="1">
      <c r="A40" s="854" t="str">
        <f t="array" ref="A40">IF((ROW(ISP!$A8)&gt;SUM(--(ISP!$I$9:$I$158&lt;&gt;"")))+(COLUMN()&gt;COLUMN(ISP!$KP$1)),"",INDEX(ISP!$A$9:$KP$158,SMALL(IF(ISP!$I$9:$I$158&lt;&gt;"",ROW(ISP!$I$9:$I$158)-ROW(ISP!$I$9)+1),ROW(ISP!$A8)),COLUMN()))</f>
        <v>CARRARO</v>
      </c>
      <c r="B40" s="497" t="str">
        <f t="array" ref="B40">IF((ROW(ISP!$A8)&gt;SUM(--(ISP!$I$9:$I$158&lt;&gt;"")))+(COLUMN()&gt;COLUMN(ISP!$KP$1)),"",INDEX(ISP!$A$9:$KP$158,SMALL(IF(ISP!$I$9:$I$158&lt;&gt;"",ROW(ISP!$I$9:$I$158)-ROW(ISP!$I$9)+1),ROW(ISP!$A8)),COLUMN()))</f>
        <v>N/R</v>
      </c>
      <c r="C40" s="387">
        <f t="array" ref="C40">IF((ROW(ISP!$A8)&gt;SUM(--(ISP!$I$9:$I$158&lt;&gt;"")))+(COLUMN()&gt;COLUMN(ISP!$KP$1)),"",INDEX(ISP!$A$9:$KP$158,SMALL(IF(ISP!$I$9:$I$158&lt;&gt;"",ROW(ISP!$I$9:$I$158)-ROW(ISP!$I$9)+1),ROW(ISP!$A8)),COLUMN()))</f>
        <v>47063</v>
      </c>
      <c r="D40" s="497">
        <f t="array" ref="D40">IF((ROW(ISP!$A8)&gt;SUM(--(ISP!$I$9:$I$158&lt;&gt;"")))+(COLUMN()&gt;COLUMN(ISP!$KP$1)),"",INDEX(ISP!$A$9:$KP$158,SMALL(IF(ISP!$I$9:$I$158&lt;&gt;"",ROW(ISP!$I$9:$I$158)-ROW(ISP!$I$9)+1),ROW(ISP!$A8)),COLUMN()))</f>
        <v>45236</v>
      </c>
      <c r="E40" s="497">
        <f t="array" ref="E40">IF((ROW(ISP!$A8)&gt;SUM(--(ISP!$I$9:$I$158&lt;&gt;"")))+(COLUMN()&gt;COLUMN(ISP!$KP$1)),"",INDEX(ISP!$A$9:$KP$158,SMALL(IF(ISP!$I$9:$I$158&lt;&gt;"",ROW(ISP!$I$9:$I$158)-ROW(ISP!$I$9)+1),ROW(ISP!$A8)),COLUMN()))</f>
        <v>101.95</v>
      </c>
      <c r="F40" s="561">
        <f t="array" ref="F40">IF((ROW(ISP!$A8)&gt;SUM(--(ISP!$I$9:$I$158&lt;&gt;"")))+(COLUMN()&gt;COLUMN(ISP!$KP$1)),"",INDEX(ISP!$A$9:$KP$158,SMALL(IF(ISP!$I$9:$I$158&lt;&gt;"",ROW(ISP!$I$9:$I$158)-ROW(ISP!$I$9)+1),ROW(ISP!$A8)),COLUMN()))</f>
        <v>7.7499999999999999E-2</v>
      </c>
      <c r="G40" s="383">
        <f t="array" ref="G40">IF((ROW(ISP!$A8)&gt;SUM(--(ISP!$I$9:$I$158&lt;&gt;"")))+(COLUMN()&gt;COLUMN(ISP!$KP$1)),"",INDEX(ISP!$A$9:$KP$158,SMALL(IF(ISP!$I$9:$I$158&lt;&gt;"",ROW(ISP!$I$9:$I$158)-ROW(ISP!$I$9)+1),ROW(ISP!$A8)),COLUMN()))</f>
        <v>1000</v>
      </c>
      <c r="H40" s="497">
        <f t="array" ref="H40">IF((ROW(ISP!$A8)&gt;SUM(--(ISP!$I$9:$I$158&lt;&gt;"")))+(COLUMN()&gt;COLUMN(ISP!$KP$1)),"",INDEX(ISP!$A$9:$KP$158,SMALL(IF(ISP!$I$9:$I$158&lt;&gt;"",ROW(ISP!$I$9:$I$158)-ROW(ISP!$I$9)+1),ROW(ISP!$A8)),COLUMN()))</f>
        <v>1000</v>
      </c>
      <c r="I40" s="383">
        <f t="array" ref="I40">IF((ROW(ISP!$A8)&gt;SUM(--(ISP!$I$9:$I$158&lt;&gt;"")))+(COLUMN()&gt;COLUMN(ISP!$KP$1)),"",INDEX(ISP!$A$9:$KP$158,SMALL(IF(ISP!$I$9:$I$158&lt;&gt;"",ROW(ISP!$I$9:$I$158)-ROW(ISP!$I$9)+1),ROW(ISP!$A8)),COLUMN()))</f>
        <v>57.35</v>
      </c>
      <c r="J40" s="497">
        <f t="array" ref="J40">IF((ROW(ISP!$A8)&gt;SUM(--(ISP!$I$9:$I$158&lt;&gt;"")))+(COLUMN()&gt;COLUMN(ISP!$KP$1)),"",INDEX(ISP!$A$9:$KP$158,SMALL(IF(ISP!$I$9:$I$158&lt;&gt;"",ROW(ISP!$I$9:$I$158)-ROW(ISP!$I$9)+1),ROW(ISP!$A8)),COLUMN()))</f>
        <v>57.35</v>
      </c>
      <c r="K40" s="879" t="str">
        <f t="array" ref="K40">IF((ROW(ISP!$A8)&gt;SUM(--(ISP!$I$9:$I$158&lt;&gt;"")))+(COLUMN()&gt;COLUMN(ISP!$KP$1)),"",INDEX(ISP!$A$9:$KP$158,SMALL(IF(ISP!$I$9:$I$158&lt;&gt;"",ROW(ISP!$I$9:$I$158)-ROW(ISP!$I$9)+1),ROW(ISP!$A8)),COLUMN()))</f>
        <v>MAG/NOV</v>
      </c>
      <c r="L40" s="775">
        <f t="array" ref="L40">IF((ROW(ISP!$A8)&gt;SUM(--(ISP!$I$9:$I$158&lt;&gt;"")))+(COLUMN()&gt;COLUMN(ISP!$KP$1)),"",INDEX(ISP!$A$9:$KP$158,SMALL(IF(ISP!$I$9:$I$158&lt;&gt;"",ROW(ISP!$I$9:$I$158)-ROW(ISP!$I$9)+1),ROW(ISP!$A8)),COLUMN()))</f>
        <v>11</v>
      </c>
      <c r="M40" s="775">
        <f t="array" ref="M40">IF((ROW(ISP!$A8)&gt;SUM(--(ISP!$I$9:$I$158&lt;&gt;"")))+(COLUMN()&gt;COLUMN(ISP!$KP$1)),"",INDEX(ISP!$A$9:$KP$158,SMALL(IF(ISP!$I$9:$I$158&lt;&gt;"",ROW(ISP!$I$9:$I$158)-ROW(ISP!$I$9)+1),ROW(ISP!$A8)),COLUMN()))</f>
        <v>5</v>
      </c>
      <c r="N40" s="497">
        <f t="array" ref="N40">IF((ROW(ISP!$A8)&gt;SUM(--(ISP!$I$9:$I$158&lt;&gt;"")))+(COLUMN()&gt;COLUMN(ISP!$KP$1)),"",INDEX(ISP!$A$9:$KP$158,SMALL(IF(ISP!$I$9:$I$158&lt;&gt;"",ROW(ISP!$I$9:$I$158)-ROW(ISP!$I$9)+1),ROW(ISP!$A8)),COLUMN()))</f>
        <v>17</v>
      </c>
      <c r="O40" s="383">
        <f t="array" ref="O40">IF((ROW(ISP!$A8)&gt;SUM(--(ISP!$I$9:$I$158&lt;&gt;"")))+(COLUMN()&gt;COLUMN(ISP!$KP$1)),"",INDEX(ISP!$A$9:$KP$158,SMALL(IF(ISP!$I$9:$I$158&lt;&gt;"",ROW(ISP!$I$9:$I$158)-ROW(ISP!$I$9)+1),ROW(ISP!$A8)),COLUMN()))</f>
        <v>28.675000000000001</v>
      </c>
      <c r="P40" s="497">
        <f t="array" ref="P40">IF((ROW(ISP!$A8)&gt;SUM(--(ISP!$I$9:$I$158&lt;&gt;"")))+(COLUMN()&gt;COLUMN(ISP!$KP$1)),"",INDEX(ISP!$A$9:$KP$158,SMALL(IF(ISP!$I$9:$I$158&lt;&gt;"",ROW(ISP!$I$9:$I$158)-ROW(ISP!$I$9)+1),ROW(ISP!$A8)),COLUMN()))</f>
        <v>105.90500259399414</v>
      </c>
      <c r="Q40" s="497">
        <f t="array" ref="Q40">IF((ROW(ISP!$A8)&gt;SUM(--(ISP!$I$9:$I$158&lt;&gt;"")))+(COLUMN()&gt;COLUMN(ISP!$KP$1)),"",INDEX(ISP!$A$9:$KP$158,SMALL(IF(ISP!$I$9:$I$158&lt;&gt;"",ROW(ISP!$I$9:$I$158)-ROW(ISP!$I$9)+1),ROW(ISP!$A8)),COLUMN()))</f>
        <v>0</v>
      </c>
      <c r="R40" s="497">
        <f t="array" ref="R40">IF((ROW(ISP!$A8)&gt;SUM(--(ISP!$I$9:$I$158&lt;&gt;"")))+(COLUMN()&gt;COLUMN(ISP!$KP$1)),"",INDEX(ISP!$A$9:$KP$158,SMALL(IF(ISP!$I$9:$I$158&lt;&gt;"",ROW(ISP!$I$9:$I$158)-ROW(ISP!$I$9)+1),ROW(ISP!$A8)),COLUMN()))</f>
        <v>0</v>
      </c>
      <c r="S40" s="497">
        <f t="array" aca="1" ref="S40" ca="1">IF((ROW(ISP!$A8)&gt;SUM(--(ISP!$I$9:$I$158&lt;&gt;"")))+(COLUMN()&gt;COLUMN(ISP!$KP$1)),"",INDEX(ISP!$A$9:$KP$158,SMALL(IF(ISP!$I$9:$I$158&lt;&gt;"",ROW(ISP!$I$9:$I$158)-ROW(ISP!$I$9)+1),ROW(ISP!$A8)),COLUMN()))</f>
        <v>1.0998630136984957</v>
      </c>
      <c r="T40" s="497">
        <f t="array" aca="1" ref="T40" ca="1">IF((ROW(ISP!$A8)&gt;SUM(--(ISP!$I$9:$I$158&lt;&gt;"")))+(COLUMN()&gt;COLUMN(ISP!$KP$1)),"",INDEX(ISP!$A$9:$KP$158,SMALL(IF(ISP!$I$9:$I$158&lt;&gt;"",ROW(ISP!$I$9:$I$158)-ROW(ISP!$I$9)+1),ROW(ISP!$A8)),COLUMN()))</f>
        <v>1.0998630136984957</v>
      </c>
      <c r="U40" s="497">
        <f t="array" ref="U40">IF((ROW(ISP!$A8)&gt;SUM(--(ISP!$I$9:$I$158&lt;&gt;"")))+(COLUMN()&gt;COLUMN(ISP!$KP$1)),"",INDEX(ISP!$A$9:$KP$158,SMALL(IF(ISP!$I$9:$I$158&lt;&gt;"",ROW(ISP!$I$9:$I$158)-ROW(ISP!$I$9)+1),ROW(ISP!$A8)),COLUMN()))</f>
        <v>0</v>
      </c>
      <c r="V40" s="497">
        <f t="array" ref="V40">IF((ROW(ISP!$A8)&gt;SUM(--(ISP!$I$9:$I$158&lt;&gt;"")))+(COLUMN()&gt;COLUMN(ISP!$KP$1)),"",INDEX(ISP!$A$9:$KP$158,SMALL(IF(ISP!$I$9:$I$158&lt;&gt;"",ROW(ISP!$I$9:$I$158)-ROW(ISP!$I$9)+1),ROW(ISP!$A8)),COLUMN()))</f>
        <v>0</v>
      </c>
      <c r="W40" s="497">
        <f t="array" ref="W40">IF((ROW(ISP!$A8)&gt;SUM(--(ISP!$I$9:$I$158&lt;&gt;"")))+(COLUMN()&gt;COLUMN(ISP!$KP$1)),"",INDEX(ISP!$A$9:$KP$158,SMALL(IF(ISP!$I$9:$I$158&lt;&gt;"",ROW(ISP!$I$9:$I$158)-ROW(ISP!$I$9)+1),ROW(ISP!$A8)),COLUMN()))</f>
        <v>0</v>
      </c>
      <c r="X40" s="497">
        <f t="array" aca="1" ref="X40" ca="1">IF((ROW(ISP!$A8)&gt;SUM(--(ISP!$I$9:$I$158&lt;&gt;"")))+(COLUMN()&gt;COLUMN(ISP!$KP$1)),"",INDEX(ISP!$A$9:$KP$158,SMALL(IF(ISP!$I$9:$I$158&lt;&gt;"",ROW(ISP!$I$9:$I$158)-ROW(ISP!$I$9)+1),ROW(ISP!$A8)),COLUMN()))</f>
        <v>7</v>
      </c>
      <c r="Y40" s="497">
        <f t="array" aca="1" ref="Y40" ca="1">IF((ROW(ISP!$A8)&gt;SUM(--(ISP!$I$9:$I$158&lt;&gt;"")))+(COLUMN()&gt;COLUMN(ISP!$KP$1)),"",INDEX(ISP!$A$9:$KP$158,SMALL(IF(ISP!$I$9:$I$158&lt;&gt;"",ROW(ISP!$I$9:$I$158)-ROW(ISP!$I$9)+1),ROW(ISP!$A8)),COLUMN()))</f>
        <v>3449.1773534632962</v>
      </c>
      <c r="Z40" s="497">
        <f t="array" aca="1" ref="Z40" ca="1">IF((ROW(ISP!$A8)&gt;SUM(--(ISP!$I$9:$I$158&lt;&gt;"")))+(COLUMN()&gt;COLUMN(ISP!$KP$1)),"",INDEX(ISP!$A$9:$KP$158,SMALL(IF(ISP!$I$9:$I$158&lt;&gt;"",ROW(ISP!$I$9:$I$158)-ROW(ISP!$I$9)+1),ROW(ISP!$A8)),COLUMN()))</f>
        <v>44.826860243444187</v>
      </c>
      <c r="AA40" s="497">
        <f t="array" ref="AA40">IF((ROW(ISP!$A8)&gt;SUM(--(ISP!$I$9:$I$158&lt;&gt;"")))+(COLUMN()&gt;COLUMN(ISP!$KP$1)),"",INDEX(ISP!$A$9:$KP$158,SMALL(IF(ISP!$I$9:$I$158&lt;&gt;"",ROW(ISP!$I$9:$I$158)-ROW(ISP!$I$9)+1),ROW(ISP!$A8)),COLUMN()))</f>
        <v>0</v>
      </c>
      <c r="AB40" s="497">
        <f t="array" aca="1" ref="AB40" ca="1">IF((ROW(ISP!$A8)&gt;SUM(--(ISP!$I$9:$I$158&lt;&gt;"")))+(COLUMN()&gt;COLUMN(ISP!$KP$1)),"",INDEX(ISP!$A$9:$KP$158,SMALL(IF(ISP!$I$9:$I$158&lt;&gt;"",ROW(ISP!$I$9:$I$158)-ROW(ISP!$I$9)+1),ROW(ISP!$A8)),COLUMN()))</f>
        <v>1060.1498889536399</v>
      </c>
      <c r="AC40" s="497">
        <f t="array" aca="1" ref="AC40" ca="1">IF((ROW(ISP!$A8)&gt;SUM(--(ISP!$I$9:$I$158&lt;&gt;"")))+(COLUMN()&gt;COLUMN(ISP!$KP$1)),"",INDEX(ISP!$A$9:$KP$158,SMALL(IF(ISP!$I$9:$I$158&lt;&gt;"",ROW(ISP!$I$9:$I$158)-ROW(ISP!$I$9)+1),ROW(ISP!$A8)),COLUMN()))</f>
        <v>1060.1498889536399</v>
      </c>
      <c r="AD40" s="497">
        <f t="array" ref="AD40">IF((ROW(ISP!$A8)&gt;SUM(--(ISP!$I$9:$I$158&lt;&gt;"")))+(COLUMN()&gt;COLUMN(ISP!$KP$1)),"",INDEX(ISP!$A$9:$KP$158,SMALL(IF(ISP!$I$9:$I$158&lt;&gt;"",ROW(ISP!$I$9:$I$158)-ROW(ISP!$I$9)+1),ROW(ISP!$A8)),COLUMN()))</f>
        <v>39.550025939941378</v>
      </c>
      <c r="AE40" s="497">
        <f t="array" ref="AE40">IF((ROW(ISP!$A8)&gt;SUM(--(ISP!$I$9:$I$158&lt;&gt;"")))+(COLUMN()&gt;COLUMN(ISP!$KP$1)),"",INDEX(ISP!$A$9:$KP$158,SMALL(IF(ISP!$I$9:$I$158&lt;&gt;"",ROW(ISP!$I$9:$I$158)-ROW(ISP!$I$9)+1),ROW(ISP!$A8)),COLUMN()))</f>
        <v>39.550025939941378</v>
      </c>
      <c r="AF40" s="497">
        <f t="array" aca="1" ref="AF40" ca="1">IF((ROW(ISP!$A8)&gt;SUM(--(ISP!$I$9:$I$158&lt;&gt;"")))+(COLUMN()&gt;COLUMN(ISP!$KP$1)),"",INDEX(ISP!$A$9:$KP$158,SMALL(IF(ISP!$I$9:$I$158&lt;&gt;"",ROW(ISP!$I$9:$I$158)-ROW(ISP!$I$9)+1),ROW(ISP!$A8)),COLUMN()))</f>
        <v>3.4491773534632961</v>
      </c>
      <c r="AG40" s="983">
        <f t="array" aca="1" ref="AG40" ca="1">IF((ROW(ISP!$A8)&gt;SUM(--(ISP!$I$9:$I$158&lt;&gt;"")))+(COLUMN()&gt;COLUMN(ISP!$KP$1)),"",INDEX(ISP!$A$9:$KP$158,SMALL(IF(ISP!$I$9:$I$158&lt;&gt;"",ROW(ISP!$I$9:$I$158)-ROW(ISP!$I$9)+1),ROW(ISP!$A8)),COLUMN()))</f>
        <v>4.4826860243444185E-2</v>
      </c>
      <c r="AH40" s="897" t="str">
        <f t="shared" si="3"/>
        <v>INTESA</v>
      </c>
      <c r="AJ40" s="906"/>
      <c r="AR40" s="772" t="s">
        <v>437</v>
      </c>
      <c r="AS40" s="772">
        <v>10</v>
      </c>
    </row>
    <row r="41" spans="1:45" s="807" customFormat="1" ht="12.75" customHeight="1">
      <c r="A41" s="854" t="str">
        <f t="array" ref="A41">IF((ROW(ISP!$A9)&gt;SUM(--(ISP!$I$9:$I$158&lt;&gt;"")))+(COLUMN()&gt;COLUMN(ISP!$KP$1)),"",INDEX(ISP!$A$9:$KP$158,SMALL(IF(ISP!$I$9:$I$158&lt;&gt;"",ROW(ISP!$I$9:$I$158)-ROW(ISP!$I$9)+1),ROW(ISP!$A9)),COLUMN()))</f>
        <v>ALPERIA</v>
      </c>
      <c r="B41" s="497" t="str">
        <f t="array" ref="B41">IF((ROW(ISP!$A9)&gt;SUM(--(ISP!$I$9:$I$158&lt;&gt;"")))+(COLUMN()&gt;COLUMN(ISP!$KP$1)),"",INDEX(ISP!$A$9:$KP$158,SMALL(IF(ISP!$I$9:$I$158&lt;&gt;"",ROW(ISP!$I$9:$I$158)-ROW(ISP!$I$9)+1),ROW(ISP!$A9)),COLUMN()))</f>
        <v>N/R</v>
      </c>
      <c r="C41" s="387">
        <f t="array" ref="C41">IF((ROW(ISP!$A9)&gt;SUM(--(ISP!$I$9:$I$158&lt;&gt;"")))+(COLUMN()&gt;COLUMN(ISP!$KP$1)),"",INDEX(ISP!$A$9:$KP$158,SMALL(IF(ISP!$I$9:$I$158&lt;&gt;"",ROW(ISP!$I$9:$I$158)-ROW(ISP!$I$9)+1),ROW(ISP!$A9)),COLUMN()))</f>
        <v>47274</v>
      </c>
      <c r="D41" s="497">
        <f t="array" ref="D41">IF((ROW(ISP!$A9)&gt;SUM(--(ISP!$I$9:$I$158&lt;&gt;"")))+(COLUMN()&gt;COLUMN(ISP!$KP$1)),"",INDEX(ISP!$A$9:$KP$158,SMALL(IF(ISP!$I$9:$I$158&lt;&gt;"",ROW(ISP!$I$9:$I$158)-ROW(ISP!$I$9)+1),ROW(ISP!$A9)),COLUMN()))</f>
        <v>45450</v>
      </c>
      <c r="E41" s="497">
        <f t="array" ref="E41">IF((ROW(ISP!$A9)&gt;SUM(--(ISP!$I$9:$I$158&lt;&gt;"")))+(COLUMN()&gt;COLUMN(ISP!$KP$1)),"",INDEX(ISP!$A$9:$KP$158,SMALL(IF(ISP!$I$9:$I$158&lt;&gt;"",ROW(ISP!$I$9:$I$158)-ROW(ISP!$I$9)+1),ROW(ISP!$A9)),COLUMN()))</f>
        <v>100.69</v>
      </c>
      <c r="F41" s="561">
        <f t="array" ref="F41">IF((ROW(ISP!$A9)&gt;SUM(--(ISP!$I$9:$I$158&lt;&gt;"")))+(COLUMN()&gt;COLUMN(ISP!$KP$1)),"",INDEX(ISP!$A$9:$KP$158,SMALL(IF(ISP!$I$9:$I$158&lt;&gt;"",ROW(ISP!$I$9:$I$158)-ROW(ISP!$I$9)+1),ROW(ISP!$A9)),COLUMN()))</f>
        <v>4.7500000000000001E-2</v>
      </c>
      <c r="G41" s="383">
        <f t="array" ref="G41">IF((ROW(ISP!$A9)&gt;SUM(--(ISP!$I$9:$I$158&lt;&gt;"")))+(COLUMN()&gt;COLUMN(ISP!$KP$1)),"",INDEX(ISP!$A$9:$KP$158,SMALL(IF(ISP!$I$9:$I$158&lt;&gt;"",ROW(ISP!$I$9:$I$158)-ROW(ISP!$I$9)+1),ROW(ISP!$A9)),COLUMN()))</f>
        <v>1000</v>
      </c>
      <c r="H41" s="497">
        <f t="array" ref="H41">IF((ROW(ISP!$A9)&gt;SUM(--(ISP!$I$9:$I$158&lt;&gt;"")))+(COLUMN()&gt;COLUMN(ISP!$KP$1)),"",INDEX(ISP!$A$9:$KP$158,SMALL(IF(ISP!$I$9:$I$158&lt;&gt;"",ROW(ISP!$I$9:$I$158)-ROW(ISP!$I$9)+1),ROW(ISP!$A9)),COLUMN()))</f>
        <v>1000</v>
      </c>
      <c r="I41" s="383">
        <f t="array" ref="I41">IF((ROW(ISP!$A9)&gt;SUM(--(ISP!$I$9:$I$158&lt;&gt;"")))+(COLUMN()&gt;COLUMN(ISP!$KP$1)),"",INDEX(ISP!$A$9:$KP$158,SMALL(IF(ISP!$I$9:$I$158&lt;&gt;"",ROW(ISP!$I$9:$I$158)-ROW(ISP!$I$9)+1),ROW(ISP!$A9)),COLUMN()))</f>
        <v>35.15</v>
      </c>
      <c r="J41" s="497">
        <f t="array" ref="J41">IF((ROW(ISP!$A9)&gt;SUM(--(ISP!$I$9:$I$158&lt;&gt;"")))+(COLUMN()&gt;COLUMN(ISP!$KP$1)),"",INDEX(ISP!$A$9:$KP$158,SMALL(IF(ISP!$I$9:$I$158&lt;&gt;"",ROW(ISP!$I$9:$I$158)-ROW(ISP!$I$9)+1),ROW(ISP!$A9)),COLUMN()))</f>
        <v>35.15</v>
      </c>
      <c r="K41" s="879" t="str">
        <f t="array" ref="K41">IF((ROW(ISP!$A9)&gt;SUM(--(ISP!$I$9:$I$158&lt;&gt;"")))+(COLUMN()&gt;COLUMN(ISP!$KP$1)),"",INDEX(ISP!$A$9:$KP$158,SMALL(IF(ISP!$I$9:$I$158&lt;&gt;"",ROW(ISP!$I$9:$I$158)-ROW(ISP!$I$9)+1),ROW(ISP!$A9)),COLUMN()))</f>
        <v>GIU/DIC</v>
      </c>
      <c r="L41" s="775">
        <f t="array" ref="L41">IF((ROW(ISP!$A9)&gt;SUM(--(ISP!$I$9:$I$158&lt;&gt;"")))+(COLUMN()&gt;COLUMN(ISP!$KP$1)),"",INDEX(ISP!$A$9:$KP$158,SMALL(IF(ISP!$I$9:$I$158&lt;&gt;"",ROW(ISP!$I$9:$I$158)-ROW(ISP!$I$9)+1),ROW(ISP!$A9)),COLUMN()))</f>
        <v>6</v>
      </c>
      <c r="M41" s="775">
        <f t="array" ref="M41">IF((ROW(ISP!$A9)&gt;SUM(--(ISP!$I$9:$I$158&lt;&gt;"")))+(COLUMN()&gt;COLUMN(ISP!$KP$1)),"",INDEX(ISP!$A$9:$KP$158,SMALL(IF(ISP!$I$9:$I$158&lt;&gt;"",ROW(ISP!$I$9:$I$158)-ROW(ISP!$I$9)+1),ROW(ISP!$A9)),COLUMN()))</f>
        <v>12</v>
      </c>
      <c r="N41" s="497">
        <f t="array" ref="N41">IF((ROW(ISP!$A9)&gt;SUM(--(ISP!$I$9:$I$158&lt;&gt;"")))+(COLUMN()&gt;COLUMN(ISP!$KP$1)),"",INDEX(ISP!$A$9:$KP$158,SMALL(IF(ISP!$I$9:$I$158&lt;&gt;"",ROW(ISP!$I$9:$I$158)-ROW(ISP!$I$9)+1),ROW(ISP!$A9)),COLUMN()))</f>
        <v>12</v>
      </c>
      <c r="O41" s="383">
        <f t="array" ref="O41">IF((ROW(ISP!$A9)&gt;SUM(--(ISP!$I$9:$I$158&lt;&gt;"")))+(COLUMN()&gt;COLUMN(ISP!$KP$1)),"",INDEX(ISP!$A$9:$KP$158,SMALL(IF(ISP!$I$9:$I$158&lt;&gt;"",ROW(ISP!$I$9:$I$158)-ROW(ISP!$I$9)+1),ROW(ISP!$A9)),COLUMN()))</f>
        <v>17.574999999999999</v>
      </c>
      <c r="P41" s="497">
        <f t="array" ref="P41">IF((ROW(ISP!$A9)&gt;SUM(--(ISP!$I$9:$I$158&lt;&gt;"")))+(COLUMN()&gt;COLUMN(ISP!$KP$1)),"",INDEX(ISP!$A$9:$KP$158,SMALL(IF(ISP!$I$9:$I$158&lt;&gt;"",ROW(ISP!$I$9:$I$158)-ROW(ISP!$I$9)+1),ROW(ISP!$A9)),COLUMN()))</f>
        <v>103.91000366210937</v>
      </c>
      <c r="Q41" s="497">
        <f t="array" ref="Q41">IF((ROW(ISP!$A9)&gt;SUM(--(ISP!$I$9:$I$158&lt;&gt;"")))+(COLUMN()&gt;COLUMN(ISP!$KP$1)),"",INDEX(ISP!$A$9:$KP$158,SMALL(IF(ISP!$I$9:$I$158&lt;&gt;"",ROW(ISP!$I$9:$I$158)-ROW(ISP!$I$9)+1),ROW(ISP!$A9)),COLUMN()))</f>
        <v>0</v>
      </c>
      <c r="R41" s="497">
        <f t="array" ref="R41">IF((ROW(ISP!$A9)&gt;SUM(--(ISP!$I$9:$I$158&lt;&gt;"")))+(COLUMN()&gt;COLUMN(ISP!$KP$1)),"",INDEX(ISP!$A$9:$KP$158,SMALL(IF(ISP!$I$9:$I$158&lt;&gt;"",ROW(ISP!$I$9:$I$158)-ROW(ISP!$I$9)+1),ROW(ISP!$A9)),COLUMN()))</f>
        <v>0</v>
      </c>
      <c r="S41" s="497">
        <f t="array" aca="1" ref="S41" ca="1">IF((ROW(ISP!$A9)&gt;SUM(--(ISP!$I$9:$I$158&lt;&gt;"")))+(COLUMN()&gt;COLUMN(ISP!$KP$1)),"",INDEX(ISP!$A$9:$KP$158,SMALL(IF(ISP!$I$9:$I$158&lt;&gt;"",ROW(ISP!$I$9:$I$158)-ROW(ISP!$I$9)+1),ROW(ISP!$A9)),COLUMN()))</f>
        <v>15.504520547945219</v>
      </c>
      <c r="T41" s="497">
        <f t="array" aca="1" ref="T41" ca="1">IF((ROW(ISP!$A9)&gt;SUM(--(ISP!$I$9:$I$158&lt;&gt;"")))+(COLUMN()&gt;COLUMN(ISP!$KP$1)),"",INDEX(ISP!$A$9:$KP$158,SMALL(IF(ISP!$I$9:$I$158&lt;&gt;"",ROW(ISP!$I$9:$I$158)-ROW(ISP!$I$9)+1),ROW(ISP!$A9)),COLUMN()))</f>
        <v>15.504520547945219</v>
      </c>
      <c r="U41" s="497">
        <f t="array" ref="U41">IF((ROW(ISP!$A9)&gt;SUM(--(ISP!$I$9:$I$158&lt;&gt;"")))+(COLUMN()&gt;COLUMN(ISP!$KP$1)),"",INDEX(ISP!$A$9:$KP$158,SMALL(IF(ISP!$I$9:$I$158&lt;&gt;"",ROW(ISP!$I$9:$I$158)-ROW(ISP!$I$9)+1),ROW(ISP!$A9)),COLUMN()))</f>
        <v>0</v>
      </c>
      <c r="V41" s="497">
        <f t="array" ref="V41">IF((ROW(ISP!$A9)&gt;SUM(--(ISP!$I$9:$I$158&lt;&gt;"")))+(COLUMN()&gt;COLUMN(ISP!$KP$1)),"",INDEX(ISP!$A$9:$KP$158,SMALL(IF(ISP!$I$9:$I$158&lt;&gt;"",ROW(ISP!$I$9:$I$158)-ROW(ISP!$I$9)+1),ROW(ISP!$A9)),COLUMN()))</f>
        <v>0</v>
      </c>
      <c r="W41" s="497">
        <f t="array" ref="W41">IF((ROW(ISP!$A9)&gt;SUM(--(ISP!$I$9:$I$158&lt;&gt;"")))+(COLUMN()&gt;COLUMN(ISP!$KP$1)),"",INDEX(ISP!$A$9:$KP$158,SMALL(IF(ISP!$I$9:$I$158&lt;&gt;"",ROW(ISP!$I$9:$I$158)-ROW(ISP!$I$9)+1),ROW(ISP!$A9)),COLUMN()))</f>
        <v>0</v>
      </c>
      <c r="X41" s="497">
        <f t="array" aca="1" ref="X41" ca="1">IF((ROW(ISP!$A9)&gt;SUM(--(ISP!$I$9:$I$158&lt;&gt;"")))+(COLUMN()&gt;COLUMN(ISP!$KP$1)),"",INDEX(ISP!$A$9:$KP$158,SMALL(IF(ISP!$I$9:$I$158&lt;&gt;"",ROW(ISP!$I$9:$I$158)-ROW(ISP!$I$9)+1),ROW(ISP!$A9)),COLUMN()))</f>
        <v>161</v>
      </c>
      <c r="Y41" s="497">
        <f t="array" aca="1" ref="Y41" ca="1">IF((ROW(ISP!$A9)&gt;SUM(--(ISP!$I$9:$I$158&lt;&gt;"")))+(COLUMN()&gt;COLUMN(ISP!$KP$1)),"",INDEX(ISP!$A$9:$KP$158,SMALL(IF(ISP!$I$9:$I$158&lt;&gt;"",ROW(ISP!$I$9:$I$158)-ROW(ISP!$I$9)+1),ROW(ISP!$A9)),COLUMN()))</f>
        <v>4037.0832888544232</v>
      </c>
      <c r="Z41" s="497">
        <f t="array" aca="1" ref="Z41" ca="1">IF((ROW(ISP!$A9)&gt;SUM(--(ISP!$I$9:$I$158&lt;&gt;"")))+(COLUMN()&gt;COLUMN(ISP!$KP$1)),"",INDEX(ISP!$A$9:$KP$158,SMALL(IF(ISP!$I$9:$I$158&lt;&gt;"",ROW(ISP!$I$9:$I$158)-ROW(ISP!$I$9)+1),ROW(ISP!$A9)),COLUMN()))</f>
        <v>28.173952140791464</v>
      </c>
      <c r="AA41" s="497">
        <f t="array" ref="AA41">IF((ROW(ISP!$A9)&gt;SUM(--(ISP!$I$9:$I$158&lt;&gt;"")))+(COLUMN()&gt;COLUMN(ISP!$KP$1)),"",INDEX(ISP!$A$9:$KP$158,SMALL(IF(ISP!$I$9:$I$158&lt;&gt;"",ROW(ISP!$I$9:$I$158)-ROW(ISP!$I$9)+1),ROW(ISP!$A9)),COLUMN()))</f>
        <v>0</v>
      </c>
      <c r="AB41" s="497">
        <f t="array" aca="1" ref="AB41" ca="1">IF((ROW(ISP!$A9)&gt;SUM(--(ISP!$I$9:$I$158&lt;&gt;"")))+(COLUMN()&gt;COLUMN(ISP!$KP$1)),"",INDEX(ISP!$A$9:$KP$158,SMALL(IF(ISP!$I$9:$I$158&lt;&gt;"",ROW(ISP!$I$9:$I$158)-ROW(ISP!$I$9)+1),ROW(ISP!$A9)),COLUMN()))</f>
        <v>1054.604557169039</v>
      </c>
      <c r="AC41" s="497">
        <f t="array" aca="1" ref="AC41" ca="1">IF((ROW(ISP!$A9)&gt;SUM(--(ISP!$I$9:$I$158&lt;&gt;"")))+(COLUMN()&gt;COLUMN(ISP!$KP$1)),"",INDEX(ISP!$A$9:$KP$158,SMALL(IF(ISP!$I$9:$I$158&lt;&gt;"",ROW(ISP!$I$9:$I$158)-ROW(ISP!$I$9)+1),ROW(ISP!$A9)),COLUMN()))</f>
        <v>1054.604557169039</v>
      </c>
      <c r="AD41" s="497">
        <f t="array" ref="AD41">IF((ROW(ISP!$A9)&gt;SUM(--(ISP!$I$9:$I$158&lt;&gt;"")))+(COLUMN()&gt;COLUMN(ISP!$KP$1)),"",INDEX(ISP!$A$9:$KP$158,SMALL(IF(ISP!$I$9:$I$158&lt;&gt;"",ROW(ISP!$I$9:$I$158)-ROW(ISP!$I$9)+1),ROW(ISP!$A9)),COLUMN()))</f>
        <v>32.200036621093773</v>
      </c>
      <c r="AE41" s="497">
        <f t="array" ref="AE41">IF((ROW(ISP!$A9)&gt;SUM(--(ISP!$I$9:$I$158&lt;&gt;"")))+(COLUMN()&gt;COLUMN(ISP!$KP$1)),"",INDEX(ISP!$A$9:$KP$158,SMALL(IF(ISP!$I$9:$I$158&lt;&gt;"",ROW(ISP!$I$9:$I$158)-ROW(ISP!$I$9)+1),ROW(ISP!$A9)),COLUMN()))</f>
        <v>32.200036621093773</v>
      </c>
      <c r="AF41" s="497">
        <f t="array" aca="1" ref="AF41" ca="1">IF((ROW(ISP!$A9)&gt;SUM(--(ISP!$I$9:$I$158&lt;&gt;"")))+(COLUMN()&gt;COLUMN(ISP!$KP$1)),"",INDEX(ISP!$A$9:$KP$158,SMALL(IF(ISP!$I$9:$I$158&lt;&gt;"",ROW(ISP!$I$9:$I$158)-ROW(ISP!$I$9)+1),ROW(ISP!$A9)),COLUMN()))</f>
        <v>4.037083288854423</v>
      </c>
      <c r="AG41" s="983">
        <f t="array" aca="1" ref="AG41" ca="1">IF((ROW(ISP!$A9)&gt;SUM(--(ISP!$I$9:$I$158&lt;&gt;"")))+(COLUMN()&gt;COLUMN(ISP!$KP$1)),"",INDEX(ISP!$A$9:$KP$158,SMALL(IF(ISP!$I$9:$I$158&lt;&gt;"",ROW(ISP!$I$9:$I$158)-ROW(ISP!$I$9)+1),ROW(ISP!$A9)),COLUMN()))</f>
        <v>2.8173952140791464E-2</v>
      </c>
      <c r="AH41" s="897" t="str">
        <f t="shared" si="3"/>
        <v>INTESA</v>
      </c>
      <c r="AJ41" s="906"/>
      <c r="AR41" s="772" t="s">
        <v>436</v>
      </c>
      <c r="AS41" s="772">
        <v>11</v>
      </c>
    </row>
    <row r="42" spans="1:45" s="807" customFormat="1" ht="12.75" customHeight="1">
      <c r="A42" s="854" t="str">
        <f t="array" ref="A42">IF((ROW(ISP!$A10)&gt;SUM(--(ISP!$I$9:$I$158&lt;&gt;"")))+(COLUMN()&gt;COLUMN(ISP!$KP$1)),"",INDEX(ISP!$A$9:$KP$158,SMALL(IF(ISP!$I$9:$I$158&lt;&gt;"",ROW(ISP!$I$9:$I$158)-ROW(ISP!$I$9)+1),ROW(ISP!$A10)),COLUMN()))</f>
        <v>INTEK</v>
      </c>
      <c r="B42" s="497" t="str">
        <f t="array" ref="B42">IF((ROW(ISP!$A10)&gt;SUM(--(ISP!$I$9:$I$158&lt;&gt;"")))+(COLUMN()&gt;COLUMN(ISP!$KP$1)),"",INDEX(ISP!$A$9:$KP$158,SMALL(IF(ISP!$I$9:$I$158&lt;&gt;"",ROW(ISP!$I$9:$I$158)-ROW(ISP!$I$9)+1),ROW(ISP!$A10)),COLUMN()))</f>
        <v>N/R</v>
      </c>
      <c r="C42" s="387">
        <f t="array" ref="C42">IF((ROW(ISP!$A10)&gt;SUM(--(ISP!$I$9:$I$158&lt;&gt;"")))+(COLUMN()&gt;COLUMN(ISP!$KP$1)),"",INDEX(ISP!$A$9:$KP$158,SMALL(IF(ISP!$I$9:$I$158&lt;&gt;"",ROW(ISP!$I$9:$I$158)-ROW(ISP!$I$9)+1),ROW(ISP!$A10)),COLUMN()))</f>
        <v>47332</v>
      </c>
      <c r="D42" s="497">
        <f t="array" ref="D42">IF((ROW(ISP!$A10)&gt;SUM(--(ISP!$I$9:$I$158&lt;&gt;"")))+(COLUMN()&gt;COLUMN(ISP!$KP$1)),"",INDEX(ISP!$A$9:$KP$158,SMALL(IF(ISP!$I$9:$I$158&lt;&gt;"",ROW(ISP!$I$9:$I$158)-ROW(ISP!$I$9)+1),ROW(ISP!$A10)),COLUMN()))</f>
        <v>45490</v>
      </c>
      <c r="E42" s="497">
        <f t="array" ref="E42">IF((ROW(ISP!$A10)&gt;SUM(--(ISP!$I$9:$I$158&lt;&gt;"")))+(COLUMN()&gt;COLUMN(ISP!$KP$1)),"",INDEX(ISP!$A$9:$KP$158,SMALL(IF(ISP!$I$9:$I$158&lt;&gt;"",ROW(ISP!$I$9:$I$158)-ROW(ISP!$I$9)+1),ROW(ISP!$A10)),COLUMN()))</f>
        <v>100</v>
      </c>
      <c r="F42" s="561">
        <f t="array" ref="F42">IF((ROW(ISP!$A10)&gt;SUM(--(ISP!$I$9:$I$158&lt;&gt;"")))+(COLUMN()&gt;COLUMN(ISP!$KP$1)),"",INDEX(ISP!$A$9:$KP$158,SMALL(IF(ISP!$I$9:$I$158&lt;&gt;"",ROW(ISP!$I$9:$I$158)-ROW(ISP!$I$9)+1),ROW(ISP!$A10)),COLUMN()))</f>
        <v>5.7500000000000002E-2</v>
      </c>
      <c r="G42" s="383">
        <f t="array" ref="G42">IF((ROW(ISP!$A10)&gt;SUM(--(ISP!$I$9:$I$158&lt;&gt;"")))+(COLUMN()&gt;COLUMN(ISP!$KP$1)),"",INDEX(ISP!$A$9:$KP$158,SMALL(IF(ISP!$I$9:$I$158&lt;&gt;"",ROW(ISP!$I$9:$I$158)-ROW(ISP!$I$9)+1),ROW(ISP!$A10)),COLUMN()))</f>
        <v>1000</v>
      </c>
      <c r="H42" s="497">
        <f t="array" ref="H42">IF((ROW(ISP!$A10)&gt;SUM(--(ISP!$I$9:$I$158&lt;&gt;"")))+(COLUMN()&gt;COLUMN(ISP!$KP$1)),"",INDEX(ISP!$A$9:$KP$158,SMALL(IF(ISP!$I$9:$I$158&lt;&gt;"",ROW(ISP!$I$9:$I$158)-ROW(ISP!$I$9)+1),ROW(ISP!$A10)),COLUMN()))</f>
        <v>1000</v>
      </c>
      <c r="I42" s="383">
        <f t="array" ref="I42">IF((ROW(ISP!$A10)&gt;SUM(--(ISP!$I$9:$I$158&lt;&gt;"")))+(COLUMN()&gt;COLUMN(ISP!$KP$1)),"",INDEX(ISP!$A$9:$KP$158,SMALL(IF(ISP!$I$9:$I$158&lt;&gt;"",ROW(ISP!$I$9:$I$158)-ROW(ISP!$I$9)+1),ROW(ISP!$A10)),COLUMN()))</f>
        <v>42.55</v>
      </c>
      <c r="J42" s="497">
        <f t="array" ref="J42">IF((ROW(ISP!$A10)&gt;SUM(--(ISP!$I$9:$I$158&lt;&gt;"")))+(COLUMN()&gt;COLUMN(ISP!$KP$1)),"",INDEX(ISP!$A$9:$KP$158,SMALL(IF(ISP!$I$9:$I$158&lt;&gt;"",ROW(ISP!$I$9:$I$158)-ROW(ISP!$I$9)+1),ROW(ISP!$A10)),COLUMN()))</f>
        <v>42.55</v>
      </c>
      <c r="K42" s="879" t="str">
        <f t="array" ref="K42">IF((ROW(ISP!$A10)&gt;SUM(--(ISP!$I$9:$I$158&lt;&gt;"")))+(COLUMN()&gt;COLUMN(ISP!$KP$1)),"",INDEX(ISP!$A$9:$KP$158,SMALL(IF(ISP!$I$9:$I$158&lt;&gt;"",ROW(ISP!$I$9:$I$158)-ROW(ISP!$I$9)+1),ROW(ISP!$A10)),COLUMN()))</f>
        <v>AGO</v>
      </c>
      <c r="L42" s="775">
        <f t="array" ref="L42">IF((ROW(ISP!$A10)&gt;SUM(--(ISP!$I$9:$I$158&lt;&gt;"")))+(COLUMN()&gt;COLUMN(ISP!$KP$1)),"",INDEX(ISP!$A$9:$KP$158,SMALL(IF(ISP!$I$9:$I$158&lt;&gt;"",ROW(ISP!$I$9:$I$158)-ROW(ISP!$I$9)+1),ROW(ISP!$A10)),COLUMN()))</f>
        <v>8</v>
      </c>
      <c r="M42" s="775" t="str">
        <f t="array" ref="M42">IF((ROW(ISP!$A10)&gt;SUM(--(ISP!$I$9:$I$158&lt;&gt;"")))+(COLUMN()&gt;COLUMN(ISP!$KP$1)),"",INDEX(ISP!$A$9:$KP$158,SMALL(IF(ISP!$I$9:$I$158&lt;&gt;"",ROW(ISP!$I$9:$I$158)-ROW(ISP!$I$9)+1),ROW(ISP!$A10)),COLUMN()))</f>
        <v/>
      </c>
      <c r="N42" s="497" t="str">
        <f t="array" ref="N42">IF((ROW(ISP!$A10)&gt;SUM(--(ISP!$I$9:$I$158&lt;&gt;"")))+(COLUMN()&gt;COLUMN(ISP!$KP$1)),"",INDEX(ISP!$A$9:$KP$158,SMALL(IF(ISP!$I$9:$I$158&lt;&gt;"",ROW(ISP!$I$9:$I$158)-ROW(ISP!$I$9)+1),ROW(ISP!$A10)),COLUMN()))</f>
        <v/>
      </c>
      <c r="O42" s="383">
        <f t="array" ref="O42">IF((ROW(ISP!$A10)&gt;SUM(--(ISP!$I$9:$I$158&lt;&gt;"")))+(COLUMN()&gt;COLUMN(ISP!$KP$1)),"",INDEX(ISP!$A$9:$KP$158,SMALL(IF(ISP!$I$9:$I$158&lt;&gt;"",ROW(ISP!$I$9:$I$158)-ROW(ISP!$I$9)+1),ROW(ISP!$A10)),COLUMN()))</f>
        <v>42.55</v>
      </c>
      <c r="P42" s="497">
        <f t="array" ref="P42">IF((ROW(ISP!$A10)&gt;SUM(--(ISP!$I$9:$I$158&lt;&gt;"")))+(COLUMN()&gt;COLUMN(ISP!$KP$1)),"",INDEX(ISP!$A$9:$KP$158,SMALL(IF(ISP!$I$9:$I$158&lt;&gt;"",ROW(ISP!$I$9:$I$158)-ROW(ISP!$I$9)+1),ROW(ISP!$A10)),COLUMN()))</f>
        <v>100.42499923706055</v>
      </c>
      <c r="Q42" s="497">
        <f t="array" ref="Q42">IF((ROW(ISP!$A10)&gt;SUM(--(ISP!$I$9:$I$158&lt;&gt;"")))+(COLUMN()&gt;COLUMN(ISP!$KP$1)),"",INDEX(ISP!$A$9:$KP$158,SMALL(IF(ISP!$I$9:$I$158&lt;&gt;"",ROW(ISP!$I$9:$I$158)-ROW(ISP!$I$9)+1),ROW(ISP!$A10)),COLUMN()))</f>
        <v>0</v>
      </c>
      <c r="R42" s="497">
        <f t="array" ref="R42">IF((ROW(ISP!$A10)&gt;SUM(--(ISP!$I$9:$I$158&lt;&gt;"")))+(COLUMN()&gt;COLUMN(ISP!$KP$1)),"",INDEX(ISP!$A$9:$KP$158,SMALL(IF(ISP!$I$9:$I$158&lt;&gt;"",ROW(ISP!$I$9:$I$158)-ROW(ISP!$I$9)+1),ROW(ISP!$A10)),COLUMN()))</f>
        <v>0</v>
      </c>
      <c r="S42" s="497">
        <f t="array" aca="1" ref="S42" ca="1">IF((ROW(ISP!$A10)&gt;SUM(--(ISP!$I$9:$I$158&lt;&gt;"")))+(COLUMN()&gt;COLUMN(ISP!$KP$1)),"",INDEX(ISP!$A$9:$KP$158,SMALL(IF(ISP!$I$9:$I$158&lt;&gt;"",ROW(ISP!$I$9:$I$158)-ROW(ISP!$I$9)+1),ROW(ISP!$A10)),COLUMN()))</f>
        <v>12.007260273972634</v>
      </c>
      <c r="T42" s="497">
        <f t="array" aca="1" ref="T42" ca="1">IF((ROW(ISP!$A10)&gt;SUM(--(ISP!$I$9:$I$158&lt;&gt;"")))+(COLUMN()&gt;COLUMN(ISP!$KP$1)),"",INDEX(ISP!$A$9:$KP$158,SMALL(IF(ISP!$I$9:$I$158&lt;&gt;"",ROW(ISP!$I$9:$I$158)-ROW(ISP!$I$9)+1),ROW(ISP!$A10)),COLUMN()))</f>
        <v>12.007260273972634</v>
      </c>
      <c r="U42" s="497">
        <f t="array" ref="U42">IF((ROW(ISP!$A10)&gt;SUM(--(ISP!$I$9:$I$158&lt;&gt;"")))+(COLUMN()&gt;COLUMN(ISP!$KP$1)),"",INDEX(ISP!$A$9:$KP$158,SMALL(IF(ISP!$I$9:$I$158&lt;&gt;"",ROW(ISP!$I$9:$I$158)-ROW(ISP!$I$9)+1),ROW(ISP!$A10)),COLUMN()))</f>
        <v>0</v>
      </c>
      <c r="V42" s="497">
        <f t="array" ref="V42">IF((ROW(ISP!$A10)&gt;SUM(--(ISP!$I$9:$I$158&lt;&gt;"")))+(COLUMN()&gt;COLUMN(ISP!$KP$1)),"",INDEX(ISP!$A$9:$KP$158,SMALL(IF(ISP!$I$9:$I$158&lt;&gt;"",ROW(ISP!$I$9:$I$158)-ROW(ISP!$I$9)+1),ROW(ISP!$A10)),COLUMN()))</f>
        <v>0</v>
      </c>
      <c r="W42" s="497">
        <f t="array" ref="W42">IF((ROW(ISP!$A10)&gt;SUM(--(ISP!$I$9:$I$158&lt;&gt;"")))+(COLUMN()&gt;COLUMN(ISP!$KP$1)),"",INDEX(ISP!$A$9:$KP$158,SMALL(IF(ISP!$I$9:$I$158&lt;&gt;"",ROW(ISP!$I$9:$I$158)-ROW(ISP!$I$9)+1),ROW(ISP!$A10)),COLUMN()))</f>
        <v>0</v>
      </c>
      <c r="X42" s="497">
        <f t="array" aca="1" ref="X42" ca="1">IF((ROW(ISP!$A10)&gt;SUM(--(ISP!$I$9:$I$158&lt;&gt;"")))+(COLUMN()&gt;COLUMN(ISP!$KP$1)),"",INDEX(ISP!$A$9:$KP$158,SMALL(IF(ISP!$I$9:$I$158&lt;&gt;"",ROW(ISP!$I$9:$I$158)-ROW(ISP!$I$9)+1),ROW(ISP!$A10)),COLUMN()))</f>
        <v>103</v>
      </c>
      <c r="Y42" s="497">
        <f t="array" aca="1" ref="Y42" ca="1">IF((ROW(ISP!$A10)&gt;SUM(--(ISP!$I$9:$I$158&lt;&gt;"")))+(COLUMN()&gt;COLUMN(ISP!$KP$1)),"",INDEX(ISP!$A$9:$KP$158,SMALL(IF(ISP!$I$9:$I$158&lt;&gt;"",ROW(ISP!$I$9:$I$158)-ROW(ISP!$I$9)+1),ROW(ISP!$A10)),COLUMN()))</f>
        <v>4053.0913554818335</v>
      </c>
      <c r="Z42" s="497">
        <f t="array" aca="1" ref="Z42" ca="1">IF((ROW(ISP!$A10)&gt;SUM(--(ISP!$I$9:$I$158&lt;&gt;"")))+(COLUMN()&gt;COLUMN(ISP!$KP$1)),"",INDEX(ISP!$A$9:$KP$158,SMALL(IF(ISP!$I$9:$I$158&lt;&gt;"",ROW(ISP!$I$9:$I$158)-ROW(ISP!$I$9)+1),ROW(ISP!$A10)),COLUMN()))</f>
        <v>41.714097256457968</v>
      </c>
      <c r="AA42" s="497">
        <f t="array" ref="AA42">IF((ROW(ISP!$A10)&gt;SUM(--(ISP!$I$9:$I$158&lt;&gt;"")))+(COLUMN()&gt;COLUMN(ISP!$KP$1)),"",INDEX(ISP!$A$9:$KP$158,SMALL(IF(ISP!$I$9:$I$158&lt;&gt;"",ROW(ISP!$I$9:$I$158)-ROW(ISP!$I$9)+1),ROW(ISP!$A10)),COLUMN()))</f>
        <v>0</v>
      </c>
      <c r="AB42" s="497">
        <f t="array" aca="1" ref="AB42" ca="1">IF((ROW(ISP!$A10)&gt;SUM(--(ISP!$I$9:$I$158&lt;&gt;"")))+(COLUMN()&gt;COLUMN(ISP!$KP$1)),"",INDEX(ISP!$A$9:$KP$158,SMALL(IF(ISP!$I$9:$I$158&lt;&gt;"",ROW(ISP!$I$9:$I$158)-ROW(ISP!$I$9)+1),ROW(ISP!$A10)),COLUMN()))</f>
        <v>1016.2572526445781</v>
      </c>
      <c r="AC42" s="497">
        <f t="array" aca="1" ref="AC42" ca="1">IF((ROW(ISP!$A10)&gt;SUM(--(ISP!$I$9:$I$158&lt;&gt;"")))+(COLUMN()&gt;COLUMN(ISP!$KP$1)),"",INDEX(ISP!$A$9:$KP$158,SMALL(IF(ISP!$I$9:$I$158&lt;&gt;"",ROW(ISP!$I$9:$I$158)-ROW(ISP!$I$9)+1),ROW(ISP!$A10)),COLUMN()))</f>
        <v>1016.2572526445781</v>
      </c>
      <c r="AD42" s="497">
        <f t="array" ref="AD42">IF((ROW(ISP!$A10)&gt;SUM(--(ISP!$I$9:$I$158&lt;&gt;"")))+(COLUMN()&gt;COLUMN(ISP!$KP$1)),"",INDEX(ISP!$A$9:$KP$158,SMALL(IF(ISP!$I$9:$I$158&lt;&gt;"",ROW(ISP!$I$9:$I$158)-ROW(ISP!$I$9)+1),ROW(ISP!$A10)),COLUMN()))</f>
        <v>4.2499923706054687</v>
      </c>
      <c r="AE42" s="497">
        <f t="array" ref="AE42">IF((ROW(ISP!$A10)&gt;SUM(--(ISP!$I$9:$I$158&lt;&gt;"")))+(COLUMN()&gt;COLUMN(ISP!$KP$1)),"",INDEX(ISP!$A$9:$KP$158,SMALL(IF(ISP!$I$9:$I$158&lt;&gt;"",ROW(ISP!$I$9:$I$158)-ROW(ISP!$I$9)+1),ROW(ISP!$A10)),COLUMN()))</f>
        <v>4.2499923706054687</v>
      </c>
      <c r="AF42" s="497">
        <f t="array" aca="1" ref="AF42" ca="1">IF((ROW(ISP!$A10)&gt;SUM(--(ISP!$I$9:$I$158&lt;&gt;"")))+(COLUMN()&gt;COLUMN(ISP!$KP$1)),"",INDEX(ISP!$A$9:$KP$158,SMALL(IF(ISP!$I$9:$I$158&lt;&gt;"",ROW(ISP!$I$9:$I$158)-ROW(ISP!$I$9)+1),ROW(ISP!$A10)),COLUMN()))</f>
        <v>4.0530913554818335</v>
      </c>
      <c r="AG42" s="983">
        <f t="array" aca="1" ref="AG42" ca="1">IF((ROW(ISP!$A10)&gt;SUM(--(ISP!$I$9:$I$158&lt;&gt;"")))+(COLUMN()&gt;COLUMN(ISP!$KP$1)),"",INDEX(ISP!$A$9:$KP$158,SMALL(IF(ISP!$I$9:$I$158&lt;&gt;"",ROW(ISP!$I$9:$I$158)-ROW(ISP!$I$9)+1),ROW(ISP!$A10)),COLUMN()))</f>
        <v>4.1714097256457972E-2</v>
      </c>
      <c r="AH42" s="897" t="str">
        <f t="shared" si="3"/>
        <v>INTESA</v>
      </c>
      <c r="AJ42" s="906"/>
      <c r="AR42" s="772" t="s">
        <v>434</v>
      </c>
      <c r="AS42" s="772">
        <v>12</v>
      </c>
    </row>
    <row r="43" spans="1:45" s="807" customFormat="1" ht="12.75" customHeight="1">
      <c r="A43" s="854" t="str">
        <f t="array" ref="A43">IF((ROW(ISP!$A11)&gt;SUM(--(ISP!$I$9:$I$158&lt;&gt;"")))+(COLUMN()&gt;COLUMN(ISP!$KP$1)),"",INDEX(ISP!$A$9:$KP$158,SMALL(IF(ISP!$I$9:$I$158&lt;&gt;"",ROW(ISP!$I$9:$I$158)-ROW(ISP!$I$9)+1),ROW(ISP!$A11)),COLUMN()))</f>
        <v>RENAULT</v>
      </c>
      <c r="B43" s="497" t="str">
        <f t="array" ref="B43">IF((ROW(ISP!$A11)&gt;SUM(--(ISP!$I$9:$I$158&lt;&gt;"")))+(COLUMN()&gt;COLUMN(ISP!$KP$1)),"",INDEX(ISP!$A$9:$KP$158,SMALL(IF(ISP!$I$9:$I$158&lt;&gt;"",ROW(ISP!$I$9:$I$158)-ROW(ISP!$I$9)+1),ROW(ISP!$A11)),COLUMN()))</f>
        <v>BBB</v>
      </c>
      <c r="C43" s="387">
        <f t="array" ref="C43">IF((ROW(ISP!$A11)&gt;SUM(--(ISP!$I$9:$I$158&lt;&gt;"")))+(COLUMN()&gt;COLUMN(ISP!$KP$1)),"",INDEX(ISP!$A$9:$KP$158,SMALL(IF(ISP!$I$9:$I$158&lt;&gt;"",ROW(ISP!$I$9:$I$158)-ROW(ISP!$I$9)+1),ROW(ISP!$A11)),COLUMN()))</f>
        <v>47756</v>
      </c>
      <c r="D43" s="497">
        <f t="array" ref="D43">IF((ROW(ISP!$A11)&gt;SUM(--(ISP!$I$9:$I$158&lt;&gt;"")))+(COLUMN()&gt;COLUMN(ISP!$KP$1)),"",INDEX(ISP!$A$9:$KP$158,SMALL(IF(ISP!$I$9:$I$158&lt;&gt;"",ROW(ISP!$I$9:$I$158)-ROW(ISP!$I$9)+1),ROW(ISP!$A11)),COLUMN()))</f>
        <v>45602</v>
      </c>
      <c r="E43" s="497">
        <f t="array" ref="E43">IF((ROW(ISP!$A11)&gt;SUM(--(ISP!$I$9:$I$158&lt;&gt;"")))+(COLUMN()&gt;COLUMN(ISP!$KP$1)),"",INDEX(ISP!$A$9:$KP$158,SMALL(IF(ISP!$I$9:$I$158&lt;&gt;"",ROW(ISP!$I$9:$I$158)-ROW(ISP!$I$9)+1),ROW(ISP!$A11)),COLUMN()))</f>
        <v>100.62</v>
      </c>
      <c r="F43" s="561">
        <f t="array" ref="F43">IF((ROW(ISP!$A11)&gt;SUM(--(ISP!$I$9:$I$158&lt;&gt;"")))+(COLUMN()&gt;COLUMN(ISP!$KP$1)),"",INDEX(ISP!$A$9:$KP$158,SMALL(IF(ISP!$I$9:$I$158&lt;&gt;"",ROW(ISP!$I$9:$I$158)-ROW(ISP!$I$9)+1),ROW(ISP!$A11)),COLUMN()))</f>
        <v>3.875E-2</v>
      </c>
      <c r="G43" s="383">
        <f t="array" ref="G43">IF((ROW(ISP!$A11)&gt;SUM(--(ISP!$I$9:$I$158&lt;&gt;"")))+(COLUMN()&gt;COLUMN(ISP!$KP$1)),"",INDEX(ISP!$A$9:$KP$158,SMALL(IF(ISP!$I$9:$I$158&lt;&gt;"",ROW(ISP!$I$9:$I$158)-ROW(ISP!$I$9)+1),ROW(ISP!$A11)),COLUMN()))</f>
        <v>1000</v>
      </c>
      <c r="H43" s="497">
        <f t="array" ref="H43">IF((ROW(ISP!$A11)&gt;SUM(--(ISP!$I$9:$I$158&lt;&gt;"")))+(COLUMN()&gt;COLUMN(ISP!$KP$1)),"",INDEX(ISP!$A$9:$KP$158,SMALL(IF(ISP!$I$9:$I$158&lt;&gt;"",ROW(ISP!$I$9:$I$158)-ROW(ISP!$I$9)+1),ROW(ISP!$A11)),COLUMN()))</f>
        <v>1000</v>
      </c>
      <c r="I43" s="383">
        <f t="array" ref="I43">IF((ROW(ISP!$A11)&gt;SUM(--(ISP!$I$9:$I$158&lt;&gt;"")))+(COLUMN()&gt;COLUMN(ISP!$KP$1)),"",INDEX(ISP!$A$9:$KP$158,SMALL(IF(ISP!$I$9:$I$158&lt;&gt;"",ROW(ISP!$I$9:$I$158)-ROW(ISP!$I$9)+1),ROW(ISP!$A11)),COLUMN()))</f>
        <v>28.675000000000001</v>
      </c>
      <c r="J43" s="497">
        <f t="array" ref="J43">IF((ROW(ISP!$A11)&gt;SUM(--(ISP!$I$9:$I$158&lt;&gt;"")))+(COLUMN()&gt;COLUMN(ISP!$KP$1)),"",INDEX(ISP!$A$9:$KP$158,SMALL(IF(ISP!$I$9:$I$158&lt;&gt;"",ROW(ISP!$I$9:$I$158)-ROW(ISP!$I$9)+1),ROW(ISP!$A11)),COLUMN()))</f>
        <v>28.675000000000001</v>
      </c>
      <c r="K43" s="879" t="str">
        <f t="array" ref="K43">IF((ROW(ISP!$A11)&gt;SUM(--(ISP!$I$9:$I$158&lt;&gt;"")))+(COLUMN()&gt;COLUMN(ISP!$KP$1)),"",INDEX(ISP!$A$9:$KP$158,SMALL(IF(ISP!$I$9:$I$158&lt;&gt;"",ROW(ISP!$I$9:$I$158)-ROW(ISP!$I$9)+1),ROW(ISP!$A11)),COLUMN()))</f>
        <v>SET</v>
      </c>
      <c r="L43" s="775">
        <f t="array" ref="L43">IF((ROW(ISP!$A11)&gt;SUM(--(ISP!$I$9:$I$158&lt;&gt;"")))+(COLUMN()&gt;COLUMN(ISP!$KP$1)),"",INDEX(ISP!$A$9:$KP$158,SMALL(IF(ISP!$I$9:$I$158&lt;&gt;"",ROW(ISP!$I$9:$I$158)-ROW(ISP!$I$9)+1),ROW(ISP!$A11)),COLUMN()))</f>
        <v>9</v>
      </c>
      <c r="M43" s="775" t="str">
        <f t="array" ref="M43">IF((ROW(ISP!$A11)&gt;SUM(--(ISP!$I$9:$I$158&lt;&gt;"")))+(COLUMN()&gt;COLUMN(ISP!$KP$1)),"",INDEX(ISP!$A$9:$KP$158,SMALL(IF(ISP!$I$9:$I$158&lt;&gt;"",ROW(ISP!$I$9:$I$158)-ROW(ISP!$I$9)+1),ROW(ISP!$A11)),COLUMN()))</f>
        <v/>
      </c>
      <c r="N43" s="497" t="str">
        <f t="array" ref="N43">IF((ROW(ISP!$A11)&gt;SUM(--(ISP!$I$9:$I$158&lt;&gt;"")))+(COLUMN()&gt;COLUMN(ISP!$KP$1)),"",INDEX(ISP!$A$9:$KP$158,SMALL(IF(ISP!$I$9:$I$158&lt;&gt;"",ROW(ISP!$I$9:$I$158)-ROW(ISP!$I$9)+1),ROW(ISP!$A11)),COLUMN()))</f>
        <v/>
      </c>
      <c r="O43" s="383">
        <f t="array" ref="O43">IF((ROW(ISP!$A11)&gt;SUM(--(ISP!$I$9:$I$158&lt;&gt;"")))+(COLUMN()&gt;COLUMN(ISP!$KP$1)),"",INDEX(ISP!$A$9:$KP$158,SMALL(IF(ISP!$I$9:$I$158&lt;&gt;"",ROW(ISP!$I$9:$I$158)-ROW(ISP!$I$9)+1),ROW(ISP!$A11)),COLUMN()))</f>
        <v>28.675000000000001</v>
      </c>
      <c r="P43" s="497">
        <f t="array" ref="P43">IF((ROW(ISP!$A11)&gt;SUM(--(ISP!$I$9:$I$158&lt;&gt;"")))+(COLUMN()&gt;COLUMN(ISP!$KP$1)),"",INDEX(ISP!$A$9:$KP$158,SMALL(IF(ISP!$I$9:$I$158&lt;&gt;"",ROW(ISP!$I$9:$I$158)-ROW(ISP!$I$9)+1),ROW(ISP!$A11)),COLUMN()))</f>
        <v>100.6099967956543</v>
      </c>
      <c r="Q43" s="497">
        <f t="array" ref="Q43">IF((ROW(ISP!$A11)&gt;SUM(--(ISP!$I$9:$I$158&lt;&gt;"")))+(COLUMN()&gt;COLUMN(ISP!$KP$1)),"",INDEX(ISP!$A$9:$KP$158,SMALL(IF(ISP!$I$9:$I$158&lt;&gt;"",ROW(ISP!$I$9:$I$158)-ROW(ISP!$I$9)+1),ROW(ISP!$A11)),COLUMN()))</f>
        <v>0</v>
      </c>
      <c r="R43" s="497">
        <f t="array" ref="R43">IF((ROW(ISP!$A11)&gt;SUM(--(ISP!$I$9:$I$158&lt;&gt;"")))+(COLUMN()&gt;COLUMN(ISP!$KP$1)),"",INDEX(ISP!$A$9:$KP$158,SMALL(IF(ISP!$I$9:$I$158&lt;&gt;"",ROW(ISP!$I$9:$I$158)-ROW(ISP!$I$9)+1),ROW(ISP!$A11)),COLUMN()))</f>
        <v>0</v>
      </c>
      <c r="S43" s="497">
        <f t="array" aca="1" ref="S43" ca="1">IF((ROW(ISP!$A11)&gt;SUM(--(ISP!$I$9:$I$158&lt;&gt;"")))+(COLUMN()&gt;COLUMN(ISP!$KP$1)),"",INDEX(ISP!$A$9:$KP$158,SMALL(IF(ISP!$I$9:$I$158&lt;&gt;"",ROW(ISP!$I$9:$I$158)-ROW(ISP!$I$9)+1),ROW(ISP!$A11)),COLUMN()))</f>
        <v>3.4567123287671393</v>
      </c>
      <c r="T43" s="497">
        <f t="array" aca="1" ref="T43" ca="1">IF((ROW(ISP!$A11)&gt;SUM(--(ISP!$I$9:$I$158&lt;&gt;"")))+(COLUMN()&gt;COLUMN(ISP!$KP$1)),"",INDEX(ISP!$A$9:$KP$158,SMALL(IF(ISP!$I$9:$I$158&lt;&gt;"",ROW(ISP!$I$9:$I$158)-ROW(ISP!$I$9)+1),ROW(ISP!$A11)),COLUMN()))</f>
        <v>3.4567123287671393</v>
      </c>
      <c r="U43" s="497">
        <f t="array" ref="U43">IF((ROW(ISP!$A11)&gt;SUM(--(ISP!$I$9:$I$158&lt;&gt;"")))+(COLUMN()&gt;COLUMN(ISP!$KP$1)),"",INDEX(ISP!$A$9:$KP$158,SMALL(IF(ISP!$I$9:$I$158&lt;&gt;"",ROW(ISP!$I$9:$I$158)-ROW(ISP!$I$9)+1),ROW(ISP!$A11)),COLUMN()))</f>
        <v>0</v>
      </c>
      <c r="V43" s="497">
        <f t="array" ref="V43">IF((ROW(ISP!$A11)&gt;SUM(--(ISP!$I$9:$I$158&lt;&gt;"")))+(COLUMN()&gt;COLUMN(ISP!$KP$1)),"",INDEX(ISP!$A$9:$KP$158,SMALL(IF(ISP!$I$9:$I$158&lt;&gt;"",ROW(ISP!$I$9:$I$158)-ROW(ISP!$I$9)+1),ROW(ISP!$A11)),COLUMN()))</f>
        <v>0</v>
      </c>
      <c r="W43" s="497">
        <f t="array" ref="W43">IF((ROW(ISP!$A11)&gt;SUM(--(ISP!$I$9:$I$158&lt;&gt;"")))+(COLUMN()&gt;COLUMN(ISP!$KP$1)),"",INDEX(ISP!$A$9:$KP$158,SMALL(IF(ISP!$I$9:$I$158&lt;&gt;"",ROW(ISP!$I$9:$I$158)-ROW(ISP!$I$9)+1),ROW(ISP!$A11)),COLUMN()))</f>
        <v>0</v>
      </c>
      <c r="X43" s="497">
        <f t="array" aca="1" ref="X43" ca="1">IF((ROW(ISP!$A11)&gt;SUM(--(ISP!$I$9:$I$158&lt;&gt;"")))+(COLUMN()&gt;COLUMN(ISP!$KP$1)),"",INDEX(ISP!$A$9:$KP$158,SMALL(IF(ISP!$I$9:$I$158&lt;&gt;"",ROW(ISP!$I$9:$I$158)-ROW(ISP!$I$9)+1),ROW(ISP!$A11)),COLUMN()))</f>
        <v>44</v>
      </c>
      <c r="Y43" s="497">
        <f t="array" aca="1" ref="Y43" ca="1">IF((ROW(ISP!$A11)&gt;SUM(--(ISP!$I$9:$I$158&lt;&gt;"")))+(COLUMN()&gt;COLUMN(ISP!$KP$1)),"",INDEX(ISP!$A$9:$KP$158,SMALL(IF(ISP!$I$9:$I$158&lt;&gt;"",ROW(ISP!$I$9:$I$158)-ROW(ISP!$I$9)+1),ROW(ISP!$A11)),COLUMN()))</f>
        <v>5219.6033048854397</v>
      </c>
      <c r="Z43" s="497">
        <f t="array" aca="1" ref="Z43" ca="1">IF((ROW(ISP!$A11)&gt;SUM(--(ISP!$I$9:$I$158&lt;&gt;"")))+(COLUMN()&gt;COLUMN(ISP!$KP$1)),"",INDEX(ISP!$A$9:$KP$158,SMALL(IF(ISP!$I$9:$I$158&lt;&gt;"",ROW(ISP!$I$9:$I$158)-ROW(ISP!$I$9)+1),ROW(ISP!$A11)),COLUMN()))</f>
        <v>27.794332511393815</v>
      </c>
      <c r="AA43" s="497">
        <f t="array" ref="AA43">IF((ROW(ISP!$A11)&gt;SUM(--(ISP!$I$9:$I$158&lt;&gt;"")))+(COLUMN()&gt;COLUMN(ISP!$KP$1)),"",INDEX(ISP!$A$9:$KP$158,SMALL(IF(ISP!$I$9:$I$158&lt;&gt;"",ROW(ISP!$I$9:$I$158)-ROW(ISP!$I$9)+1),ROW(ISP!$A11)),COLUMN()))</f>
        <v>0</v>
      </c>
      <c r="AB43" s="497">
        <f t="array" aca="1" ref="AB43" ca="1">IF((ROW(ISP!$A11)&gt;SUM(--(ISP!$I$9:$I$158&lt;&gt;"")))+(COLUMN()&gt;COLUMN(ISP!$KP$1)),"",INDEX(ISP!$A$9:$KP$158,SMALL(IF(ISP!$I$9:$I$158&lt;&gt;"",ROW(ISP!$I$9:$I$158)-ROW(ISP!$I$9)+1),ROW(ISP!$A11)),COLUMN()))</f>
        <v>1009.5566802853101</v>
      </c>
      <c r="AC43" s="497">
        <f t="array" aca="1" ref="AC43" ca="1">IF((ROW(ISP!$A11)&gt;SUM(--(ISP!$I$9:$I$158&lt;&gt;"")))+(COLUMN()&gt;COLUMN(ISP!$KP$1)),"",INDEX(ISP!$A$9:$KP$158,SMALL(IF(ISP!$I$9:$I$158&lt;&gt;"",ROW(ISP!$I$9:$I$158)-ROW(ISP!$I$9)+1),ROW(ISP!$A11)),COLUMN()))</f>
        <v>1009.5566802853101</v>
      </c>
      <c r="AD43" s="497">
        <f t="array" ref="AD43">IF((ROW(ISP!$A11)&gt;SUM(--(ISP!$I$9:$I$158&lt;&gt;"")))+(COLUMN()&gt;COLUMN(ISP!$KP$1)),"",INDEX(ISP!$A$9:$KP$158,SMALL(IF(ISP!$I$9:$I$158&lt;&gt;"",ROW(ISP!$I$9:$I$158)-ROW(ISP!$I$9)+1),ROW(ISP!$A11)),COLUMN()))</f>
        <v>-0.10003204345707672</v>
      </c>
      <c r="AE43" s="497">
        <f t="array" ref="AE43">IF((ROW(ISP!$A11)&gt;SUM(--(ISP!$I$9:$I$158&lt;&gt;"")))+(COLUMN()&gt;COLUMN(ISP!$KP$1)),"",INDEX(ISP!$A$9:$KP$158,SMALL(IF(ISP!$I$9:$I$158&lt;&gt;"",ROW(ISP!$I$9:$I$158)-ROW(ISP!$I$9)+1),ROW(ISP!$A11)),COLUMN()))</f>
        <v>-0.10003204345707672</v>
      </c>
      <c r="AF43" s="497">
        <f t="array" aca="1" ref="AF43" ca="1">IF((ROW(ISP!$A11)&gt;SUM(--(ISP!$I$9:$I$158&lt;&gt;"")))+(COLUMN()&gt;COLUMN(ISP!$KP$1)),"",INDEX(ISP!$A$9:$KP$158,SMALL(IF(ISP!$I$9:$I$158&lt;&gt;"",ROW(ISP!$I$9:$I$158)-ROW(ISP!$I$9)+1),ROW(ISP!$A11)),COLUMN()))</f>
        <v>5.2196033048854398</v>
      </c>
      <c r="AG43" s="983">
        <f t="array" aca="1" ref="AG43" ca="1">IF((ROW(ISP!$A11)&gt;SUM(--(ISP!$I$9:$I$158&lt;&gt;"")))+(COLUMN()&gt;COLUMN(ISP!$KP$1)),"",INDEX(ISP!$A$9:$KP$158,SMALL(IF(ISP!$I$9:$I$158&lt;&gt;"",ROW(ISP!$I$9:$I$158)-ROW(ISP!$I$9)+1),ROW(ISP!$A11)),COLUMN()))</f>
        <v>2.7794332511393814E-2</v>
      </c>
      <c r="AH43" s="897" t="str">
        <f t="shared" si="3"/>
        <v>INTESA</v>
      </c>
      <c r="AJ43" s="906"/>
    </row>
    <row r="44" spans="1:45" s="885" customFormat="1" ht="12.75" customHeight="1" thickBot="1">
      <c r="A44" s="854" t="str">
        <f t="array" ref="A44">IF((ROW(ISP!$A12)&gt;SUM(--(ISP!$I$9:$I$158&lt;&gt;"")))+(COLUMN()&gt;COLUMN(ISP!$KP$1)),"",INDEX(ISP!$A$9:$KP$158,SMALL(IF(ISP!$I$9:$I$158&lt;&gt;"",ROW(ISP!$I$9:$I$158)-ROW(ISP!$I$9)+1),ROW(ISP!$A12)),COLUMN()))</f>
        <v>ITALIA</v>
      </c>
      <c r="B44" s="497" t="str">
        <f t="array" ref="B44">IF((ROW(ISP!$A12)&gt;SUM(--(ISP!$I$9:$I$158&lt;&gt;"")))+(COLUMN()&gt;COLUMN(ISP!$KP$1)),"",INDEX(ISP!$A$9:$KP$158,SMALL(IF(ISP!$I$9:$I$158&lt;&gt;"",ROW(ISP!$I$9:$I$158)-ROW(ISP!$I$9)+1),ROW(ISP!$A12)),COLUMN()))</f>
        <v>BBB</v>
      </c>
      <c r="C44" s="387">
        <f t="array" ref="C44">IF((ROW(ISP!$A12)&gt;SUM(--(ISP!$I$9:$I$158&lt;&gt;"")))+(COLUMN()&gt;COLUMN(ISP!$KP$1)),"",INDEX(ISP!$A$9:$KP$158,SMALL(IF(ISP!$I$9:$I$158&lt;&gt;"",ROW(ISP!$I$9:$I$158)-ROW(ISP!$I$9)+1),ROW(ISP!$A12)),COLUMN()))</f>
        <v>48151</v>
      </c>
      <c r="D44" s="497">
        <f t="array" ref="D44">IF((ROW(ISP!$A12)&gt;SUM(--(ISP!$I$9:$I$158&lt;&gt;"")))+(COLUMN()&gt;COLUMN(ISP!$KP$1)),"",INDEX(ISP!$A$9:$KP$158,SMALL(IF(ISP!$I$9:$I$158&lt;&gt;"",ROW(ISP!$I$9:$I$158)-ROW(ISP!$I$9)+1),ROW(ISP!$A12)),COLUMN()))</f>
        <v>45037</v>
      </c>
      <c r="E44" s="497">
        <f t="array" ref="E44">IF((ROW(ISP!$A12)&gt;SUM(--(ISP!$I$9:$I$158&lt;&gt;"")))+(COLUMN()&gt;COLUMN(ISP!$KP$1)),"",INDEX(ISP!$A$9:$KP$158,SMALL(IF(ISP!$I$9:$I$158&lt;&gt;"",ROW(ISP!$I$9:$I$158)-ROW(ISP!$I$9)+1),ROW(ISP!$A12)),COLUMN()))</f>
        <v>99.44</v>
      </c>
      <c r="F44" s="561">
        <f t="array" ref="F44">IF((ROW(ISP!$A12)&gt;SUM(--(ISP!$I$9:$I$158&lt;&gt;"")))+(COLUMN()&gt;COLUMN(ISP!$KP$1)),"",INDEX(ISP!$A$9:$KP$158,SMALL(IF(ISP!$I$9:$I$158&lt;&gt;"",ROW(ISP!$I$9:$I$158)-ROW(ISP!$I$9)+1),ROW(ISP!$A12)),COLUMN()))</f>
        <v>0.04</v>
      </c>
      <c r="G44" s="383">
        <f t="array" ref="G44">IF((ROW(ISP!$A12)&gt;SUM(--(ISP!$I$9:$I$158&lt;&gt;"")))+(COLUMN()&gt;COLUMN(ISP!$KP$1)),"",INDEX(ISP!$A$9:$KP$158,SMALL(IF(ISP!$I$9:$I$158&lt;&gt;"",ROW(ISP!$I$9:$I$158)-ROW(ISP!$I$9)+1),ROW(ISP!$A12)),COLUMN()))</f>
        <v>1000</v>
      </c>
      <c r="H44" s="497">
        <f t="array" ref="H44">IF((ROW(ISP!$A12)&gt;SUM(--(ISP!$I$9:$I$158&lt;&gt;"")))+(COLUMN()&gt;COLUMN(ISP!$KP$1)),"",INDEX(ISP!$A$9:$KP$158,SMALL(IF(ISP!$I$9:$I$158&lt;&gt;"",ROW(ISP!$I$9:$I$158)-ROW(ISP!$I$9)+1),ROW(ISP!$A12)),COLUMN()))</f>
        <v>1000</v>
      </c>
      <c r="I44" s="383">
        <f t="array" ref="I44">IF((ROW(ISP!$A12)&gt;SUM(--(ISP!$I$9:$I$158&lt;&gt;"")))+(COLUMN()&gt;COLUMN(ISP!$KP$1)),"",INDEX(ISP!$A$9:$KP$158,SMALL(IF(ISP!$I$9:$I$158&lt;&gt;"",ROW(ISP!$I$9:$I$158)-ROW(ISP!$I$9)+1),ROW(ISP!$A12)),COLUMN()))</f>
        <v>35</v>
      </c>
      <c r="J44" s="497">
        <f t="array" ref="J44">IF((ROW(ISP!$A12)&gt;SUM(--(ISP!$I$9:$I$158&lt;&gt;"")))+(COLUMN()&gt;COLUMN(ISP!$KP$1)),"",INDEX(ISP!$A$9:$KP$158,SMALL(IF(ISP!$I$9:$I$158&lt;&gt;"",ROW(ISP!$I$9:$I$158)-ROW(ISP!$I$9)+1),ROW(ISP!$A12)),COLUMN()))</f>
        <v>35</v>
      </c>
      <c r="K44" s="879" t="str">
        <f t="array" ref="K44">IF((ROW(ISP!$A12)&gt;SUM(--(ISP!$I$9:$I$158&lt;&gt;"")))+(COLUMN()&gt;COLUMN(ISP!$KP$1)),"",INDEX(ISP!$A$9:$KP$158,SMALL(IF(ISP!$I$9:$I$158&lt;&gt;"",ROW(ISP!$I$9:$I$158)-ROW(ISP!$I$9)+1),ROW(ISP!$A12)),COLUMN()))</f>
        <v>APR/OTT</v>
      </c>
      <c r="L44" s="775">
        <f t="array" ref="L44">IF((ROW(ISP!$A12)&gt;SUM(--(ISP!$I$9:$I$158&lt;&gt;"")))+(COLUMN()&gt;COLUMN(ISP!$KP$1)),"",INDEX(ISP!$A$9:$KP$158,SMALL(IF(ISP!$I$9:$I$158&lt;&gt;"",ROW(ISP!$I$9:$I$158)-ROW(ISP!$I$9)+1),ROW(ISP!$A12)),COLUMN()))</f>
        <v>10</v>
      </c>
      <c r="M44" s="775">
        <f t="array" ref="M44">IF((ROW(ISP!$A12)&gt;SUM(--(ISP!$I$9:$I$158&lt;&gt;"")))+(COLUMN()&gt;COLUMN(ISP!$KP$1)),"",INDEX(ISP!$A$9:$KP$158,SMALL(IF(ISP!$I$9:$I$158&lt;&gt;"",ROW(ISP!$I$9:$I$158)-ROW(ISP!$I$9)+1),ROW(ISP!$A12)),COLUMN()))</f>
        <v>4</v>
      </c>
      <c r="N44" s="497">
        <f t="array" ref="N44">IF((ROW(ISP!$A12)&gt;SUM(--(ISP!$I$9:$I$158&lt;&gt;"")))+(COLUMN()&gt;COLUMN(ISP!$KP$1)),"",INDEX(ISP!$A$9:$KP$158,SMALL(IF(ISP!$I$9:$I$158&lt;&gt;"",ROW(ISP!$I$9:$I$158)-ROW(ISP!$I$9)+1),ROW(ISP!$A12)),COLUMN()))</f>
        <v>16</v>
      </c>
      <c r="O44" s="383">
        <f t="array" ref="O44">IF((ROW(ISP!$A12)&gt;SUM(--(ISP!$I$9:$I$158&lt;&gt;"")))+(COLUMN()&gt;COLUMN(ISP!$KP$1)),"",INDEX(ISP!$A$9:$KP$158,SMALL(IF(ISP!$I$9:$I$158&lt;&gt;"",ROW(ISP!$I$9:$I$158)-ROW(ISP!$I$9)+1),ROW(ISP!$A12)),COLUMN()))</f>
        <v>17.5</v>
      </c>
      <c r="P44" s="497">
        <f t="array" ref="P44">IF((ROW(ISP!$A12)&gt;SUM(--(ISP!$I$9:$I$158&lt;&gt;"")))+(COLUMN()&gt;COLUMN(ISP!$KP$1)),"",INDEX(ISP!$A$9:$KP$158,SMALL(IF(ISP!$I$9:$I$158&lt;&gt;"",ROW(ISP!$I$9:$I$158)-ROW(ISP!$I$9)+1),ROW(ISP!$A12)),COLUMN()))</f>
        <v>105.20500183105469</v>
      </c>
      <c r="Q44" s="497">
        <f t="array" ref="Q44">IF((ROW(ISP!$A12)&gt;SUM(--(ISP!$I$9:$I$158&lt;&gt;"")))+(COLUMN()&gt;COLUMN(ISP!$KP$1)),"",INDEX(ISP!$A$9:$KP$158,SMALL(IF(ISP!$I$9:$I$158&lt;&gt;"",ROW(ISP!$I$9:$I$158)-ROW(ISP!$I$9)+1),ROW(ISP!$A12)),COLUMN()))</f>
        <v>0</v>
      </c>
      <c r="R44" s="497">
        <f t="array" ref="R44">IF((ROW(ISP!$A12)&gt;SUM(--(ISP!$I$9:$I$158&lt;&gt;"")))+(COLUMN()&gt;COLUMN(ISP!$KP$1)),"",INDEX(ISP!$A$9:$KP$158,SMALL(IF(ISP!$I$9:$I$158&lt;&gt;"",ROW(ISP!$I$9:$I$158)-ROW(ISP!$I$9)+1),ROW(ISP!$A12)),COLUMN()))</f>
        <v>0</v>
      </c>
      <c r="S44" s="497">
        <f t="array" aca="1" ref="S44" ca="1">IF((ROW(ISP!$A12)&gt;SUM(--(ISP!$I$9:$I$158&lt;&gt;"")))+(COLUMN()&gt;COLUMN(ISP!$KP$1)),"",INDEX(ISP!$A$9:$KP$158,SMALL(IF(ISP!$I$9:$I$158&lt;&gt;"",ROW(ISP!$I$9:$I$158)-ROW(ISP!$I$9)+1),ROW(ISP!$A12)),COLUMN()))</f>
        <v>1.3424657534247899</v>
      </c>
      <c r="T44" s="497">
        <f t="array" aca="1" ref="T44" ca="1">IF((ROW(ISP!$A12)&gt;SUM(--(ISP!$I$9:$I$158&lt;&gt;"")))+(COLUMN()&gt;COLUMN(ISP!$KP$1)),"",INDEX(ISP!$A$9:$KP$158,SMALL(IF(ISP!$I$9:$I$158&lt;&gt;"",ROW(ISP!$I$9:$I$158)-ROW(ISP!$I$9)+1),ROW(ISP!$A12)),COLUMN()))</f>
        <v>1.3424657534247899</v>
      </c>
      <c r="U44" s="497">
        <f t="array" ref="U44">IF((ROW(ISP!$A12)&gt;SUM(--(ISP!$I$9:$I$158&lt;&gt;"")))+(COLUMN()&gt;COLUMN(ISP!$KP$1)),"",INDEX(ISP!$A$9:$KP$158,SMALL(IF(ISP!$I$9:$I$158&lt;&gt;"",ROW(ISP!$I$9:$I$158)-ROW(ISP!$I$9)+1),ROW(ISP!$A12)),COLUMN()))</f>
        <v>0</v>
      </c>
      <c r="V44" s="497">
        <f t="array" ref="V44">IF((ROW(ISP!$A12)&gt;SUM(--(ISP!$I$9:$I$158&lt;&gt;"")))+(COLUMN()&gt;COLUMN(ISP!$KP$1)),"",INDEX(ISP!$A$9:$KP$158,SMALL(IF(ISP!$I$9:$I$158&lt;&gt;"",ROW(ISP!$I$9:$I$158)-ROW(ISP!$I$9)+1),ROW(ISP!$A12)),COLUMN()))</f>
        <v>0</v>
      </c>
      <c r="W44" s="497">
        <f t="array" ref="W44">IF((ROW(ISP!$A12)&gt;SUM(--(ISP!$I$9:$I$158&lt;&gt;"")))+(COLUMN()&gt;COLUMN(ISP!$KP$1)),"",INDEX(ISP!$A$9:$KP$158,SMALL(IF(ISP!$I$9:$I$158&lt;&gt;"",ROW(ISP!$I$9:$I$158)-ROW(ISP!$I$9)+1),ROW(ISP!$A12)),COLUMN()))</f>
        <v>0</v>
      </c>
      <c r="X44" s="497">
        <f t="array" aca="1" ref="X44" ca="1">IF((ROW(ISP!$A12)&gt;SUM(--(ISP!$I$9:$I$158&lt;&gt;"")))+(COLUMN()&gt;COLUMN(ISP!$KP$1)),"",INDEX(ISP!$A$9:$KP$158,SMALL(IF(ISP!$I$9:$I$158&lt;&gt;"",ROW(ISP!$I$9:$I$158)-ROW(ISP!$I$9)+1),ROW(ISP!$A12)),COLUMN()))</f>
        <v>14</v>
      </c>
      <c r="Y44" s="497">
        <f t="array" aca="1" ref="Y44" ca="1">IF((ROW(ISP!$A12)&gt;SUM(--(ISP!$I$9:$I$158&lt;&gt;"")))+(COLUMN()&gt;COLUMN(ISP!$KP$1)),"",INDEX(ISP!$A$9:$KP$158,SMALL(IF(ISP!$I$9:$I$158&lt;&gt;"",ROW(ISP!$I$9:$I$158)-ROW(ISP!$I$9)+1),ROW(ISP!$A12)),COLUMN()))</f>
        <v>6088.5086548141098</v>
      </c>
      <c r="Z44" s="497">
        <f t="array" aca="1" ref="Z44" ca="1">IF((ROW(ISP!$A12)&gt;SUM(--(ISP!$I$9:$I$158&lt;&gt;"")))+(COLUMN()&gt;COLUMN(ISP!$KP$1)),"",INDEX(ISP!$A$9:$KP$158,SMALL(IF(ISP!$I$9:$I$158&lt;&gt;"",ROW(ISP!$I$9:$I$158)-ROW(ISP!$I$9)+1),ROW(ISP!$A12)),COLUMN()))</f>
        <v>27.658680504361826</v>
      </c>
      <c r="AA44" s="497">
        <f t="array" ref="AA44">IF((ROW(ISP!$A12)&gt;SUM(--(ISP!$I$9:$I$158&lt;&gt;"")))+(COLUMN()&gt;COLUMN(ISP!$KP$1)),"",INDEX(ISP!$A$9:$KP$158,SMALL(IF(ISP!$I$9:$I$158&lt;&gt;"",ROW(ISP!$I$9:$I$158)-ROW(ISP!$I$9)+1),ROW(ISP!$A12)),COLUMN()))</f>
        <v>0</v>
      </c>
      <c r="AB44" s="497">
        <f t="array" aca="1" ref="AB44" ca="1">IF((ROW(ISP!$A12)&gt;SUM(--(ISP!$I$9:$I$158&lt;&gt;"")))+(COLUMN()&gt;COLUMN(ISP!$KP$1)),"",INDEX(ISP!$A$9:$KP$158,SMALL(IF(ISP!$I$9:$I$158&lt;&gt;"",ROW(ISP!$I$9:$I$158)-ROW(ISP!$I$9)+1),ROW(ISP!$A12)),COLUMN()))</f>
        <v>1053.3924840639716</v>
      </c>
      <c r="AC44" s="497">
        <f t="array" aca="1" ref="AC44" ca="1">IF((ROW(ISP!$A12)&gt;SUM(--(ISP!$I$9:$I$158&lt;&gt;"")))+(COLUMN()&gt;COLUMN(ISP!$KP$1)),"",INDEX(ISP!$A$9:$KP$158,SMALL(IF(ISP!$I$9:$I$158&lt;&gt;"",ROW(ISP!$I$9:$I$158)-ROW(ISP!$I$9)+1),ROW(ISP!$A12)),COLUMN()))</f>
        <v>1053.3924840639716</v>
      </c>
      <c r="AD44" s="497">
        <f t="array" ref="AD44">IF((ROW(ISP!$A12)&gt;SUM(--(ISP!$I$9:$I$158&lt;&gt;"")))+(COLUMN()&gt;COLUMN(ISP!$KP$1)),"",INDEX(ISP!$A$9:$KP$158,SMALL(IF(ISP!$I$9:$I$158&lt;&gt;"",ROW(ISP!$I$9:$I$158)-ROW(ISP!$I$9)+1),ROW(ISP!$A12)),COLUMN()))</f>
        <v>57.650018310546898</v>
      </c>
      <c r="AE44" s="497">
        <f t="array" ref="AE44">IF((ROW(ISP!$A12)&gt;SUM(--(ISP!$I$9:$I$158&lt;&gt;"")))+(COLUMN()&gt;COLUMN(ISP!$KP$1)),"",INDEX(ISP!$A$9:$KP$158,SMALL(IF(ISP!$I$9:$I$158&lt;&gt;"",ROW(ISP!$I$9:$I$158)-ROW(ISP!$I$9)+1),ROW(ISP!$A12)),COLUMN()))</f>
        <v>57.650018310546898</v>
      </c>
      <c r="AF44" s="497">
        <f t="array" aca="1" ref="AF44" ca="1">IF((ROW(ISP!$A12)&gt;SUM(--(ISP!$I$9:$I$158&lt;&gt;"")))+(COLUMN()&gt;COLUMN(ISP!$KP$1)),"",INDEX(ISP!$A$9:$KP$158,SMALL(IF(ISP!$I$9:$I$158&lt;&gt;"",ROW(ISP!$I$9:$I$158)-ROW(ISP!$I$9)+1),ROW(ISP!$A12)),COLUMN()))</f>
        <v>6.0885086548141096</v>
      </c>
      <c r="AG44" s="983">
        <f t="array" aca="1" ref="AG44" ca="1">IF((ROW(ISP!$A12)&gt;SUM(--(ISP!$I$9:$I$158&lt;&gt;"")))+(COLUMN()&gt;COLUMN(ISP!$KP$1)),"",INDEX(ISP!$A$9:$KP$158,SMALL(IF(ISP!$I$9:$I$158&lt;&gt;"",ROW(ISP!$I$9:$I$158)-ROW(ISP!$I$9)+1),ROW(ISP!$A12)),COLUMN()))</f>
        <v>2.7658680504361825E-2</v>
      </c>
      <c r="AH44" s="897" t="str">
        <f t="shared" si="3"/>
        <v>INTESA</v>
      </c>
      <c r="AJ44" s="907"/>
    </row>
    <row r="45" spans="1:45" s="807" customFormat="1" ht="12.75" customHeight="1">
      <c r="A45" s="854" t="str">
        <f t="array" ref="A45">IF((ROW(ISP!$A13)&gt;SUM(--(ISP!$I$9:$I$158&lt;&gt;"")))+(COLUMN()&gt;COLUMN(ISP!$KP$1)),"",INDEX(ISP!$A$9:$KP$158,SMALL(IF(ISP!$I$9:$I$158&lt;&gt;"",ROW(ISP!$I$9:$I$158)-ROW(ISP!$I$9)+1),ROW(ISP!$A13)),COLUMN()))</f>
        <v>HEIDELBERGCEMENT</v>
      </c>
      <c r="B45" s="497" t="str">
        <f t="array" ref="B45">IF((ROW(ISP!$A13)&gt;SUM(--(ISP!$I$9:$I$158&lt;&gt;"")))+(COLUMN()&gt;COLUMN(ISP!$KP$1)),"",INDEX(ISP!$A$9:$KP$158,SMALL(IF(ISP!$I$9:$I$158&lt;&gt;"",ROW(ISP!$I$9:$I$158)-ROW(ISP!$I$9)+1),ROW(ISP!$A13)),COLUMN()))</f>
        <v>BBB</v>
      </c>
      <c r="C45" s="387">
        <f t="array" ref="C45">IF((ROW(ISP!$A13)&gt;SUM(--(ISP!$I$9:$I$158&lt;&gt;"")))+(COLUMN()&gt;COLUMN(ISP!$KP$1)),"",INDEX(ISP!$A$9:$KP$158,SMALL(IF(ISP!$I$9:$I$158&lt;&gt;"",ROW(ISP!$I$9:$I$158)-ROW(ISP!$I$9)+1),ROW(ISP!$A13)),COLUMN()))</f>
        <v>48365</v>
      </c>
      <c r="D45" s="497">
        <f t="array" ref="D45">IF((ROW(ISP!$A13)&gt;SUM(--(ISP!$I$9:$I$158&lt;&gt;"")))+(COLUMN()&gt;COLUMN(ISP!$KP$1)),"",INDEX(ISP!$A$9:$KP$158,SMALL(IF(ISP!$I$9:$I$158&lt;&gt;"",ROW(ISP!$I$9:$I$158)-ROW(ISP!$I$9)+1),ROW(ISP!$A13)),COLUMN()))</f>
        <v>45139</v>
      </c>
      <c r="E45" s="497">
        <f t="array" ref="E45">IF((ROW(ISP!$A13)&gt;SUM(--(ISP!$I$9:$I$158&lt;&gt;"")))+(COLUMN()&gt;COLUMN(ISP!$KP$1)),"",INDEX(ISP!$A$9:$KP$158,SMALL(IF(ISP!$I$9:$I$158&lt;&gt;"",ROW(ISP!$I$9:$I$158)-ROW(ISP!$I$9)+1),ROW(ISP!$A13)),COLUMN()))</f>
        <v>95.32</v>
      </c>
      <c r="F45" s="561">
        <f t="array" ref="F45">IF((ROW(ISP!$A13)&gt;SUM(--(ISP!$I$9:$I$158&lt;&gt;"")))+(COLUMN()&gt;COLUMN(ISP!$KP$1)),"",INDEX(ISP!$A$9:$KP$158,SMALL(IF(ISP!$I$9:$I$158&lt;&gt;"",ROW(ISP!$I$9:$I$158)-ROW(ISP!$I$9)+1),ROW(ISP!$A13)),COLUMN()))</f>
        <v>3.7499999999999999E-2</v>
      </c>
      <c r="G45" s="383">
        <f t="array" ref="G45">IF((ROW(ISP!$A13)&gt;SUM(--(ISP!$I$9:$I$158&lt;&gt;"")))+(COLUMN()&gt;COLUMN(ISP!$KP$1)),"",INDEX(ISP!$A$9:$KP$158,SMALL(IF(ISP!$I$9:$I$158&lt;&gt;"",ROW(ISP!$I$9:$I$158)-ROW(ISP!$I$9)+1),ROW(ISP!$A13)),COLUMN()))</f>
        <v>1000</v>
      </c>
      <c r="H45" s="497">
        <f t="array" ref="H45">IF((ROW(ISP!$A13)&gt;SUM(--(ISP!$I$9:$I$158&lt;&gt;"")))+(COLUMN()&gt;COLUMN(ISP!$KP$1)),"",INDEX(ISP!$A$9:$KP$158,SMALL(IF(ISP!$I$9:$I$158&lt;&gt;"",ROW(ISP!$I$9:$I$158)-ROW(ISP!$I$9)+1),ROW(ISP!$A13)),COLUMN()))</f>
        <v>1000</v>
      </c>
      <c r="I45" s="383">
        <f t="array" ref="I45">IF((ROW(ISP!$A13)&gt;SUM(--(ISP!$I$9:$I$158&lt;&gt;"")))+(COLUMN()&gt;COLUMN(ISP!$KP$1)),"",INDEX(ISP!$A$9:$KP$158,SMALL(IF(ISP!$I$9:$I$158&lt;&gt;"",ROW(ISP!$I$9:$I$158)-ROW(ISP!$I$9)+1),ROW(ISP!$A13)),COLUMN()))</f>
        <v>27.75</v>
      </c>
      <c r="J45" s="497">
        <f t="array" ref="J45">IF((ROW(ISP!$A13)&gt;SUM(--(ISP!$I$9:$I$158&lt;&gt;"")))+(COLUMN()&gt;COLUMN(ISP!$KP$1)),"",INDEX(ISP!$A$9:$KP$158,SMALL(IF(ISP!$I$9:$I$158&lt;&gt;"",ROW(ISP!$I$9:$I$158)-ROW(ISP!$I$9)+1),ROW(ISP!$A13)),COLUMN()))</f>
        <v>27.75</v>
      </c>
      <c r="K45" s="879" t="str">
        <f t="array" ref="K45">IF((ROW(ISP!$A13)&gt;SUM(--(ISP!$I$9:$I$158&lt;&gt;"")))+(COLUMN()&gt;COLUMN(ISP!$KP$1)),"",INDEX(ISP!$A$9:$KP$158,SMALL(IF(ISP!$I$9:$I$158&lt;&gt;"",ROW(ISP!$I$9:$I$158)-ROW(ISP!$I$9)+1),ROW(ISP!$A13)),COLUMN()))</f>
        <v>MAG</v>
      </c>
      <c r="L45" s="775">
        <f t="array" ref="L45">IF((ROW(ISP!$A13)&gt;SUM(--(ISP!$I$9:$I$158&lt;&gt;"")))+(COLUMN()&gt;COLUMN(ISP!$KP$1)),"",INDEX(ISP!$A$9:$KP$158,SMALL(IF(ISP!$I$9:$I$158&lt;&gt;"",ROW(ISP!$I$9:$I$158)-ROW(ISP!$I$9)+1),ROW(ISP!$A13)),COLUMN()))</f>
        <v>5</v>
      </c>
      <c r="M45" s="775" t="str">
        <f t="array" ref="M45">IF((ROW(ISP!$A13)&gt;SUM(--(ISP!$I$9:$I$158&lt;&gt;"")))+(COLUMN()&gt;COLUMN(ISP!$KP$1)),"",INDEX(ISP!$A$9:$KP$158,SMALL(IF(ISP!$I$9:$I$158&lt;&gt;"",ROW(ISP!$I$9:$I$158)-ROW(ISP!$I$9)+1),ROW(ISP!$A13)),COLUMN()))</f>
        <v/>
      </c>
      <c r="N45" s="497" t="str">
        <f t="array" ref="N45">IF((ROW(ISP!$A13)&gt;SUM(--(ISP!$I$9:$I$158&lt;&gt;"")))+(COLUMN()&gt;COLUMN(ISP!$KP$1)),"",INDEX(ISP!$A$9:$KP$158,SMALL(IF(ISP!$I$9:$I$158&lt;&gt;"",ROW(ISP!$I$9:$I$158)-ROW(ISP!$I$9)+1),ROW(ISP!$A13)),COLUMN()))</f>
        <v/>
      </c>
      <c r="O45" s="383">
        <f t="array" ref="O45">IF((ROW(ISP!$A13)&gt;SUM(--(ISP!$I$9:$I$158&lt;&gt;"")))+(COLUMN()&gt;COLUMN(ISP!$KP$1)),"",INDEX(ISP!$A$9:$KP$158,SMALL(IF(ISP!$I$9:$I$158&lt;&gt;"",ROW(ISP!$I$9:$I$158)-ROW(ISP!$I$9)+1),ROW(ISP!$A13)),COLUMN()))</f>
        <v>27.75</v>
      </c>
      <c r="P45" s="497">
        <f t="array" ref="P45">IF((ROW(ISP!$A13)&gt;SUM(--(ISP!$I$9:$I$158&lt;&gt;"")))+(COLUMN()&gt;COLUMN(ISP!$KP$1)),"",INDEX(ISP!$A$9:$KP$158,SMALL(IF(ISP!$I$9:$I$158&lt;&gt;"",ROW(ISP!$I$9:$I$158)-ROW(ISP!$I$9)+1),ROW(ISP!$A13)),COLUMN()))</f>
        <v>102.15000152587891</v>
      </c>
      <c r="Q45" s="497">
        <f t="array" ref="Q45">IF((ROW(ISP!$A13)&gt;SUM(--(ISP!$I$9:$I$158&lt;&gt;"")))+(COLUMN()&gt;COLUMN(ISP!$KP$1)),"",INDEX(ISP!$A$9:$KP$158,SMALL(IF(ISP!$I$9:$I$158&lt;&gt;"",ROW(ISP!$I$9:$I$158)-ROW(ISP!$I$9)+1),ROW(ISP!$A13)),COLUMN()))</f>
        <v>0</v>
      </c>
      <c r="R45" s="497">
        <f t="array" ref="R45">IF((ROW(ISP!$A13)&gt;SUM(--(ISP!$I$9:$I$158&lt;&gt;"")))+(COLUMN()&gt;COLUMN(ISP!$KP$1)),"",INDEX(ISP!$A$9:$KP$158,SMALL(IF(ISP!$I$9:$I$158&lt;&gt;"",ROW(ISP!$I$9:$I$158)-ROW(ISP!$I$9)+1),ROW(ISP!$A13)),COLUMN()))</f>
        <v>0</v>
      </c>
      <c r="S45" s="497">
        <f t="array" aca="1" ref="S45" ca="1">IF((ROW(ISP!$A13)&gt;SUM(--(ISP!$I$9:$I$158&lt;&gt;"")))+(COLUMN()&gt;COLUMN(ISP!$KP$1)),"",INDEX(ISP!$A$9:$KP$158,SMALL(IF(ISP!$I$9:$I$158&lt;&gt;"",ROW(ISP!$I$9:$I$158)-ROW(ISP!$I$9)+1),ROW(ISP!$A13)),COLUMN()))</f>
        <v>12.620547945205487</v>
      </c>
      <c r="T45" s="497">
        <f t="array" aca="1" ref="T45" ca="1">IF((ROW(ISP!$A13)&gt;SUM(--(ISP!$I$9:$I$158&lt;&gt;"")))+(COLUMN()&gt;COLUMN(ISP!$KP$1)),"",INDEX(ISP!$A$9:$KP$158,SMALL(IF(ISP!$I$9:$I$158&lt;&gt;"",ROW(ISP!$I$9:$I$158)-ROW(ISP!$I$9)+1),ROW(ISP!$A13)),COLUMN()))</f>
        <v>12.620547945205487</v>
      </c>
      <c r="U45" s="497">
        <f t="array" ref="U45">IF((ROW(ISP!$A13)&gt;SUM(--(ISP!$I$9:$I$158&lt;&gt;"")))+(COLUMN()&gt;COLUMN(ISP!$KP$1)),"",INDEX(ISP!$A$9:$KP$158,SMALL(IF(ISP!$I$9:$I$158&lt;&gt;"",ROW(ISP!$I$9:$I$158)-ROW(ISP!$I$9)+1),ROW(ISP!$A13)),COLUMN()))</f>
        <v>0</v>
      </c>
      <c r="V45" s="497">
        <f t="array" ref="V45">IF((ROW(ISP!$A13)&gt;SUM(--(ISP!$I$9:$I$158&lt;&gt;"")))+(COLUMN()&gt;COLUMN(ISP!$KP$1)),"",INDEX(ISP!$A$9:$KP$158,SMALL(IF(ISP!$I$9:$I$158&lt;&gt;"",ROW(ISP!$I$9:$I$158)-ROW(ISP!$I$9)+1),ROW(ISP!$A13)),COLUMN()))</f>
        <v>0</v>
      </c>
      <c r="W45" s="497">
        <f t="array" ref="W45">IF((ROW(ISP!$A13)&gt;SUM(--(ISP!$I$9:$I$158&lt;&gt;"")))+(COLUMN()&gt;COLUMN(ISP!$KP$1)),"",INDEX(ISP!$A$9:$KP$158,SMALL(IF(ISP!$I$9:$I$158&lt;&gt;"",ROW(ISP!$I$9:$I$158)-ROW(ISP!$I$9)+1),ROW(ISP!$A13)),COLUMN()))</f>
        <v>0</v>
      </c>
      <c r="X45" s="497">
        <f t="array" aca="1" ref="X45" ca="1">IF((ROW(ISP!$A13)&gt;SUM(--(ISP!$I$9:$I$158&lt;&gt;"")))+(COLUMN()&gt;COLUMN(ISP!$KP$1)),"",INDEX(ISP!$A$9:$KP$158,SMALL(IF(ISP!$I$9:$I$158&lt;&gt;"",ROW(ISP!$I$9:$I$158)-ROW(ISP!$I$9)+1),ROW(ISP!$A13)),COLUMN()))</f>
        <v>166</v>
      </c>
      <c r="Y45" s="497">
        <f t="array" aca="1" ref="Y45" ca="1">IF((ROW(ISP!$A13)&gt;SUM(--(ISP!$I$9:$I$158&lt;&gt;"")))+(COLUMN()&gt;COLUMN(ISP!$KP$1)),"",INDEX(ISP!$A$9:$KP$158,SMALL(IF(ISP!$I$9:$I$158&lt;&gt;"",ROW(ISP!$I$9:$I$158)-ROW(ISP!$I$9)+1),ROW(ISP!$A13)),COLUMN()))</f>
        <v>6484.3702906046965</v>
      </c>
      <c r="Z45" s="497">
        <f t="array" aca="1" ref="Z45" ca="1">IF((ROW(ISP!$A13)&gt;SUM(--(ISP!$I$9:$I$158&lt;&gt;"")))+(COLUMN()&gt;COLUMN(ISP!$KP$1)),"",INDEX(ISP!$A$9:$KP$158,SMALL(IF(ISP!$I$9:$I$158&lt;&gt;"",ROW(ISP!$I$9:$I$158)-ROW(ISP!$I$9)+1),ROW(ISP!$A13)),COLUMN()))</f>
        <v>25.304368780107431</v>
      </c>
      <c r="AA45" s="497">
        <f t="array" ref="AA45">IF((ROW(ISP!$A13)&gt;SUM(--(ISP!$I$9:$I$158&lt;&gt;"")))+(COLUMN()&gt;COLUMN(ISP!$KP$1)),"",INDEX(ISP!$A$9:$KP$158,SMALL(IF(ISP!$I$9:$I$158&lt;&gt;"",ROW(ISP!$I$9:$I$158)-ROW(ISP!$I$9)+1),ROW(ISP!$A13)),COLUMN()))</f>
        <v>0</v>
      </c>
      <c r="AB45" s="497">
        <f t="array" aca="1" ref="AB45" ca="1">IF((ROW(ISP!$A13)&gt;SUM(--(ISP!$I$9:$I$158&lt;&gt;"")))+(COLUMN()&gt;COLUMN(ISP!$KP$1)),"",INDEX(ISP!$A$9:$KP$158,SMALL(IF(ISP!$I$9:$I$158&lt;&gt;"",ROW(ISP!$I$9:$I$158)-ROW(ISP!$I$9)+1),ROW(ISP!$A13)),COLUMN()))</f>
        <v>1034.1205632039946</v>
      </c>
      <c r="AC45" s="497">
        <f t="array" aca="1" ref="AC45" ca="1">IF((ROW(ISP!$A13)&gt;SUM(--(ISP!$I$9:$I$158&lt;&gt;"")))+(COLUMN()&gt;COLUMN(ISP!$KP$1)),"",INDEX(ISP!$A$9:$KP$158,SMALL(IF(ISP!$I$9:$I$158&lt;&gt;"",ROW(ISP!$I$9:$I$158)-ROW(ISP!$I$9)+1),ROW(ISP!$A13)),COLUMN()))</f>
        <v>1034.1205632039946</v>
      </c>
      <c r="AD45" s="497">
        <f t="array" ref="AD45">IF((ROW(ISP!$A13)&gt;SUM(--(ISP!$I$9:$I$158&lt;&gt;"")))+(COLUMN()&gt;COLUMN(ISP!$KP$1)),"",INDEX(ISP!$A$9:$KP$158,SMALL(IF(ISP!$I$9:$I$158&lt;&gt;"",ROW(ISP!$I$9:$I$158)-ROW(ISP!$I$9)+1),ROW(ISP!$A13)),COLUMN()))</f>
        <v>68.300015258789131</v>
      </c>
      <c r="AE45" s="497">
        <f t="array" ref="AE45">IF((ROW(ISP!$A13)&gt;SUM(--(ISP!$I$9:$I$158&lt;&gt;"")))+(COLUMN()&gt;COLUMN(ISP!$KP$1)),"",INDEX(ISP!$A$9:$KP$158,SMALL(IF(ISP!$I$9:$I$158&lt;&gt;"",ROW(ISP!$I$9:$I$158)-ROW(ISP!$I$9)+1),ROW(ISP!$A13)),COLUMN()))</f>
        <v>68.300015258789131</v>
      </c>
      <c r="AF45" s="497">
        <f t="array" aca="1" ref="AF45" ca="1">IF((ROW(ISP!$A13)&gt;SUM(--(ISP!$I$9:$I$158&lt;&gt;"")))+(COLUMN()&gt;COLUMN(ISP!$KP$1)),"",INDEX(ISP!$A$9:$KP$158,SMALL(IF(ISP!$I$9:$I$158&lt;&gt;"",ROW(ISP!$I$9:$I$158)-ROW(ISP!$I$9)+1),ROW(ISP!$A13)),COLUMN()))</f>
        <v>6.4843702906046969</v>
      </c>
      <c r="AG45" s="983">
        <f t="array" aca="1" ref="AG45" ca="1">IF((ROW(ISP!$A13)&gt;SUM(--(ISP!$I$9:$I$158&lt;&gt;"")))+(COLUMN()&gt;COLUMN(ISP!$KP$1)),"",INDEX(ISP!$A$9:$KP$158,SMALL(IF(ISP!$I$9:$I$158&lt;&gt;"",ROW(ISP!$I$9:$I$158)-ROW(ISP!$I$9)+1),ROW(ISP!$A13)),COLUMN()))</f>
        <v>2.5304368780107431E-2</v>
      </c>
      <c r="AH45" s="897" t="str">
        <f t="shared" si="3"/>
        <v>INTESA</v>
      </c>
      <c r="AJ45" s="906"/>
    </row>
    <row r="46" spans="1:45" s="807" customFormat="1" ht="12.75" customHeight="1">
      <c r="A46" s="854" t="str">
        <f t="array" ref="A46">IF((ROW(ISP!$A14)&gt;SUM(--(ISP!$I$9:$I$158&lt;&gt;"")))+(COLUMN()&gt;COLUMN(ISP!$KP$1)),"",INDEX(ISP!$A$9:$KP$158,SMALL(IF(ISP!$I$9:$I$158&lt;&gt;"",ROW(ISP!$I$9:$I$158)-ROW(ISP!$I$9)+1),ROW(ISP!$A14)),COLUMN()))</f>
        <v>LUFTHANSA</v>
      </c>
      <c r="B46" s="497" t="str">
        <f t="array" ref="B46">IF((ROW(ISP!$A14)&gt;SUM(--(ISP!$I$9:$I$158&lt;&gt;"")))+(COLUMN()&gt;COLUMN(ISP!$KP$1)),"",INDEX(ISP!$A$9:$KP$158,SMALL(IF(ISP!$I$9:$I$158&lt;&gt;"",ROW(ISP!$I$9:$I$158)-ROW(ISP!$I$9)+1),ROW(ISP!$A14)),COLUMN()))</f>
        <v>BBB</v>
      </c>
      <c r="C46" s="387">
        <f t="array" ref="C46">IF((ROW(ISP!$A14)&gt;SUM(--(ISP!$I$9:$I$158&lt;&gt;"")))+(COLUMN()&gt;COLUMN(ISP!$KP$1)),"",INDEX(ISP!$A$9:$KP$158,SMALL(IF(ISP!$I$9:$I$158&lt;&gt;"",ROW(ISP!$I$9:$I$158)-ROW(ISP!$I$9)+1),ROW(ISP!$A14)),COLUMN()))</f>
        <v>48460</v>
      </c>
      <c r="D46" s="497">
        <f t="array" ref="D46">IF((ROW(ISP!$A14)&gt;SUM(--(ISP!$I$9:$I$158&lt;&gt;"")))+(COLUMN()&gt;COLUMN(ISP!$KP$1)),"",INDEX(ISP!$A$9:$KP$158,SMALL(IF(ISP!$I$9:$I$158&lt;&gt;"",ROW(ISP!$I$9:$I$158)-ROW(ISP!$I$9)+1),ROW(ISP!$A14)),COLUMN()))</f>
        <v>45559</v>
      </c>
      <c r="E46" s="497">
        <f t="array" ref="E46">IF((ROW(ISP!$A14)&gt;SUM(--(ISP!$I$9:$I$158&lt;&gt;"")))+(COLUMN()&gt;COLUMN(ISP!$KP$1)),"",INDEX(ISP!$A$9:$KP$158,SMALL(IF(ISP!$I$9:$I$158&lt;&gt;"",ROW(ISP!$I$9:$I$158)-ROW(ISP!$I$9)+1),ROW(ISP!$A14)),COLUMN()))</f>
        <v>101.11</v>
      </c>
      <c r="F46" s="561">
        <f t="array" ref="F46">IF((ROW(ISP!$A14)&gt;SUM(--(ISP!$I$9:$I$158&lt;&gt;"")))+(COLUMN()&gt;COLUMN(ISP!$KP$1)),"",INDEX(ISP!$A$9:$KP$158,SMALL(IF(ISP!$I$9:$I$158&lt;&gt;"",ROW(ISP!$I$9:$I$158)-ROW(ISP!$I$9)+1),ROW(ISP!$A14)),COLUMN()))</f>
        <v>4.1250000000000002E-2</v>
      </c>
      <c r="G46" s="383">
        <f t="array" ref="G46">IF((ROW(ISP!$A14)&gt;SUM(--(ISP!$I$9:$I$158&lt;&gt;"")))+(COLUMN()&gt;COLUMN(ISP!$KP$1)),"",INDEX(ISP!$A$9:$KP$158,SMALL(IF(ISP!$I$9:$I$158&lt;&gt;"",ROW(ISP!$I$9:$I$158)-ROW(ISP!$I$9)+1),ROW(ISP!$A14)),COLUMN()))</f>
        <v>1000</v>
      </c>
      <c r="H46" s="497">
        <f t="array" ref="H46">IF((ROW(ISP!$A14)&gt;SUM(--(ISP!$I$9:$I$158&lt;&gt;"")))+(COLUMN()&gt;COLUMN(ISP!$KP$1)),"",INDEX(ISP!$A$9:$KP$158,SMALL(IF(ISP!$I$9:$I$158&lt;&gt;"",ROW(ISP!$I$9:$I$158)-ROW(ISP!$I$9)+1),ROW(ISP!$A14)),COLUMN()))</f>
        <v>1000</v>
      </c>
      <c r="I46" s="383">
        <f t="array" ref="I46">IF((ROW(ISP!$A14)&gt;SUM(--(ISP!$I$9:$I$158&lt;&gt;"")))+(COLUMN()&gt;COLUMN(ISP!$KP$1)),"",INDEX(ISP!$A$9:$KP$158,SMALL(IF(ISP!$I$9:$I$158&lt;&gt;"",ROW(ISP!$I$9:$I$158)-ROW(ISP!$I$9)+1),ROW(ISP!$A14)),COLUMN()))</f>
        <v>30.524999999999999</v>
      </c>
      <c r="J46" s="497">
        <f t="array" ref="J46">IF((ROW(ISP!$A14)&gt;SUM(--(ISP!$I$9:$I$158&lt;&gt;"")))+(COLUMN()&gt;COLUMN(ISP!$KP$1)),"",INDEX(ISP!$A$9:$KP$158,SMALL(IF(ISP!$I$9:$I$158&lt;&gt;"",ROW(ISP!$I$9:$I$158)-ROW(ISP!$I$9)+1),ROW(ISP!$A14)),COLUMN()))</f>
        <v>30.524999999999999</v>
      </c>
      <c r="K46" s="879" t="str">
        <f t="array" ref="K46">IF((ROW(ISP!$A14)&gt;SUM(--(ISP!$I$9:$I$158&lt;&gt;"")))+(COLUMN()&gt;COLUMN(ISP!$KP$1)),"",INDEX(ISP!$A$9:$KP$158,SMALL(IF(ISP!$I$9:$I$158&lt;&gt;"",ROW(ISP!$I$9:$I$158)-ROW(ISP!$I$9)+1),ROW(ISP!$A14)),COLUMN()))</f>
        <v>SET</v>
      </c>
      <c r="L46" s="775">
        <f t="array" ref="L46">IF((ROW(ISP!$A14)&gt;SUM(--(ISP!$I$9:$I$158&lt;&gt;"")))+(COLUMN()&gt;COLUMN(ISP!$KP$1)),"",INDEX(ISP!$A$9:$KP$158,SMALL(IF(ISP!$I$9:$I$158&lt;&gt;"",ROW(ISP!$I$9:$I$158)-ROW(ISP!$I$9)+1),ROW(ISP!$A14)),COLUMN()))</f>
        <v>9</v>
      </c>
      <c r="M46" s="775" t="str">
        <f t="array" ref="M46">IF((ROW(ISP!$A14)&gt;SUM(--(ISP!$I$9:$I$158&lt;&gt;"")))+(COLUMN()&gt;COLUMN(ISP!$KP$1)),"",INDEX(ISP!$A$9:$KP$158,SMALL(IF(ISP!$I$9:$I$158&lt;&gt;"",ROW(ISP!$I$9:$I$158)-ROW(ISP!$I$9)+1),ROW(ISP!$A14)),COLUMN()))</f>
        <v/>
      </c>
      <c r="N46" s="497" t="str">
        <f t="array" ref="N46">IF((ROW(ISP!$A14)&gt;SUM(--(ISP!$I$9:$I$158&lt;&gt;"")))+(COLUMN()&gt;COLUMN(ISP!$KP$1)),"",INDEX(ISP!$A$9:$KP$158,SMALL(IF(ISP!$I$9:$I$158&lt;&gt;"",ROW(ISP!$I$9:$I$158)-ROW(ISP!$I$9)+1),ROW(ISP!$A14)),COLUMN()))</f>
        <v/>
      </c>
      <c r="O46" s="383">
        <f t="array" ref="O46">IF((ROW(ISP!$A14)&gt;SUM(--(ISP!$I$9:$I$158&lt;&gt;"")))+(COLUMN()&gt;COLUMN(ISP!$KP$1)),"",INDEX(ISP!$A$9:$KP$158,SMALL(IF(ISP!$I$9:$I$158&lt;&gt;"",ROW(ISP!$I$9:$I$158)-ROW(ISP!$I$9)+1),ROW(ISP!$A14)),COLUMN()))</f>
        <v>30.524999999999999</v>
      </c>
      <c r="P46" s="497">
        <f t="array" ref="P46">IF((ROW(ISP!$A14)&gt;SUM(--(ISP!$I$9:$I$158&lt;&gt;"")))+(COLUMN()&gt;COLUMN(ISP!$KP$1)),"",INDEX(ISP!$A$9:$KP$158,SMALL(IF(ISP!$I$9:$I$158&lt;&gt;"",ROW(ISP!$I$9:$I$158)-ROW(ISP!$I$9)+1),ROW(ISP!$A14)),COLUMN()))</f>
        <v>101.69999694824219</v>
      </c>
      <c r="Q46" s="497">
        <f t="array" ref="Q46">IF((ROW(ISP!$A14)&gt;SUM(--(ISP!$I$9:$I$158&lt;&gt;"")))+(COLUMN()&gt;COLUMN(ISP!$KP$1)),"",INDEX(ISP!$A$9:$KP$158,SMALL(IF(ISP!$I$9:$I$158&lt;&gt;"",ROW(ISP!$I$9:$I$158)-ROW(ISP!$I$9)+1),ROW(ISP!$A14)),COLUMN()))</f>
        <v>0</v>
      </c>
      <c r="R46" s="497">
        <f t="array" ref="R46">IF((ROW(ISP!$A14)&gt;SUM(--(ISP!$I$9:$I$158&lt;&gt;"")))+(COLUMN()&gt;COLUMN(ISP!$KP$1)),"",INDEX(ISP!$A$9:$KP$158,SMALL(IF(ISP!$I$9:$I$158&lt;&gt;"",ROW(ISP!$I$9:$I$158)-ROW(ISP!$I$9)+1),ROW(ISP!$A14)),COLUMN()))</f>
        <v>0</v>
      </c>
      <c r="S46" s="497">
        <f t="array" aca="1" ref="S46" ca="1">IF((ROW(ISP!$A14)&gt;SUM(--(ISP!$I$9:$I$158&lt;&gt;"")))+(COLUMN()&gt;COLUMN(ISP!$KP$1)),"",INDEX(ISP!$A$9:$KP$158,SMALL(IF(ISP!$I$9:$I$158&lt;&gt;"",ROW(ISP!$I$9:$I$158)-ROW(ISP!$I$9)+1),ROW(ISP!$A14)),COLUMN()))</f>
        <v>5.9377397260274734</v>
      </c>
      <c r="T46" s="497">
        <f t="array" aca="1" ref="T46" ca="1">IF((ROW(ISP!$A14)&gt;SUM(--(ISP!$I$9:$I$158&lt;&gt;"")))+(COLUMN()&gt;COLUMN(ISP!$KP$1)),"",INDEX(ISP!$A$9:$KP$158,SMALL(IF(ISP!$I$9:$I$158&lt;&gt;"",ROW(ISP!$I$9:$I$158)-ROW(ISP!$I$9)+1),ROW(ISP!$A14)),COLUMN()))</f>
        <v>5.9377397260274734</v>
      </c>
      <c r="U46" s="497">
        <f t="array" ref="U46">IF((ROW(ISP!$A14)&gt;SUM(--(ISP!$I$9:$I$158&lt;&gt;"")))+(COLUMN()&gt;COLUMN(ISP!$KP$1)),"",INDEX(ISP!$A$9:$KP$158,SMALL(IF(ISP!$I$9:$I$158&lt;&gt;"",ROW(ISP!$I$9:$I$158)-ROW(ISP!$I$9)+1),ROW(ISP!$A14)),COLUMN()))</f>
        <v>0</v>
      </c>
      <c r="V46" s="497">
        <f t="array" ref="V46">IF((ROW(ISP!$A14)&gt;SUM(--(ISP!$I$9:$I$158&lt;&gt;"")))+(COLUMN()&gt;COLUMN(ISP!$KP$1)),"",INDEX(ISP!$A$9:$KP$158,SMALL(IF(ISP!$I$9:$I$158&lt;&gt;"",ROW(ISP!$I$9:$I$158)-ROW(ISP!$I$9)+1),ROW(ISP!$A14)),COLUMN()))</f>
        <v>0</v>
      </c>
      <c r="W46" s="497">
        <f t="array" ref="W46">IF((ROW(ISP!$A14)&gt;SUM(--(ISP!$I$9:$I$158&lt;&gt;"")))+(COLUMN()&gt;COLUMN(ISP!$KP$1)),"",INDEX(ISP!$A$9:$KP$158,SMALL(IF(ISP!$I$9:$I$158&lt;&gt;"",ROW(ISP!$I$9:$I$158)-ROW(ISP!$I$9)+1),ROW(ISP!$A14)),COLUMN()))</f>
        <v>0</v>
      </c>
      <c r="X46" s="497">
        <f t="array" aca="1" ref="X46" ca="1">IF((ROW(ISP!$A14)&gt;SUM(--(ISP!$I$9:$I$158&lt;&gt;"")))+(COLUMN()&gt;COLUMN(ISP!$KP$1)),"",INDEX(ISP!$A$9:$KP$158,SMALL(IF(ISP!$I$9:$I$158&lt;&gt;"",ROW(ISP!$I$9:$I$158)-ROW(ISP!$I$9)+1),ROW(ISP!$A14)),COLUMN()))</f>
        <v>71</v>
      </c>
      <c r="Y46" s="497">
        <f t="array" aca="1" ref="Y46" ca="1">IF((ROW(ISP!$A14)&gt;SUM(--(ISP!$I$9:$I$158&lt;&gt;"")))+(COLUMN()&gt;COLUMN(ISP!$KP$1)),"",INDEX(ISP!$A$9:$KP$158,SMALL(IF(ISP!$I$9:$I$158&lt;&gt;"",ROW(ISP!$I$9:$I$158)-ROW(ISP!$I$9)+1),ROW(ISP!$A14)),COLUMN()))</f>
        <v>6639.9995339155903</v>
      </c>
      <c r="Z46" s="497">
        <f t="array" aca="1" ref="Z46" ca="1">IF((ROW(ISP!$A14)&gt;SUM(--(ISP!$I$9:$I$158&lt;&gt;"")))+(COLUMN()&gt;COLUMN(ISP!$KP$1)),"",INDEX(ISP!$A$9:$KP$158,SMALL(IF(ISP!$I$9:$I$158&lt;&gt;"",ROW(ISP!$I$9:$I$158)-ROW(ISP!$I$9)+1),ROW(ISP!$A14)),COLUMN()))</f>
        <v>28.613517850900404</v>
      </c>
      <c r="AA46" s="497">
        <f t="array" ref="AA46">IF((ROW(ISP!$A14)&gt;SUM(--(ISP!$I$9:$I$158&lt;&gt;"")))+(COLUMN()&gt;COLUMN(ISP!$KP$1)),"",INDEX(ISP!$A$9:$KP$158,SMALL(IF(ISP!$I$9:$I$158&lt;&gt;"",ROW(ISP!$I$9:$I$158)-ROW(ISP!$I$9)+1),ROW(ISP!$A14)),COLUMN()))</f>
        <v>0</v>
      </c>
      <c r="AB46" s="497">
        <f t="array" aca="1" ref="AB46" ca="1">IF((ROW(ISP!$A14)&gt;SUM(--(ISP!$I$9:$I$158&lt;&gt;"")))+(COLUMN()&gt;COLUMN(ISP!$KP$1)),"",INDEX(ISP!$A$9:$KP$158,SMALL(IF(ISP!$I$9:$I$158&lt;&gt;"",ROW(ISP!$I$9:$I$158)-ROW(ISP!$I$9)+1),ROW(ISP!$A14)),COLUMN()))</f>
        <v>1022.9377092084494</v>
      </c>
      <c r="AC46" s="497">
        <f t="array" aca="1" ref="AC46" ca="1">IF((ROW(ISP!$A14)&gt;SUM(--(ISP!$I$9:$I$158&lt;&gt;"")))+(COLUMN()&gt;COLUMN(ISP!$KP$1)),"",INDEX(ISP!$A$9:$KP$158,SMALL(IF(ISP!$I$9:$I$158&lt;&gt;"",ROW(ISP!$I$9:$I$158)-ROW(ISP!$I$9)+1),ROW(ISP!$A14)),COLUMN()))</f>
        <v>1022.9377092084494</v>
      </c>
      <c r="AD46" s="497">
        <f t="array" ref="AD46">IF((ROW(ISP!$A14)&gt;SUM(--(ISP!$I$9:$I$158&lt;&gt;"")))+(COLUMN()&gt;COLUMN(ISP!$KP$1)),"",INDEX(ISP!$A$9:$KP$158,SMALL(IF(ISP!$I$9:$I$158&lt;&gt;"",ROW(ISP!$I$9:$I$158)-ROW(ISP!$I$9)+1),ROW(ISP!$A14)),COLUMN()))</f>
        <v>5.8999694824218807</v>
      </c>
      <c r="AE46" s="497">
        <f t="array" ref="AE46">IF((ROW(ISP!$A14)&gt;SUM(--(ISP!$I$9:$I$158&lt;&gt;"")))+(COLUMN()&gt;COLUMN(ISP!$KP$1)),"",INDEX(ISP!$A$9:$KP$158,SMALL(IF(ISP!$I$9:$I$158&lt;&gt;"",ROW(ISP!$I$9:$I$158)-ROW(ISP!$I$9)+1),ROW(ISP!$A14)),COLUMN()))</f>
        <v>5.8999694824218807</v>
      </c>
      <c r="AF46" s="497">
        <f t="array" aca="1" ref="AF46" ca="1">IF((ROW(ISP!$A14)&gt;SUM(--(ISP!$I$9:$I$158&lt;&gt;"")))+(COLUMN()&gt;COLUMN(ISP!$KP$1)),"",INDEX(ISP!$A$9:$KP$158,SMALL(IF(ISP!$I$9:$I$158&lt;&gt;"",ROW(ISP!$I$9:$I$158)-ROW(ISP!$I$9)+1),ROW(ISP!$A14)),COLUMN()))</f>
        <v>6.6399995339155904</v>
      </c>
      <c r="AG46" s="983">
        <f t="array" aca="1" ref="AG46" ca="1">IF((ROW(ISP!$A14)&gt;SUM(--(ISP!$I$9:$I$158&lt;&gt;"")))+(COLUMN()&gt;COLUMN(ISP!$KP$1)),"",INDEX(ISP!$A$9:$KP$158,SMALL(IF(ISP!$I$9:$I$158&lt;&gt;"",ROW(ISP!$I$9:$I$158)-ROW(ISP!$I$9)+1),ROW(ISP!$A14)),COLUMN()))</f>
        <v>2.8613517850900404E-2</v>
      </c>
      <c r="AH46" s="897" t="str">
        <f t="shared" si="3"/>
        <v>INTESA</v>
      </c>
      <c r="AJ46" s="906"/>
    </row>
    <row r="47" spans="1:45" s="807" customFormat="1" ht="12.75" customHeight="1">
      <c r="A47" s="854" t="str">
        <f t="array" ref="A47">IF((ROW(ISP!$A15)&gt;SUM(--(ISP!$I$9:$I$158&lt;&gt;"")))+(COLUMN()&gt;COLUMN(ISP!$KP$1)),"",INDEX(ISP!$A$9:$KP$158,SMALL(IF(ISP!$I$9:$I$158&lt;&gt;"",ROW(ISP!$I$9:$I$158)-ROW(ISP!$I$9)+1),ROW(ISP!$A15)),COLUMN()))</f>
        <v>UNGHERIA</v>
      </c>
      <c r="B47" s="497" t="str">
        <f t="array" ref="B47">IF((ROW(ISP!$A15)&gt;SUM(--(ISP!$I$9:$I$158&lt;&gt;"")))+(COLUMN()&gt;COLUMN(ISP!$KP$1)),"",INDEX(ISP!$A$9:$KP$158,SMALL(IF(ISP!$I$9:$I$158&lt;&gt;"",ROW(ISP!$I$9:$I$158)-ROW(ISP!$I$9)+1),ROW(ISP!$A15)),COLUMN()))</f>
        <v>BBB</v>
      </c>
      <c r="C47" s="387">
        <f t="array" ref="C47">IF((ROW(ISP!$A15)&gt;SUM(--(ISP!$I$9:$I$158&lt;&gt;"")))+(COLUMN()&gt;COLUMN(ISP!$KP$1)),"",INDEX(ISP!$A$9:$KP$158,SMALL(IF(ISP!$I$9:$I$158&lt;&gt;"",ROW(ISP!$I$9:$I$158)-ROW(ISP!$I$9)+1),ROW(ISP!$A15)),COLUMN()))</f>
        <v>48834</v>
      </c>
      <c r="D47" s="497">
        <f t="array" ref="D47">IF((ROW(ISP!$A15)&gt;SUM(--(ISP!$I$9:$I$158&lt;&gt;"")))+(COLUMN()&gt;COLUMN(ISP!$KP$1)),"",INDEX(ISP!$A$9:$KP$158,SMALL(IF(ISP!$I$9:$I$158&lt;&gt;"",ROW(ISP!$I$9:$I$158)-ROW(ISP!$I$9)+1),ROW(ISP!$A15)),COLUMN()))</f>
        <v>45188</v>
      </c>
      <c r="E47" s="497">
        <f t="array" ref="E47">IF((ROW(ISP!$A15)&gt;SUM(--(ISP!$I$9:$I$158&lt;&gt;"")))+(COLUMN()&gt;COLUMN(ISP!$KP$1)),"",INDEX(ISP!$A$9:$KP$158,SMALL(IF(ISP!$I$9:$I$158&lt;&gt;"",ROW(ISP!$I$9:$I$158)-ROW(ISP!$I$9)+1),ROW(ISP!$A15)),COLUMN()))</f>
        <v>98.79</v>
      </c>
      <c r="F47" s="561">
        <f t="array" ref="F47">IF((ROW(ISP!$A15)&gt;SUM(--(ISP!$I$9:$I$158&lt;&gt;"")))+(COLUMN()&gt;COLUMN(ISP!$KP$1)),"",INDEX(ISP!$A$9:$KP$158,SMALL(IF(ISP!$I$9:$I$158&lt;&gt;"",ROW(ISP!$I$9:$I$158)-ROW(ISP!$I$9)+1),ROW(ISP!$A15)),COLUMN()))</f>
        <v>5.3749999999999999E-2</v>
      </c>
      <c r="G47" s="383">
        <f t="array" ref="G47">IF((ROW(ISP!$A15)&gt;SUM(--(ISP!$I$9:$I$158&lt;&gt;"")))+(COLUMN()&gt;COLUMN(ISP!$KP$1)),"",INDEX(ISP!$A$9:$KP$158,SMALL(IF(ISP!$I$9:$I$158&lt;&gt;"",ROW(ISP!$I$9:$I$158)-ROW(ISP!$I$9)+1),ROW(ISP!$A15)),COLUMN()))</f>
        <v>1000</v>
      </c>
      <c r="H47" s="497">
        <f t="array" ref="H47">IF((ROW(ISP!$A15)&gt;SUM(--(ISP!$I$9:$I$158&lt;&gt;"")))+(COLUMN()&gt;COLUMN(ISP!$KP$1)),"",INDEX(ISP!$A$9:$KP$158,SMALL(IF(ISP!$I$9:$I$158&lt;&gt;"",ROW(ISP!$I$9:$I$158)-ROW(ISP!$I$9)+1),ROW(ISP!$A15)),COLUMN()))</f>
        <v>1000</v>
      </c>
      <c r="I47" s="383">
        <f t="array" ref="I47">IF((ROW(ISP!$A15)&gt;SUM(--(ISP!$I$9:$I$158&lt;&gt;"")))+(COLUMN()&gt;COLUMN(ISP!$KP$1)),"",INDEX(ISP!$A$9:$KP$158,SMALL(IF(ISP!$I$9:$I$158&lt;&gt;"",ROW(ISP!$I$9:$I$158)-ROW(ISP!$I$9)+1),ROW(ISP!$A15)),COLUMN()))</f>
        <v>47.03125</v>
      </c>
      <c r="J47" s="497">
        <f t="array" ref="J47">IF((ROW(ISP!$A15)&gt;SUM(--(ISP!$I$9:$I$158&lt;&gt;"")))+(COLUMN()&gt;COLUMN(ISP!$KP$1)),"",INDEX(ISP!$A$9:$KP$158,SMALL(IF(ISP!$I$9:$I$158&lt;&gt;"",ROW(ISP!$I$9:$I$158)-ROW(ISP!$I$9)+1),ROW(ISP!$A15)),COLUMN()))</f>
        <v>47.03125</v>
      </c>
      <c r="K47" s="879" t="str">
        <f t="array" ref="K47">IF((ROW(ISP!$A15)&gt;SUM(--(ISP!$I$9:$I$158&lt;&gt;"")))+(COLUMN()&gt;COLUMN(ISP!$KP$1)),"",INDEX(ISP!$A$9:$KP$158,SMALL(IF(ISP!$I$9:$I$158&lt;&gt;"",ROW(ISP!$I$9:$I$158)-ROW(ISP!$I$9)+1),ROW(ISP!$A15)),COLUMN()))</f>
        <v>SET</v>
      </c>
      <c r="L47" s="775">
        <f t="array" ref="L47">IF((ROW(ISP!$A15)&gt;SUM(--(ISP!$I$9:$I$158&lt;&gt;"")))+(COLUMN()&gt;COLUMN(ISP!$KP$1)),"",INDEX(ISP!$A$9:$KP$158,SMALL(IF(ISP!$I$9:$I$158&lt;&gt;"",ROW(ISP!$I$9:$I$158)-ROW(ISP!$I$9)+1),ROW(ISP!$A15)),COLUMN()))</f>
        <v>9</v>
      </c>
      <c r="M47" s="775" t="str">
        <f t="array" ref="M47">IF((ROW(ISP!$A15)&gt;SUM(--(ISP!$I$9:$I$158&lt;&gt;"")))+(COLUMN()&gt;COLUMN(ISP!$KP$1)),"",INDEX(ISP!$A$9:$KP$158,SMALL(IF(ISP!$I$9:$I$158&lt;&gt;"",ROW(ISP!$I$9:$I$158)-ROW(ISP!$I$9)+1),ROW(ISP!$A15)),COLUMN()))</f>
        <v/>
      </c>
      <c r="N47" s="497" t="str">
        <f t="array" ref="N47">IF((ROW(ISP!$A15)&gt;SUM(--(ISP!$I$9:$I$158&lt;&gt;"")))+(COLUMN()&gt;COLUMN(ISP!$KP$1)),"",INDEX(ISP!$A$9:$KP$158,SMALL(IF(ISP!$I$9:$I$158&lt;&gt;"",ROW(ISP!$I$9:$I$158)-ROW(ISP!$I$9)+1),ROW(ISP!$A15)),COLUMN()))</f>
        <v/>
      </c>
      <c r="O47" s="383">
        <f t="array" ref="O47">IF((ROW(ISP!$A15)&gt;SUM(--(ISP!$I$9:$I$158&lt;&gt;"")))+(COLUMN()&gt;COLUMN(ISP!$KP$1)),"",INDEX(ISP!$A$9:$KP$158,SMALL(IF(ISP!$I$9:$I$158&lt;&gt;"",ROW(ISP!$I$9:$I$158)-ROW(ISP!$I$9)+1),ROW(ISP!$A15)),COLUMN()))</f>
        <v>47.03125</v>
      </c>
      <c r="P47" s="497">
        <f t="array" ref="P47">IF((ROW(ISP!$A15)&gt;SUM(--(ISP!$I$9:$I$158&lt;&gt;"")))+(COLUMN()&gt;COLUMN(ISP!$KP$1)),"",INDEX(ISP!$A$9:$KP$158,SMALL(IF(ISP!$I$9:$I$158&lt;&gt;"",ROW(ISP!$I$9:$I$158)-ROW(ISP!$I$9)+1),ROW(ISP!$A15)),COLUMN()))</f>
        <v>107.04000091552734</v>
      </c>
      <c r="Q47" s="497">
        <f t="array" ref="Q47">IF((ROW(ISP!$A15)&gt;SUM(--(ISP!$I$9:$I$158&lt;&gt;"")))+(COLUMN()&gt;COLUMN(ISP!$KP$1)),"",INDEX(ISP!$A$9:$KP$158,SMALL(IF(ISP!$I$9:$I$158&lt;&gt;"",ROW(ISP!$I$9:$I$158)-ROW(ISP!$I$9)+1),ROW(ISP!$A15)),COLUMN()))</f>
        <v>0</v>
      </c>
      <c r="R47" s="497">
        <f t="array" ref="R47">IF((ROW(ISP!$A15)&gt;SUM(--(ISP!$I$9:$I$158&lt;&gt;"")))+(COLUMN()&gt;COLUMN(ISP!$KP$1)),"",INDEX(ISP!$A$9:$KP$158,SMALL(IF(ISP!$I$9:$I$158&lt;&gt;"",ROW(ISP!$I$9:$I$158)-ROW(ISP!$I$9)+1),ROW(ISP!$A15)),COLUMN()))</f>
        <v>0</v>
      </c>
      <c r="S47" s="497">
        <f t="array" aca="1" ref="S47" ca="1">IF((ROW(ISP!$A15)&gt;SUM(--(ISP!$I$9:$I$158&lt;&gt;"")))+(COLUMN()&gt;COLUMN(ISP!$KP$1)),"",INDEX(ISP!$A$9:$KP$158,SMALL(IF(ISP!$I$9:$I$158&lt;&gt;"",ROW(ISP!$I$9:$I$158)-ROW(ISP!$I$9)+1),ROW(ISP!$A15)),COLUMN()))</f>
        <v>7.9888698630138606</v>
      </c>
      <c r="T47" s="497">
        <f t="array" aca="1" ref="T47" ca="1">IF((ROW(ISP!$A15)&gt;SUM(--(ISP!$I$9:$I$158&lt;&gt;"")))+(COLUMN()&gt;COLUMN(ISP!$KP$1)),"",INDEX(ISP!$A$9:$KP$158,SMALL(IF(ISP!$I$9:$I$158&lt;&gt;"",ROW(ISP!$I$9:$I$158)-ROW(ISP!$I$9)+1),ROW(ISP!$A15)),COLUMN()))</f>
        <v>7.9888698630138606</v>
      </c>
      <c r="U47" s="497">
        <f t="array" ref="U47">IF((ROW(ISP!$A15)&gt;SUM(--(ISP!$I$9:$I$158&lt;&gt;"")))+(COLUMN()&gt;COLUMN(ISP!$KP$1)),"",INDEX(ISP!$A$9:$KP$158,SMALL(IF(ISP!$I$9:$I$158&lt;&gt;"",ROW(ISP!$I$9:$I$158)-ROW(ISP!$I$9)+1),ROW(ISP!$A15)),COLUMN()))</f>
        <v>0</v>
      </c>
      <c r="V47" s="497">
        <f t="array" ref="V47">IF((ROW(ISP!$A15)&gt;SUM(--(ISP!$I$9:$I$158&lt;&gt;"")))+(COLUMN()&gt;COLUMN(ISP!$KP$1)),"",INDEX(ISP!$A$9:$KP$158,SMALL(IF(ISP!$I$9:$I$158&lt;&gt;"",ROW(ISP!$I$9:$I$158)-ROW(ISP!$I$9)+1),ROW(ISP!$A15)),COLUMN()))</f>
        <v>0</v>
      </c>
      <c r="W47" s="497">
        <f t="array" ref="W47">IF((ROW(ISP!$A15)&gt;SUM(--(ISP!$I$9:$I$158&lt;&gt;"")))+(COLUMN()&gt;COLUMN(ISP!$KP$1)),"",INDEX(ISP!$A$9:$KP$158,SMALL(IF(ISP!$I$9:$I$158&lt;&gt;"",ROW(ISP!$I$9:$I$158)-ROW(ISP!$I$9)+1),ROW(ISP!$A15)),COLUMN()))</f>
        <v>0</v>
      </c>
      <c r="X47" s="497">
        <f t="array" aca="1" ref="X47" ca="1">IF((ROW(ISP!$A15)&gt;SUM(--(ISP!$I$9:$I$158&lt;&gt;"")))+(COLUMN()&gt;COLUMN(ISP!$KP$1)),"",INDEX(ISP!$A$9:$KP$158,SMALL(IF(ISP!$I$9:$I$158&lt;&gt;"",ROW(ISP!$I$9:$I$158)-ROW(ISP!$I$9)+1),ROW(ISP!$A15)),COLUMN()))</f>
        <v>62</v>
      </c>
      <c r="Y47" s="497">
        <f t="array" aca="1" ref="Y47" ca="1">IF((ROW(ISP!$A15)&gt;SUM(--(ISP!$I$9:$I$158&lt;&gt;"")))+(COLUMN()&gt;COLUMN(ISP!$KP$1)),"",INDEX(ISP!$A$9:$KP$158,SMALL(IF(ISP!$I$9:$I$158&lt;&gt;"",ROW(ISP!$I$9:$I$158)-ROW(ISP!$I$9)+1),ROW(ISP!$A15)),COLUMN()))</f>
        <v>7024.9861262108416</v>
      </c>
      <c r="Z47" s="497">
        <f t="array" aca="1" ref="Z47" ca="1">IF((ROW(ISP!$A15)&gt;SUM(--(ISP!$I$9:$I$158&lt;&gt;"")))+(COLUMN()&gt;COLUMN(ISP!$KP$1)),"",INDEX(ISP!$A$9:$KP$158,SMALL(IF(ISP!$I$9:$I$158&lt;&gt;"",ROW(ISP!$I$9:$I$158)-ROW(ISP!$I$9)+1),ROW(ISP!$A15)),COLUMN()))</f>
        <v>38.444570819225405</v>
      </c>
      <c r="AA47" s="497">
        <f t="array" ref="AA47">IF((ROW(ISP!$A15)&gt;SUM(--(ISP!$I$9:$I$158&lt;&gt;"")))+(COLUMN()&gt;COLUMN(ISP!$KP$1)),"",INDEX(ISP!$A$9:$KP$158,SMALL(IF(ISP!$I$9:$I$158&lt;&gt;"",ROW(ISP!$I$9:$I$158)-ROW(ISP!$I$9)+1),ROW(ISP!$A15)),COLUMN()))</f>
        <v>0</v>
      </c>
      <c r="AB47" s="497">
        <f t="array" aca="1" ref="AB47" ca="1">IF((ROW(ISP!$A15)&gt;SUM(--(ISP!$I$9:$I$158&lt;&gt;"")))+(COLUMN()&gt;COLUMN(ISP!$KP$1)),"",INDEX(ISP!$A$9:$KP$158,SMALL(IF(ISP!$I$9:$I$158&lt;&gt;"",ROW(ISP!$I$9:$I$158)-ROW(ISP!$I$9)+1),ROW(ISP!$A15)),COLUMN()))</f>
        <v>1078.3888790182873</v>
      </c>
      <c r="AC47" s="497">
        <f t="array" aca="1" ref="AC47" ca="1">IF((ROW(ISP!$A15)&gt;SUM(--(ISP!$I$9:$I$158&lt;&gt;"")))+(COLUMN()&gt;COLUMN(ISP!$KP$1)),"",INDEX(ISP!$A$9:$KP$158,SMALL(IF(ISP!$I$9:$I$158&lt;&gt;"",ROW(ISP!$I$9:$I$158)-ROW(ISP!$I$9)+1),ROW(ISP!$A15)),COLUMN()))</f>
        <v>1078.3888790182873</v>
      </c>
      <c r="AD47" s="497">
        <f t="array" ref="AD47">IF((ROW(ISP!$A15)&gt;SUM(--(ISP!$I$9:$I$158&lt;&gt;"")))+(COLUMN()&gt;COLUMN(ISP!$KP$1)),"",INDEX(ISP!$A$9:$KP$158,SMALL(IF(ISP!$I$9:$I$158&lt;&gt;"",ROW(ISP!$I$9:$I$158)-ROW(ISP!$I$9)+1),ROW(ISP!$A15)),COLUMN()))</f>
        <v>82.500009155273375</v>
      </c>
      <c r="AE47" s="497">
        <f t="array" ref="AE47">IF((ROW(ISP!$A15)&gt;SUM(--(ISP!$I$9:$I$158&lt;&gt;"")))+(COLUMN()&gt;COLUMN(ISP!$KP$1)),"",INDEX(ISP!$A$9:$KP$158,SMALL(IF(ISP!$I$9:$I$158&lt;&gt;"",ROW(ISP!$I$9:$I$158)-ROW(ISP!$I$9)+1),ROW(ISP!$A15)),COLUMN()))</f>
        <v>82.500009155273375</v>
      </c>
      <c r="AF47" s="497">
        <f t="array" aca="1" ref="AF47" ca="1">IF((ROW(ISP!$A15)&gt;SUM(--(ISP!$I$9:$I$158&lt;&gt;"")))+(COLUMN()&gt;COLUMN(ISP!$KP$1)),"",INDEX(ISP!$A$9:$KP$158,SMALL(IF(ISP!$I$9:$I$158&lt;&gt;"",ROW(ISP!$I$9:$I$158)-ROW(ISP!$I$9)+1),ROW(ISP!$A15)),COLUMN()))</f>
        <v>7.024986126210842</v>
      </c>
      <c r="AG47" s="983">
        <f t="array" aca="1" ref="AG47" ca="1">IF((ROW(ISP!$A15)&gt;SUM(--(ISP!$I$9:$I$158&lt;&gt;"")))+(COLUMN()&gt;COLUMN(ISP!$KP$1)),"",INDEX(ISP!$A$9:$KP$158,SMALL(IF(ISP!$I$9:$I$158&lt;&gt;"",ROW(ISP!$I$9:$I$158)-ROW(ISP!$I$9)+1),ROW(ISP!$A15)),COLUMN()))</f>
        <v>3.8444570819225407E-2</v>
      </c>
      <c r="AH47" s="897" t="str">
        <f t="shared" si="3"/>
        <v>INTESA</v>
      </c>
      <c r="AJ47" s="906"/>
    </row>
    <row r="48" spans="1:45" s="807" customFormat="1" ht="12.75" customHeight="1">
      <c r="A48" s="854" t="str">
        <f t="array" ref="A48">IF((ROW(ISP!$A16)&gt;SUM(--(ISP!$I$9:$I$158&lt;&gt;"")))+(COLUMN()&gt;COLUMN(ISP!$KP$1)),"",INDEX(ISP!$A$9:$KP$158,SMALL(IF(ISP!$I$9:$I$158&lt;&gt;"",ROW(ISP!$I$9:$I$158)-ROW(ISP!$I$9)+1),ROW(ISP!$A16)),COLUMN()))</f>
        <v>ITALIA</v>
      </c>
      <c r="B48" s="497" t="str">
        <f t="array" ref="B48">IF((ROW(ISP!$A16)&gt;SUM(--(ISP!$I$9:$I$158&lt;&gt;"")))+(COLUMN()&gt;COLUMN(ISP!$KP$1)),"",INDEX(ISP!$A$9:$KP$158,SMALL(IF(ISP!$I$9:$I$158&lt;&gt;"",ROW(ISP!$I$9:$I$158)-ROW(ISP!$I$9)+1),ROW(ISP!$A16)),COLUMN()))</f>
        <v>BBB</v>
      </c>
      <c r="C48" s="387">
        <f t="array" ref="C48">IF((ROW(ISP!$A16)&gt;SUM(--(ISP!$I$9:$I$158&lt;&gt;"")))+(COLUMN()&gt;COLUMN(ISP!$KP$1)),"",INDEX(ISP!$A$9:$KP$158,SMALL(IF(ISP!$I$9:$I$158&lt;&gt;"",ROW(ISP!$I$9:$I$158)-ROW(ISP!$I$9)+1),ROW(ISP!$A16)),COLUMN()))</f>
        <v>48884</v>
      </c>
      <c r="D48" s="497">
        <f t="array" ref="D48">IF((ROW(ISP!$A16)&gt;SUM(--(ISP!$I$9:$I$158&lt;&gt;"")))+(COLUMN()&gt;COLUMN(ISP!$KP$1)),"",INDEX(ISP!$A$9:$KP$158,SMALL(IF(ISP!$I$9:$I$158&lt;&gt;"",ROW(ISP!$I$9:$I$158)-ROW(ISP!$I$9)+1),ROW(ISP!$A16)),COLUMN()))</f>
        <v>45197</v>
      </c>
      <c r="E48" s="497">
        <f t="array" ref="E48">IF((ROW(ISP!$A16)&gt;SUM(--(ISP!$I$9:$I$158&lt;&gt;"")))+(COLUMN()&gt;COLUMN(ISP!$KP$1)),"",INDEX(ISP!$A$9:$KP$158,SMALL(IF(ISP!$I$9:$I$158&lt;&gt;"",ROW(ISP!$I$9:$I$158)-ROW(ISP!$I$9)+1),ROW(ISP!$A16)),COLUMN()))</f>
        <v>96.534960600000005</v>
      </c>
      <c r="F48" s="561">
        <f t="array" ref="F48">IF((ROW(ISP!$A16)&gt;SUM(--(ISP!$I$9:$I$158&lt;&gt;"")))+(COLUMN()&gt;COLUMN(ISP!$KP$1)),"",INDEX(ISP!$A$9:$KP$158,SMALL(IF(ISP!$I$9:$I$158&lt;&gt;"",ROW(ISP!$I$9:$I$158)-ROW(ISP!$I$9)+1),ROW(ISP!$A16)),COLUMN()))</f>
        <v>4.3499999999999997E-2</v>
      </c>
      <c r="G48" s="383">
        <f t="array" ref="G48">IF((ROW(ISP!$A16)&gt;SUM(--(ISP!$I$9:$I$158&lt;&gt;"")))+(COLUMN()&gt;COLUMN(ISP!$KP$1)),"",INDEX(ISP!$A$9:$KP$158,SMALL(IF(ISP!$I$9:$I$158&lt;&gt;"",ROW(ISP!$I$9:$I$158)-ROW(ISP!$I$9)+1),ROW(ISP!$A16)),COLUMN()))</f>
        <v>1000</v>
      </c>
      <c r="H48" s="497">
        <f t="array" ref="H48">IF((ROW(ISP!$A16)&gt;SUM(--(ISP!$I$9:$I$158&lt;&gt;"")))+(COLUMN()&gt;COLUMN(ISP!$KP$1)),"",INDEX(ISP!$A$9:$KP$158,SMALL(IF(ISP!$I$9:$I$158&lt;&gt;"",ROW(ISP!$I$9:$I$158)-ROW(ISP!$I$9)+1),ROW(ISP!$A16)),COLUMN()))</f>
        <v>1000</v>
      </c>
      <c r="I48" s="383">
        <f t="array" ref="I48">IF((ROW(ISP!$A16)&gt;SUM(--(ISP!$I$9:$I$158&lt;&gt;"")))+(COLUMN()&gt;COLUMN(ISP!$KP$1)),"",INDEX(ISP!$A$9:$KP$158,SMALL(IF(ISP!$I$9:$I$158&lt;&gt;"",ROW(ISP!$I$9:$I$158)-ROW(ISP!$I$9)+1),ROW(ISP!$A16)),COLUMN()))</f>
        <v>38.0625</v>
      </c>
      <c r="J48" s="497">
        <f t="array" ref="J48">IF((ROW(ISP!$A16)&gt;SUM(--(ISP!$I$9:$I$158&lt;&gt;"")))+(COLUMN()&gt;COLUMN(ISP!$KP$1)),"",INDEX(ISP!$A$9:$KP$158,SMALL(IF(ISP!$I$9:$I$158&lt;&gt;"",ROW(ISP!$I$9:$I$158)-ROW(ISP!$I$9)+1),ROW(ISP!$A16)),COLUMN()))</f>
        <v>38.0625</v>
      </c>
      <c r="K48" s="879" t="str">
        <f t="array" ref="K48">IF((ROW(ISP!$A16)&gt;SUM(--(ISP!$I$9:$I$158&lt;&gt;"")))+(COLUMN()&gt;COLUMN(ISP!$KP$1)),"",INDEX(ISP!$A$9:$KP$158,SMALL(IF(ISP!$I$9:$I$158&lt;&gt;"",ROW(ISP!$I$9:$I$158)-ROW(ISP!$I$9)+1),ROW(ISP!$A16)),COLUMN()))</f>
        <v>MAG/NOV</v>
      </c>
      <c r="L48" s="775">
        <f t="array" ref="L48">IF((ROW(ISP!$A16)&gt;SUM(--(ISP!$I$9:$I$158&lt;&gt;"")))+(COLUMN()&gt;COLUMN(ISP!$KP$1)),"",INDEX(ISP!$A$9:$KP$158,SMALL(IF(ISP!$I$9:$I$158&lt;&gt;"",ROW(ISP!$I$9:$I$158)-ROW(ISP!$I$9)+1),ROW(ISP!$A16)),COLUMN()))</f>
        <v>11</v>
      </c>
      <c r="M48" s="775">
        <f t="array" ref="M48">IF((ROW(ISP!$A16)&gt;SUM(--(ISP!$I$9:$I$158&lt;&gt;"")))+(COLUMN()&gt;COLUMN(ISP!$KP$1)),"",INDEX(ISP!$A$9:$KP$158,SMALL(IF(ISP!$I$9:$I$158&lt;&gt;"",ROW(ISP!$I$9:$I$158)-ROW(ISP!$I$9)+1),ROW(ISP!$A16)),COLUMN()))</f>
        <v>5</v>
      </c>
      <c r="N48" s="497">
        <f t="array" ref="N48">IF((ROW(ISP!$A16)&gt;SUM(--(ISP!$I$9:$I$158&lt;&gt;"")))+(COLUMN()&gt;COLUMN(ISP!$KP$1)),"",INDEX(ISP!$A$9:$KP$158,SMALL(IF(ISP!$I$9:$I$158&lt;&gt;"",ROW(ISP!$I$9:$I$158)-ROW(ISP!$I$9)+1),ROW(ISP!$A16)),COLUMN()))</f>
        <v>17</v>
      </c>
      <c r="O48" s="383">
        <f t="array" ref="O48">IF((ROW(ISP!$A16)&gt;SUM(--(ISP!$I$9:$I$158&lt;&gt;"")))+(COLUMN()&gt;COLUMN(ISP!$KP$1)),"",INDEX(ISP!$A$9:$KP$158,SMALL(IF(ISP!$I$9:$I$158&lt;&gt;"",ROW(ISP!$I$9:$I$158)-ROW(ISP!$I$9)+1),ROW(ISP!$A16)),COLUMN()))</f>
        <v>19.03125</v>
      </c>
      <c r="P48" s="497">
        <f t="array" ref="P48">IF((ROW(ISP!$A16)&gt;SUM(--(ISP!$I$9:$I$158&lt;&gt;"")))+(COLUMN()&gt;COLUMN(ISP!$KP$1)),"",INDEX(ISP!$A$9:$KP$158,SMALL(IF(ISP!$I$9:$I$158&lt;&gt;"",ROW(ISP!$I$9:$I$158)-ROW(ISP!$I$9)+1),ROW(ISP!$A16)),COLUMN()))</f>
        <v>107.09500122070312</v>
      </c>
      <c r="Q48" s="497">
        <f t="array" ref="Q48">IF((ROW(ISP!$A16)&gt;SUM(--(ISP!$I$9:$I$158&lt;&gt;"")))+(COLUMN()&gt;COLUMN(ISP!$KP$1)),"",INDEX(ISP!$A$9:$KP$158,SMALL(IF(ISP!$I$9:$I$158&lt;&gt;"",ROW(ISP!$I$9:$I$158)-ROW(ISP!$I$9)+1),ROW(ISP!$A16)),COLUMN()))</f>
        <v>0</v>
      </c>
      <c r="R48" s="497">
        <f t="array" ref="R48">IF((ROW(ISP!$A16)&gt;SUM(--(ISP!$I$9:$I$158&lt;&gt;"")))+(COLUMN()&gt;COLUMN(ISP!$KP$1)),"",INDEX(ISP!$A$9:$KP$158,SMALL(IF(ISP!$I$9:$I$158&lt;&gt;"",ROW(ISP!$I$9:$I$158)-ROW(ISP!$I$9)+1),ROW(ISP!$A16)),COLUMN()))</f>
        <v>0</v>
      </c>
      <c r="S48" s="497">
        <f t="array" aca="1" ref="S48" ca="1">IF((ROW(ISP!$A16)&gt;SUM(--(ISP!$I$9:$I$158&lt;&gt;"")))+(COLUMN()&gt;COLUMN(ISP!$KP$1)),"",INDEX(ISP!$A$9:$KP$158,SMALL(IF(ISP!$I$9:$I$158&lt;&gt;"",ROW(ISP!$I$9:$I$158)-ROW(ISP!$I$9)+1),ROW(ISP!$A16)),COLUMN()))</f>
        <v>1.2513698630136219</v>
      </c>
      <c r="T48" s="497">
        <f t="array" aca="1" ref="T48" ca="1">IF((ROW(ISP!$A16)&gt;SUM(--(ISP!$I$9:$I$158&lt;&gt;"")))+(COLUMN()&gt;COLUMN(ISP!$KP$1)),"",INDEX(ISP!$A$9:$KP$158,SMALL(IF(ISP!$I$9:$I$158&lt;&gt;"",ROW(ISP!$I$9:$I$158)-ROW(ISP!$I$9)+1),ROW(ISP!$A16)),COLUMN()))</f>
        <v>1.2513698630136219</v>
      </c>
      <c r="U48" s="497">
        <f t="array" ref="U48">IF((ROW(ISP!$A16)&gt;SUM(--(ISP!$I$9:$I$158&lt;&gt;"")))+(COLUMN()&gt;COLUMN(ISP!$KP$1)),"",INDEX(ISP!$A$9:$KP$158,SMALL(IF(ISP!$I$9:$I$158&lt;&gt;"",ROW(ISP!$I$9:$I$158)-ROW(ISP!$I$9)+1),ROW(ISP!$A16)),COLUMN()))</f>
        <v>0</v>
      </c>
      <c r="V48" s="497">
        <f t="array" ref="V48">IF((ROW(ISP!$A16)&gt;SUM(--(ISP!$I$9:$I$158&lt;&gt;"")))+(COLUMN()&gt;COLUMN(ISP!$KP$1)),"",INDEX(ISP!$A$9:$KP$158,SMALL(IF(ISP!$I$9:$I$158&lt;&gt;"",ROW(ISP!$I$9:$I$158)-ROW(ISP!$I$9)+1),ROW(ISP!$A16)),COLUMN()))</f>
        <v>0</v>
      </c>
      <c r="W48" s="497">
        <f t="array" ref="W48">IF((ROW(ISP!$A16)&gt;SUM(--(ISP!$I$9:$I$158&lt;&gt;"")))+(COLUMN()&gt;COLUMN(ISP!$KP$1)),"",INDEX(ISP!$A$9:$KP$158,SMALL(IF(ISP!$I$9:$I$158&lt;&gt;"",ROW(ISP!$I$9:$I$158)-ROW(ISP!$I$9)+1),ROW(ISP!$A16)),COLUMN()))</f>
        <v>0</v>
      </c>
      <c r="X48" s="497">
        <f t="array" aca="1" ref="X48" ca="1">IF((ROW(ISP!$A16)&gt;SUM(--(ISP!$I$9:$I$158&lt;&gt;"")))+(COLUMN()&gt;COLUMN(ISP!$KP$1)),"",INDEX(ISP!$A$9:$KP$158,SMALL(IF(ISP!$I$9:$I$158&lt;&gt;"",ROW(ISP!$I$9:$I$158)-ROW(ISP!$I$9)+1),ROW(ISP!$A16)),COLUMN()))</f>
        <v>12</v>
      </c>
      <c r="Y48" s="497">
        <f t="array" aca="1" ref="Y48" ca="1">IF((ROW(ISP!$A16)&gt;SUM(--(ISP!$I$9:$I$158&lt;&gt;"")))+(COLUMN()&gt;COLUMN(ISP!$KP$1)),"",INDEX(ISP!$A$9:$KP$158,SMALL(IF(ISP!$I$9:$I$158&lt;&gt;"",ROW(ISP!$I$9:$I$158)-ROW(ISP!$I$9)+1),ROW(ISP!$A16)),COLUMN()))</f>
        <v>7483.1530890501253</v>
      </c>
      <c r="Z48" s="497">
        <f t="array" aca="1" ref="Z48" ca="1">IF((ROW(ISP!$A16)&gt;SUM(--(ISP!$I$9:$I$158&lt;&gt;"")))+(COLUMN()&gt;COLUMN(ISP!$KP$1)),"",INDEX(ISP!$A$9:$KP$158,SMALL(IF(ISP!$I$9:$I$158&lt;&gt;"",ROW(ISP!$I$9:$I$158)-ROW(ISP!$I$9)+1),ROW(ISP!$A16)),COLUMN()))</f>
        <v>29.961930441815422</v>
      </c>
      <c r="AA48" s="497">
        <f t="array" ref="AA48">IF((ROW(ISP!$A16)&gt;SUM(--(ISP!$I$9:$I$158&lt;&gt;"")))+(COLUMN()&gt;COLUMN(ISP!$KP$1)),"",INDEX(ISP!$A$9:$KP$158,SMALL(IF(ISP!$I$9:$I$158&lt;&gt;"",ROW(ISP!$I$9:$I$158)-ROW(ISP!$I$9)+1),ROW(ISP!$A16)),COLUMN()))</f>
        <v>0</v>
      </c>
      <c r="AB48" s="497">
        <f t="array" aca="1" ref="AB48" ca="1">IF((ROW(ISP!$A16)&gt;SUM(--(ISP!$I$9:$I$158&lt;&gt;"")))+(COLUMN()&gt;COLUMN(ISP!$KP$1)),"",INDEX(ISP!$A$9:$KP$158,SMALL(IF(ISP!$I$9:$I$158&lt;&gt;"",ROW(ISP!$I$9:$I$158)-ROW(ISP!$I$9)+1),ROW(ISP!$A16)),COLUMN()))</f>
        <v>1072.2013820700449</v>
      </c>
      <c r="AC48" s="497">
        <f t="array" aca="1" ref="AC48" ca="1">IF((ROW(ISP!$A16)&gt;SUM(--(ISP!$I$9:$I$158&lt;&gt;"")))+(COLUMN()&gt;COLUMN(ISP!$KP$1)),"",INDEX(ISP!$A$9:$KP$158,SMALL(IF(ISP!$I$9:$I$158&lt;&gt;"",ROW(ISP!$I$9:$I$158)-ROW(ISP!$I$9)+1),ROW(ISP!$A16)),COLUMN()))</f>
        <v>1072.2013820700449</v>
      </c>
      <c r="AD48" s="497">
        <f t="array" ref="AD48">IF((ROW(ISP!$A16)&gt;SUM(--(ISP!$I$9:$I$158&lt;&gt;"")))+(COLUMN()&gt;COLUMN(ISP!$KP$1)),"",INDEX(ISP!$A$9:$KP$158,SMALL(IF(ISP!$I$9:$I$158&lt;&gt;"",ROW(ISP!$I$9:$I$158)-ROW(ISP!$I$9)+1),ROW(ISP!$A16)),COLUMN()))</f>
        <v>105.6004062070312</v>
      </c>
      <c r="AE48" s="497">
        <f t="array" ref="AE48">IF((ROW(ISP!$A16)&gt;SUM(--(ISP!$I$9:$I$158&lt;&gt;"")))+(COLUMN()&gt;COLUMN(ISP!$KP$1)),"",INDEX(ISP!$A$9:$KP$158,SMALL(IF(ISP!$I$9:$I$158&lt;&gt;"",ROW(ISP!$I$9:$I$158)-ROW(ISP!$I$9)+1),ROW(ISP!$A16)),COLUMN()))</f>
        <v>105.6004062070312</v>
      </c>
      <c r="AF48" s="497">
        <f t="array" aca="1" ref="AF48" ca="1">IF((ROW(ISP!$A16)&gt;SUM(--(ISP!$I$9:$I$158&lt;&gt;"")))+(COLUMN()&gt;COLUMN(ISP!$KP$1)),"",INDEX(ISP!$A$9:$KP$158,SMALL(IF(ISP!$I$9:$I$158&lt;&gt;"",ROW(ISP!$I$9:$I$158)-ROW(ISP!$I$9)+1),ROW(ISP!$A16)),COLUMN()))</f>
        <v>7.4831530890501252</v>
      </c>
      <c r="AG48" s="983">
        <f t="array" aca="1" ref="AG48" ca="1">IF((ROW(ISP!$A16)&gt;SUM(--(ISP!$I$9:$I$158&lt;&gt;"")))+(COLUMN()&gt;COLUMN(ISP!$KP$1)),"",INDEX(ISP!$A$9:$KP$158,SMALL(IF(ISP!$I$9:$I$158&lt;&gt;"",ROW(ISP!$I$9:$I$158)-ROW(ISP!$I$9)+1),ROW(ISP!$A16)),COLUMN()))</f>
        <v>2.9961930441815422E-2</v>
      </c>
      <c r="AH48" s="897" t="str">
        <f t="shared" si="3"/>
        <v>INTESA</v>
      </c>
      <c r="AJ48" s="906"/>
    </row>
    <row r="49" spans="1:36" s="807" customFormat="1" ht="12.75" customHeight="1">
      <c r="A49" s="854" t="str">
        <f t="array" ref="A49">IF((ROW(ISP!$A17)&gt;SUM(--(ISP!$I$9:$I$158&lt;&gt;"")))+(COLUMN()&gt;COLUMN(ISP!$KP$1)),"",INDEX(ISP!$A$9:$KP$158,SMALL(IF(ISP!$I$9:$I$158&lt;&gt;"",ROW(ISP!$I$9:$I$158)-ROW(ISP!$I$9)+1),ROW(ISP!$A17)),COLUMN()))</f>
        <v>SOCIETE GENERALE</v>
      </c>
      <c r="B49" s="497" t="str">
        <f t="array" ref="B49">IF((ROW(ISP!$A17)&gt;SUM(--(ISP!$I$9:$I$158&lt;&gt;"")))+(COLUMN()&gt;COLUMN(ISP!$KP$1)),"",INDEX(ISP!$A$9:$KP$158,SMALL(IF(ISP!$I$9:$I$158&lt;&gt;"",ROW(ISP!$I$9:$I$158)-ROW(ISP!$I$9)+1),ROW(ISP!$A17)),COLUMN()))</f>
        <v>A</v>
      </c>
      <c r="C49" s="387">
        <f t="array" ref="C49">IF((ROW(ISP!$A17)&gt;SUM(--(ISP!$I$9:$I$158&lt;&gt;"")))+(COLUMN()&gt;COLUMN(ISP!$KP$1)),"",INDEX(ISP!$A$9:$KP$158,SMALL(IF(ISP!$I$9:$I$158&lt;&gt;"",ROW(ISP!$I$9:$I$158)-ROW(ISP!$I$9)+1),ROW(ISP!$A17)),COLUMN()))</f>
        <v>49072</v>
      </c>
      <c r="D49" s="497">
        <f t="array" ref="D49">IF((ROW(ISP!$A17)&gt;SUM(--(ISP!$I$9:$I$158&lt;&gt;"")))+(COLUMN()&gt;COLUMN(ISP!$KP$1)),"",INDEX(ISP!$A$9:$KP$158,SMALL(IF(ISP!$I$9:$I$158&lt;&gt;"",ROW(ISP!$I$9:$I$158)-ROW(ISP!$I$9)+1),ROW(ISP!$A17)),COLUMN()))</f>
        <v>45559</v>
      </c>
      <c r="E49" s="497">
        <f t="array" ref="E49">IF((ROW(ISP!$A17)&gt;SUM(--(ISP!$I$9:$I$158&lt;&gt;"")))+(COLUMN()&gt;COLUMN(ISP!$KP$1)),"",INDEX(ISP!$A$9:$KP$158,SMALL(IF(ISP!$I$9:$I$158&lt;&gt;"",ROW(ISP!$I$9:$I$158)-ROW(ISP!$I$9)+1),ROW(ISP!$A17)),COLUMN()))</f>
        <v>99.11</v>
      </c>
      <c r="F49" s="561">
        <f t="array" ref="F49">IF((ROW(ISP!$A17)&gt;SUM(--(ISP!$I$9:$I$158&lt;&gt;"")))+(COLUMN()&gt;COLUMN(ISP!$KP$1)),"",INDEX(ISP!$A$9:$KP$158,SMALL(IF(ISP!$I$9:$I$158&lt;&gt;"",ROW(ISP!$I$9:$I$158)-ROW(ISP!$I$9)+1),ROW(ISP!$A17)),COLUMN()))</f>
        <v>4.1000000000000002E-2</v>
      </c>
      <c r="G49" s="383">
        <f t="array" ref="G49">IF((ROW(ISP!$A17)&gt;SUM(--(ISP!$I$9:$I$158&lt;&gt;"")))+(COLUMN()&gt;COLUMN(ISP!$KP$1)),"",INDEX(ISP!$A$9:$KP$158,SMALL(IF(ISP!$I$9:$I$158&lt;&gt;"",ROW(ISP!$I$9:$I$158)-ROW(ISP!$I$9)+1),ROW(ISP!$A17)),COLUMN()))</f>
        <v>1000</v>
      </c>
      <c r="H49" s="497">
        <f t="array" ref="H49">IF((ROW(ISP!$A17)&gt;SUM(--(ISP!$I$9:$I$158&lt;&gt;"")))+(COLUMN()&gt;COLUMN(ISP!$KP$1)),"",INDEX(ISP!$A$9:$KP$158,SMALL(IF(ISP!$I$9:$I$158&lt;&gt;"",ROW(ISP!$I$9:$I$158)-ROW(ISP!$I$9)+1),ROW(ISP!$A17)),COLUMN()))</f>
        <v>1000</v>
      </c>
      <c r="I49" s="383">
        <f t="array" ref="I49">IF((ROW(ISP!$A17)&gt;SUM(--(ISP!$I$9:$I$158&lt;&gt;"")))+(COLUMN()&gt;COLUMN(ISP!$KP$1)),"",INDEX(ISP!$A$9:$KP$158,SMALL(IF(ISP!$I$9:$I$158&lt;&gt;"",ROW(ISP!$I$9:$I$158)-ROW(ISP!$I$9)+1),ROW(ISP!$A17)),COLUMN()))</f>
        <v>30.34</v>
      </c>
      <c r="J49" s="497">
        <f t="array" ref="J49">IF((ROW(ISP!$A17)&gt;SUM(--(ISP!$I$9:$I$158&lt;&gt;"")))+(COLUMN()&gt;COLUMN(ISP!$KP$1)),"",INDEX(ISP!$A$9:$KP$158,SMALL(IF(ISP!$I$9:$I$158&lt;&gt;"",ROW(ISP!$I$9:$I$158)-ROW(ISP!$I$9)+1),ROW(ISP!$A17)),COLUMN()))</f>
        <v>30.34</v>
      </c>
      <c r="K49" s="879" t="str">
        <f t="array" ref="K49">IF((ROW(ISP!$A17)&gt;SUM(--(ISP!$I$9:$I$158&lt;&gt;"")))+(COLUMN()&gt;COLUMN(ISP!$KP$1)),"",INDEX(ISP!$A$9:$KP$158,SMALL(IF(ISP!$I$9:$I$158&lt;&gt;"",ROW(ISP!$I$9:$I$158)-ROW(ISP!$I$9)+1),ROW(ISP!$A17)),COLUMN()))</f>
        <v>MAG</v>
      </c>
      <c r="L49" s="775">
        <f t="array" ref="L49">IF((ROW(ISP!$A17)&gt;SUM(--(ISP!$I$9:$I$158&lt;&gt;"")))+(COLUMN()&gt;COLUMN(ISP!$KP$1)),"",INDEX(ISP!$A$9:$KP$158,SMALL(IF(ISP!$I$9:$I$158&lt;&gt;"",ROW(ISP!$I$9:$I$158)-ROW(ISP!$I$9)+1),ROW(ISP!$A17)),COLUMN()))</f>
        <v>5</v>
      </c>
      <c r="M49" s="775" t="str">
        <f t="array" ref="M49">IF((ROW(ISP!$A17)&gt;SUM(--(ISP!$I$9:$I$158&lt;&gt;"")))+(COLUMN()&gt;COLUMN(ISP!$KP$1)),"",INDEX(ISP!$A$9:$KP$158,SMALL(IF(ISP!$I$9:$I$158&lt;&gt;"",ROW(ISP!$I$9:$I$158)-ROW(ISP!$I$9)+1),ROW(ISP!$A17)),COLUMN()))</f>
        <v/>
      </c>
      <c r="N49" s="497" t="str">
        <f t="array" ref="N49">IF((ROW(ISP!$A17)&gt;SUM(--(ISP!$I$9:$I$158&lt;&gt;"")))+(COLUMN()&gt;COLUMN(ISP!$KP$1)),"",INDEX(ISP!$A$9:$KP$158,SMALL(IF(ISP!$I$9:$I$158&lt;&gt;"",ROW(ISP!$I$9:$I$158)-ROW(ISP!$I$9)+1),ROW(ISP!$A17)),COLUMN()))</f>
        <v/>
      </c>
      <c r="O49" s="383">
        <f t="array" ref="O49">IF((ROW(ISP!$A17)&gt;SUM(--(ISP!$I$9:$I$158&lt;&gt;"")))+(COLUMN()&gt;COLUMN(ISP!$KP$1)),"",INDEX(ISP!$A$9:$KP$158,SMALL(IF(ISP!$I$9:$I$158&lt;&gt;"",ROW(ISP!$I$9:$I$158)-ROW(ISP!$I$9)+1),ROW(ISP!$A17)),COLUMN()))</f>
        <v>30.34</v>
      </c>
      <c r="P49" s="497">
        <f t="array" ref="P49">IF((ROW(ISP!$A17)&gt;SUM(--(ISP!$I$9:$I$158&lt;&gt;"")))+(COLUMN()&gt;COLUMN(ISP!$KP$1)),"",INDEX(ISP!$A$9:$KP$158,SMALL(IF(ISP!$I$9:$I$158&lt;&gt;"",ROW(ISP!$I$9:$I$158)-ROW(ISP!$I$9)+1),ROW(ISP!$A17)),COLUMN()))</f>
        <v>102.5</v>
      </c>
      <c r="Q49" s="497">
        <f t="array" ref="Q49">IF((ROW(ISP!$A17)&gt;SUM(--(ISP!$I$9:$I$158&lt;&gt;"")))+(COLUMN()&gt;COLUMN(ISP!$KP$1)),"",INDEX(ISP!$A$9:$KP$158,SMALL(IF(ISP!$I$9:$I$158&lt;&gt;"",ROW(ISP!$I$9:$I$158)-ROW(ISP!$I$9)+1),ROW(ISP!$A17)),COLUMN()))</f>
        <v>0</v>
      </c>
      <c r="R49" s="497">
        <f t="array" ref="R49">IF((ROW(ISP!$A17)&gt;SUM(--(ISP!$I$9:$I$158&lt;&gt;"")))+(COLUMN()&gt;COLUMN(ISP!$KP$1)),"",INDEX(ISP!$A$9:$KP$158,SMALL(IF(ISP!$I$9:$I$158&lt;&gt;"",ROW(ISP!$I$9:$I$158)-ROW(ISP!$I$9)+1),ROW(ISP!$A17)),COLUMN()))</f>
        <v>0</v>
      </c>
      <c r="S49" s="497">
        <f t="array" aca="1" ref="S49" ca="1">IF((ROW(ISP!$A17)&gt;SUM(--(ISP!$I$9:$I$158&lt;&gt;"")))+(COLUMN()&gt;COLUMN(ISP!$KP$1)),"",INDEX(ISP!$A$9:$KP$158,SMALL(IF(ISP!$I$9:$I$158&lt;&gt;"",ROW(ISP!$I$9:$I$158)-ROW(ISP!$I$9)+1),ROW(ISP!$A17)),COLUMN()))</f>
        <v>15.600998797190641</v>
      </c>
      <c r="T49" s="497">
        <f t="array" aca="1" ref="T49" ca="1">IF((ROW(ISP!$A17)&gt;SUM(--(ISP!$I$9:$I$158&lt;&gt;"")))+(COLUMN()&gt;COLUMN(ISP!$KP$1)),"",INDEX(ISP!$A$9:$KP$158,SMALL(IF(ISP!$I$9:$I$158&lt;&gt;"",ROW(ISP!$I$9:$I$158)-ROW(ISP!$I$9)+1),ROW(ISP!$A17)),COLUMN()))</f>
        <v>15.600998797190641</v>
      </c>
      <c r="U49" s="497">
        <f t="array" ref="U49">IF((ROW(ISP!$A17)&gt;SUM(--(ISP!$I$9:$I$158&lt;&gt;"")))+(COLUMN()&gt;COLUMN(ISP!$KP$1)),"",INDEX(ISP!$A$9:$KP$158,SMALL(IF(ISP!$I$9:$I$158&lt;&gt;"",ROW(ISP!$I$9:$I$158)-ROW(ISP!$I$9)+1),ROW(ISP!$A17)),COLUMN()))</f>
        <v>0</v>
      </c>
      <c r="V49" s="497">
        <f t="array" ref="V49">IF((ROW(ISP!$A17)&gt;SUM(--(ISP!$I$9:$I$158&lt;&gt;"")))+(COLUMN()&gt;COLUMN(ISP!$KP$1)),"",INDEX(ISP!$A$9:$KP$158,SMALL(IF(ISP!$I$9:$I$158&lt;&gt;"",ROW(ISP!$I$9:$I$158)-ROW(ISP!$I$9)+1),ROW(ISP!$A17)),COLUMN()))</f>
        <v>0</v>
      </c>
      <c r="W49" s="497">
        <f t="array" ref="W49">IF((ROW(ISP!$A17)&gt;SUM(--(ISP!$I$9:$I$158&lt;&gt;"")))+(COLUMN()&gt;COLUMN(ISP!$KP$1)),"",INDEX(ISP!$A$9:$KP$158,SMALL(IF(ISP!$I$9:$I$158&lt;&gt;"",ROW(ISP!$I$9:$I$158)-ROW(ISP!$I$9)+1),ROW(ISP!$A17)),COLUMN()))</f>
        <v>0</v>
      </c>
      <c r="X49" s="497">
        <f t="array" aca="1" ref="X49" ca="1">IF((ROW(ISP!$A17)&gt;SUM(--(ISP!$I$9:$I$158&lt;&gt;"")))+(COLUMN()&gt;COLUMN(ISP!$KP$1)),"",INDEX(ISP!$A$9:$KP$158,SMALL(IF(ISP!$I$9:$I$158&lt;&gt;"",ROW(ISP!$I$9:$I$158)-ROW(ISP!$I$9)+1),ROW(ISP!$A17)),COLUMN()))</f>
        <v>187.68505474537233</v>
      </c>
      <c r="Y49" s="497">
        <f t="array" aca="1" ref="Y49" ca="1">IF((ROW(ISP!$A17)&gt;SUM(--(ISP!$I$9:$I$158&lt;&gt;"")))+(COLUMN()&gt;COLUMN(ISP!$KP$1)),"",INDEX(ISP!$A$9:$KP$158,SMALL(IF(ISP!$I$9:$I$158&lt;&gt;"",ROW(ISP!$I$9:$I$158)-ROW(ISP!$I$9)+1),ROW(ISP!$A17)),COLUMN()))</f>
        <v>7763.2379267585802</v>
      </c>
      <c r="Z49" s="497">
        <f t="array" aca="1" ref="Z49" ca="1">IF((ROW(ISP!$A17)&gt;SUM(--(ISP!$I$9:$I$158&lt;&gt;"")))+(COLUMN()&gt;COLUMN(ISP!$KP$1)),"",INDEX(ISP!$A$9:$KP$158,SMALL(IF(ISP!$I$9:$I$158&lt;&gt;"",ROW(ISP!$I$9:$I$158)-ROW(ISP!$I$9)+1),ROW(ISP!$A17)),COLUMN()))</f>
        <v>27.964424726310202</v>
      </c>
      <c r="AA49" s="497">
        <f t="array" ref="AA49">IF((ROW(ISP!$A17)&gt;SUM(--(ISP!$I$9:$I$158&lt;&gt;"")))+(COLUMN()&gt;COLUMN(ISP!$KP$1)),"",INDEX(ISP!$A$9:$KP$158,SMALL(IF(ISP!$I$9:$I$158&lt;&gt;"",ROW(ISP!$I$9:$I$158)-ROW(ISP!$I$9)+1),ROW(ISP!$A17)),COLUMN()))</f>
        <v>0</v>
      </c>
      <c r="AB49" s="497">
        <f t="array" aca="1" ref="AB49" ca="1">IF((ROW(ISP!$A17)&gt;SUM(--(ISP!$I$9:$I$158&lt;&gt;"")))+(COLUMN()&gt;COLUMN(ISP!$KP$1)),"",INDEX(ISP!$A$9:$KP$158,SMALL(IF(ISP!$I$9:$I$158&lt;&gt;"",ROW(ISP!$I$9:$I$158)-ROW(ISP!$I$9)+1),ROW(ISP!$A17)),COLUMN()))</f>
        <v>1040.6009987971906</v>
      </c>
      <c r="AC49" s="497">
        <f t="array" aca="1" ref="AC49" ca="1">IF((ROW(ISP!$A17)&gt;SUM(--(ISP!$I$9:$I$158&lt;&gt;"")))+(COLUMN()&gt;COLUMN(ISP!$KP$1)),"",INDEX(ISP!$A$9:$KP$158,SMALL(IF(ISP!$I$9:$I$158&lt;&gt;"",ROW(ISP!$I$9:$I$158)-ROW(ISP!$I$9)+1),ROW(ISP!$A17)),COLUMN()))</f>
        <v>1040.6009987971906</v>
      </c>
      <c r="AD49" s="497">
        <f t="array" ref="AD49">IF((ROW(ISP!$A17)&gt;SUM(--(ISP!$I$9:$I$158&lt;&gt;"")))+(COLUMN()&gt;COLUMN(ISP!$KP$1)),"",INDEX(ISP!$A$9:$KP$158,SMALL(IF(ISP!$I$9:$I$158&lt;&gt;"",ROW(ISP!$I$9:$I$158)-ROW(ISP!$I$9)+1),ROW(ISP!$A17)),COLUMN()))</f>
        <v>33.900000000000006</v>
      </c>
      <c r="AE49" s="497">
        <f t="array" ref="AE49">IF((ROW(ISP!$A17)&gt;SUM(--(ISP!$I$9:$I$158&lt;&gt;"")))+(COLUMN()&gt;COLUMN(ISP!$KP$1)),"",INDEX(ISP!$A$9:$KP$158,SMALL(IF(ISP!$I$9:$I$158&lt;&gt;"",ROW(ISP!$I$9:$I$158)-ROW(ISP!$I$9)+1),ROW(ISP!$A17)),COLUMN()))</f>
        <v>33.900000000000006</v>
      </c>
      <c r="AF49" s="497">
        <f t="array" aca="1" ref="AF49" ca="1">IF((ROW(ISP!$A17)&gt;SUM(--(ISP!$I$9:$I$158&lt;&gt;"")))+(COLUMN()&gt;COLUMN(ISP!$KP$1)),"",INDEX(ISP!$A$9:$KP$158,SMALL(IF(ISP!$I$9:$I$158&lt;&gt;"",ROW(ISP!$I$9:$I$158)-ROW(ISP!$I$9)+1),ROW(ISP!$A17)),COLUMN()))</f>
        <v>7.7632379267585803</v>
      </c>
      <c r="AG49" s="983">
        <f t="array" aca="1" ref="AG49" ca="1">IF((ROW(ISP!$A17)&gt;SUM(--(ISP!$I$9:$I$158&lt;&gt;"")))+(COLUMN()&gt;COLUMN(ISP!$KP$1)),"",INDEX(ISP!$A$9:$KP$158,SMALL(IF(ISP!$I$9:$I$158&lt;&gt;"",ROW(ISP!$I$9:$I$158)-ROW(ISP!$I$9)+1),ROW(ISP!$A17)),COLUMN()))</f>
        <v>2.7964424726310201E-2</v>
      </c>
      <c r="AH49" s="897" t="str">
        <f t="shared" si="3"/>
        <v>INTESA</v>
      </c>
      <c r="AJ49" s="906"/>
    </row>
    <row r="50" spans="1:36" s="807" customFormat="1" ht="12.75" customHeight="1">
      <c r="A50" s="854" t="str">
        <f t="array" ref="A50">IF((ROW(ISP!$A18)&gt;SUM(--(ISP!$I$9:$I$158&lt;&gt;"")))+(COLUMN()&gt;COLUMN(ISP!$KP$1)),"",INDEX(ISP!$A$9:$KP$158,SMALL(IF(ISP!$I$9:$I$158&lt;&gt;"",ROW(ISP!$I$9:$I$158)-ROW(ISP!$I$9)+1),ROW(ISP!$A18)),COLUMN()))</f>
        <v>ROMANIA</v>
      </c>
      <c r="B50" s="497" t="str">
        <f t="array" ref="B50">IF((ROW(ISP!$A18)&gt;SUM(--(ISP!$I$9:$I$158&lt;&gt;"")))+(COLUMN()&gt;COLUMN(ISP!$KP$1)),"",INDEX(ISP!$A$9:$KP$158,SMALL(IF(ISP!$I$9:$I$158&lt;&gt;"",ROW(ISP!$I$9:$I$158)-ROW(ISP!$I$9)+1),ROW(ISP!$A18)),COLUMN()))</f>
        <v>BB</v>
      </c>
      <c r="C50" s="387">
        <f t="array" ref="C50">IF((ROW(ISP!$A18)&gt;SUM(--(ISP!$I$9:$I$158&lt;&gt;"")))+(COLUMN()&gt;COLUMN(ISP!$KP$1)),"",INDEX(ISP!$A$9:$KP$158,SMALL(IF(ISP!$I$9:$I$158&lt;&gt;"",ROW(ISP!$I$9:$I$158)-ROW(ISP!$I$9)+1),ROW(ISP!$A18)),COLUMN()))</f>
        <v>50840</v>
      </c>
      <c r="D50" s="497">
        <f t="array" ref="D50">IF((ROW(ISP!$A18)&gt;SUM(--(ISP!$I$9:$I$158&lt;&gt;"")))+(COLUMN()&gt;COLUMN(ISP!$KP$1)),"",INDEX(ISP!$A$9:$KP$158,SMALL(IF(ISP!$I$9:$I$158&lt;&gt;"",ROW(ISP!$I$9:$I$158)-ROW(ISP!$I$9)+1),ROW(ISP!$A18)),COLUMN()))</f>
        <v>45139</v>
      </c>
      <c r="E50" s="497">
        <f t="array" ref="E50">IF((ROW(ISP!$A18)&gt;SUM(--(ISP!$I$9:$I$158&lt;&gt;"")))+(COLUMN()&gt;COLUMN(ISP!$KP$1)),"",INDEX(ISP!$A$9:$KP$158,SMALL(IF(ISP!$I$9:$I$158&lt;&gt;"",ROW(ISP!$I$9:$I$158)-ROW(ISP!$I$9)+1),ROW(ISP!$A18)),COLUMN()))</f>
        <v>79.974999999999994</v>
      </c>
      <c r="F50" s="561">
        <f t="array" ref="F50">IF((ROW(ISP!$A18)&gt;SUM(--(ISP!$I$9:$I$158&lt;&gt;"")))+(COLUMN()&gt;COLUMN(ISP!$KP$1)),"",INDEX(ISP!$A$9:$KP$158,SMALL(IF(ISP!$I$9:$I$158&lt;&gt;"",ROW(ISP!$I$9:$I$158)-ROW(ISP!$I$9)+1),ROW(ISP!$A18)),COLUMN()))</f>
        <v>4.1250000000000002E-2</v>
      </c>
      <c r="G50" s="383">
        <f t="array" ref="G50">IF((ROW(ISP!$A18)&gt;SUM(--(ISP!$I$9:$I$158&lt;&gt;"")))+(COLUMN()&gt;COLUMN(ISP!$KP$1)),"",INDEX(ISP!$A$9:$KP$158,SMALL(IF(ISP!$I$9:$I$158&lt;&gt;"",ROW(ISP!$I$9:$I$158)-ROW(ISP!$I$9)+1),ROW(ISP!$A18)),COLUMN()))</f>
        <v>1000</v>
      </c>
      <c r="H50" s="497">
        <f t="array" ref="H50">IF((ROW(ISP!$A18)&gt;SUM(--(ISP!$I$9:$I$158&lt;&gt;"")))+(COLUMN()&gt;COLUMN(ISP!$KP$1)),"",INDEX(ISP!$A$9:$KP$158,SMALL(IF(ISP!$I$9:$I$158&lt;&gt;"",ROW(ISP!$I$9:$I$158)-ROW(ISP!$I$9)+1),ROW(ISP!$A18)),COLUMN()))</f>
        <v>1000</v>
      </c>
      <c r="I50" s="383">
        <f t="array" ref="I50">IF((ROW(ISP!$A18)&gt;SUM(--(ISP!$I$9:$I$158&lt;&gt;"")))+(COLUMN()&gt;COLUMN(ISP!$KP$1)),"",INDEX(ISP!$A$9:$KP$158,SMALL(IF(ISP!$I$9:$I$158&lt;&gt;"",ROW(ISP!$I$9:$I$158)-ROW(ISP!$I$9)+1),ROW(ISP!$A18)),COLUMN()))</f>
        <v>36.09375</v>
      </c>
      <c r="J50" s="497">
        <f t="array" ref="J50">IF((ROW(ISP!$A18)&gt;SUM(--(ISP!$I$9:$I$158&lt;&gt;"")))+(COLUMN()&gt;COLUMN(ISP!$KP$1)),"",INDEX(ISP!$A$9:$KP$158,SMALL(IF(ISP!$I$9:$I$158&lt;&gt;"",ROW(ISP!$I$9:$I$158)-ROW(ISP!$I$9)+1),ROW(ISP!$A18)),COLUMN()))</f>
        <v>36.09375</v>
      </c>
      <c r="K50" s="879" t="str">
        <f t="array" ref="K50">IF((ROW(ISP!$A18)&gt;SUM(--(ISP!$I$9:$I$158&lt;&gt;"")))+(COLUMN()&gt;COLUMN(ISP!$KP$1)),"",INDEX(ISP!$A$9:$KP$158,SMALL(IF(ISP!$I$9:$I$158&lt;&gt;"",ROW(ISP!$I$9:$I$158)-ROW(ISP!$I$9)+1),ROW(ISP!$A18)),COLUMN()))</f>
        <v>MAR</v>
      </c>
      <c r="L50" s="775">
        <f t="array" ref="L50">IF((ROW(ISP!$A18)&gt;SUM(--(ISP!$I$9:$I$158&lt;&gt;"")))+(COLUMN()&gt;COLUMN(ISP!$KP$1)),"",INDEX(ISP!$A$9:$KP$158,SMALL(IF(ISP!$I$9:$I$158&lt;&gt;"",ROW(ISP!$I$9:$I$158)-ROW(ISP!$I$9)+1),ROW(ISP!$A18)),COLUMN()))</f>
        <v>3</v>
      </c>
      <c r="M50" s="775" t="str">
        <f t="array" ref="M50">IF((ROW(ISP!$A18)&gt;SUM(--(ISP!$I$9:$I$158&lt;&gt;"")))+(COLUMN()&gt;COLUMN(ISP!$KP$1)),"",INDEX(ISP!$A$9:$KP$158,SMALL(IF(ISP!$I$9:$I$158&lt;&gt;"",ROW(ISP!$I$9:$I$158)-ROW(ISP!$I$9)+1),ROW(ISP!$A18)),COLUMN()))</f>
        <v/>
      </c>
      <c r="N50" s="497" t="str">
        <f t="array" ref="N50">IF((ROW(ISP!$A18)&gt;SUM(--(ISP!$I$9:$I$158&lt;&gt;"")))+(COLUMN()&gt;COLUMN(ISP!$KP$1)),"",INDEX(ISP!$A$9:$KP$158,SMALL(IF(ISP!$I$9:$I$158&lt;&gt;"",ROW(ISP!$I$9:$I$158)-ROW(ISP!$I$9)+1),ROW(ISP!$A18)),COLUMN()))</f>
        <v/>
      </c>
      <c r="O50" s="383">
        <f t="array" ref="O50">IF((ROW(ISP!$A18)&gt;SUM(--(ISP!$I$9:$I$158&lt;&gt;"")))+(COLUMN()&gt;COLUMN(ISP!$KP$1)),"",INDEX(ISP!$A$9:$KP$158,SMALL(IF(ISP!$I$9:$I$158&lt;&gt;"",ROW(ISP!$I$9:$I$158)-ROW(ISP!$I$9)+1),ROW(ISP!$A18)),COLUMN()))</f>
        <v>36.09375</v>
      </c>
      <c r="P50" s="497">
        <f t="array" ref="P50">IF((ROW(ISP!$A18)&gt;SUM(--(ISP!$I$9:$I$158&lt;&gt;"")))+(COLUMN()&gt;COLUMN(ISP!$KP$1)),"",INDEX(ISP!$A$9:$KP$158,SMALL(IF(ISP!$I$9:$I$158&lt;&gt;"",ROW(ISP!$I$9:$I$158)-ROW(ISP!$I$9)+1),ROW(ISP!$A18)),COLUMN()))</f>
        <v>82.709999084472656</v>
      </c>
      <c r="Q50" s="497">
        <f t="array" ref="Q50">IF((ROW(ISP!$A18)&gt;SUM(--(ISP!$I$9:$I$158&lt;&gt;"")))+(COLUMN()&gt;COLUMN(ISP!$KP$1)),"",INDEX(ISP!$A$9:$KP$158,SMALL(IF(ISP!$I$9:$I$158&lt;&gt;"",ROW(ISP!$I$9:$I$158)-ROW(ISP!$I$9)+1),ROW(ISP!$A18)),COLUMN()))</f>
        <v>0</v>
      </c>
      <c r="R50" s="497">
        <f t="array" ref="R50">IF((ROW(ISP!$A18)&gt;SUM(--(ISP!$I$9:$I$158&lt;&gt;"")))+(COLUMN()&gt;COLUMN(ISP!$KP$1)),"",INDEX(ISP!$A$9:$KP$158,SMALL(IF(ISP!$I$9:$I$158&lt;&gt;"",ROW(ISP!$I$9:$I$158)-ROW(ISP!$I$9)+1),ROW(ISP!$A18)),COLUMN()))</f>
        <v>0</v>
      </c>
      <c r="S50" s="497">
        <f t="array" aca="1" ref="S50" ca="1">IF((ROW(ISP!$A18)&gt;SUM(--(ISP!$I$9:$I$158&lt;&gt;"")))+(COLUMN()&gt;COLUMN(ISP!$KP$1)),"",INDEX(ISP!$A$9:$KP$158,SMALL(IF(ISP!$I$9:$I$158&lt;&gt;"",ROW(ISP!$I$9:$I$158)-ROW(ISP!$I$9)+1),ROW(ISP!$A18)),COLUMN()))</f>
        <v>24.42508561643848</v>
      </c>
      <c r="T50" s="497">
        <f t="array" aca="1" ref="T50" ca="1">IF((ROW(ISP!$A18)&gt;SUM(--(ISP!$I$9:$I$158&lt;&gt;"")))+(COLUMN()&gt;COLUMN(ISP!$KP$1)),"",INDEX(ISP!$A$9:$KP$158,SMALL(IF(ISP!$I$9:$I$158&lt;&gt;"",ROW(ISP!$I$9:$I$158)-ROW(ISP!$I$9)+1),ROW(ISP!$A18)),COLUMN()))</f>
        <v>24.42508561643848</v>
      </c>
      <c r="U50" s="497">
        <f t="array" ref="U50">IF((ROW(ISP!$A18)&gt;SUM(--(ISP!$I$9:$I$158&lt;&gt;"")))+(COLUMN()&gt;COLUMN(ISP!$KP$1)),"",INDEX(ISP!$A$9:$KP$158,SMALL(IF(ISP!$I$9:$I$158&lt;&gt;"",ROW(ISP!$I$9:$I$158)-ROW(ISP!$I$9)+1),ROW(ISP!$A18)),COLUMN()))</f>
        <v>0</v>
      </c>
      <c r="V50" s="497">
        <f t="array" ref="V50">IF((ROW(ISP!$A18)&gt;SUM(--(ISP!$I$9:$I$158&lt;&gt;"")))+(COLUMN()&gt;COLUMN(ISP!$KP$1)),"",INDEX(ISP!$A$9:$KP$158,SMALL(IF(ISP!$I$9:$I$158&lt;&gt;"",ROW(ISP!$I$9:$I$158)-ROW(ISP!$I$9)+1),ROW(ISP!$A18)),COLUMN()))</f>
        <v>0</v>
      </c>
      <c r="W50" s="497">
        <f t="array" ref="W50">IF((ROW(ISP!$A18)&gt;SUM(--(ISP!$I$9:$I$158&lt;&gt;"")))+(COLUMN()&gt;COLUMN(ISP!$KP$1)),"",INDEX(ISP!$A$9:$KP$158,SMALL(IF(ISP!$I$9:$I$158&lt;&gt;"",ROW(ISP!$I$9:$I$158)-ROW(ISP!$I$9)+1),ROW(ISP!$A18)),COLUMN()))</f>
        <v>0</v>
      </c>
      <c r="X50" s="497">
        <f t="array" aca="1" ref="X50" ca="1">IF((ROW(ISP!$A18)&gt;SUM(--(ISP!$I$9:$I$158&lt;&gt;"")))+(COLUMN()&gt;COLUMN(ISP!$KP$1)),"",INDEX(ISP!$A$9:$KP$158,SMALL(IF(ISP!$I$9:$I$158&lt;&gt;"",ROW(ISP!$I$9:$I$158)-ROW(ISP!$I$9)+1),ROW(ISP!$A18)),COLUMN()))</f>
        <v>247</v>
      </c>
      <c r="Y50" s="497">
        <f t="array" aca="1" ref="Y50" ca="1">IF((ROW(ISP!$A18)&gt;SUM(--(ISP!$I$9:$I$158&lt;&gt;"")))+(COLUMN()&gt;COLUMN(ISP!$KP$1)),"",INDEX(ISP!$A$9:$KP$158,SMALL(IF(ISP!$I$9:$I$158&lt;&gt;"",ROW(ISP!$I$9:$I$158)-ROW(ISP!$I$9)+1),ROW(ISP!$A18)),COLUMN()))</f>
        <v>10032.007756976682</v>
      </c>
      <c r="Z50" s="497">
        <f t="array" aca="1" ref="Z50" ca="1">IF((ROW(ISP!$A18)&gt;SUM(--(ISP!$I$9:$I$158&lt;&gt;"")))+(COLUMN()&gt;COLUMN(ISP!$KP$1)),"",INDEX(ISP!$A$9:$KP$158,SMALL(IF(ISP!$I$9:$I$158&lt;&gt;"",ROW(ISP!$I$9:$I$158)-ROW(ISP!$I$9)+1),ROW(ISP!$A18)),COLUMN()))</f>
        <v>52.057326362336369</v>
      </c>
      <c r="AA50" s="497">
        <f t="array" ref="AA50">IF((ROW(ISP!$A18)&gt;SUM(--(ISP!$I$9:$I$158&lt;&gt;"")))+(COLUMN()&gt;COLUMN(ISP!$KP$1)),"",INDEX(ISP!$A$9:$KP$158,SMALL(IF(ISP!$I$9:$I$158&lt;&gt;"",ROW(ISP!$I$9:$I$158)-ROW(ISP!$I$9)+1),ROW(ISP!$A18)),COLUMN()))</f>
        <v>0</v>
      </c>
      <c r="AB50" s="497">
        <f t="array" aca="1" ref="AB50" ca="1">IF((ROW(ISP!$A18)&gt;SUM(--(ISP!$I$9:$I$158&lt;&gt;"")))+(COLUMN()&gt;COLUMN(ISP!$KP$1)),"",INDEX(ISP!$A$9:$KP$158,SMALL(IF(ISP!$I$9:$I$158&lt;&gt;"",ROW(ISP!$I$9:$I$158)-ROW(ISP!$I$9)+1),ROW(ISP!$A18)),COLUMN()))</f>
        <v>851.5250764611651</v>
      </c>
      <c r="AC50" s="497">
        <f t="array" aca="1" ref="AC50" ca="1">IF((ROW(ISP!$A18)&gt;SUM(--(ISP!$I$9:$I$158&lt;&gt;"")))+(COLUMN()&gt;COLUMN(ISP!$KP$1)),"",INDEX(ISP!$A$9:$KP$158,SMALL(IF(ISP!$I$9:$I$158&lt;&gt;"",ROW(ISP!$I$9:$I$158)-ROW(ISP!$I$9)+1),ROW(ISP!$A18)),COLUMN()))</f>
        <v>851.5250764611651</v>
      </c>
      <c r="AD50" s="497">
        <f t="array" ref="AD50">IF((ROW(ISP!$A18)&gt;SUM(--(ISP!$I$9:$I$158&lt;&gt;"")))+(COLUMN()&gt;COLUMN(ISP!$KP$1)),"",INDEX(ISP!$A$9:$KP$158,SMALL(IF(ISP!$I$9:$I$158&lt;&gt;"",ROW(ISP!$I$9:$I$158)-ROW(ISP!$I$9)+1),ROW(ISP!$A18)),COLUMN()))</f>
        <v>27.349990844726619</v>
      </c>
      <c r="AE50" s="497">
        <f t="array" ref="AE50">IF((ROW(ISP!$A18)&gt;SUM(--(ISP!$I$9:$I$158&lt;&gt;"")))+(COLUMN()&gt;COLUMN(ISP!$KP$1)),"",INDEX(ISP!$A$9:$KP$158,SMALL(IF(ISP!$I$9:$I$158&lt;&gt;"",ROW(ISP!$I$9:$I$158)-ROW(ISP!$I$9)+1),ROW(ISP!$A18)),COLUMN()))</f>
        <v>27.349990844726619</v>
      </c>
      <c r="AF50" s="497">
        <f t="array" aca="1" ref="AF50" ca="1">IF((ROW(ISP!$A18)&gt;SUM(--(ISP!$I$9:$I$158&lt;&gt;"")))+(COLUMN()&gt;COLUMN(ISP!$KP$1)),"",INDEX(ISP!$A$9:$KP$158,SMALL(IF(ISP!$I$9:$I$158&lt;&gt;"",ROW(ISP!$I$9:$I$158)-ROW(ISP!$I$9)+1),ROW(ISP!$A18)),COLUMN()))</f>
        <v>10.032007756976682</v>
      </c>
      <c r="AG50" s="983">
        <f t="array" aca="1" ref="AG50" ca="1">IF((ROW(ISP!$A18)&gt;SUM(--(ISP!$I$9:$I$158&lt;&gt;"")))+(COLUMN()&gt;COLUMN(ISP!$KP$1)),"",INDEX(ISP!$A$9:$KP$158,SMALL(IF(ISP!$I$9:$I$158&lt;&gt;"",ROW(ISP!$I$9:$I$158)-ROW(ISP!$I$9)+1),ROW(ISP!$A18)),COLUMN()))</f>
        <v>5.205732636233637E-2</v>
      </c>
      <c r="AH50" s="897" t="str">
        <f t="shared" si="3"/>
        <v>INTESA</v>
      </c>
      <c r="AJ50" s="906"/>
    </row>
    <row r="51" spans="1:36" s="807" customFormat="1" ht="15">
      <c r="A51" s="854" t="str">
        <f t="array" ref="A51">IF((ROW(ISP!$A19)&gt;SUM(--(ISP!$I$9:$I$158&lt;&gt;"")))+(COLUMN()&gt;COLUMN(ISP!$KP$1)),"",INDEX(ISP!$A$9:$KP$158,SMALL(IF(ISP!$I$9:$I$158&lt;&gt;"",ROW(ISP!$I$9:$I$158)-ROW(ISP!$I$9)+1),ROW(ISP!$A19)),COLUMN()))</f>
        <v/>
      </c>
      <c r="B51" s="497" t="str">
        <f t="array" ref="B51">IF((ROW(ISP!$A19)&gt;SUM(--(ISP!$I$9:$I$158&lt;&gt;"")))+(COLUMN()&gt;COLUMN(ISP!$KP$1)),"",INDEX(ISP!$A$9:$KP$158,SMALL(IF(ISP!$I$9:$I$158&lt;&gt;"",ROW(ISP!$I$9:$I$158)-ROW(ISP!$I$9)+1),ROW(ISP!$A19)),COLUMN()))</f>
        <v/>
      </c>
      <c r="C51" s="387" t="str">
        <f t="array" ref="C51">IF((ROW(ISP!$A19)&gt;SUM(--(ISP!$I$9:$I$158&lt;&gt;"")))+(COLUMN()&gt;COLUMN(ISP!$KP$1)),"",INDEX(ISP!$A$9:$KP$158,SMALL(IF(ISP!$I$9:$I$158&lt;&gt;"",ROW(ISP!$I$9:$I$158)-ROW(ISP!$I$9)+1),ROW(ISP!$A19)),COLUMN()))</f>
        <v/>
      </c>
      <c r="D51" s="497" t="str">
        <f t="array" ref="D51">IF((ROW(ISP!$A19)&gt;SUM(--(ISP!$I$9:$I$158&lt;&gt;"")))+(COLUMN()&gt;COLUMN(ISP!$KP$1)),"",INDEX(ISP!$A$9:$KP$158,SMALL(IF(ISP!$I$9:$I$158&lt;&gt;"",ROW(ISP!$I$9:$I$158)-ROW(ISP!$I$9)+1),ROW(ISP!$A19)),COLUMN()))</f>
        <v/>
      </c>
      <c r="E51" s="497" t="str">
        <f t="array" ref="E51">IF((ROW(ISP!$A19)&gt;SUM(--(ISP!$I$9:$I$158&lt;&gt;"")))+(COLUMN()&gt;COLUMN(ISP!$KP$1)),"",INDEX(ISP!$A$9:$KP$158,SMALL(IF(ISP!$I$9:$I$158&lt;&gt;"",ROW(ISP!$I$9:$I$158)-ROW(ISP!$I$9)+1),ROW(ISP!$A19)),COLUMN()))</f>
        <v/>
      </c>
      <c r="F51" s="561" t="str">
        <f t="array" ref="F51">IF((ROW(ISP!$A19)&gt;SUM(--(ISP!$I$9:$I$158&lt;&gt;"")))+(COLUMN()&gt;COLUMN(ISP!$KP$1)),"",INDEX(ISP!$A$9:$KP$158,SMALL(IF(ISP!$I$9:$I$158&lt;&gt;"",ROW(ISP!$I$9:$I$158)-ROW(ISP!$I$9)+1),ROW(ISP!$A19)),COLUMN()))</f>
        <v/>
      </c>
      <c r="G51" s="383" t="str">
        <f t="array" ref="G51">IF((ROW(ISP!$A19)&gt;SUM(--(ISP!$I$9:$I$158&lt;&gt;"")))+(COLUMN()&gt;COLUMN(ISP!$KP$1)),"",INDEX(ISP!$A$9:$KP$158,SMALL(IF(ISP!$I$9:$I$158&lt;&gt;"",ROW(ISP!$I$9:$I$158)-ROW(ISP!$I$9)+1),ROW(ISP!$A19)),COLUMN()))</f>
        <v/>
      </c>
      <c r="H51" s="497" t="str">
        <f t="array" ref="H51">IF((ROW(ISP!$A19)&gt;SUM(--(ISP!$I$9:$I$158&lt;&gt;"")))+(COLUMN()&gt;COLUMN(ISP!$KP$1)),"",INDEX(ISP!$A$9:$KP$158,SMALL(IF(ISP!$I$9:$I$158&lt;&gt;"",ROW(ISP!$I$9:$I$158)-ROW(ISP!$I$9)+1),ROW(ISP!$A19)),COLUMN()))</f>
        <v/>
      </c>
      <c r="I51" s="383" t="str">
        <f t="array" ref="I51">IF((ROW(ISP!$A19)&gt;SUM(--(ISP!$I$9:$I$158&lt;&gt;"")))+(COLUMN()&gt;COLUMN(ISP!$KP$1)),"",INDEX(ISP!$A$9:$KP$158,SMALL(IF(ISP!$I$9:$I$158&lt;&gt;"",ROW(ISP!$I$9:$I$158)-ROW(ISP!$I$9)+1),ROW(ISP!$A19)),COLUMN()))</f>
        <v/>
      </c>
      <c r="J51" s="497" t="str">
        <f t="array" ref="J51">IF((ROW(ISP!$A19)&gt;SUM(--(ISP!$I$9:$I$158&lt;&gt;"")))+(COLUMN()&gt;COLUMN(ISP!$KP$1)),"",INDEX(ISP!$A$9:$KP$158,SMALL(IF(ISP!$I$9:$I$158&lt;&gt;"",ROW(ISP!$I$9:$I$158)-ROW(ISP!$I$9)+1),ROW(ISP!$A19)),COLUMN()))</f>
        <v/>
      </c>
      <c r="K51" s="879" t="str">
        <f t="array" ref="K51">IF((ROW(ISP!$A19)&gt;SUM(--(ISP!$I$9:$I$158&lt;&gt;"")))+(COLUMN()&gt;COLUMN(ISP!$KP$1)),"",INDEX(ISP!$A$9:$KP$158,SMALL(IF(ISP!$I$9:$I$158&lt;&gt;"",ROW(ISP!$I$9:$I$158)-ROW(ISP!$I$9)+1),ROW(ISP!$A19)),COLUMN()))</f>
        <v/>
      </c>
      <c r="L51" s="775" t="str">
        <f t="array" ref="L51">IF((ROW(ISP!$A19)&gt;SUM(--(ISP!$I$9:$I$158&lt;&gt;"")))+(COLUMN()&gt;COLUMN(ISP!$KP$1)),"",INDEX(ISP!$A$9:$KP$158,SMALL(IF(ISP!$I$9:$I$158&lt;&gt;"",ROW(ISP!$I$9:$I$158)-ROW(ISP!$I$9)+1),ROW(ISP!$A19)),COLUMN()))</f>
        <v/>
      </c>
      <c r="M51" s="775" t="str">
        <f t="array" ref="M51">IF((ROW(ISP!$A19)&gt;SUM(--(ISP!$I$9:$I$158&lt;&gt;"")))+(COLUMN()&gt;COLUMN(ISP!$KP$1)),"",INDEX(ISP!$A$9:$KP$158,SMALL(IF(ISP!$I$9:$I$158&lt;&gt;"",ROW(ISP!$I$9:$I$158)-ROW(ISP!$I$9)+1),ROW(ISP!$A19)),COLUMN()))</f>
        <v/>
      </c>
      <c r="N51" s="497" t="str">
        <f t="array" ref="N51">IF((ROW(ISP!$A19)&gt;SUM(--(ISP!$I$9:$I$158&lt;&gt;"")))+(COLUMN()&gt;COLUMN(ISP!$KP$1)),"",INDEX(ISP!$A$9:$KP$158,SMALL(IF(ISP!$I$9:$I$158&lt;&gt;"",ROW(ISP!$I$9:$I$158)-ROW(ISP!$I$9)+1),ROW(ISP!$A19)),COLUMN()))</f>
        <v/>
      </c>
      <c r="O51" s="383" t="str">
        <f t="array" ref="O51">IF((ROW(ISP!$A19)&gt;SUM(--(ISP!$I$9:$I$158&lt;&gt;"")))+(COLUMN()&gt;COLUMN(ISP!$KP$1)),"",INDEX(ISP!$A$9:$KP$158,SMALL(IF(ISP!$I$9:$I$158&lt;&gt;"",ROW(ISP!$I$9:$I$158)-ROW(ISP!$I$9)+1),ROW(ISP!$A19)),COLUMN()))</f>
        <v/>
      </c>
      <c r="P51" s="497" t="str">
        <f t="array" ref="P51">IF((ROW(ISP!$A19)&gt;SUM(--(ISP!$I$9:$I$158&lt;&gt;"")))+(COLUMN()&gt;COLUMN(ISP!$KP$1)),"",INDEX(ISP!$A$9:$KP$158,SMALL(IF(ISP!$I$9:$I$158&lt;&gt;"",ROW(ISP!$I$9:$I$158)-ROW(ISP!$I$9)+1),ROW(ISP!$A19)),COLUMN()))</f>
        <v/>
      </c>
      <c r="Q51" s="497" t="str">
        <f t="array" ref="Q51">IF((ROW(ISP!$A19)&gt;SUM(--(ISP!$I$9:$I$158&lt;&gt;"")))+(COLUMN()&gt;COLUMN(ISP!$KP$1)),"",INDEX(ISP!$A$9:$KP$158,SMALL(IF(ISP!$I$9:$I$158&lt;&gt;"",ROW(ISP!$I$9:$I$158)-ROW(ISP!$I$9)+1),ROW(ISP!$A19)),COLUMN()))</f>
        <v/>
      </c>
      <c r="R51" s="497" t="str">
        <f t="array" ref="R51">IF((ROW(ISP!$A19)&gt;SUM(--(ISP!$I$9:$I$158&lt;&gt;"")))+(COLUMN()&gt;COLUMN(ISP!$KP$1)),"",INDEX(ISP!$A$9:$KP$158,SMALL(IF(ISP!$I$9:$I$158&lt;&gt;"",ROW(ISP!$I$9:$I$158)-ROW(ISP!$I$9)+1),ROW(ISP!$A19)),COLUMN()))</f>
        <v/>
      </c>
      <c r="S51" s="497" t="str">
        <f t="array" ref="S51">IF((ROW(ISP!$A19)&gt;SUM(--(ISP!$I$9:$I$158&lt;&gt;"")))+(COLUMN()&gt;COLUMN(ISP!$KP$1)),"",INDEX(ISP!$A$9:$KP$158,SMALL(IF(ISP!$I$9:$I$158&lt;&gt;"",ROW(ISP!$I$9:$I$158)-ROW(ISP!$I$9)+1),ROW(ISP!$A19)),COLUMN()))</f>
        <v/>
      </c>
      <c r="T51" s="497" t="str">
        <f t="array" ref="T51">IF((ROW(ISP!$A19)&gt;SUM(--(ISP!$I$9:$I$158&lt;&gt;"")))+(COLUMN()&gt;COLUMN(ISP!$KP$1)),"",INDEX(ISP!$A$9:$KP$158,SMALL(IF(ISP!$I$9:$I$158&lt;&gt;"",ROW(ISP!$I$9:$I$158)-ROW(ISP!$I$9)+1),ROW(ISP!$A19)),COLUMN()))</f>
        <v/>
      </c>
      <c r="U51" s="497" t="str">
        <f t="array" ref="U51">IF((ROW(ISP!$A19)&gt;SUM(--(ISP!$I$9:$I$158&lt;&gt;"")))+(COLUMN()&gt;COLUMN(ISP!$KP$1)),"",INDEX(ISP!$A$9:$KP$158,SMALL(IF(ISP!$I$9:$I$158&lt;&gt;"",ROW(ISP!$I$9:$I$158)-ROW(ISP!$I$9)+1),ROW(ISP!$A19)),COLUMN()))</f>
        <v/>
      </c>
      <c r="V51" s="497" t="str">
        <f t="array" ref="V51">IF((ROW(ISP!$A19)&gt;SUM(--(ISP!$I$9:$I$158&lt;&gt;"")))+(COLUMN()&gt;COLUMN(ISP!$KP$1)),"",INDEX(ISP!$A$9:$KP$158,SMALL(IF(ISP!$I$9:$I$158&lt;&gt;"",ROW(ISP!$I$9:$I$158)-ROW(ISP!$I$9)+1),ROW(ISP!$A19)),COLUMN()))</f>
        <v/>
      </c>
      <c r="W51" s="497" t="str">
        <f t="array" ref="W51">IF((ROW(ISP!$A19)&gt;SUM(--(ISP!$I$9:$I$158&lt;&gt;"")))+(COLUMN()&gt;COLUMN(ISP!$KP$1)),"",INDEX(ISP!$A$9:$KP$158,SMALL(IF(ISP!$I$9:$I$158&lt;&gt;"",ROW(ISP!$I$9:$I$158)-ROW(ISP!$I$9)+1),ROW(ISP!$A19)),COLUMN()))</f>
        <v/>
      </c>
      <c r="X51" s="497" t="str">
        <f t="array" ref="X51">IF((ROW(ISP!$A19)&gt;SUM(--(ISP!$I$9:$I$158&lt;&gt;"")))+(COLUMN()&gt;COLUMN(ISP!$KP$1)),"",INDEX(ISP!$A$9:$KP$158,SMALL(IF(ISP!$I$9:$I$158&lt;&gt;"",ROW(ISP!$I$9:$I$158)-ROW(ISP!$I$9)+1),ROW(ISP!$A19)),COLUMN()))</f>
        <v/>
      </c>
      <c r="Y51" s="497" t="str">
        <f t="array" ref="Y51">IF((ROW(ISP!$A19)&gt;SUM(--(ISP!$I$9:$I$158&lt;&gt;"")))+(COLUMN()&gt;COLUMN(ISP!$KP$1)),"",INDEX(ISP!$A$9:$KP$158,SMALL(IF(ISP!$I$9:$I$158&lt;&gt;"",ROW(ISP!$I$9:$I$158)-ROW(ISP!$I$9)+1),ROW(ISP!$A19)),COLUMN()))</f>
        <v/>
      </c>
      <c r="Z51" s="497" t="str">
        <f t="array" ref="Z51">IF((ROW(ISP!$A19)&gt;SUM(--(ISP!$I$9:$I$158&lt;&gt;"")))+(COLUMN()&gt;COLUMN(ISP!$KP$1)),"",INDEX(ISP!$A$9:$KP$158,SMALL(IF(ISP!$I$9:$I$158&lt;&gt;"",ROW(ISP!$I$9:$I$158)-ROW(ISP!$I$9)+1),ROW(ISP!$A19)),COLUMN()))</f>
        <v/>
      </c>
      <c r="AA51" s="497" t="str">
        <f t="array" ref="AA51">IF((ROW(ISP!$A19)&gt;SUM(--(ISP!$I$9:$I$158&lt;&gt;"")))+(COLUMN()&gt;COLUMN(ISP!$KP$1)),"",INDEX(ISP!$A$9:$KP$158,SMALL(IF(ISP!$I$9:$I$158&lt;&gt;"",ROW(ISP!$I$9:$I$158)-ROW(ISP!$I$9)+1),ROW(ISP!$A19)),COLUMN()))</f>
        <v/>
      </c>
      <c r="AB51" s="497" t="str">
        <f t="array" ref="AB51">IF((ROW(ISP!$A19)&gt;SUM(--(ISP!$I$9:$I$158&lt;&gt;"")))+(COLUMN()&gt;COLUMN(ISP!$KP$1)),"",INDEX(ISP!$A$9:$KP$158,SMALL(IF(ISP!$I$9:$I$158&lt;&gt;"",ROW(ISP!$I$9:$I$158)-ROW(ISP!$I$9)+1),ROW(ISP!$A19)),COLUMN()))</f>
        <v/>
      </c>
      <c r="AC51" s="497" t="str">
        <f t="array" ref="AC51">IF((ROW(ISP!$A19)&gt;SUM(--(ISP!$I$9:$I$158&lt;&gt;"")))+(COLUMN()&gt;COLUMN(ISP!$KP$1)),"",INDEX(ISP!$A$9:$KP$158,SMALL(IF(ISP!$I$9:$I$158&lt;&gt;"",ROW(ISP!$I$9:$I$158)-ROW(ISP!$I$9)+1),ROW(ISP!$A19)),COLUMN()))</f>
        <v/>
      </c>
      <c r="AD51" s="497" t="str">
        <f t="array" ref="AD51">IF((ROW(ISP!$A19)&gt;SUM(--(ISP!$I$9:$I$158&lt;&gt;"")))+(COLUMN()&gt;COLUMN(ISP!$KP$1)),"",INDEX(ISP!$A$9:$KP$158,SMALL(IF(ISP!$I$9:$I$158&lt;&gt;"",ROW(ISP!$I$9:$I$158)-ROW(ISP!$I$9)+1),ROW(ISP!$A19)),COLUMN()))</f>
        <v/>
      </c>
      <c r="AE51" s="497" t="str">
        <f t="array" ref="AE51">IF((ROW(ISP!$A19)&gt;SUM(--(ISP!$I$9:$I$158&lt;&gt;"")))+(COLUMN()&gt;COLUMN(ISP!$KP$1)),"",INDEX(ISP!$A$9:$KP$158,SMALL(IF(ISP!$I$9:$I$158&lt;&gt;"",ROW(ISP!$I$9:$I$158)-ROW(ISP!$I$9)+1),ROW(ISP!$A19)),COLUMN()))</f>
        <v/>
      </c>
      <c r="AF51" s="497" t="str">
        <f t="array" ref="AF51">IF((ROW(ISP!$A19)&gt;SUM(--(ISP!$I$9:$I$158&lt;&gt;"")))+(COLUMN()&gt;COLUMN(ISP!$KP$1)),"",INDEX(ISP!$A$9:$KP$158,SMALL(IF(ISP!$I$9:$I$158&lt;&gt;"",ROW(ISP!$I$9:$I$158)-ROW(ISP!$I$9)+1),ROW(ISP!$A19)),COLUMN()))</f>
        <v/>
      </c>
      <c r="AG51" s="983"/>
      <c r="AH51" s="897" t="str">
        <f>IF(A51="","",$A$31)</f>
        <v/>
      </c>
      <c r="AJ51" s="906"/>
    </row>
    <row r="52" spans="1:36" s="807" customFormat="1" ht="15">
      <c r="A52" s="854" t="str">
        <f t="array" ref="A52">IF((ROW(ISP!$A20)&gt;SUM(--(ISP!$I$9:$I$158&lt;&gt;"")))+(COLUMN()&gt;COLUMN(ISP!$KP$1)),"",INDEX(ISP!$A$9:$KP$158,SMALL(IF(ISP!$I$9:$I$158&lt;&gt;"",ROW(ISP!$I$9:$I$158)-ROW(ISP!$I$9)+1),ROW(ISP!$A20)),COLUMN()))</f>
        <v/>
      </c>
      <c r="B52" s="497" t="str">
        <f t="array" ref="B52">IF((ROW(ISP!$A20)&gt;SUM(--(ISP!$I$9:$I$158&lt;&gt;"")))+(COLUMN()&gt;COLUMN(ISP!$KP$1)),"",INDEX(ISP!$A$9:$KP$158,SMALL(IF(ISP!$I$9:$I$158&lt;&gt;"",ROW(ISP!$I$9:$I$158)-ROW(ISP!$I$9)+1),ROW(ISP!$A20)),COLUMN()))</f>
        <v/>
      </c>
      <c r="C52" s="387" t="str">
        <f t="array" ref="C52">IF((ROW(ISP!$A20)&gt;SUM(--(ISP!$I$9:$I$158&lt;&gt;"")))+(COLUMN()&gt;COLUMN(ISP!$KP$1)),"",INDEX(ISP!$A$9:$KP$158,SMALL(IF(ISP!$I$9:$I$158&lt;&gt;"",ROW(ISP!$I$9:$I$158)-ROW(ISP!$I$9)+1),ROW(ISP!$A20)),COLUMN()))</f>
        <v/>
      </c>
      <c r="D52" s="497" t="str">
        <f t="array" ref="D52">IF((ROW(ISP!$A20)&gt;SUM(--(ISP!$I$9:$I$158&lt;&gt;"")))+(COLUMN()&gt;COLUMN(ISP!$KP$1)),"",INDEX(ISP!$A$9:$KP$158,SMALL(IF(ISP!$I$9:$I$158&lt;&gt;"",ROW(ISP!$I$9:$I$158)-ROW(ISP!$I$9)+1),ROW(ISP!$A20)),COLUMN()))</f>
        <v/>
      </c>
      <c r="E52" s="497" t="str">
        <f t="array" ref="E52">IF((ROW(ISP!$A20)&gt;SUM(--(ISP!$I$9:$I$158&lt;&gt;"")))+(COLUMN()&gt;COLUMN(ISP!$KP$1)),"",INDEX(ISP!$A$9:$KP$158,SMALL(IF(ISP!$I$9:$I$158&lt;&gt;"",ROW(ISP!$I$9:$I$158)-ROW(ISP!$I$9)+1),ROW(ISP!$A20)),COLUMN()))</f>
        <v/>
      </c>
      <c r="F52" s="561" t="str">
        <f t="array" ref="F52">IF((ROW(ISP!$A20)&gt;SUM(--(ISP!$I$9:$I$158&lt;&gt;"")))+(COLUMN()&gt;COLUMN(ISP!$KP$1)),"",INDEX(ISP!$A$9:$KP$158,SMALL(IF(ISP!$I$9:$I$158&lt;&gt;"",ROW(ISP!$I$9:$I$158)-ROW(ISP!$I$9)+1),ROW(ISP!$A20)),COLUMN()))</f>
        <v/>
      </c>
      <c r="G52" s="383" t="str">
        <f t="array" ref="G52">IF((ROW(ISP!$A20)&gt;SUM(--(ISP!$I$9:$I$158&lt;&gt;"")))+(COLUMN()&gt;COLUMN(ISP!$KP$1)),"",INDEX(ISP!$A$9:$KP$158,SMALL(IF(ISP!$I$9:$I$158&lt;&gt;"",ROW(ISP!$I$9:$I$158)-ROW(ISP!$I$9)+1),ROW(ISP!$A20)),COLUMN()))</f>
        <v/>
      </c>
      <c r="H52" s="497" t="str">
        <f t="array" ref="H52">IF((ROW(ISP!$A20)&gt;SUM(--(ISP!$I$9:$I$158&lt;&gt;"")))+(COLUMN()&gt;COLUMN(ISP!$KP$1)),"",INDEX(ISP!$A$9:$KP$158,SMALL(IF(ISP!$I$9:$I$158&lt;&gt;"",ROW(ISP!$I$9:$I$158)-ROW(ISP!$I$9)+1),ROW(ISP!$A20)),COLUMN()))</f>
        <v/>
      </c>
      <c r="I52" s="383" t="str">
        <f t="array" ref="I52">IF((ROW(ISP!$A20)&gt;SUM(--(ISP!$I$9:$I$158&lt;&gt;"")))+(COLUMN()&gt;COLUMN(ISP!$KP$1)),"",INDEX(ISP!$A$9:$KP$158,SMALL(IF(ISP!$I$9:$I$158&lt;&gt;"",ROW(ISP!$I$9:$I$158)-ROW(ISP!$I$9)+1),ROW(ISP!$A20)),COLUMN()))</f>
        <v/>
      </c>
      <c r="J52" s="497" t="str">
        <f t="array" ref="J52">IF((ROW(ISP!$A20)&gt;SUM(--(ISP!$I$9:$I$158&lt;&gt;"")))+(COLUMN()&gt;COLUMN(ISP!$KP$1)),"",INDEX(ISP!$A$9:$KP$158,SMALL(IF(ISP!$I$9:$I$158&lt;&gt;"",ROW(ISP!$I$9:$I$158)-ROW(ISP!$I$9)+1),ROW(ISP!$A20)),COLUMN()))</f>
        <v/>
      </c>
      <c r="K52" s="902"/>
      <c r="L52" s="775" t="str">
        <f t="array" ref="L52">IF((ROW(ISP!$A20)&gt;SUM(--(ISP!$I$9:$I$158&lt;&gt;"")))+(COLUMN()&gt;COLUMN(ISP!$KP$1)),"",INDEX(ISP!$A$9:$KP$158,SMALL(IF(ISP!$I$9:$I$158&lt;&gt;"",ROW(ISP!$I$9:$I$158)-ROW(ISP!$I$9)+1),ROW(ISP!$A20)),COLUMN()))</f>
        <v/>
      </c>
      <c r="M52" s="775" t="str">
        <f t="array" ref="M52">IF((ROW(ISP!$A20)&gt;SUM(--(ISP!$I$9:$I$158&lt;&gt;"")))+(COLUMN()&gt;COLUMN(ISP!$KP$1)),"",INDEX(ISP!$A$9:$KP$158,SMALL(IF(ISP!$I$9:$I$158&lt;&gt;"",ROW(ISP!$I$9:$I$158)-ROW(ISP!$I$9)+1),ROW(ISP!$A20)),COLUMN()))</f>
        <v/>
      </c>
      <c r="N52" s="497" t="str">
        <f t="array" ref="N52">IF((ROW(ISP!$A20)&gt;SUM(--(ISP!$I$9:$I$158&lt;&gt;"")))+(COLUMN()&gt;COLUMN(ISP!$KP$1)),"",INDEX(ISP!$A$9:$KP$158,SMALL(IF(ISP!$I$9:$I$158&lt;&gt;"",ROW(ISP!$I$9:$I$158)-ROW(ISP!$I$9)+1),ROW(ISP!$A20)),COLUMN()))</f>
        <v/>
      </c>
      <c r="O52" s="383" t="str">
        <f t="array" ref="O52">IF((ROW(ISP!$A20)&gt;SUM(--(ISP!$I$9:$I$158&lt;&gt;"")))+(COLUMN()&gt;COLUMN(ISP!$KP$1)),"",INDEX(ISP!$A$9:$KP$158,SMALL(IF(ISP!$I$9:$I$158&lt;&gt;"",ROW(ISP!$I$9:$I$158)-ROW(ISP!$I$9)+1),ROW(ISP!$A20)),COLUMN()))</f>
        <v/>
      </c>
      <c r="P52" s="497" t="str">
        <f t="array" ref="P52">IF((ROW(ISP!$A20)&gt;SUM(--(ISP!$I$9:$I$158&lt;&gt;"")))+(COLUMN()&gt;COLUMN(ISP!$KP$1)),"",INDEX(ISP!$A$9:$KP$158,SMALL(IF(ISP!$I$9:$I$158&lt;&gt;"",ROW(ISP!$I$9:$I$158)-ROW(ISP!$I$9)+1),ROW(ISP!$A20)),COLUMN()))</f>
        <v/>
      </c>
      <c r="Q52" s="497" t="str">
        <f t="array" ref="Q52">IF((ROW(ISP!$A20)&gt;SUM(--(ISP!$I$9:$I$158&lt;&gt;"")))+(COLUMN()&gt;COLUMN(ISP!$KP$1)),"",INDEX(ISP!$A$9:$KP$158,SMALL(IF(ISP!$I$9:$I$158&lt;&gt;"",ROW(ISP!$I$9:$I$158)-ROW(ISP!$I$9)+1),ROW(ISP!$A20)),COLUMN()))</f>
        <v/>
      </c>
      <c r="R52" s="497" t="str">
        <f t="array" ref="R52">IF((ROW(ISP!$A20)&gt;SUM(--(ISP!$I$9:$I$158&lt;&gt;"")))+(COLUMN()&gt;COLUMN(ISP!$KP$1)),"",INDEX(ISP!$A$9:$KP$158,SMALL(IF(ISP!$I$9:$I$158&lt;&gt;"",ROW(ISP!$I$9:$I$158)-ROW(ISP!$I$9)+1),ROW(ISP!$A20)),COLUMN()))</f>
        <v/>
      </c>
      <c r="S52" s="497" t="str">
        <f t="array" ref="S52">IF((ROW(ISP!$A20)&gt;SUM(--(ISP!$I$9:$I$158&lt;&gt;"")))+(COLUMN()&gt;COLUMN(ISP!$KP$1)),"",INDEX(ISP!$A$9:$KP$158,SMALL(IF(ISP!$I$9:$I$158&lt;&gt;"",ROW(ISP!$I$9:$I$158)-ROW(ISP!$I$9)+1),ROW(ISP!$A20)),COLUMN()))</f>
        <v/>
      </c>
      <c r="T52" s="497" t="str">
        <f t="array" ref="T52">IF((ROW(ISP!$A20)&gt;SUM(--(ISP!$I$9:$I$158&lt;&gt;"")))+(COLUMN()&gt;COLUMN(ISP!$KP$1)),"",INDEX(ISP!$A$9:$KP$158,SMALL(IF(ISP!$I$9:$I$158&lt;&gt;"",ROW(ISP!$I$9:$I$158)-ROW(ISP!$I$9)+1),ROW(ISP!$A20)),COLUMN()))</f>
        <v/>
      </c>
      <c r="U52" s="497" t="str">
        <f t="array" ref="U52">IF((ROW(ISP!$A20)&gt;SUM(--(ISP!$I$9:$I$158&lt;&gt;"")))+(COLUMN()&gt;COLUMN(ISP!$KP$1)),"",INDEX(ISP!$A$9:$KP$158,SMALL(IF(ISP!$I$9:$I$158&lt;&gt;"",ROW(ISP!$I$9:$I$158)-ROW(ISP!$I$9)+1),ROW(ISP!$A20)),COLUMN()))</f>
        <v/>
      </c>
      <c r="V52" s="497" t="str">
        <f t="array" ref="V52">IF((ROW(ISP!$A20)&gt;SUM(--(ISP!$I$9:$I$158&lt;&gt;"")))+(COLUMN()&gt;COLUMN(ISP!$KP$1)),"",INDEX(ISP!$A$9:$KP$158,SMALL(IF(ISP!$I$9:$I$158&lt;&gt;"",ROW(ISP!$I$9:$I$158)-ROW(ISP!$I$9)+1),ROW(ISP!$A20)),COLUMN()))</f>
        <v/>
      </c>
      <c r="W52" s="497" t="str">
        <f t="array" ref="W52">IF((ROW(ISP!$A20)&gt;SUM(--(ISP!$I$9:$I$158&lt;&gt;"")))+(COLUMN()&gt;COLUMN(ISP!$KP$1)),"",INDEX(ISP!$A$9:$KP$158,SMALL(IF(ISP!$I$9:$I$158&lt;&gt;"",ROW(ISP!$I$9:$I$158)-ROW(ISP!$I$9)+1),ROW(ISP!$A20)),COLUMN()))</f>
        <v/>
      </c>
      <c r="X52" s="497" t="str">
        <f t="array" ref="X52">IF((ROW(ISP!$A20)&gt;SUM(--(ISP!$I$9:$I$158&lt;&gt;"")))+(COLUMN()&gt;COLUMN(ISP!$KP$1)),"",INDEX(ISP!$A$9:$KP$158,SMALL(IF(ISP!$I$9:$I$158&lt;&gt;"",ROW(ISP!$I$9:$I$158)-ROW(ISP!$I$9)+1),ROW(ISP!$A20)),COLUMN()))</f>
        <v/>
      </c>
      <c r="Y52" s="497" t="str">
        <f t="array" ref="Y52">IF((ROW(ISP!$A20)&gt;SUM(--(ISP!$I$9:$I$158&lt;&gt;"")))+(COLUMN()&gt;COLUMN(ISP!$KP$1)),"",INDEX(ISP!$A$9:$KP$158,SMALL(IF(ISP!$I$9:$I$158&lt;&gt;"",ROW(ISP!$I$9:$I$158)-ROW(ISP!$I$9)+1),ROW(ISP!$A20)),COLUMN()))</f>
        <v/>
      </c>
      <c r="Z52" s="497" t="str">
        <f t="array" ref="Z52">IF((ROW(ISP!$A20)&gt;SUM(--(ISP!$I$9:$I$158&lt;&gt;"")))+(COLUMN()&gt;COLUMN(ISP!$KP$1)),"",INDEX(ISP!$A$9:$KP$158,SMALL(IF(ISP!$I$9:$I$158&lt;&gt;"",ROW(ISP!$I$9:$I$158)-ROW(ISP!$I$9)+1),ROW(ISP!$A20)),COLUMN()))</f>
        <v/>
      </c>
      <c r="AA52" s="497" t="str">
        <f t="array" ref="AA52">IF((ROW(ISP!$A20)&gt;SUM(--(ISP!$I$9:$I$158&lt;&gt;"")))+(COLUMN()&gt;COLUMN(ISP!$KP$1)),"",INDEX(ISP!$A$9:$KP$158,SMALL(IF(ISP!$I$9:$I$158&lt;&gt;"",ROW(ISP!$I$9:$I$158)-ROW(ISP!$I$9)+1),ROW(ISP!$A20)),COLUMN()))</f>
        <v/>
      </c>
      <c r="AB52" s="497" t="str">
        <f t="array" ref="AB52">IF((ROW(ISP!$A20)&gt;SUM(--(ISP!$I$9:$I$158&lt;&gt;"")))+(COLUMN()&gt;COLUMN(ISP!$KP$1)),"",INDEX(ISP!$A$9:$KP$158,SMALL(IF(ISP!$I$9:$I$158&lt;&gt;"",ROW(ISP!$I$9:$I$158)-ROW(ISP!$I$9)+1),ROW(ISP!$A20)),COLUMN()))</f>
        <v/>
      </c>
      <c r="AC52" s="497" t="str">
        <f t="array" ref="AC52">IF((ROW(ISP!$A20)&gt;SUM(--(ISP!$I$9:$I$158&lt;&gt;"")))+(COLUMN()&gt;COLUMN(ISP!$KP$1)),"",INDEX(ISP!$A$9:$KP$158,SMALL(IF(ISP!$I$9:$I$158&lt;&gt;"",ROW(ISP!$I$9:$I$158)-ROW(ISP!$I$9)+1),ROW(ISP!$A20)),COLUMN()))</f>
        <v/>
      </c>
      <c r="AD52" s="497" t="str">
        <f t="array" ref="AD52">IF((ROW(ISP!$A20)&gt;SUM(--(ISP!$I$9:$I$158&lt;&gt;"")))+(COLUMN()&gt;COLUMN(ISP!$KP$1)),"",INDEX(ISP!$A$9:$KP$158,SMALL(IF(ISP!$I$9:$I$158&lt;&gt;"",ROW(ISP!$I$9:$I$158)-ROW(ISP!$I$9)+1),ROW(ISP!$A20)),COLUMN()))</f>
        <v/>
      </c>
      <c r="AE52" s="497" t="str">
        <f t="array" ref="AE52">IF((ROW(ISP!$A20)&gt;SUM(--(ISP!$I$9:$I$158&lt;&gt;"")))+(COLUMN()&gt;COLUMN(ISP!$KP$1)),"",INDEX(ISP!$A$9:$KP$158,SMALL(IF(ISP!$I$9:$I$158&lt;&gt;"",ROW(ISP!$I$9:$I$158)-ROW(ISP!$I$9)+1),ROW(ISP!$A20)),COLUMN()))</f>
        <v/>
      </c>
      <c r="AF52" s="497" t="str">
        <f t="array" ref="AF52">IF((ROW(ISP!$A20)&gt;SUM(--(ISP!$I$9:$I$158&lt;&gt;"")))+(COLUMN()&gt;COLUMN(ISP!$KP$1)),"",INDEX(ISP!$A$9:$KP$158,SMALL(IF(ISP!$I$9:$I$158&lt;&gt;"",ROW(ISP!$I$9:$I$158)-ROW(ISP!$I$9)+1),ROW(ISP!$A20)),COLUMN()))</f>
        <v/>
      </c>
      <c r="AG52" s="983" t="str">
        <f t="array" ref="AG52">IF((ROW(ISP!$A20)&gt;SUM(--(ISP!$I$9:$I$158&lt;&gt;"")))+(COLUMN()&gt;COLUMN(ISP!$KP$1)),"",INDEX(ISP!$A$9:$KP$158,SMALL(IF(ISP!$I$9:$I$158&lt;&gt;"",ROW(ISP!$I$9:$I$158)-ROW(ISP!$I$9)+1),ROW(ISP!$A20)),COLUMN()))</f>
        <v/>
      </c>
      <c r="AH52" s="897" t="str">
        <f t="shared" ref="AH52:AH55" si="4">IF(A52="","",$A$31)</f>
        <v/>
      </c>
      <c r="AJ52" s="906"/>
    </row>
    <row r="53" spans="1:36" s="807" customFormat="1" ht="15">
      <c r="A53" s="854" t="str">
        <f t="array" ref="A53">IF((ROW(ISP!$A21)&gt;SUM(--(ISP!$I$9:$I$158&lt;&gt;"")))+(COLUMN()&gt;COLUMN(ISP!$KP$1)),"",INDEX(ISP!$A$9:$KP$158,SMALL(IF(ISP!$I$9:$I$158&lt;&gt;"",ROW(ISP!$I$9:$I$158)-ROW(ISP!$I$9)+1),ROW(ISP!$A21)),COLUMN()))</f>
        <v/>
      </c>
      <c r="B53" s="497" t="str">
        <f t="array" ref="B53">IF((ROW(ISP!$A21)&gt;SUM(--(ISP!$I$9:$I$158&lt;&gt;"")))+(COLUMN()&gt;COLUMN(ISP!$KP$1)),"",INDEX(ISP!$A$9:$KP$158,SMALL(IF(ISP!$I$9:$I$158&lt;&gt;"",ROW(ISP!$I$9:$I$158)-ROW(ISP!$I$9)+1),ROW(ISP!$A21)),COLUMN()))</f>
        <v/>
      </c>
      <c r="C53" s="387" t="str">
        <f t="array" ref="C53">IF((ROW(ISP!$A21)&gt;SUM(--(ISP!$I$9:$I$158&lt;&gt;"")))+(COLUMN()&gt;COLUMN(ISP!$KP$1)),"",INDEX(ISP!$A$9:$KP$158,SMALL(IF(ISP!$I$9:$I$158&lt;&gt;"",ROW(ISP!$I$9:$I$158)-ROW(ISP!$I$9)+1),ROW(ISP!$A21)),COLUMN()))</f>
        <v/>
      </c>
      <c r="D53" s="497" t="str">
        <f t="array" ref="D53">IF((ROW(ISP!$A21)&gt;SUM(--(ISP!$I$9:$I$158&lt;&gt;"")))+(COLUMN()&gt;COLUMN(ISP!$KP$1)),"",INDEX(ISP!$A$9:$KP$158,SMALL(IF(ISP!$I$9:$I$158&lt;&gt;"",ROW(ISP!$I$9:$I$158)-ROW(ISP!$I$9)+1),ROW(ISP!$A21)),COLUMN()))</f>
        <v/>
      </c>
      <c r="E53" s="497" t="str">
        <f t="array" ref="E53">IF((ROW(ISP!$A21)&gt;SUM(--(ISP!$I$9:$I$158&lt;&gt;"")))+(COLUMN()&gt;COLUMN(ISP!$KP$1)),"",INDEX(ISP!$A$9:$KP$158,SMALL(IF(ISP!$I$9:$I$158&lt;&gt;"",ROW(ISP!$I$9:$I$158)-ROW(ISP!$I$9)+1),ROW(ISP!$A21)),COLUMN()))</f>
        <v/>
      </c>
      <c r="F53" s="561" t="str">
        <f t="array" ref="F53">IF((ROW(ISP!$A21)&gt;SUM(--(ISP!$I$9:$I$158&lt;&gt;"")))+(COLUMN()&gt;COLUMN(ISP!$KP$1)),"",INDEX(ISP!$A$9:$KP$158,SMALL(IF(ISP!$I$9:$I$158&lt;&gt;"",ROW(ISP!$I$9:$I$158)-ROW(ISP!$I$9)+1),ROW(ISP!$A21)),COLUMN()))</f>
        <v/>
      </c>
      <c r="G53" s="383" t="str">
        <f t="array" ref="G53">IF((ROW(ISP!$A21)&gt;SUM(--(ISP!$I$9:$I$158&lt;&gt;"")))+(COLUMN()&gt;COLUMN(ISP!$KP$1)),"",INDEX(ISP!$A$9:$KP$158,SMALL(IF(ISP!$I$9:$I$158&lt;&gt;"",ROW(ISP!$I$9:$I$158)-ROW(ISP!$I$9)+1),ROW(ISP!$A21)),COLUMN()))</f>
        <v/>
      </c>
      <c r="H53" s="497" t="str">
        <f t="array" ref="H53">IF((ROW(ISP!$A21)&gt;SUM(--(ISP!$I$9:$I$158&lt;&gt;"")))+(COLUMN()&gt;COLUMN(ISP!$KP$1)),"",INDEX(ISP!$A$9:$KP$158,SMALL(IF(ISP!$I$9:$I$158&lt;&gt;"",ROW(ISP!$I$9:$I$158)-ROW(ISP!$I$9)+1),ROW(ISP!$A21)),COLUMN()))</f>
        <v/>
      </c>
      <c r="I53" s="383" t="str">
        <f t="array" ref="I53">IF((ROW(ISP!$A21)&gt;SUM(--(ISP!$I$9:$I$158&lt;&gt;"")))+(COLUMN()&gt;COLUMN(ISP!$KP$1)),"",INDEX(ISP!$A$9:$KP$158,SMALL(IF(ISP!$I$9:$I$158&lt;&gt;"",ROW(ISP!$I$9:$I$158)-ROW(ISP!$I$9)+1),ROW(ISP!$A21)),COLUMN()))</f>
        <v/>
      </c>
      <c r="J53" s="497" t="str">
        <f t="array" ref="J53">IF((ROW(ISP!$A21)&gt;SUM(--(ISP!$I$9:$I$158&lt;&gt;"")))+(COLUMN()&gt;COLUMN(ISP!$KP$1)),"",INDEX(ISP!$A$9:$KP$158,SMALL(IF(ISP!$I$9:$I$158&lt;&gt;"",ROW(ISP!$I$9:$I$158)-ROW(ISP!$I$9)+1),ROW(ISP!$A21)),COLUMN()))</f>
        <v/>
      </c>
      <c r="K53" s="879" t="str">
        <f t="array" ref="K53">IF((ROW(ISP!$A21)&gt;SUM(--(ISP!$I$9:$I$158&lt;&gt;"")))+(COLUMN()&gt;COLUMN(ISP!$KP$1)),"",INDEX(ISP!$A$9:$KP$158,SMALL(IF(ISP!$I$9:$I$158&lt;&gt;"",ROW(ISP!$I$9:$I$158)-ROW(ISP!$I$9)+1),ROW(ISP!$A21)),COLUMN()))</f>
        <v/>
      </c>
      <c r="L53" s="775" t="str">
        <f t="array" ref="L53">IF((ROW(ISP!$A21)&gt;SUM(--(ISP!$I$9:$I$158&lt;&gt;"")))+(COLUMN()&gt;COLUMN(ISP!$KP$1)),"",INDEX(ISP!$A$9:$KP$158,SMALL(IF(ISP!$I$9:$I$158&lt;&gt;"",ROW(ISP!$I$9:$I$158)-ROW(ISP!$I$9)+1),ROW(ISP!$A21)),COLUMN()))</f>
        <v/>
      </c>
      <c r="M53" s="775" t="str">
        <f t="array" ref="M53">IF((ROW(ISP!$A21)&gt;SUM(--(ISP!$I$9:$I$158&lt;&gt;"")))+(COLUMN()&gt;COLUMN(ISP!$KP$1)),"",INDEX(ISP!$A$9:$KP$158,SMALL(IF(ISP!$I$9:$I$158&lt;&gt;"",ROW(ISP!$I$9:$I$158)-ROW(ISP!$I$9)+1),ROW(ISP!$A21)),COLUMN()))</f>
        <v/>
      </c>
      <c r="N53" s="497" t="str">
        <f t="array" ref="N53">IF((ROW(ISP!$A21)&gt;SUM(--(ISP!$I$9:$I$158&lt;&gt;"")))+(COLUMN()&gt;COLUMN(ISP!$KP$1)),"",INDEX(ISP!$A$9:$KP$158,SMALL(IF(ISP!$I$9:$I$158&lt;&gt;"",ROW(ISP!$I$9:$I$158)-ROW(ISP!$I$9)+1),ROW(ISP!$A21)),COLUMN()))</f>
        <v/>
      </c>
      <c r="O53" s="383" t="str">
        <f t="array" ref="O53">IF((ROW(ISP!$A21)&gt;SUM(--(ISP!$I$9:$I$158&lt;&gt;"")))+(COLUMN()&gt;COLUMN(ISP!$KP$1)),"",INDEX(ISP!$A$9:$KP$158,SMALL(IF(ISP!$I$9:$I$158&lt;&gt;"",ROW(ISP!$I$9:$I$158)-ROW(ISP!$I$9)+1),ROW(ISP!$A21)),COLUMN()))</f>
        <v/>
      </c>
      <c r="P53" s="497" t="str">
        <f t="array" ref="P53">IF((ROW(ISP!$A21)&gt;SUM(--(ISP!$I$9:$I$158&lt;&gt;"")))+(COLUMN()&gt;COLUMN(ISP!$KP$1)),"",INDEX(ISP!$A$9:$KP$158,SMALL(IF(ISP!$I$9:$I$158&lt;&gt;"",ROW(ISP!$I$9:$I$158)-ROW(ISP!$I$9)+1),ROW(ISP!$A21)),COLUMN()))</f>
        <v/>
      </c>
      <c r="Q53" s="497" t="str">
        <f t="array" ref="Q53">IF((ROW(ISP!$A21)&gt;SUM(--(ISP!$I$9:$I$158&lt;&gt;"")))+(COLUMN()&gt;COLUMN(ISP!$KP$1)),"",INDEX(ISP!$A$9:$KP$158,SMALL(IF(ISP!$I$9:$I$158&lt;&gt;"",ROW(ISP!$I$9:$I$158)-ROW(ISP!$I$9)+1),ROW(ISP!$A21)),COLUMN()))</f>
        <v/>
      </c>
      <c r="R53" s="497" t="str">
        <f t="array" ref="R53">IF((ROW(ISP!$A21)&gt;SUM(--(ISP!$I$9:$I$158&lt;&gt;"")))+(COLUMN()&gt;COLUMN(ISP!$KP$1)),"",INDEX(ISP!$A$9:$KP$158,SMALL(IF(ISP!$I$9:$I$158&lt;&gt;"",ROW(ISP!$I$9:$I$158)-ROW(ISP!$I$9)+1),ROW(ISP!$A21)),COLUMN()))</f>
        <v/>
      </c>
      <c r="S53" s="497" t="str">
        <f t="array" ref="S53">IF((ROW(ISP!$A21)&gt;SUM(--(ISP!$I$9:$I$158&lt;&gt;"")))+(COLUMN()&gt;COLUMN(ISP!$KP$1)),"",INDEX(ISP!$A$9:$KP$158,SMALL(IF(ISP!$I$9:$I$158&lt;&gt;"",ROW(ISP!$I$9:$I$158)-ROW(ISP!$I$9)+1),ROW(ISP!$A21)),COLUMN()))</f>
        <v/>
      </c>
      <c r="T53" s="497" t="str">
        <f t="array" ref="T53">IF((ROW(ISP!$A21)&gt;SUM(--(ISP!$I$9:$I$158&lt;&gt;"")))+(COLUMN()&gt;COLUMN(ISP!$KP$1)),"",INDEX(ISP!$A$9:$KP$158,SMALL(IF(ISP!$I$9:$I$158&lt;&gt;"",ROW(ISP!$I$9:$I$158)-ROW(ISP!$I$9)+1),ROW(ISP!$A21)),COLUMN()))</f>
        <v/>
      </c>
      <c r="U53" s="497" t="str">
        <f t="array" ref="U53">IF((ROW(ISP!$A21)&gt;SUM(--(ISP!$I$9:$I$158&lt;&gt;"")))+(COLUMN()&gt;COLUMN(ISP!$KP$1)),"",INDEX(ISP!$A$9:$KP$158,SMALL(IF(ISP!$I$9:$I$158&lt;&gt;"",ROW(ISP!$I$9:$I$158)-ROW(ISP!$I$9)+1),ROW(ISP!$A21)),COLUMN()))</f>
        <v/>
      </c>
      <c r="V53" s="497" t="str">
        <f t="array" ref="V53">IF((ROW(ISP!$A21)&gt;SUM(--(ISP!$I$9:$I$158&lt;&gt;"")))+(COLUMN()&gt;COLUMN(ISP!$KP$1)),"",INDEX(ISP!$A$9:$KP$158,SMALL(IF(ISP!$I$9:$I$158&lt;&gt;"",ROW(ISP!$I$9:$I$158)-ROW(ISP!$I$9)+1),ROW(ISP!$A21)),COLUMN()))</f>
        <v/>
      </c>
      <c r="W53" s="497" t="str">
        <f t="array" ref="W53">IF((ROW(ISP!$A21)&gt;SUM(--(ISP!$I$9:$I$158&lt;&gt;"")))+(COLUMN()&gt;COLUMN(ISP!$KP$1)),"",INDEX(ISP!$A$9:$KP$158,SMALL(IF(ISP!$I$9:$I$158&lt;&gt;"",ROW(ISP!$I$9:$I$158)-ROW(ISP!$I$9)+1),ROW(ISP!$A21)),COLUMN()))</f>
        <v/>
      </c>
      <c r="X53" s="497" t="str">
        <f t="array" ref="X53">IF((ROW(ISP!$A21)&gt;SUM(--(ISP!$I$9:$I$158&lt;&gt;"")))+(COLUMN()&gt;COLUMN(ISP!$KP$1)),"",INDEX(ISP!$A$9:$KP$158,SMALL(IF(ISP!$I$9:$I$158&lt;&gt;"",ROW(ISP!$I$9:$I$158)-ROW(ISP!$I$9)+1),ROW(ISP!$A21)),COLUMN()))</f>
        <v/>
      </c>
      <c r="Y53" s="497" t="str">
        <f t="array" ref="Y53">IF((ROW(ISP!$A21)&gt;SUM(--(ISP!$I$9:$I$158&lt;&gt;"")))+(COLUMN()&gt;COLUMN(ISP!$KP$1)),"",INDEX(ISP!$A$9:$KP$158,SMALL(IF(ISP!$I$9:$I$158&lt;&gt;"",ROW(ISP!$I$9:$I$158)-ROW(ISP!$I$9)+1),ROW(ISP!$A21)),COLUMN()))</f>
        <v/>
      </c>
      <c r="Z53" s="497" t="str">
        <f t="array" ref="Z53">IF((ROW(ISP!$A21)&gt;SUM(--(ISP!$I$9:$I$158&lt;&gt;"")))+(COLUMN()&gt;COLUMN(ISP!$KP$1)),"",INDEX(ISP!$A$9:$KP$158,SMALL(IF(ISP!$I$9:$I$158&lt;&gt;"",ROW(ISP!$I$9:$I$158)-ROW(ISP!$I$9)+1),ROW(ISP!$A21)),COLUMN()))</f>
        <v/>
      </c>
      <c r="AA53" s="497" t="str">
        <f t="array" ref="AA53">IF((ROW(ISP!$A21)&gt;SUM(--(ISP!$I$9:$I$158&lt;&gt;"")))+(COLUMN()&gt;COLUMN(ISP!$KP$1)),"",INDEX(ISP!$A$9:$KP$158,SMALL(IF(ISP!$I$9:$I$158&lt;&gt;"",ROW(ISP!$I$9:$I$158)-ROW(ISP!$I$9)+1),ROW(ISP!$A21)),COLUMN()))</f>
        <v/>
      </c>
      <c r="AB53" s="497" t="str">
        <f t="array" ref="AB53">IF((ROW(ISP!$A21)&gt;SUM(--(ISP!$I$9:$I$158&lt;&gt;"")))+(COLUMN()&gt;COLUMN(ISP!$KP$1)),"",INDEX(ISP!$A$9:$KP$158,SMALL(IF(ISP!$I$9:$I$158&lt;&gt;"",ROW(ISP!$I$9:$I$158)-ROW(ISP!$I$9)+1),ROW(ISP!$A21)),COLUMN()))</f>
        <v/>
      </c>
      <c r="AC53" s="497" t="str">
        <f t="array" ref="AC53">IF((ROW(ISP!$A21)&gt;SUM(--(ISP!$I$9:$I$158&lt;&gt;"")))+(COLUMN()&gt;COLUMN(ISP!$KP$1)),"",INDEX(ISP!$A$9:$KP$158,SMALL(IF(ISP!$I$9:$I$158&lt;&gt;"",ROW(ISP!$I$9:$I$158)-ROW(ISP!$I$9)+1),ROW(ISP!$A21)),COLUMN()))</f>
        <v/>
      </c>
      <c r="AD53" s="497" t="str">
        <f t="array" ref="AD53">IF((ROW(ISP!$A21)&gt;SUM(--(ISP!$I$9:$I$158&lt;&gt;"")))+(COLUMN()&gt;COLUMN(ISP!$KP$1)),"",INDEX(ISP!$A$9:$KP$158,SMALL(IF(ISP!$I$9:$I$158&lt;&gt;"",ROW(ISP!$I$9:$I$158)-ROW(ISP!$I$9)+1),ROW(ISP!$A21)),COLUMN()))</f>
        <v/>
      </c>
      <c r="AE53" s="497" t="str">
        <f t="array" ref="AE53">IF((ROW(ISP!$A21)&gt;SUM(--(ISP!$I$9:$I$158&lt;&gt;"")))+(COLUMN()&gt;COLUMN(ISP!$KP$1)),"",INDEX(ISP!$A$9:$KP$158,SMALL(IF(ISP!$I$9:$I$158&lt;&gt;"",ROW(ISP!$I$9:$I$158)-ROW(ISP!$I$9)+1),ROW(ISP!$A21)),COLUMN()))</f>
        <v/>
      </c>
      <c r="AF53" s="497" t="str">
        <f t="array" ref="AF53">IF((ROW(ISP!$A21)&gt;SUM(--(ISP!$I$9:$I$158&lt;&gt;"")))+(COLUMN()&gt;COLUMN(ISP!$KP$1)),"",INDEX(ISP!$A$9:$KP$158,SMALL(IF(ISP!$I$9:$I$158&lt;&gt;"",ROW(ISP!$I$9:$I$158)-ROW(ISP!$I$9)+1),ROW(ISP!$A21)),COLUMN()))</f>
        <v/>
      </c>
      <c r="AG53" s="983" t="str">
        <f t="array" ref="AG53">IF((ROW(ISP!$A21)&gt;SUM(--(ISP!$I$9:$I$158&lt;&gt;"")))+(COLUMN()&gt;COLUMN(ISP!$KP$1)),"",INDEX(ISP!$A$9:$KP$158,SMALL(IF(ISP!$I$9:$I$158&lt;&gt;"",ROW(ISP!$I$9:$I$158)-ROW(ISP!$I$9)+1),ROW(ISP!$A21)),COLUMN()))</f>
        <v/>
      </c>
      <c r="AH53" s="897" t="str">
        <f t="shared" si="4"/>
        <v/>
      </c>
      <c r="AJ53" s="906"/>
    </row>
    <row r="54" spans="1:36" s="807" customFormat="1" ht="15">
      <c r="A54" s="854" t="str">
        <f t="array" ref="A54">IF((ROW(ISP!$A22)&gt;SUM(--(ISP!$I$9:$I$158&lt;&gt;"")))+(COLUMN()&gt;COLUMN(ISP!$KP$1)),"",INDEX(ISP!$A$9:$KP$158,SMALL(IF(ISP!$I$9:$I$158&lt;&gt;"",ROW(ISP!$I$9:$I$158)-ROW(ISP!$I$9)+1),ROW(ISP!$A22)),COLUMN()))</f>
        <v/>
      </c>
      <c r="B54" s="497" t="str">
        <f t="array" ref="B54">IF((ROW(ISP!$A22)&gt;SUM(--(ISP!$I$9:$I$158&lt;&gt;"")))+(COLUMN()&gt;COLUMN(ISP!$KP$1)),"",INDEX(ISP!$A$9:$KP$158,SMALL(IF(ISP!$I$9:$I$158&lt;&gt;"",ROW(ISP!$I$9:$I$158)-ROW(ISP!$I$9)+1),ROW(ISP!$A22)),COLUMN()))</f>
        <v/>
      </c>
      <c r="C54" s="387" t="str">
        <f t="array" ref="C54">IF((ROW(ISP!$A22)&gt;SUM(--(ISP!$I$9:$I$158&lt;&gt;"")))+(COLUMN()&gt;COLUMN(ISP!$KP$1)),"",INDEX(ISP!$A$9:$KP$158,SMALL(IF(ISP!$I$9:$I$158&lt;&gt;"",ROW(ISP!$I$9:$I$158)-ROW(ISP!$I$9)+1),ROW(ISP!$A22)),COLUMN()))</f>
        <v/>
      </c>
      <c r="D54" s="497" t="str">
        <f t="array" ref="D54">IF((ROW(ISP!$A22)&gt;SUM(--(ISP!$I$9:$I$158&lt;&gt;"")))+(COLUMN()&gt;COLUMN(ISP!$KP$1)),"",INDEX(ISP!$A$9:$KP$158,SMALL(IF(ISP!$I$9:$I$158&lt;&gt;"",ROW(ISP!$I$9:$I$158)-ROW(ISP!$I$9)+1),ROW(ISP!$A22)),COLUMN()))</f>
        <v/>
      </c>
      <c r="E54" s="497" t="str">
        <f t="array" ref="E54">IF((ROW(ISP!$A22)&gt;SUM(--(ISP!$I$9:$I$158&lt;&gt;"")))+(COLUMN()&gt;COLUMN(ISP!$KP$1)),"",INDEX(ISP!$A$9:$KP$158,SMALL(IF(ISP!$I$9:$I$158&lt;&gt;"",ROW(ISP!$I$9:$I$158)-ROW(ISP!$I$9)+1),ROW(ISP!$A22)),COLUMN()))</f>
        <v/>
      </c>
      <c r="F54" s="561" t="str">
        <f t="array" ref="F54">IF((ROW(ISP!$A22)&gt;SUM(--(ISP!$I$9:$I$158&lt;&gt;"")))+(COLUMN()&gt;COLUMN(ISP!$KP$1)),"",INDEX(ISP!$A$9:$KP$158,SMALL(IF(ISP!$I$9:$I$158&lt;&gt;"",ROW(ISP!$I$9:$I$158)-ROW(ISP!$I$9)+1),ROW(ISP!$A22)),COLUMN()))</f>
        <v/>
      </c>
      <c r="G54" s="383" t="str">
        <f t="array" ref="G54">IF((ROW(ISP!$A22)&gt;SUM(--(ISP!$I$9:$I$158&lt;&gt;"")))+(COLUMN()&gt;COLUMN(ISP!$KP$1)),"",INDEX(ISP!$A$9:$KP$158,SMALL(IF(ISP!$I$9:$I$158&lt;&gt;"",ROW(ISP!$I$9:$I$158)-ROW(ISP!$I$9)+1),ROW(ISP!$A22)),COLUMN()))</f>
        <v/>
      </c>
      <c r="H54" s="497" t="str">
        <f t="array" ref="H54">IF((ROW(ISP!$A22)&gt;SUM(--(ISP!$I$9:$I$158&lt;&gt;"")))+(COLUMN()&gt;COLUMN(ISP!$KP$1)),"",INDEX(ISP!$A$9:$KP$158,SMALL(IF(ISP!$I$9:$I$158&lt;&gt;"",ROW(ISP!$I$9:$I$158)-ROW(ISP!$I$9)+1),ROW(ISP!$A22)),COLUMN()))</f>
        <v/>
      </c>
      <c r="I54" s="383" t="str">
        <f t="array" ref="I54">IF((ROW(ISP!$A22)&gt;SUM(--(ISP!$I$9:$I$158&lt;&gt;"")))+(COLUMN()&gt;COLUMN(ISP!$KP$1)),"",INDEX(ISP!$A$9:$KP$158,SMALL(IF(ISP!$I$9:$I$158&lt;&gt;"",ROW(ISP!$I$9:$I$158)-ROW(ISP!$I$9)+1),ROW(ISP!$A22)),COLUMN()))</f>
        <v/>
      </c>
      <c r="J54" s="497" t="str">
        <f t="array" ref="J54">IF((ROW(ISP!$A22)&gt;SUM(--(ISP!$I$9:$I$158&lt;&gt;"")))+(COLUMN()&gt;COLUMN(ISP!$KP$1)),"",INDEX(ISP!$A$9:$KP$158,SMALL(IF(ISP!$I$9:$I$158&lt;&gt;"",ROW(ISP!$I$9:$I$158)-ROW(ISP!$I$9)+1),ROW(ISP!$A22)),COLUMN()))</f>
        <v/>
      </c>
      <c r="K54" s="879" t="str">
        <f t="array" ref="K54">IF((ROW(ISP!$A22)&gt;SUM(--(ISP!$I$9:$I$158&lt;&gt;"")))+(COLUMN()&gt;COLUMN(ISP!$KP$1)),"",INDEX(ISP!$A$9:$KP$158,SMALL(IF(ISP!$I$9:$I$158&lt;&gt;"",ROW(ISP!$I$9:$I$158)-ROW(ISP!$I$9)+1),ROW(ISP!$A22)),COLUMN()))</f>
        <v/>
      </c>
      <c r="L54" s="775" t="str">
        <f t="array" ref="L54">IF((ROW(ISP!$A22)&gt;SUM(--(ISP!$I$9:$I$158&lt;&gt;"")))+(COLUMN()&gt;COLUMN(ISP!$KP$1)),"",INDEX(ISP!$A$9:$KP$158,SMALL(IF(ISP!$I$9:$I$158&lt;&gt;"",ROW(ISP!$I$9:$I$158)-ROW(ISP!$I$9)+1),ROW(ISP!$A22)),COLUMN()))</f>
        <v/>
      </c>
      <c r="M54" s="775" t="str">
        <f t="array" ref="M54">IF((ROW(ISP!$A22)&gt;SUM(--(ISP!$I$9:$I$158&lt;&gt;"")))+(COLUMN()&gt;COLUMN(ISP!$KP$1)),"",INDEX(ISP!$A$9:$KP$158,SMALL(IF(ISP!$I$9:$I$158&lt;&gt;"",ROW(ISP!$I$9:$I$158)-ROW(ISP!$I$9)+1),ROW(ISP!$A22)),COLUMN()))</f>
        <v/>
      </c>
      <c r="N54" s="497" t="str">
        <f t="array" ref="N54">IF((ROW(ISP!$A22)&gt;SUM(--(ISP!$I$9:$I$158&lt;&gt;"")))+(COLUMN()&gt;COLUMN(ISP!$KP$1)),"",INDEX(ISP!$A$9:$KP$158,SMALL(IF(ISP!$I$9:$I$158&lt;&gt;"",ROW(ISP!$I$9:$I$158)-ROW(ISP!$I$9)+1),ROW(ISP!$A22)),COLUMN()))</f>
        <v/>
      </c>
      <c r="O54" s="383" t="str">
        <f t="array" ref="O54">IF((ROW(ISP!$A22)&gt;SUM(--(ISP!$I$9:$I$158&lt;&gt;"")))+(COLUMN()&gt;COLUMN(ISP!$KP$1)),"",INDEX(ISP!$A$9:$KP$158,SMALL(IF(ISP!$I$9:$I$158&lt;&gt;"",ROW(ISP!$I$9:$I$158)-ROW(ISP!$I$9)+1),ROW(ISP!$A22)),COLUMN()))</f>
        <v/>
      </c>
      <c r="P54" s="497" t="str">
        <f t="array" ref="P54">IF((ROW(ISP!$A22)&gt;SUM(--(ISP!$I$9:$I$158&lt;&gt;"")))+(COLUMN()&gt;COLUMN(ISP!$KP$1)),"",INDEX(ISP!$A$9:$KP$158,SMALL(IF(ISP!$I$9:$I$158&lt;&gt;"",ROW(ISP!$I$9:$I$158)-ROW(ISP!$I$9)+1),ROW(ISP!$A22)),COLUMN()))</f>
        <v/>
      </c>
      <c r="Q54" s="497" t="str">
        <f t="array" ref="Q54">IF((ROW(ISP!$A22)&gt;SUM(--(ISP!$I$9:$I$158&lt;&gt;"")))+(COLUMN()&gt;COLUMN(ISP!$KP$1)),"",INDEX(ISP!$A$9:$KP$158,SMALL(IF(ISP!$I$9:$I$158&lt;&gt;"",ROW(ISP!$I$9:$I$158)-ROW(ISP!$I$9)+1),ROW(ISP!$A22)),COLUMN()))</f>
        <v/>
      </c>
      <c r="R54" s="497" t="str">
        <f t="array" ref="R54">IF((ROW(ISP!$A22)&gt;SUM(--(ISP!$I$9:$I$158&lt;&gt;"")))+(COLUMN()&gt;COLUMN(ISP!$KP$1)),"",INDEX(ISP!$A$9:$KP$158,SMALL(IF(ISP!$I$9:$I$158&lt;&gt;"",ROW(ISP!$I$9:$I$158)-ROW(ISP!$I$9)+1),ROW(ISP!$A22)),COLUMN()))</f>
        <v/>
      </c>
      <c r="S54" s="497" t="str">
        <f t="array" ref="S54">IF((ROW(ISP!$A22)&gt;SUM(--(ISP!$I$9:$I$158&lt;&gt;"")))+(COLUMN()&gt;COLUMN(ISP!$KP$1)),"",INDEX(ISP!$A$9:$KP$158,SMALL(IF(ISP!$I$9:$I$158&lt;&gt;"",ROW(ISP!$I$9:$I$158)-ROW(ISP!$I$9)+1),ROW(ISP!$A22)),COLUMN()))</f>
        <v/>
      </c>
      <c r="T54" s="497" t="str">
        <f t="array" ref="T54">IF((ROW(ISP!$A22)&gt;SUM(--(ISP!$I$9:$I$158&lt;&gt;"")))+(COLUMN()&gt;COLUMN(ISP!$KP$1)),"",INDEX(ISP!$A$9:$KP$158,SMALL(IF(ISP!$I$9:$I$158&lt;&gt;"",ROW(ISP!$I$9:$I$158)-ROW(ISP!$I$9)+1),ROW(ISP!$A22)),COLUMN()))</f>
        <v/>
      </c>
      <c r="U54" s="497" t="str">
        <f t="array" ref="U54">IF((ROW(ISP!$A22)&gt;SUM(--(ISP!$I$9:$I$158&lt;&gt;"")))+(COLUMN()&gt;COLUMN(ISP!$KP$1)),"",INDEX(ISP!$A$9:$KP$158,SMALL(IF(ISP!$I$9:$I$158&lt;&gt;"",ROW(ISP!$I$9:$I$158)-ROW(ISP!$I$9)+1),ROW(ISP!$A22)),COLUMN()))</f>
        <v/>
      </c>
      <c r="V54" s="497" t="str">
        <f t="array" ref="V54">IF((ROW(ISP!$A22)&gt;SUM(--(ISP!$I$9:$I$158&lt;&gt;"")))+(COLUMN()&gt;COLUMN(ISP!$KP$1)),"",INDEX(ISP!$A$9:$KP$158,SMALL(IF(ISP!$I$9:$I$158&lt;&gt;"",ROW(ISP!$I$9:$I$158)-ROW(ISP!$I$9)+1),ROW(ISP!$A22)),COLUMN()))</f>
        <v/>
      </c>
      <c r="W54" s="497" t="str">
        <f t="array" ref="W54">IF((ROW(ISP!$A22)&gt;SUM(--(ISP!$I$9:$I$158&lt;&gt;"")))+(COLUMN()&gt;COLUMN(ISP!$KP$1)),"",INDEX(ISP!$A$9:$KP$158,SMALL(IF(ISP!$I$9:$I$158&lt;&gt;"",ROW(ISP!$I$9:$I$158)-ROW(ISP!$I$9)+1),ROW(ISP!$A22)),COLUMN()))</f>
        <v/>
      </c>
      <c r="X54" s="497" t="str">
        <f t="array" ref="X54">IF((ROW(ISP!$A22)&gt;SUM(--(ISP!$I$9:$I$158&lt;&gt;"")))+(COLUMN()&gt;COLUMN(ISP!$KP$1)),"",INDEX(ISP!$A$9:$KP$158,SMALL(IF(ISP!$I$9:$I$158&lt;&gt;"",ROW(ISP!$I$9:$I$158)-ROW(ISP!$I$9)+1),ROW(ISP!$A22)),COLUMN()))</f>
        <v/>
      </c>
      <c r="Y54" s="497" t="str">
        <f t="array" ref="Y54">IF((ROW(ISP!$A22)&gt;SUM(--(ISP!$I$9:$I$158&lt;&gt;"")))+(COLUMN()&gt;COLUMN(ISP!$KP$1)),"",INDEX(ISP!$A$9:$KP$158,SMALL(IF(ISP!$I$9:$I$158&lt;&gt;"",ROW(ISP!$I$9:$I$158)-ROW(ISP!$I$9)+1),ROW(ISP!$A22)),COLUMN()))</f>
        <v/>
      </c>
      <c r="Z54" s="497" t="str">
        <f t="array" ref="Z54">IF((ROW(ISP!$A22)&gt;SUM(--(ISP!$I$9:$I$158&lt;&gt;"")))+(COLUMN()&gt;COLUMN(ISP!$KP$1)),"",INDEX(ISP!$A$9:$KP$158,SMALL(IF(ISP!$I$9:$I$158&lt;&gt;"",ROW(ISP!$I$9:$I$158)-ROW(ISP!$I$9)+1),ROW(ISP!$A22)),COLUMN()))</f>
        <v/>
      </c>
      <c r="AA54" s="497" t="str">
        <f t="array" ref="AA54">IF((ROW(ISP!$A22)&gt;SUM(--(ISP!$I$9:$I$158&lt;&gt;"")))+(COLUMN()&gt;COLUMN(ISP!$KP$1)),"",INDEX(ISP!$A$9:$KP$158,SMALL(IF(ISP!$I$9:$I$158&lt;&gt;"",ROW(ISP!$I$9:$I$158)-ROW(ISP!$I$9)+1),ROW(ISP!$A22)),COLUMN()))</f>
        <v/>
      </c>
      <c r="AB54" s="497" t="str">
        <f t="array" ref="AB54">IF((ROW(ISP!$A22)&gt;SUM(--(ISP!$I$9:$I$158&lt;&gt;"")))+(COLUMN()&gt;COLUMN(ISP!$KP$1)),"",INDEX(ISP!$A$9:$KP$158,SMALL(IF(ISP!$I$9:$I$158&lt;&gt;"",ROW(ISP!$I$9:$I$158)-ROW(ISP!$I$9)+1),ROW(ISP!$A22)),COLUMN()))</f>
        <v/>
      </c>
      <c r="AC54" s="497" t="str">
        <f t="array" ref="AC54">IF((ROW(ISP!$A22)&gt;SUM(--(ISP!$I$9:$I$158&lt;&gt;"")))+(COLUMN()&gt;COLUMN(ISP!$KP$1)),"",INDEX(ISP!$A$9:$KP$158,SMALL(IF(ISP!$I$9:$I$158&lt;&gt;"",ROW(ISP!$I$9:$I$158)-ROW(ISP!$I$9)+1),ROW(ISP!$A22)),COLUMN()))</f>
        <v/>
      </c>
      <c r="AD54" s="497" t="str">
        <f t="array" ref="AD54">IF((ROW(ISP!$A22)&gt;SUM(--(ISP!$I$9:$I$158&lt;&gt;"")))+(COLUMN()&gt;COLUMN(ISP!$KP$1)),"",INDEX(ISP!$A$9:$KP$158,SMALL(IF(ISP!$I$9:$I$158&lt;&gt;"",ROW(ISP!$I$9:$I$158)-ROW(ISP!$I$9)+1),ROW(ISP!$A22)),COLUMN()))</f>
        <v/>
      </c>
      <c r="AE54" s="497" t="str">
        <f t="array" ref="AE54">IF((ROW(ISP!$A22)&gt;SUM(--(ISP!$I$9:$I$158&lt;&gt;"")))+(COLUMN()&gt;COLUMN(ISP!$KP$1)),"",INDEX(ISP!$A$9:$KP$158,SMALL(IF(ISP!$I$9:$I$158&lt;&gt;"",ROW(ISP!$I$9:$I$158)-ROW(ISP!$I$9)+1),ROW(ISP!$A22)),COLUMN()))</f>
        <v/>
      </c>
      <c r="AF54" s="497" t="str">
        <f t="array" ref="AF54">IF((ROW(ISP!$A22)&gt;SUM(--(ISP!$I$9:$I$158&lt;&gt;"")))+(COLUMN()&gt;COLUMN(ISP!$KP$1)),"",INDEX(ISP!$A$9:$KP$158,SMALL(IF(ISP!$I$9:$I$158&lt;&gt;"",ROW(ISP!$I$9:$I$158)-ROW(ISP!$I$9)+1),ROW(ISP!$A22)),COLUMN()))</f>
        <v/>
      </c>
      <c r="AG54" s="983" t="str">
        <f t="array" ref="AG54">IF((ROW(ISP!$A22)&gt;SUM(--(ISP!$I$9:$I$158&lt;&gt;"")))+(COLUMN()&gt;COLUMN(ISP!$KP$1)),"",INDEX(ISP!$A$9:$KP$158,SMALL(IF(ISP!$I$9:$I$158&lt;&gt;"",ROW(ISP!$I$9:$I$158)-ROW(ISP!$I$9)+1),ROW(ISP!$A22)),COLUMN()))</f>
        <v/>
      </c>
      <c r="AH54" s="897" t="str">
        <f t="shared" si="4"/>
        <v/>
      </c>
      <c r="AJ54" s="906"/>
    </row>
    <row r="55" spans="1:36" s="807" customFormat="1" ht="15">
      <c r="A55" s="854" t="str">
        <f t="array" ref="A55">IF((ROW(ISP!$A23)&gt;SUM(--(ISP!$I$9:$I$158&lt;&gt;"")))+(COLUMN()&gt;COLUMN(ISP!$KP$1)),"",INDEX(ISP!$A$9:$KP$158,SMALL(IF(ISP!$I$9:$I$158&lt;&gt;"",ROW(ISP!$I$9:$I$158)-ROW(ISP!$I$9)+1),ROW(ISP!$A23)),COLUMN()))</f>
        <v/>
      </c>
      <c r="B55" s="497" t="str">
        <f t="array" ref="B55">IF((ROW(ISP!$A23)&gt;SUM(--(ISP!$I$9:$I$158&lt;&gt;"")))+(COLUMN()&gt;COLUMN(ISP!$KP$1)),"",INDEX(ISP!$A$9:$KP$158,SMALL(IF(ISP!$I$9:$I$158&lt;&gt;"",ROW(ISP!$I$9:$I$158)-ROW(ISP!$I$9)+1),ROW(ISP!$A23)),COLUMN()))</f>
        <v/>
      </c>
      <c r="C55" s="387" t="str">
        <f t="array" ref="C55">IF((ROW(ISP!$A23)&gt;SUM(--(ISP!$I$9:$I$158&lt;&gt;"")))+(COLUMN()&gt;COLUMN(ISP!$KP$1)),"",INDEX(ISP!$A$9:$KP$158,SMALL(IF(ISP!$I$9:$I$158&lt;&gt;"",ROW(ISP!$I$9:$I$158)-ROW(ISP!$I$9)+1),ROW(ISP!$A23)),COLUMN()))</f>
        <v/>
      </c>
      <c r="D55" s="497" t="str">
        <f t="array" ref="D55">IF((ROW(ISP!$A23)&gt;SUM(--(ISP!$I$9:$I$158&lt;&gt;"")))+(COLUMN()&gt;COLUMN(ISP!$KP$1)),"",INDEX(ISP!$A$9:$KP$158,SMALL(IF(ISP!$I$9:$I$158&lt;&gt;"",ROW(ISP!$I$9:$I$158)-ROW(ISP!$I$9)+1),ROW(ISP!$A23)),COLUMN()))</f>
        <v/>
      </c>
      <c r="E55" s="497" t="str">
        <f t="array" ref="E55">IF((ROW(ISP!$A23)&gt;SUM(--(ISP!$I$9:$I$158&lt;&gt;"")))+(COLUMN()&gt;COLUMN(ISP!$KP$1)),"",INDEX(ISP!$A$9:$KP$158,SMALL(IF(ISP!$I$9:$I$158&lt;&gt;"",ROW(ISP!$I$9:$I$158)-ROW(ISP!$I$9)+1),ROW(ISP!$A23)),COLUMN()))</f>
        <v/>
      </c>
      <c r="F55" s="561" t="str">
        <f t="array" ref="F55">IF((ROW(ISP!$A23)&gt;SUM(--(ISP!$I$9:$I$158&lt;&gt;"")))+(COLUMN()&gt;COLUMN(ISP!$KP$1)),"",INDEX(ISP!$A$9:$KP$158,SMALL(IF(ISP!$I$9:$I$158&lt;&gt;"",ROW(ISP!$I$9:$I$158)-ROW(ISP!$I$9)+1),ROW(ISP!$A23)),COLUMN()))</f>
        <v/>
      </c>
      <c r="G55" s="383" t="str">
        <f t="array" ref="G55">IF((ROW(ISP!$A23)&gt;SUM(--(ISP!$I$9:$I$158&lt;&gt;"")))+(COLUMN()&gt;COLUMN(ISP!$KP$1)),"",INDEX(ISP!$A$9:$KP$158,SMALL(IF(ISP!$I$9:$I$158&lt;&gt;"",ROW(ISP!$I$9:$I$158)-ROW(ISP!$I$9)+1),ROW(ISP!$A23)),COLUMN()))</f>
        <v/>
      </c>
      <c r="H55" s="497" t="str">
        <f t="array" ref="H55">IF((ROW(ISP!$A23)&gt;SUM(--(ISP!$I$9:$I$158&lt;&gt;"")))+(COLUMN()&gt;COLUMN(ISP!$KP$1)),"",INDEX(ISP!$A$9:$KP$158,SMALL(IF(ISP!$I$9:$I$158&lt;&gt;"",ROW(ISP!$I$9:$I$158)-ROW(ISP!$I$9)+1),ROW(ISP!$A23)),COLUMN()))</f>
        <v/>
      </c>
      <c r="I55" s="383" t="str">
        <f t="array" ref="I55">IF((ROW(ISP!$A23)&gt;SUM(--(ISP!$I$9:$I$158&lt;&gt;"")))+(COLUMN()&gt;COLUMN(ISP!$KP$1)),"",INDEX(ISP!$A$9:$KP$158,SMALL(IF(ISP!$I$9:$I$158&lt;&gt;"",ROW(ISP!$I$9:$I$158)-ROW(ISP!$I$9)+1),ROW(ISP!$A23)),COLUMN()))</f>
        <v/>
      </c>
      <c r="J55" s="497" t="str">
        <f t="array" ref="J55">IF((ROW(ISP!$A23)&gt;SUM(--(ISP!$I$9:$I$158&lt;&gt;"")))+(COLUMN()&gt;COLUMN(ISP!$KP$1)),"",INDEX(ISP!$A$9:$KP$158,SMALL(IF(ISP!$I$9:$I$158&lt;&gt;"",ROW(ISP!$I$9:$I$158)-ROW(ISP!$I$9)+1),ROW(ISP!$A23)),COLUMN()))</f>
        <v/>
      </c>
      <c r="K55" s="879" t="str">
        <f t="array" ref="K55">IF((ROW(ISP!$A23)&gt;SUM(--(ISP!$I$9:$I$158&lt;&gt;"")))+(COLUMN()&gt;COLUMN(ISP!$KP$1)),"",INDEX(ISP!$A$9:$KP$158,SMALL(IF(ISP!$I$9:$I$158&lt;&gt;"",ROW(ISP!$I$9:$I$158)-ROW(ISP!$I$9)+1),ROW(ISP!$A23)),COLUMN()))</f>
        <v/>
      </c>
      <c r="L55" s="775" t="str">
        <f t="array" ref="L55">IF((ROW(ISP!$A23)&gt;SUM(--(ISP!$I$9:$I$158&lt;&gt;"")))+(COLUMN()&gt;COLUMN(ISP!$KP$1)),"",INDEX(ISP!$A$9:$KP$158,SMALL(IF(ISP!$I$9:$I$158&lt;&gt;"",ROW(ISP!$I$9:$I$158)-ROW(ISP!$I$9)+1),ROW(ISP!$A23)),COLUMN()))</f>
        <v/>
      </c>
      <c r="M55" s="775" t="str">
        <f t="array" ref="M55">IF((ROW(ISP!$A23)&gt;SUM(--(ISP!$I$9:$I$158&lt;&gt;"")))+(COLUMN()&gt;COLUMN(ISP!$KP$1)),"",INDEX(ISP!$A$9:$KP$158,SMALL(IF(ISP!$I$9:$I$158&lt;&gt;"",ROW(ISP!$I$9:$I$158)-ROW(ISP!$I$9)+1),ROW(ISP!$A23)),COLUMN()))</f>
        <v/>
      </c>
      <c r="N55" s="497" t="str">
        <f t="array" ref="N55">IF((ROW(ISP!$A23)&gt;SUM(--(ISP!$I$9:$I$158&lt;&gt;"")))+(COLUMN()&gt;COLUMN(ISP!$KP$1)),"",INDEX(ISP!$A$9:$KP$158,SMALL(IF(ISP!$I$9:$I$158&lt;&gt;"",ROW(ISP!$I$9:$I$158)-ROW(ISP!$I$9)+1),ROW(ISP!$A23)),COLUMN()))</f>
        <v/>
      </c>
      <c r="O55" s="383" t="str">
        <f t="array" ref="O55">IF((ROW(ISP!$A23)&gt;SUM(--(ISP!$I$9:$I$158&lt;&gt;"")))+(COLUMN()&gt;COLUMN(ISP!$KP$1)),"",INDEX(ISP!$A$9:$KP$158,SMALL(IF(ISP!$I$9:$I$158&lt;&gt;"",ROW(ISP!$I$9:$I$158)-ROW(ISP!$I$9)+1),ROW(ISP!$A23)),COLUMN()))</f>
        <v/>
      </c>
      <c r="P55" s="497" t="str">
        <f t="array" ref="P55">IF((ROW(ISP!$A23)&gt;SUM(--(ISP!$I$9:$I$158&lt;&gt;"")))+(COLUMN()&gt;COLUMN(ISP!$KP$1)),"",INDEX(ISP!$A$9:$KP$158,SMALL(IF(ISP!$I$9:$I$158&lt;&gt;"",ROW(ISP!$I$9:$I$158)-ROW(ISP!$I$9)+1),ROW(ISP!$A23)),COLUMN()))</f>
        <v/>
      </c>
      <c r="Q55" s="497" t="str">
        <f t="array" ref="Q55">IF((ROW(ISP!$A23)&gt;SUM(--(ISP!$I$9:$I$158&lt;&gt;"")))+(COLUMN()&gt;COLUMN(ISP!$KP$1)),"",INDEX(ISP!$A$9:$KP$158,SMALL(IF(ISP!$I$9:$I$158&lt;&gt;"",ROW(ISP!$I$9:$I$158)-ROW(ISP!$I$9)+1),ROW(ISP!$A23)),COLUMN()))</f>
        <v/>
      </c>
      <c r="R55" s="497" t="str">
        <f t="array" ref="R55">IF((ROW(ISP!$A23)&gt;SUM(--(ISP!$I$9:$I$158&lt;&gt;"")))+(COLUMN()&gt;COLUMN(ISP!$KP$1)),"",INDEX(ISP!$A$9:$KP$158,SMALL(IF(ISP!$I$9:$I$158&lt;&gt;"",ROW(ISP!$I$9:$I$158)-ROW(ISP!$I$9)+1),ROW(ISP!$A23)),COLUMN()))</f>
        <v/>
      </c>
      <c r="S55" s="497" t="str">
        <f t="array" ref="S55">IF((ROW(ISP!$A23)&gt;SUM(--(ISP!$I$9:$I$158&lt;&gt;"")))+(COLUMN()&gt;COLUMN(ISP!$KP$1)),"",INDEX(ISP!$A$9:$KP$158,SMALL(IF(ISP!$I$9:$I$158&lt;&gt;"",ROW(ISP!$I$9:$I$158)-ROW(ISP!$I$9)+1),ROW(ISP!$A23)),COLUMN()))</f>
        <v/>
      </c>
      <c r="T55" s="497" t="str">
        <f t="array" ref="T55">IF((ROW(ISP!$A23)&gt;SUM(--(ISP!$I$9:$I$158&lt;&gt;"")))+(COLUMN()&gt;COLUMN(ISP!$KP$1)),"",INDEX(ISP!$A$9:$KP$158,SMALL(IF(ISP!$I$9:$I$158&lt;&gt;"",ROW(ISP!$I$9:$I$158)-ROW(ISP!$I$9)+1),ROW(ISP!$A23)),COLUMN()))</f>
        <v/>
      </c>
      <c r="U55" s="497" t="str">
        <f t="array" ref="U55">IF((ROW(ISP!$A23)&gt;SUM(--(ISP!$I$9:$I$158&lt;&gt;"")))+(COLUMN()&gt;COLUMN(ISP!$KP$1)),"",INDEX(ISP!$A$9:$KP$158,SMALL(IF(ISP!$I$9:$I$158&lt;&gt;"",ROW(ISP!$I$9:$I$158)-ROW(ISP!$I$9)+1),ROW(ISP!$A23)),COLUMN()))</f>
        <v/>
      </c>
      <c r="V55" s="497" t="str">
        <f t="array" ref="V55">IF((ROW(ISP!$A23)&gt;SUM(--(ISP!$I$9:$I$158&lt;&gt;"")))+(COLUMN()&gt;COLUMN(ISP!$KP$1)),"",INDEX(ISP!$A$9:$KP$158,SMALL(IF(ISP!$I$9:$I$158&lt;&gt;"",ROW(ISP!$I$9:$I$158)-ROW(ISP!$I$9)+1),ROW(ISP!$A23)),COLUMN()))</f>
        <v/>
      </c>
      <c r="W55" s="497" t="str">
        <f t="array" ref="W55">IF((ROW(ISP!$A23)&gt;SUM(--(ISP!$I$9:$I$158&lt;&gt;"")))+(COLUMN()&gt;COLUMN(ISP!$KP$1)),"",INDEX(ISP!$A$9:$KP$158,SMALL(IF(ISP!$I$9:$I$158&lt;&gt;"",ROW(ISP!$I$9:$I$158)-ROW(ISP!$I$9)+1),ROW(ISP!$A23)),COLUMN()))</f>
        <v/>
      </c>
      <c r="X55" s="497" t="str">
        <f t="array" ref="X55">IF((ROW(ISP!$A23)&gt;SUM(--(ISP!$I$9:$I$158&lt;&gt;"")))+(COLUMN()&gt;COLUMN(ISP!$KP$1)),"",INDEX(ISP!$A$9:$KP$158,SMALL(IF(ISP!$I$9:$I$158&lt;&gt;"",ROW(ISP!$I$9:$I$158)-ROW(ISP!$I$9)+1),ROW(ISP!$A23)),COLUMN()))</f>
        <v/>
      </c>
      <c r="Y55" s="497" t="str">
        <f t="array" ref="Y55">IF((ROW(ISP!$A23)&gt;SUM(--(ISP!$I$9:$I$158&lt;&gt;"")))+(COLUMN()&gt;COLUMN(ISP!$KP$1)),"",INDEX(ISP!$A$9:$KP$158,SMALL(IF(ISP!$I$9:$I$158&lt;&gt;"",ROW(ISP!$I$9:$I$158)-ROW(ISP!$I$9)+1),ROW(ISP!$A23)),COLUMN()))</f>
        <v/>
      </c>
      <c r="Z55" s="497" t="str">
        <f t="array" ref="Z55">IF((ROW(ISP!$A23)&gt;SUM(--(ISP!$I$9:$I$158&lt;&gt;"")))+(COLUMN()&gt;COLUMN(ISP!$KP$1)),"",INDEX(ISP!$A$9:$KP$158,SMALL(IF(ISP!$I$9:$I$158&lt;&gt;"",ROW(ISP!$I$9:$I$158)-ROW(ISP!$I$9)+1),ROW(ISP!$A23)),COLUMN()))</f>
        <v/>
      </c>
      <c r="AA55" s="497" t="str">
        <f t="array" ref="AA55">IF((ROW(ISP!$A23)&gt;SUM(--(ISP!$I$9:$I$158&lt;&gt;"")))+(COLUMN()&gt;COLUMN(ISP!$KP$1)),"",INDEX(ISP!$A$9:$KP$158,SMALL(IF(ISP!$I$9:$I$158&lt;&gt;"",ROW(ISP!$I$9:$I$158)-ROW(ISP!$I$9)+1),ROW(ISP!$A23)),COLUMN()))</f>
        <v/>
      </c>
      <c r="AB55" s="497" t="str">
        <f t="array" ref="AB55">IF((ROW(ISP!$A23)&gt;SUM(--(ISP!$I$9:$I$158&lt;&gt;"")))+(COLUMN()&gt;COLUMN(ISP!$KP$1)),"",INDEX(ISP!$A$9:$KP$158,SMALL(IF(ISP!$I$9:$I$158&lt;&gt;"",ROW(ISP!$I$9:$I$158)-ROW(ISP!$I$9)+1),ROW(ISP!$A23)),COLUMN()))</f>
        <v/>
      </c>
      <c r="AC55" s="497" t="str">
        <f t="array" ref="AC55">IF((ROW(ISP!$A23)&gt;SUM(--(ISP!$I$9:$I$158&lt;&gt;"")))+(COLUMN()&gt;COLUMN(ISP!$KP$1)),"",INDEX(ISP!$A$9:$KP$158,SMALL(IF(ISP!$I$9:$I$158&lt;&gt;"",ROW(ISP!$I$9:$I$158)-ROW(ISP!$I$9)+1),ROW(ISP!$A23)),COLUMN()))</f>
        <v/>
      </c>
      <c r="AD55" s="497" t="str">
        <f t="array" ref="AD55">IF((ROW(ISP!$A23)&gt;SUM(--(ISP!$I$9:$I$158&lt;&gt;"")))+(COLUMN()&gt;COLUMN(ISP!$KP$1)),"",INDEX(ISP!$A$9:$KP$158,SMALL(IF(ISP!$I$9:$I$158&lt;&gt;"",ROW(ISP!$I$9:$I$158)-ROW(ISP!$I$9)+1),ROW(ISP!$A23)),COLUMN()))</f>
        <v/>
      </c>
      <c r="AE55" s="497" t="str">
        <f t="array" ref="AE55">IF((ROW(ISP!$A23)&gt;SUM(--(ISP!$I$9:$I$158&lt;&gt;"")))+(COLUMN()&gt;COLUMN(ISP!$KP$1)),"",INDEX(ISP!$A$9:$KP$158,SMALL(IF(ISP!$I$9:$I$158&lt;&gt;"",ROW(ISP!$I$9:$I$158)-ROW(ISP!$I$9)+1),ROW(ISP!$A23)),COLUMN()))</f>
        <v/>
      </c>
      <c r="AF55" s="497" t="str">
        <f t="array" ref="AF55">IF((ROW(ISP!$A23)&gt;SUM(--(ISP!$I$9:$I$158&lt;&gt;"")))+(COLUMN()&gt;COLUMN(ISP!$KP$1)),"",INDEX(ISP!$A$9:$KP$158,SMALL(IF(ISP!$I$9:$I$158&lt;&gt;"",ROW(ISP!$I$9:$I$158)-ROW(ISP!$I$9)+1),ROW(ISP!$A23)),COLUMN()))</f>
        <v/>
      </c>
      <c r="AG55" s="983" t="str">
        <f t="array" ref="AG55">IF((ROW(ISP!$A23)&gt;SUM(--(ISP!$I$9:$I$158&lt;&gt;"")))+(COLUMN()&gt;COLUMN(ISP!$KP$1)),"",INDEX(ISP!$A$9:$KP$158,SMALL(IF(ISP!$I$9:$I$158&lt;&gt;"",ROW(ISP!$I$9:$I$158)-ROW(ISP!$I$9)+1),ROW(ISP!$A23)),COLUMN()))</f>
        <v/>
      </c>
      <c r="AH55" s="897" t="str">
        <f t="shared" si="4"/>
        <v/>
      </c>
      <c r="AJ55" s="906"/>
    </row>
    <row r="56" spans="1:36" s="807" customFormat="1" ht="13.5" thickBot="1">
      <c r="A56" s="898" t="str">
        <f t="array" ref="A56">IF((ROW(ISP!$A62)&gt;SUM(--(ISP!$I$9:$I$158&lt;&gt;"")))+(COLUMN()&gt;COLUMN(ISP!$KP$1)),"",INDEX(ISP!$A$9:$KP$158,SMALL(IF(ISP!$I$9:$I$158&lt;&gt;"",ROW(ISP!$I$9:$I$158)-ROW(ISP!$I$9)+1),ROW(ISP!$A62)),COLUMN()))</f>
        <v/>
      </c>
      <c r="B56" s="885" t="str">
        <f t="array" ref="B56">IF((ROW(ISP!$A62)&gt;SUM(--(ISP!$I$9:$I$158&lt;&gt;"")))+(COLUMN()&gt;COLUMN(ISP!$KP$1)),"",INDEX(ISP!$A$9:$KP$158,SMALL(IF(ISP!$I$9:$I$158&lt;&gt;"",ROW(ISP!$I$9:$I$158)-ROW(ISP!$I$9)+1),ROW(ISP!$A62)),COLUMN()))</f>
        <v/>
      </c>
      <c r="C56" s="885" t="str">
        <f t="array" ref="C56">IF((ROW(ISP!$A62)&gt;SUM(--(ISP!$I$9:$I$158&lt;&gt;"")))+(COLUMN()&gt;COLUMN(ISP!$KP$1)),"",INDEX(ISP!$A$9:$KP$158,SMALL(IF(ISP!$I$9:$I$158&lt;&gt;"",ROW(ISP!$I$9:$I$158)-ROW(ISP!$I$9)+1),ROW(ISP!$A62)),COLUMN()))</f>
        <v/>
      </c>
      <c r="D56" s="885" t="str">
        <f t="array" ref="D56">IF((ROW(ISP!$A62)&gt;SUM(--(ISP!$I$9:$I$158&lt;&gt;"")))+(COLUMN()&gt;COLUMN(ISP!$KP$1)),"",INDEX(ISP!$A$9:$KP$158,SMALL(IF(ISP!$I$9:$I$158&lt;&gt;"",ROW(ISP!$I$9:$I$158)-ROW(ISP!$I$9)+1),ROW(ISP!$A62)),COLUMN()))</f>
        <v/>
      </c>
      <c r="E56" s="885" t="str">
        <f t="array" ref="E56">IF((ROW(ISP!$A62)&gt;SUM(--(ISP!$I$9:$I$158&lt;&gt;"")))+(COLUMN()&gt;COLUMN(ISP!$KP$1)),"",INDEX(ISP!$A$9:$KP$158,SMALL(IF(ISP!$I$9:$I$158&lt;&gt;"",ROW(ISP!$I$9:$I$158)-ROW(ISP!$I$9)+1),ROW(ISP!$A62)),COLUMN()))</f>
        <v/>
      </c>
      <c r="F56" s="885" t="str">
        <f t="array" ref="F56">IF((ROW(ISP!$A62)&gt;SUM(--(ISP!$I$9:$I$158&lt;&gt;"")))+(COLUMN()&gt;COLUMN(ISP!$KP$1)),"",INDEX(ISP!$A$9:$KP$158,SMALL(IF(ISP!$I$9:$I$158&lt;&gt;"",ROW(ISP!$I$9:$I$158)-ROW(ISP!$I$9)+1),ROW(ISP!$A62)),COLUMN()))</f>
        <v/>
      </c>
      <c r="G56" s="885" t="str">
        <f t="array" ref="G56">IF((ROW(ISP!$A62)&gt;SUM(--(ISP!$I$9:$I$158&lt;&gt;"")))+(COLUMN()&gt;COLUMN(ISP!$KP$1)),"",INDEX(ISP!$A$9:$KP$158,SMALL(IF(ISP!$I$9:$I$158&lt;&gt;"",ROW(ISP!$I$9:$I$158)-ROW(ISP!$I$9)+1),ROW(ISP!$A62)),COLUMN()))</f>
        <v/>
      </c>
      <c r="H56" s="885" t="str">
        <f t="array" ref="H56">IF((ROW(ISP!$A62)&gt;SUM(--(ISP!$I$9:$I$158&lt;&gt;"")))+(COLUMN()&gt;COLUMN(ISP!$KP$1)),"",INDEX(ISP!$A$9:$KP$158,SMALL(IF(ISP!$I$9:$I$158&lt;&gt;"",ROW(ISP!$I$9:$I$158)-ROW(ISP!$I$9)+1),ROW(ISP!$A62)),COLUMN()))</f>
        <v/>
      </c>
      <c r="I56" s="899">
        <f>SUM(I33:I55)</f>
        <v>571.05124999999998</v>
      </c>
      <c r="J56" s="885" t="str">
        <f t="array" ref="J56">IF((ROW(ISP!$A62)&gt;SUM(--(ISP!$I$9:$I$158&lt;&gt;"")))+(COLUMN()&gt;COLUMN(ISP!$KP$1)),"",INDEX(ISP!$A$9:$KP$158,SMALL(IF(ISP!$I$9:$I$158&lt;&gt;"",ROW(ISP!$I$9:$I$158)-ROW(ISP!$I$9)+1),ROW(ISP!$A62)),COLUMN()))</f>
        <v/>
      </c>
      <c r="K56" s="885" t="str">
        <f t="array" ref="K56">IF((ROW(ISP!$A62)&gt;SUM(--(ISP!$I$9:$I$158&lt;&gt;"")))+(COLUMN()&gt;COLUMN(ISP!$KP$1)),"",INDEX(ISP!$A$9:$KP$158,SMALL(IF(ISP!$I$9:$I$158&lt;&gt;"",ROW(ISP!$I$9:$I$158)-ROW(ISP!$I$9)+1),ROW(ISP!$A62)),COLUMN()))</f>
        <v/>
      </c>
      <c r="L56" s="885" t="str">
        <f t="array" ref="L56">IF((ROW(ISP!$A62)&gt;SUM(--(ISP!$I$9:$I$158&lt;&gt;"")))+(COLUMN()&gt;COLUMN(ISP!$KP$1)),"",INDEX(ISP!$A$9:$KP$158,SMALL(IF(ISP!$I$9:$I$158&lt;&gt;"",ROW(ISP!$I$9:$I$158)-ROW(ISP!$I$9)+1),ROW(ISP!$A62)),COLUMN()))</f>
        <v/>
      </c>
      <c r="M56" s="885" t="str">
        <f t="array" ref="M56">IF((ROW(ISP!$A62)&gt;SUM(--(ISP!$I$9:$I$158&lt;&gt;"")))+(COLUMN()&gt;COLUMN(ISP!$KP$1)),"",INDEX(ISP!$A$9:$KP$158,SMALL(IF(ISP!$I$9:$I$158&lt;&gt;"",ROW(ISP!$I$9:$I$158)-ROW(ISP!$I$9)+1),ROW(ISP!$A62)),COLUMN()))</f>
        <v/>
      </c>
      <c r="N56" s="885" t="str">
        <f t="array" ref="N56">IF((ROW(ISP!$A62)&gt;SUM(--(ISP!$I$9:$I$158&lt;&gt;"")))+(COLUMN()&gt;COLUMN(ISP!$KP$1)),"",INDEX(ISP!$A$9:$KP$158,SMALL(IF(ISP!$I$9:$I$158&lt;&gt;"",ROW(ISP!$I$9:$I$158)-ROW(ISP!$I$9)+1),ROW(ISP!$A62)),COLUMN()))</f>
        <v/>
      </c>
      <c r="O56" s="885" t="str">
        <f t="array" ref="O56">IF((ROW(ISP!$A62)&gt;SUM(--(ISP!$I$9:$I$158&lt;&gt;"")))+(COLUMN()&gt;COLUMN(ISP!$KP$1)),"",INDEX(ISP!$A$9:$KP$158,SMALL(IF(ISP!$I$9:$I$158&lt;&gt;"",ROW(ISP!$I$9:$I$158)-ROW(ISP!$I$9)+1),ROW(ISP!$A62)),COLUMN()))</f>
        <v/>
      </c>
      <c r="P56" s="885" t="str">
        <f t="array" ref="P56">IF((ROW(ISP!$A62)&gt;SUM(--(ISP!$I$9:$I$158&lt;&gt;"")))+(COLUMN()&gt;COLUMN(ISP!$KP$1)),"",INDEX(ISP!$A$9:$KP$158,SMALL(IF(ISP!$I$9:$I$158&lt;&gt;"",ROW(ISP!$I$9:$I$158)-ROW(ISP!$I$9)+1),ROW(ISP!$A62)),COLUMN()))</f>
        <v/>
      </c>
      <c r="Q56" s="885" t="str">
        <f t="array" ref="Q56">IF((ROW(ISP!$A62)&gt;SUM(--(ISP!$I$9:$I$158&lt;&gt;"")))+(COLUMN()&gt;COLUMN(ISP!$KP$1)),"",INDEX(ISP!$A$9:$KP$158,SMALL(IF(ISP!$I$9:$I$158&lt;&gt;"",ROW(ISP!$I$9:$I$158)-ROW(ISP!$I$9)+1),ROW(ISP!$A62)),COLUMN()))</f>
        <v/>
      </c>
      <c r="R56" s="885" t="str">
        <f t="array" ref="R56">IF((ROW(ISP!$A62)&gt;SUM(--(ISP!$I$9:$I$158&lt;&gt;"")))+(COLUMN()&gt;COLUMN(ISP!$KP$1)),"",INDEX(ISP!$A$9:$KP$158,SMALL(IF(ISP!$I$9:$I$158&lt;&gt;"",ROW(ISP!$I$9:$I$158)-ROW(ISP!$I$9)+1),ROW(ISP!$A62)),COLUMN()))</f>
        <v/>
      </c>
      <c r="S56" s="885" t="str">
        <f t="array" ref="S56">IF((ROW(ISP!$A62)&gt;SUM(--(ISP!$I$9:$I$158&lt;&gt;"")))+(COLUMN()&gt;COLUMN(ISP!$KP$1)),"",INDEX(ISP!$A$9:$KP$158,SMALL(IF(ISP!$I$9:$I$158&lt;&gt;"",ROW(ISP!$I$9:$I$158)-ROW(ISP!$I$9)+1),ROW(ISP!$A62)),COLUMN()))</f>
        <v/>
      </c>
      <c r="T56" s="885" t="str">
        <f t="array" ref="T56">IF((ROW(ISP!$A62)&gt;SUM(--(ISP!$I$9:$I$158&lt;&gt;"")))+(COLUMN()&gt;COLUMN(ISP!$KP$1)),"",INDEX(ISP!$A$9:$KP$158,SMALL(IF(ISP!$I$9:$I$158&lt;&gt;"",ROW(ISP!$I$9:$I$158)-ROW(ISP!$I$9)+1),ROW(ISP!$A62)),COLUMN()))</f>
        <v/>
      </c>
      <c r="U56" s="885" t="str">
        <f t="array" ref="U56">IF((ROW(ISP!$A62)&gt;SUM(--(ISP!$I$9:$I$158&lt;&gt;"")))+(COLUMN()&gt;COLUMN(ISP!$KP$1)),"",INDEX(ISP!$A$9:$KP$158,SMALL(IF(ISP!$I$9:$I$158&lt;&gt;"",ROW(ISP!$I$9:$I$158)-ROW(ISP!$I$9)+1),ROW(ISP!$A62)),COLUMN()))</f>
        <v/>
      </c>
      <c r="V56" s="885" t="str">
        <f t="array" ref="V56">IF((ROW(ISP!$A62)&gt;SUM(--(ISP!$I$9:$I$158&lt;&gt;"")))+(COLUMN()&gt;COLUMN(ISP!$KP$1)),"",INDEX(ISP!$A$9:$KP$158,SMALL(IF(ISP!$I$9:$I$158&lt;&gt;"",ROW(ISP!$I$9:$I$158)-ROW(ISP!$I$9)+1),ROW(ISP!$A62)),COLUMN()))</f>
        <v/>
      </c>
      <c r="W56" s="885" t="str">
        <f t="array" ref="W56">IF((ROW(ISP!$A62)&gt;SUM(--(ISP!$I$9:$I$158&lt;&gt;"")))+(COLUMN()&gt;COLUMN(ISP!$KP$1)),"",INDEX(ISP!$A$9:$KP$158,SMALL(IF(ISP!$I$9:$I$158&lt;&gt;"",ROW(ISP!$I$9:$I$158)-ROW(ISP!$I$9)+1),ROW(ISP!$A62)),COLUMN()))</f>
        <v/>
      </c>
      <c r="X56" s="885" t="str">
        <f t="array" ref="X56">IF((ROW(ISP!$A62)&gt;SUM(--(ISP!$I$9:$I$158&lt;&gt;"")))+(COLUMN()&gt;COLUMN(ISP!$KP$1)),"",INDEX(ISP!$A$9:$KP$158,SMALL(IF(ISP!$I$9:$I$158&lt;&gt;"",ROW(ISP!$I$9:$I$158)-ROW(ISP!$I$9)+1),ROW(ISP!$A62)),COLUMN()))</f>
        <v/>
      </c>
      <c r="Y56" s="885" t="str">
        <f t="array" ref="Y56">IF((ROW(ISP!$A62)&gt;SUM(--(ISP!$I$9:$I$158&lt;&gt;"")))+(COLUMN()&gt;COLUMN(ISP!$KP$1)),"",INDEX(ISP!$A$9:$KP$158,SMALL(IF(ISP!$I$9:$I$158&lt;&gt;"",ROW(ISP!$I$9:$I$158)-ROW(ISP!$I$9)+1),ROW(ISP!$A62)),COLUMN()))</f>
        <v/>
      </c>
      <c r="Z56" s="885" t="str">
        <f t="array" ref="Z56">IF((ROW(ISP!$A62)&gt;SUM(--(ISP!$I$9:$I$158&lt;&gt;"")))+(COLUMN()&gt;COLUMN(ISP!$KP$1)),"",INDEX(ISP!$A$9:$KP$158,SMALL(IF(ISP!$I$9:$I$158&lt;&gt;"",ROW(ISP!$I$9:$I$158)-ROW(ISP!$I$9)+1),ROW(ISP!$A62)),COLUMN()))</f>
        <v/>
      </c>
      <c r="AA56" s="885" t="str">
        <f t="array" ref="AA56">IF((ROW(ISP!$A62)&gt;SUM(--(ISP!$I$9:$I$158&lt;&gt;"")))+(COLUMN()&gt;COLUMN(ISP!$KP$1)),"",INDEX(ISP!$A$9:$KP$158,SMALL(IF(ISP!$I$9:$I$158&lt;&gt;"",ROW(ISP!$I$9:$I$158)-ROW(ISP!$I$9)+1),ROW(ISP!$A62)),COLUMN()))</f>
        <v/>
      </c>
      <c r="AB56" s="885" t="str">
        <f t="array" ref="AB56">IF((ROW(ISP!$A62)&gt;SUM(--(ISP!$I$9:$I$158&lt;&gt;"")))+(COLUMN()&gt;COLUMN(ISP!$KP$1)),"",INDEX(ISP!$A$9:$KP$158,SMALL(IF(ISP!$I$9:$I$158&lt;&gt;"",ROW(ISP!$I$9:$I$158)-ROW(ISP!$I$9)+1),ROW(ISP!$A62)),COLUMN()))</f>
        <v/>
      </c>
      <c r="AC56" s="885" t="str">
        <f t="array" ref="AC56">IF((ROW(ISP!$A62)&gt;SUM(--(ISP!$I$9:$I$158&lt;&gt;"")))+(COLUMN()&gt;COLUMN(ISP!$KP$1)),"",INDEX(ISP!$A$9:$KP$158,SMALL(IF(ISP!$I$9:$I$158&lt;&gt;"",ROW(ISP!$I$9:$I$158)-ROW(ISP!$I$9)+1),ROW(ISP!$A62)),COLUMN()))</f>
        <v/>
      </c>
      <c r="AD56" s="885" t="str">
        <f t="array" ref="AD56">IF((ROW(ISP!$A62)&gt;SUM(--(ISP!$I$9:$I$158&lt;&gt;"")))+(COLUMN()&gt;COLUMN(ISP!$KP$1)),"",INDEX(ISP!$A$9:$KP$158,SMALL(IF(ISP!$I$9:$I$158&lt;&gt;"",ROW(ISP!$I$9:$I$158)-ROW(ISP!$I$9)+1),ROW(ISP!$A62)),COLUMN()))</f>
        <v/>
      </c>
      <c r="AE56" s="885" t="str">
        <f t="array" ref="AE56">IF((ROW(ISP!$A62)&gt;SUM(--(ISP!$I$9:$I$158&lt;&gt;"")))+(COLUMN()&gt;COLUMN(ISP!$KP$1)),"",INDEX(ISP!$A$9:$KP$158,SMALL(IF(ISP!$I$9:$I$158&lt;&gt;"",ROW(ISP!$I$9:$I$158)-ROW(ISP!$I$9)+1),ROW(ISP!$A62)),COLUMN()))</f>
        <v/>
      </c>
      <c r="AF56" s="885" t="str">
        <f t="array" ref="AF56">IF((ROW(ISP!$A62)&gt;SUM(--(ISP!$I$9:$I$158&lt;&gt;"")))+(COLUMN()&gt;COLUMN(ISP!$KP$1)),"",INDEX(ISP!$A$9:$KP$158,SMALL(IF(ISP!$I$9:$I$158&lt;&gt;"",ROW(ISP!$I$9:$I$158)-ROW(ISP!$I$9)+1),ROW(ISP!$A62)),COLUMN()))</f>
        <v/>
      </c>
      <c r="AG56" s="984" t="str">
        <f t="array" ref="AG56">IF((ROW(ISP!$A62)&gt;SUM(--(ISP!$I$9:$I$158&lt;&gt;"")))+(COLUMN()&gt;COLUMN(ISP!$KP$1)),"",INDEX(ISP!$A$9:$KP$158,SMALL(IF(ISP!$I$9:$I$158&lt;&gt;"",ROW(ISP!$I$9:$I$158)-ROW(ISP!$I$9)+1),ROW(ISP!$A62)),COLUMN()))</f>
        <v/>
      </c>
      <c r="AH56" s="900">
        <f>ISP!I166</f>
        <v>571.05124999999998</v>
      </c>
      <c r="AJ56" s="906"/>
    </row>
    <row r="57" spans="1:36" ht="16.5" thickBot="1">
      <c r="A57" s="870"/>
      <c r="B57" s="227"/>
      <c r="C57" s="495"/>
      <c r="D57" s="456"/>
      <c r="E57" s="561"/>
      <c r="F57" s="383"/>
      <c r="G57" s="227"/>
      <c r="H57" s="227"/>
      <c r="I57" s="851"/>
      <c r="J57" s="383"/>
      <c r="K57" s="227"/>
      <c r="L57" s="248"/>
      <c r="M57" s="5"/>
      <c r="N57" s="858"/>
      <c r="O57" s="869"/>
      <c r="P57" s="15"/>
      <c r="Q57" s="772"/>
      <c r="R57" s="772"/>
      <c r="S57" s="772"/>
      <c r="T57" s="772"/>
      <c r="W57" s="772"/>
    </row>
    <row r="58" spans="1:36" ht="18">
      <c r="A58" s="901"/>
      <c r="B58" s="852"/>
      <c r="C58" s="867"/>
      <c r="D58" s="888"/>
      <c r="E58" s="889"/>
      <c r="F58" s="868"/>
      <c r="G58" s="852"/>
      <c r="H58" s="852"/>
      <c r="I58" s="890"/>
      <c r="J58" s="868"/>
      <c r="K58" s="852"/>
      <c r="L58" s="891"/>
      <c r="M58" s="853"/>
      <c r="N58" s="860"/>
      <c r="O58" s="892"/>
      <c r="P58" s="893"/>
      <c r="Q58" s="894"/>
      <c r="R58" s="894"/>
      <c r="S58" s="894"/>
      <c r="T58" s="894"/>
      <c r="U58" s="894"/>
      <c r="V58" s="894"/>
      <c r="W58" s="894"/>
      <c r="X58" s="894"/>
      <c r="Y58" s="894"/>
      <c r="Z58" s="894"/>
      <c r="AA58" s="894"/>
      <c r="AB58" s="894"/>
      <c r="AC58" s="894"/>
      <c r="AD58" s="894"/>
      <c r="AE58" s="894"/>
      <c r="AF58" s="894"/>
      <c r="AG58" s="894"/>
      <c r="AH58" s="895"/>
    </row>
    <row r="59" spans="1:36" ht="15.75">
      <c r="A59" s="896"/>
      <c r="B59" s="879"/>
      <c r="C59" s="495"/>
      <c r="D59" s="456"/>
      <c r="E59" s="561"/>
      <c r="F59" s="383"/>
      <c r="G59" s="879"/>
      <c r="H59" s="879"/>
      <c r="I59" s="851"/>
      <c r="J59" s="383"/>
      <c r="K59" s="879"/>
      <c r="L59" s="81"/>
      <c r="M59" s="884"/>
      <c r="N59" s="859"/>
      <c r="O59" s="869"/>
      <c r="P59" s="15"/>
      <c r="Q59" s="772"/>
      <c r="R59" s="772"/>
      <c r="S59" s="772"/>
      <c r="T59" s="772"/>
      <c r="U59" s="772"/>
      <c r="V59" s="772"/>
      <c r="W59" s="772"/>
      <c r="X59" s="772"/>
      <c r="Y59" s="772"/>
      <c r="Z59" s="772"/>
      <c r="AA59" s="772"/>
      <c r="AB59" s="772"/>
      <c r="AC59" s="772"/>
      <c r="AD59" s="772"/>
      <c r="AE59" s="772"/>
      <c r="AF59" s="772"/>
      <c r="AG59" s="772"/>
      <c r="AH59" s="897"/>
    </row>
    <row r="60" spans="1:36" ht="15">
      <c r="A60" s="497"/>
      <c r="B60" s="497"/>
      <c r="C60" s="387"/>
      <c r="D60" s="497"/>
      <c r="E60" s="497"/>
      <c r="F60" s="561"/>
      <c r="G60" s="383"/>
      <c r="H60" s="497"/>
      <c r="I60" s="383"/>
      <c r="J60" s="497"/>
      <c r="K60" s="879"/>
      <c r="L60" s="775"/>
      <c r="M60" s="775"/>
      <c r="N60" s="497"/>
      <c r="O60" s="383"/>
      <c r="P60" s="497"/>
      <c r="Q60" s="497"/>
      <c r="R60" s="497"/>
      <c r="S60" s="497"/>
      <c r="T60" s="497"/>
      <c r="U60" s="497"/>
      <c r="V60" s="497"/>
      <c r="W60" s="497"/>
      <c r="X60" s="497"/>
      <c r="Y60" s="497"/>
      <c r="Z60" s="497"/>
      <c r="AA60" s="497"/>
      <c r="AB60" s="497"/>
      <c r="AC60" s="497"/>
      <c r="AD60" s="497"/>
      <c r="AE60" s="497"/>
      <c r="AF60" s="497"/>
      <c r="AG60" s="983"/>
      <c r="AH60" s="897"/>
    </row>
    <row r="61" spans="1:36" ht="15">
      <c r="A61" s="497"/>
      <c r="B61" s="497"/>
      <c r="C61" s="387"/>
      <c r="D61" s="497"/>
      <c r="E61" s="497"/>
      <c r="F61" s="561"/>
      <c r="G61" s="383"/>
      <c r="H61" s="497"/>
      <c r="I61" s="383"/>
      <c r="J61" s="497"/>
      <c r="K61" s="879"/>
      <c r="L61" s="775"/>
      <c r="M61" s="775"/>
      <c r="N61" s="497"/>
      <c r="O61" s="383"/>
      <c r="P61" s="497"/>
      <c r="Q61" s="497"/>
      <c r="R61" s="497"/>
      <c r="S61" s="497"/>
      <c r="T61" s="497"/>
      <c r="U61" s="497"/>
      <c r="V61" s="497"/>
      <c r="W61" s="497"/>
      <c r="X61" s="497"/>
      <c r="Y61" s="497"/>
      <c r="Z61" s="497"/>
      <c r="AA61" s="497"/>
      <c r="AB61" s="497"/>
      <c r="AC61" s="497"/>
      <c r="AD61" s="497"/>
      <c r="AE61" s="497"/>
      <c r="AF61" s="497"/>
      <c r="AG61" s="983"/>
      <c r="AH61" s="897"/>
    </row>
    <row r="62" spans="1:36" ht="15">
      <c r="A62" s="497"/>
      <c r="B62" s="497"/>
      <c r="C62" s="387"/>
      <c r="D62" s="497"/>
      <c r="E62" s="497"/>
      <c r="F62" s="561"/>
      <c r="G62" s="383"/>
      <c r="H62" s="497"/>
      <c r="I62" s="383"/>
      <c r="J62" s="497"/>
      <c r="K62" s="879"/>
      <c r="L62" s="775"/>
      <c r="M62" s="775"/>
      <c r="N62" s="497"/>
      <c r="O62" s="383"/>
      <c r="P62" s="497"/>
      <c r="Q62" s="497"/>
      <c r="R62" s="497"/>
      <c r="S62" s="497"/>
      <c r="T62" s="497"/>
      <c r="U62" s="497"/>
      <c r="V62" s="497"/>
      <c r="W62" s="497"/>
      <c r="X62" s="497"/>
      <c r="Y62" s="497"/>
      <c r="Z62" s="497"/>
      <c r="AA62" s="497"/>
      <c r="AB62" s="497"/>
      <c r="AC62" s="497"/>
      <c r="AD62" s="497"/>
      <c r="AE62" s="497"/>
      <c r="AF62" s="497"/>
      <c r="AG62" s="983"/>
      <c r="AH62" s="897"/>
    </row>
    <row r="63" spans="1:36" ht="15">
      <c r="A63" s="497"/>
      <c r="B63" s="497"/>
      <c r="C63" s="387"/>
      <c r="D63" s="497"/>
      <c r="E63" s="497"/>
      <c r="F63" s="561"/>
      <c r="G63" s="383"/>
      <c r="H63" s="497"/>
      <c r="I63" s="383"/>
      <c r="J63" s="497"/>
      <c r="K63" s="879"/>
      <c r="L63" s="775"/>
      <c r="M63" s="775"/>
      <c r="N63" s="497"/>
      <c r="O63" s="383"/>
      <c r="P63" s="497"/>
      <c r="Q63" s="497"/>
      <c r="R63" s="497"/>
      <c r="S63" s="497"/>
      <c r="T63" s="497"/>
      <c r="U63" s="497"/>
      <c r="V63" s="497"/>
      <c r="W63" s="497"/>
      <c r="X63" s="497"/>
      <c r="Y63" s="497"/>
      <c r="Z63" s="497"/>
      <c r="AA63" s="497"/>
      <c r="AB63" s="497"/>
      <c r="AC63" s="497"/>
      <c r="AD63" s="497"/>
      <c r="AE63" s="497"/>
      <c r="AF63" s="497"/>
      <c r="AG63" s="983"/>
      <c r="AH63" s="897"/>
    </row>
    <row r="64" spans="1:36" ht="15">
      <c r="A64" s="497"/>
      <c r="B64" s="497"/>
      <c r="C64" s="387"/>
      <c r="D64" s="497"/>
      <c r="E64" s="497"/>
      <c r="F64" s="561"/>
      <c r="G64" s="383"/>
      <c r="H64" s="497"/>
      <c r="I64" s="383"/>
      <c r="J64" s="497"/>
      <c r="K64" s="879"/>
      <c r="L64" s="775"/>
      <c r="M64" s="775"/>
      <c r="N64" s="497"/>
      <c r="O64" s="383"/>
      <c r="P64" s="497"/>
      <c r="Q64" s="497"/>
      <c r="R64" s="497"/>
      <c r="S64" s="497"/>
      <c r="T64" s="497"/>
      <c r="U64" s="497"/>
      <c r="V64" s="497"/>
      <c r="W64" s="497"/>
      <c r="X64" s="497"/>
      <c r="Y64" s="497"/>
      <c r="Z64" s="497"/>
      <c r="AA64" s="497"/>
      <c r="AB64" s="497"/>
      <c r="AC64" s="497"/>
      <c r="AD64" s="497"/>
      <c r="AE64" s="497"/>
      <c r="AF64" s="497"/>
      <c r="AG64" s="983"/>
      <c r="AH64" s="897"/>
    </row>
    <row r="65" spans="1:34" ht="15">
      <c r="A65" s="497"/>
      <c r="B65" s="497"/>
      <c r="C65" s="387"/>
      <c r="D65" s="497"/>
      <c r="E65" s="497"/>
      <c r="F65" s="561"/>
      <c r="G65" s="383"/>
      <c r="H65" s="497"/>
      <c r="I65" s="383"/>
      <c r="J65" s="497"/>
      <c r="K65" s="879"/>
      <c r="L65" s="775"/>
      <c r="M65" s="775"/>
      <c r="N65" s="497"/>
      <c r="O65" s="383"/>
      <c r="P65" s="497"/>
      <c r="Q65" s="497"/>
      <c r="R65" s="497"/>
      <c r="S65" s="497"/>
      <c r="T65" s="497"/>
      <c r="U65" s="497"/>
      <c r="V65" s="497"/>
      <c r="W65" s="497"/>
      <c r="X65" s="497"/>
      <c r="Y65" s="497"/>
      <c r="Z65" s="497"/>
      <c r="AA65" s="497"/>
      <c r="AB65" s="497"/>
      <c r="AC65" s="497"/>
      <c r="AD65" s="497"/>
      <c r="AE65" s="497"/>
      <c r="AF65" s="497"/>
      <c r="AG65" s="983"/>
      <c r="AH65" s="897"/>
    </row>
    <row r="66" spans="1:34" ht="15">
      <c r="A66" s="497"/>
      <c r="B66" s="497"/>
      <c r="C66" s="387"/>
      <c r="D66" s="497"/>
      <c r="E66" s="497"/>
      <c r="F66" s="561"/>
      <c r="G66" s="383"/>
      <c r="H66" s="497"/>
      <c r="I66" s="383"/>
      <c r="J66" s="497"/>
      <c r="K66" s="879"/>
      <c r="L66" s="775"/>
      <c r="M66" s="775"/>
      <c r="N66" s="497"/>
      <c r="O66" s="383"/>
      <c r="P66" s="497"/>
      <c r="Q66" s="497"/>
      <c r="R66" s="497"/>
      <c r="S66" s="497"/>
      <c r="T66" s="497"/>
      <c r="U66" s="497"/>
      <c r="V66" s="497"/>
      <c r="W66" s="497"/>
      <c r="X66" s="497"/>
      <c r="Y66" s="497"/>
      <c r="Z66" s="497"/>
      <c r="AA66" s="497"/>
      <c r="AB66" s="497"/>
      <c r="AC66" s="497"/>
      <c r="AD66" s="497"/>
      <c r="AE66" s="497"/>
      <c r="AF66" s="497"/>
      <c r="AG66" s="983"/>
      <c r="AH66" s="897"/>
    </row>
    <row r="67" spans="1:34" ht="15">
      <c r="A67" s="497"/>
      <c r="B67" s="497"/>
      <c r="C67" s="387"/>
      <c r="D67" s="497"/>
      <c r="E67" s="497"/>
      <c r="F67" s="561"/>
      <c r="G67" s="383"/>
      <c r="H67" s="497"/>
      <c r="I67" s="383"/>
      <c r="J67" s="497"/>
      <c r="K67" s="879"/>
      <c r="L67" s="775"/>
      <c r="M67" s="775"/>
      <c r="N67" s="497"/>
      <c r="O67" s="383"/>
      <c r="P67" s="497"/>
      <c r="Q67" s="497"/>
      <c r="R67" s="497"/>
      <c r="S67" s="497"/>
      <c r="T67" s="497"/>
      <c r="U67" s="497"/>
      <c r="V67" s="497"/>
      <c r="W67" s="497"/>
      <c r="X67" s="497"/>
      <c r="Y67" s="497"/>
      <c r="Z67" s="497"/>
      <c r="AA67" s="497"/>
      <c r="AB67" s="497"/>
      <c r="AC67" s="497"/>
      <c r="AD67" s="497"/>
      <c r="AE67" s="497"/>
      <c r="AF67" s="497"/>
      <c r="AG67" s="983"/>
      <c r="AH67" s="897"/>
    </row>
    <row r="68" spans="1:34" ht="15">
      <c r="A68" s="497"/>
      <c r="B68" s="497"/>
      <c r="C68" s="387"/>
      <c r="D68" s="497"/>
      <c r="E68" s="497"/>
      <c r="F68" s="561"/>
      <c r="G68" s="383"/>
      <c r="H68" s="497"/>
      <c r="I68" s="383"/>
      <c r="J68" s="497"/>
      <c r="K68" s="879"/>
      <c r="L68" s="775"/>
      <c r="M68" s="775"/>
      <c r="N68" s="497"/>
      <c r="O68" s="383"/>
      <c r="P68" s="497"/>
      <c r="Q68" s="497"/>
      <c r="R68" s="497"/>
      <c r="S68" s="497"/>
      <c r="T68" s="497"/>
      <c r="U68" s="497"/>
      <c r="V68" s="497"/>
      <c r="W68" s="497"/>
      <c r="X68" s="497"/>
      <c r="Y68" s="497"/>
      <c r="Z68" s="497"/>
      <c r="AA68" s="497"/>
      <c r="AB68" s="497"/>
      <c r="AC68" s="497"/>
      <c r="AD68" s="497"/>
      <c r="AE68" s="497"/>
      <c r="AF68" s="497"/>
      <c r="AG68" s="983"/>
      <c r="AH68" s="897"/>
    </row>
    <row r="69" spans="1:34" ht="15">
      <c r="A69" s="497"/>
      <c r="B69" s="497"/>
      <c r="C69" s="387"/>
      <c r="D69" s="497"/>
      <c r="E69" s="497"/>
      <c r="F69" s="561"/>
      <c r="G69" s="383"/>
      <c r="H69" s="497"/>
      <c r="I69" s="383"/>
      <c r="J69" s="497"/>
      <c r="K69" s="879"/>
      <c r="L69" s="775"/>
      <c r="M69" s="775"/>
      <c r="N69" s="497"/>
      <c r="O69" s="383"/>
      <c r="P69" s="497"/>
      <c r="Q69" s="497"/>
      <c r="R69" s="497"/>
      <c r="S69" s="497"/>
      <c r="T69" s="497"/>
      <c r="U69" s="497"/>
      <c r="V69" s="497"/>
      <c r="W69" s="497"/>
      <c r="X69" s="497"/>
      <c r="Y69" s="497"/>
      <c r="Z69" s="497"/>
      <c r="AA69" s="497"/>
      <c r="AB69" s="497"/>
      <c r="AC69" s="497"/>
      <c r="AD69" s="497"/>
      <c r="AE69" s="497"/>
      <c r="AF69" s="497"/>
      <c r="AG69" s="983"/>
      <c r="AH69" s="897"/>
    </row>
    <row r="70" spans="1:34" ht="13.5" thickBot="1">
      <c r="A70" s="898"/>
      <c r="B70" s="885"/>
      <c r="C70" s="885"/>
      <c r="D70" s="885"/>
      <c r="E70" s="885"/>
      <c r="F70" s="885"/>
      <c r="G70" s="885"/>
      <c r="H70" s="885"/>
      <c r="I70" s="899"/>
      <c r="J70" s="885"/>
      <c r="K70" s="885"/>
      <c r="L70" s="885"/>
      <c r="M70" s="885"/>
      <c r="N70" s="885"/>
      <c r="O70" s="885"/>
      <c r="P70" s="885"/>
      <c r="Q70" s="885"/>
      <c r="R70" s="885"/>
      <c r="S70" s="885"/>
      <c r="T70" s="885"/>
      <c r="U70" s="885"/>
      <c r="V70" s="885"/>
      <c r="W70" s="885"/>
      <c r="X70" s="885"/>
      <c r="Y70" s="885"/>
      <c r="Z70" s="885"/>
      <c r="AA70" s="885"/>
      <c r="AB70" s="885"/>
      <c r="AC70" s="885"/>
      <c r="AD70" s="885"/>
      <c r="AE70" s="885"/>
      <c r="AF70" s="885"/>
      <c r="AG70" s="984"/>
      <c r="AH70" s="900"/>
    </row>
    <row r="71" spans="1:34" ht="15.75" thickBot="1">
      <c r="A71" s="854"/>
    </row>
    <row r="72" spans="1:34" ht="18">
      <c r="A72" s="901"/>
      <c r="B72" s="852"/>
      <c r="C72" s="867"/>
      <c r="D72" s="888"/>
      <c r="E72" s="889"/>
      <c r="F72" s="868"/>
      <c r="G72" s="852"/>
      <c r="H72" s="852"/>
      <c r="I72" s="890"/>
      <c r="J72" s="868"/>
      <c r="K72" s="852"/>
      <c r="L72" s="891"/>
      <c r="M72" s="853"/>
      <c r="N72" s="860"/>
      <c r="O72" s="892"/>
      <c r="P72" s="893"/>
      <c r="Q72" s="894"/>
      <c r="R72" s="894"/>
      <c r="S72" s="894"/>
      <c r="T72" s="894"/>
      <c r="U72" s="894"/>
      <c r="V72" s="894"/>
      <c r="W72" s="894"/>
      <c r="X72" s="894"/>
      <c r="Y72" s="894"/>
      <c r="Z72" s="894"/>
      <c r="AA72" s="894"/>
      <c r="AB72" s="894"/>
      <c r="AC72" s="894"/>
      <c r="AD72" s="894"/>
      <c r="AE72" s="894"/>
      <c r="AF72" s="894"/>
      <c r="AG72" s="894"/>
      <c r="AH72" s="895"/>
    </row>
    <row r="73" spans="1:34" ht="15.75">
      <c r="A73" s="896"/>
      <c r="B73" s="879"/>
      <c r="C73" s="495"/>
      <c r="D73" s="456"/>
      <c r="E73" s="561"/>
      <c r="F73" s="383"/>
      <c r="G73" s="879"/>
      <c r="H73" s="879"/>
      <c r="I73" s="851"/>
      <c r="J73" s="383"/>
      <c r="K73" s="879"/>
      <c r="L73" s="81"/>
      <c r="M73" s="884"/>
      <c r="N73" s="859"/>
      <c r="O73" s="869"/>
      <c r="P73" s="15"/>
      <c r="Q73" s="772"/>
      <c r="R73" s="772"/>
      <c r="S73" s="772"/>
      <c r="T73" s="772"/>
      <c r="U73" s="772"/>
      <c r="V73" s="772"/>
      <c r="W73" s="772"/>
      <c r="X73" s="772"/>
      <c r="Y73" s="772"/>
      <c r="Z73" s="772"/>
      <c r="AA73" s="772"/>
      <c r="AB73" s="772"/>
      <c r="AC73" s="772"/>
      <c r="AD73" s="772"/>
      <c r="AE73" s="772"/>
      <c r="AF73" s="772"/>
      <c r="AG73" s="772"/>
      <c r="AH73" s="897"/>
    </row>
    <row r="74" spans="1:34" ht="15">
      <c r="A74" s="497"/>
      <c r="B74" s="497"/>
      <c r="C74" s="387"/>
      <c r="D74" s="497"/>
      <c r="E74" s="497"/>
      <c r="F74" s="561"/>
      <c r="G74" s="383"/>
      <c r="H74" s="497"/>
      <c r="I74" s="383"/>
      <c r="J74" s="497"/>
      <c r="K74" s="879"/>
      <c r="L74" s="775"/>
      <c r="M74" s="775"/>
      <c r="N74" s="497"/>
      <c r="O74" s="383"/>
      <c r="P74" s="497"/>
      <c r="Q74" s="497"/>
      <c r="R74" s="497"/>
      <c r="S74" s="497"/>
      <c r="T74" s="497"/>
      <c r="U74" s="497"/>
      <c r="V74" s="497"/>
      <c r="W74" s="497"/>
      <c r="X74" s="497"/>
      <c r="Y74" s="497"/>
      <c r="Z74" s="497"/>
      <c r="AA74" s="497"/>
      <c r="AB74" s="497"/>
      <c r="AC74" s="497"/>
      <c r="AD74" s="497"/>
      <c r="AE74" s="497"/>
      <c r="AF74" s="497"/>
      <c r="AG74" s="983"/>
      <c r="AH74" s="897"/>
    </row>
    <row r="75" spans="1:34" ht="15">
      <c r="A75" s="497"/>
      <c r="B75" s="497"/>
      <c r="C75" s="387"/>
      <c r="D75" s="497"/>
      <c r="E75" s="497"/>
      <c r="F75" s="561"/>
      <c r="G75" s="383"/>
      <c r="H75" s="497"/>
      <c r="I75" s="383"/>
      <c r="J75" s="497"/>
      <c r="K75" s="879"/>
      <c r="L75" s="775"/>
      <c r="M75" s="775"/>
      <c r="N75" s="497"/>
      <c r="O75" s="383"/>
      <c r="P75" s="497"/>
      <c r="Q75" s="497"/>
      <c r="R75" s="497"/>
      <c r="S75" s="497"/>
      <c r="T75" s="497"/>
      <c r="U75" s="497"/>
      <c r="V75" s="497"/>
      <c r="W75" s="497"/>
      <c r="X75" s="497"/>
      <c r="Y75" s="497"/>
      <c r="Z75" s="497"/>
      <c r="AA75" s="497"/>
      <c r="AB75" s="497"/>
      <c r="AC75" s="497"/>
      <c r="AD75" s="497"/>
      <c r="AE75" s="497"/>
      <c r="AF75" s="497"/>
      <c r="AG75" s="983"/>
      <c r="AH75" s="897"/>
    </row>
    <row r="76" spans="1:34" ht="15">
      <c r="A76" s="497"/>
      <c r="B76" s="497"/>
      <c r="C76" s="387"/>
      <c r="D76" s="497"/>
      <c r="E76" s="497"/>
      <c r="F76" s="561"/>
      <c r="G76" s="383"/>
      <c r="H76" s="497"/>
      <c r="I76" s="383"/>
      <c r="J76" s="497"/>
      <c r="K76" s="879"/>
      <c r="L76" s="775"/>
      <c r="M76" s="775"/>
      <c r="N76" s="497"/>
      <c r="O76" s="383"/>
      <c r="P76" s="497"/>
      <c r="Q76" s="497"/>
      <c r="R76" s="497"/>
      <c r="S76" s="497"/>
      <c r="T76" s="497"/>
      <c r="U76" s="497"/>
      <c r="V76" s="497"/>
      <c r="W76" s="497"/>
      <c r="X76" s="497"/>
      <c r="Y76" s="497"/>
      <c r="Z76" s="497"/>
      <c r="AA76" s="497"/>
      <c r="AB76" s="497"/>
      <c r="AC76" s="497"/>
      <c r="AD76" s="497"/>
      <c r="AE76" s="497"/>
      <c r="AF76" s="497"/>
      <c r="AG76" s="983"/>
      <c r="AH76" s="897"/>
    </row>
    <row r="77" spans="1:34" ht="15">
      <c r="A77" s="497"/>
      <c r="B77" s="497"/>
      <c r="C77" s="387"/>
      <c r="D77" s="497"/>
      <c r="E77" s="497"/>
      <c r="F77" s="561"/>
      <c r="G77" s="383"/>
      <c r="H77" s="497"/>
      <c r="I77" s="383"/>
      <c r="J77" s="497"/>
      <c r="K77" s="879"/>
      <c r="L77" s="775"/>
      <c r="M77" s="775"/>
      <c r="N77" s="497"/>
      <c r="O77" s="383"/>
      <c r="P77" s="497"/>
      <c r="Q77" s="497"/>
      <c r="R77" s="497"/>
      <c r="S77" s="497"/>
      <c r="T77" s="497"/>
      <c r="U77" s="497"/>
      <c r="V77" s="497"/>
      <c r="W77" s="497"/>
      <c r="X77" s="497"/>
      <c r="Y77" s="497"/>
      <c r="Z77" s="497"/>
      <c r="AA77" s="497"/>
      <c r="AB77" s="497"/>
      <c r="AC77" s="497"/>
      <c r="AD77" s="497"/>
      <c r="AE77" s="497"/>
      <c r="AF77" s="497"/>
      <c r="AG77" s="983"/>
      <c r="AH77" s="897"/>
    </row>
    <row r="78" spans="1:34" ht="15">
      <c r="A78" s="497"/>
      <c r="B78" s="497"/>
      <c r="C78" s="387"/>
      <c r="D78" s="497"/>
      <c r="E78" s="497"/>
      <c r="F78" s="561"/>
      <c r="G78" s="383"/>
      <c r="H78" s="497"/>
      <c r="I78" s="383"/>
      <c r="J78" s="497"/>
      <c r="K78" s="879"/>
      <c r="L78" s="775"/>
      <c r="M78" s="775"/>
      <c r="N78" s="497"/>
      <c r="O78" s="383"/>
      <c r="P78" s="497"/>
      <c r="Q78" s="497"/>
      <c r="R78" s="497"/>
      <c r="S78" s="497"/>
      <c r="T78" s="497"/>
      <c r="U78" s="497"/>
      <c r="V78" s="497"/>
      <c r="W78" s="497"/>
      <c r="X78" s="497"/>
      <c r="Y78" s="497"/>
      <c r="Z78" s="497"/>
      <c r="AA78" s="497"/>
      <c r="AB78" s="497"/>
      <c r="AC78" s="497"/>
      <c r="AD78" s="497"/>
      <c r="AE78" s="497"/>
      <c r="AF78" s="497"/>
      <c r="AG78" s="983"/>
      <c r="AH78" s="897"/>
    </row>
    <row r="79" spans="1:34" ht="15">
      <c r="A79" s="497"/>
      <c r="B79" s="497"/>
      <c r="C79" s="387"/>
      <c r="D79" s="497"/>
      <c r="E79" s="497"/>
      <c r="F79" s="561"/>
      <c r="G79" s="383"/>
      <c r="H79" s="497"/>
      <c r="I79" s="383"/>
      <c r="J79" s="497"/>
      <c r="K79" s="879"/>
      <c r="L79" s="775"/>
      <c r="M79" s="775"/>
      <c r="N79" s="497"/>
      <c r="O79" s="383"/>
      <c r="P79" s="497"/>
      <c r="Q79" s="497"/>
      <c r="R79" s="497"/>
      <c r="S79" s="497"/>
      <c r="T79" s="497"/>
      <c r="U79" s="497"/>
      <c r="V79" s="497"/>
      <c r="W79" s="497"/>
      <c r="X79" s="497"/>
      <c r="Y79" s="497"/>
      <c r="Z79" s="497"/>
      <c r="AA79" s="497"/>
      <c r="AB79" s="497"/>
      <c r="AC79" s="497"/>
      <c r="AD79" s="497"/>
      <c r="AE79" s="497"/>
      <c r="AF79" s="497"/>
      <c r="AG79" s="983"/>
      <c r="AH79" s="897"/>
    </row>
    <row r="80" spans="1:34" ht="15">
      <c r="A80" s="497"/>
      <c r="B80" s="497"/>
      <c r="C80" s="387"/>
      <c r="D80" s="497"/>
      <c r="E80" s="497"/>
      <c r="F80" s="561"/>
      <c r="G80" s="383"/>
      <c r="H80" s="497"/>
      <c r="I80" s="383"/>
      <c r="J80" s="497"/>
      <c r="K80" s="879"/>
      <c r="L80" s="775"/>
      <c r="M80" s="775"/>
      <c r="N80" s="497"/>
      <c r="O80" s="383"/>
      <c r="P80" s="497"/>
      <c r="Q80" s="497"/>
      <c r="R80" s="497"/>
      <c r="S80" s="497"/>
      <c r="T80" s="497"/>
      <c r="U80" s="497"/>
      <c r="V80" s="497"/>
      <c r="W80" s="497"/>
      <c r="X80" s="497"/>
      <c r="Y80" s="497"/>
      <c r="Z80" s="497"/>
      <c r="AA80" s="497"/>
      <c r="AB80" s="497"/>
      <c r="AC80" s="497"/>
      <c r="AD80" s="497"/>
      <c r="AE80" s="497"/>
      <c r="AF80" s="497"/>
      <c r="AG80" s="983"/>
      <c r="AH80" s="897"/>
    </row>
    <row r="81" spans="1:36" ht="15">
      <c r="A81" s="497"/>
      <c r="B81" s="497"/>
      <c r="C81" s="387"/>
      <c r="D81" s="497"/>
      <c r="E81" s="497"/>
      <c r="F81" s="561"/>
      <c r="G81" s="383"/>
      <c r="H81" s="497"/>
      <c r="I81" s="383"/>
      <c r="J81" s="497"/>
      <c r="K81" s="879"/>
      <c r="L81" s="775"/>
      <c r="M81" s="775"/>
      <c r="N81" s="497"/>
      <c r="O81" s="383"/>
      <c r="P81" s="497"/>
      <c r="Q81" s="497"/>
      <c r="R81" s="497"/>
      <c r="S81" s="497"/>
      <c r="T81" s="497"/>
      <c r="U81" s="497"/>
      <c r="V81" s="497"/>
      <c r="W81" s="497"/>
      <c r="X81" s="497"/>
      <c r="Y81" s="497"/>
      <c r="Z81" s="497"/>
      <c r="AA81" s="497"/>
      <c r="AB81" s="497"/>
      <c r="AC81" s="497"/>
      <c r="AD81" s="497"/>
      <c r="AE81" s="497"/>
      <c r="AF81" s="497"/>
      <c r="AG81" s="983"/>
      <c r="AH81" s="897"/>
    </row>
    <row r="82" spans="1:36" ht="15">
      <c r="A82" s="497"/>
      <c r="B82" s="497"/>
      <c r="C82" s="387"/>
      <c r="D82" s="497"/>
      <c r="E82" s="497"/>
      <c r="F82" s="561"/>
      <c r="G82" s="383"/>
      <c r="H82" s="497"/>
      <c r="I82" s="383"/>
      <c r="J82" s="497"/>
      <c r="K82" s="879"/>
      <c r="L82" s="775"/>
      <c r="M82" s="775"/>
      <c r="N82" s="497"/>
      <c r="O82" s="383"/>
      <c r="P82" s="497"/>
      <c r="Q82" s="497"/>
      <c r="R82" s="497"/>
      <c r="S82" s="497"/>
      <c r="T82" s="497"/>
      <c r="U82" s="497"/>
      <c r="V82" s="497"/>
      <c r="W82" s="497"/>
      <c r="X82" s="497"/>
      <c r="Y82" s="497"/>
      <c r="Z82" s="497"/>
      <c r="AA82" s="497"/>
      <c r="AB82" s="497"/>
      <c r="AC82" s="497"/>
      <c r="AD82" s="497"/>
      <c r="AE82" s="497"/>
      <c r="AF82" s="497"/>
      <c r="AG82" s="983"/>
      <c r="AH82" s="897"/>
    </row>
    <row r="83" spans="1:36" ht="15">
      <c r="A83" s="497"/>
      <c r="B83" s="497"/>
      <c r="C83" s="387"/>
      <c r="D83" s="497"/>
      <c r="E83" s="497"/>
      <c r="F83" s="561"/>
      <c r="G83" s="383"/>
      <c r="H83" s="497"/>
      <c r="I83" s="383"/>
      <c r="J83" s="497"/>
      <c r="K83" s="879"/>
      <c r="L83" s="775"/>
      <c r="M83" s="775"/>
      <c r="N83" s="497"/>
      <c r="O83" s="383"/>
      <c r="P83" s="497"/>
      <c r="Q83" s="497"/>
      <c r="R83" s="497"/>
      <c r="S83" s="497"/>
      <c r="T83" s="497"/>
      <c r="U83" s="497"/>
      <c r="V83" s="497"/>
      <c r="W83" s="497"/>
      <c r="X83" s="497"/>
      <c r="Y83" s="497"/>
      <c r="Z83" s="497"/>
      <c r="AA83" s="497"/>
      <c r="AB83" s="497"/>
      <c r="AC83" s="497"/>
      <c r="AD83" s="497"/>
      <c r="AE83" s="497"/>
      <c r="AF83" s="497"/>
      <c r="AG83" s="983"/>
      <c r="AH83" s="897"/>
    </row>
    <row r="84" spans="1:36" ht="13.5" thickBot="1">
      <c r="A84" s="898"/>
      <c r="B84" s="885"/>
      <c r="C84" s="885"/>
      <c r="D84" s="885"/>
      <c r="E84" s="885"/>
      <c r="F84" s="885"/>
      <c r="G84" s="885"/>
      <c r="H84" s="885"/>
      <c r="I84" s="899"/>
      <c r="J84" s="885"/>
      <c r="K84" s="885"/>
      <c r="L84" s="885"/>
      <c r="M84" s="885"/>
      <c r="N84" s="885"/>
      <c r="O84" s="885"/>
      <c r="P84" s="885"/>
      <c r="Q84" s="885"/>
      <c r="R84" s="885"/>
      <c r="S84" s="885"/>
      <c r="T84" s="885"/>
      <c r="U84" s="885"/>
      <c r="V84" s="885"/>
      <c r="W84" s="885"/>
      <c r="X84" s="885"/>
      <c r="Y84" s="885"/>
      <c r="Z84" s="885"/>
      <c r="AA84" s="885"/>
      <c r="AB84" s="885"/>
      <c r="AC84" s="885"/>
      <c r="AD84" s="885"/>
      <c r="AE84" s="885"/>
      <c r="AF84" s="885"/>
      <c r="AG84" s="984"/>
      <c r="AH84" s="900"/>
    </row>
    <row r="85" spans="1:36" ht="13.5" thickBot="1"/>
    <row r="86" spans="1:36" ht="18">
      <c r="A86" s="901"/>
      <c r="B86" s="852"/>
      <c r="C86" s="867"/>
      <c r="D86" s="888"/>
      <c r="E86" s="889"/>
      <c r="F86" s="868"/>
      <c r="G86" s="852"/>
      <c r="H86" s="852"/>
      <c r="I86" s="890"/>
      <c r="J86" s="868"/>
      <c r="K86" s="852"/>
      <c r="L86" s="891"/>
      <c r="M86" s="853"/>
      <c r="N86" s="860"/>
      <c r="O86" s="892"/>
      <c r="P86" s="893"/>
      <c r="Q86" s="894"/>
      <c r="R86" s="894"/>
      <c r="S86" s="894"/>
      <c r="T86" s="894"/>
      <c r="U86" s="894"/>
      <c r="V86" s="894"/>
      <c r="W86" s="894"/>
      <c r="X86" s="894"/>
      <c r="Y86" s="894"/>
      <c r="Z86" s="894"/>
      <c r="AA86" s="894"/>
      <c r="AB86" s="894"/>
      <c r="AC86" s="894"/>
      <c r="AD86" s="894"/>
      <c r="AE86" s="894"/>
      <c r="AF86" s="894"/>
      <c r="AG86" s="894"/>
      <c r="AH86" s="895"/>
    </row>
    <row r="87" spans="1:36" ht="15.75">
      <c r="A87" s="896"/>
      <c r="B87" s="879"/>
      <c r="C87" s="495"/>
      <c r="D87" s="456"/>
      <c r="E87" s="561"/>
      <c r="F87" s="383"/>
      <c r="G87" s="879"/>
      <c r="H87" s="879"/>
      <c r="I87" s="851"/>
      <c r="J87" s="383"/>
      <c r="K87" s="879"/>
      <c r="L87" s="81"/>
      <c r="M87" s="884"/>
      <c r="N87" s="859"/>
      <c r="O87" s="869"/>
      <c r="P87" s="15"/>
      <c r="Q87" s="772"/>
      <c r="R87" s="772"/>
      <c r="S87" s="772"/>
      <c r="T87" s="772"/>
      <c r="U87" s="772"/>
      <c r="V87" s="772"/>
      <c r="W87" s="772"/>
      <c r="X87" s="772"/>
      <c r="Y87" s="772"/>
      <c r="Z87" s="772"/>
      <c r="AA87" s="772"/>
      <c r="AB87" s="772"/>
      <c r="AC87" s="772"/>
      <c r="AD87" s="772"/>
      <c r="AE87" s="772"/>
      <c r="AF87" s="772"/>
      <c r="AG87" s="772"/>
      <c r="AH87" s="897"/>
    </row>
    <row r="88" spans="1:36" ht="15">
      <c r="A88" s="497"/>
      <c r="B88" s="497"/>
      <c r="C88" s="387"/>
      <c r="D88" s="497"/>
      <c r="E88" s="497"/>
      <c r="F88" s="561"/>
      <c r="G88" s="383"/>
      <c r="H88" s="497"/>
      <c r="I88" s="383"/>
      <c r="J88" s="497"/>
      <c r="K88" s="879"/>
      <c r="L88" s="775"/>
      <c r="M88" s="775"/>
      <c r="N88" s="497"/>
      <c r="O88" s="383"/>
      <c r="P88" s="497"/>
      <c r="Q88" s="497"/>
      <c r="R88" s="497"/>
      <c r="S88" s="497"/>
      <c r="T88" s="497"/>
      <c r="U88" s="497"/>
      <c r="V88" s="497"/>
      <c r="W88" s="497"/>
      <c r="X88" s="497"/>
      <c r="Y88" s="497"/>
      <c r="Z88" s="497"/>
      <c r="AA88" s="497"/>
      <c r="AB88" s="497"/>
      <c r="AC88" s="497"/>
      <c r="AD88" s="497"/>
      <c r="AE88" s="497"/>
      <c r="AF88" s="497"/>
      <c r="AG88" s="983"/>
      <c r="AH88" s="897"/>
    </row>
    <row r="89" spans="1:36" s="807" customFormat="1" ht="15">
      <c r="A89" s="497"/>
      <c r="B89" s="497"/>
      <c r="C89" s="387"/>
      <c r="D89" s="497"/>
      <c r="E89" s="497"/>
      <c r="F89" s="561"/>
      <c r="G89" s="383"/>
      <c r="H89" s="497"/>
      <c r="I89" s="383"/>
      <c r="J89" s="497"/>
      <c r="K89" s="879"/>
      <c r="L89" s="775"/>
      <c r="M89" s="775"/>
      <c r="N89" s="497"/>
      <c r="O89" s="383"/>
      <c r="P89" s="497"/>
      <c r="Q89" s="497"/>
      <c r="R89" s="497"/>
      <c r="S89" s="497"/>
      <c r="T89" s="497"/>
      <c r="U89" s="497"/>
      <c r="V89" s="497"/>
      <c r="W89" s="497"/>
      <c r="X89" s="497"/>
      <c r="Y89" s="497"/>
      <c r="Z89" s="497"/>
      <c r="AA89" s="497"/>
      <c r="AB89" s="497"/>
      <c r="AC89" s="497"/>
      <c r="AD89" s="497"/>
      <c r="AE89" s="497"/>
      <c r="AF89" s="497"/>
      <c r="AG89" s="983"/>
      <c r="AH89" s="897"/>
      <c r="AJ89" s="906"/>
    </row>
    <row r="90" spans="1:36" s="807" customFormat="1" ht="15">
      <c r="A90" s="497"/>
      <c r="B90" s="497"/>
      <c r="C90" s="387"/>
      <c r="D90" s="497"/>
      <c r="E90" s="497"/>
      <c r="F90" s="561"/>
      <c r="G90" s="383"/>
      <c r="H90" s="497"/>
      <c r="I90" s="383"/>
      <c r="J90" s="497"/>
      <c r="K90" s="879"/>
      <c r="L90" s="775"/>
      <c r="M90" s="775"/>
      <c r="N90" s="497"/>
      <c r="O90" s="383"/>
      <c r="P90" s="497"/>
      <c r="Q90" s="497"/>
      <c r="R90" s="497"/>
      <c r="S90" s="497"/>
      <c r="T90" s="497"/>
      <c r="U90" s="497"/>
      <c r="V90" s="497"/>
      <c r="W90" s="497"/>
      <c r="X90" s="497"/>
      <c r="Y90" s="497"/>
      <c r="Z90" s="497"/>
      <c r="AA90" s="497"/>
      <c r="AB90" s="497"/>
      <c r="AC90" s="497"/>
      <c r="AD90" s="497"/>
      <c r="AE90" s="497"/>
      <c r="AF90" s="497"/>
      <c r="AG90" s="983"/>
      <c r="AH90" s="897"/>
      <c r="AJ90" s="906"/>
    </row>
    <row r="91" spans="1:36" s="807" customFormat="1" ht="15">
      <c r="A91" s="497"/>
      <c r="B91" s="497"/>
      <c r="C91" s="387"/>
      <c r="D91" s="497"/>
      <c r="E91" s="497"/>
      <c r="F91" s="561"/>
      <c r="G91" s="383"/>
      <c r="H91" s="497"/>
      <c r="I91" s="383"/>
      <c r="J91" s="497"/>
      <c r="K91" s="879"/>
      <c r="L91" s="775"/>
      <c r="M91" s="775"/>
      <c r="N91" s="497"/>
      <c r="O91" s="383"/>
      <c r="P91" s="497"/>
      <c r="Q91" s="497"/>
      <c r="R91" s="497"/>
      <c r="S91" s="497"/>
      <c r="T91" s="497"/>
      <c r="U91" s="497"/>
      <c r="V91" s="497"/>
      <c r="W91" s="497"/>
      <c r="X91" s="497"/>
      <c r="Y91" s="497"/>
      <c r="Z91" s="497"/>
      <c r="AA91" s="497"/>
      <c r="AB91" s="497"/>
      <c r="AC91" s="497"/>
      <c r="AD91" s="497"/>
      <c r="AE91" s="497"/>
      <c r="AF91" s="497"/>
      <c r="AG91" s="983"/>
      <c r="AH91" s="897"/>
      <c r="AJ91" s="906"/>
    </row>
    <row r="92" spans="1:36" s="807" customFormat="1" ht="15">
      <c r="A92" s="497"/>
      <c r="B92" s="497"/>
      <c r="C92" s="387"/>
      <c r="D92" s="497"/>
      <c r="E92" s="497"/>
      <c r="F92" s="561"/>
      <c r="G92" s="383"/>
      <c r="H92" s="497"/>
      <c r="I92" s="383"/>
      <c r="J92" s="497"/>
      <c r="K92" s="879"/>
      <c r="L92" s="775"/>
      <c r="M92" s="775"/>
      <c r="N92" s="497"/>
      <c r="O92" s="383"/>
      <c r="P92" s="497"/>
      <c r="Q92" s="497"/>
      <c r="R92" s="497"/>
      <c r="S92" s="497"/>
      <c r="T92" s="497"/>
      <c r="U92" s="497"/>
      <c r="V92" s="497"/>
      <c r="W92" s="497"/>
      <c r="X92" s="497"/>
      <c r="Y92" s="497"/>
      <c r="Z92" s="497"/>
      <c r="AA92" s="497"/>
      <c r="AB92" s="497"/>
      <c r="AC92" s="497"/>
      <c r="AD92" s="497"/>
      <c r="AE92" s="497"/>
      <c r="AF92" s="497"/>
      <c r="AG92" s="983"/>
      <c r="AH92" s="897"/>
      <c r="AJ92" s="906"/>
    </row>
    <row r="93" spans="1:36" s="807" customFormat="1" ht="15">
      <c r="A93" s="497"/>
      <c r="B93" s="497"/>
      <c r="C93" s="387"/>
      <c r="D93" s="497"/>
      <c r="E93" s="497"/>
      <c r="F93" s="561"/>
      <c r="G93" s="383"/>
      <c r="H93" s="497"/>
      <c r="I93" s="383"/>
      <c r="J93" s="497"/>
      <c r="K93" s="879"/>
      <c r="L93" s="775"/>
      <c r="M93" s="775"/>
      <c r="N93" s="497"/>
      <c r="O93" s="383"/>
      <c r="P93" s="497"/>
      <c r="Q93" s="497"/>
      <c r="R93" s="497"/>
      <c r="S93" s="497"/>
      <c r="T93" s="497"/>
      <c r="U93" s="497"/>
      <c r="V93" s="497"/>
      <c r="W93" s="497"/>
      <c r="X93" s="497"/>
      <c r="Y93" s="497"/>
      <c r="Z93" s="497"/>
      <c r="AA93" s="497"/>
      <c r="AB93" s="497"/>
      <c r="AC93" s="497"/>
      <c r="AD93" s="497"/>
      <c r="AE93" s="497"/>
      <c r="AF93" s="497"/>
      <c r="AG93" s="983"/>
      <c r="AH93" s="897"/>
      <c r="AJ93" s="906"/>
    </row>
    <row r="94" spans="1:36" s="807" customFormat="1" ht="15">
      <c r="A94" s="497"/>
      <c r="B94" s="497"/>
      <c r="C94" s="387"/>
      <c r="D94" s="497"/>
      <c r="E94" s="497"/>
      <c r="F94" s="561"/>
      <c r="G94" s="383"/>
      <c r="H94" s="497"/>
      <c r="I94" s="383"/>
      <c r="J94" s="497"/>
      <c r="K94" s="879"/>
      <c r="L94" s="775"/>
      <c r="M94" s="775"/>
      <c r="N94" s="497"/>
      <c r="O94" s="383"/>
      <c r="P94" s="497"/>
      <c r="Q94" s="497"/>
      <c r="R94" s="497"/>
      <c r="S94" s="497"/>
      <c r="T94" s="497"/>
      <c r="U94" s="497"/>
      <c r="V94" s="497"/>
      <c r="W94" s="497"/>
      <c r="X94" s="497"/>
      <c r="Y94" s="497"/>
      <c r="Z94" s="497"/>
      <c r="AA94" s="497"/>
      <c r="AB94" s="497"/>
      <c r="AC94" s="497"/>
      <c r="AD94" s="497"/>
      <c r="AE94" s="497"/>
      <c r="AF94" s="497"/>
      <c r="AG94" s="983"/>
      <c r="AH94" s="897"/>
      <c r="AJ94" s="906"/>
    </row>
    <row r="95" spans="1:36" s="807" customFormat="1" ht="15">
      <c r="A95" s="497"/>
      <c r="B95" s="497"/>
      <c r="C95" s="387"/>
      <c r="D95" s="497"/>
      <c r="E95" s="497"/>
      <c r="F95" s="561"/>
      <c r="G95" s="383"/>
      <c r="H95" s="497"/>
      <c r="I95" s="383"/>
      <c r="J95" s="497"/>
      <c r="K95" s="879"/>
      <c r="L95" s="775"/>
      <c r="M95" s="775"/>
      <c r="N95" s="497"/>
      <c r="O95" s="383"/>
      <c r="P95" s="497"/>
      <c r="Q95" s="497"/>
      <c r="R95" s="497"/>
      <c r="S95" s="497"/>
      <c r="T95" s="497"/>
      <c r="U95" s="497"/>
      <c r="V95" s="497"/>
      <c r="W95" s="497"/>
      <c r="X95" s="497"/>
      <c r="Y95" s="497"/>
      <c r="Z95" s="497"/>
      <c r="AA95" s="497"/>
      <c r="AB95" s="497"/>
      <c r="AC95" s="497"/>
      <c r="AD95" s="497"/>
      <c r="AE95" s="497"/>
      <c r="AF95" s="497"/>
      <c r="AG95" s="983"/>
      <c r="AH95" s="897"/>
      <c r="AJ95" s="906"/>
    </row>
    <row r="96" spans="1:36" s="807" customFormat="1" ht="15">
      <c r="A96" s="497"/>
      <c r="B96" s="497"/>
      <c r="C96" s="387"/>
      <c r="D96" s="497"/>
      <c r="E96" s="497"/>
      <c r="F96" s="561"/>
      <c r="G96" s="383"/>
      <c r="H96" s="497"/>
      <c r="I96" s="383"/>
      <c r="J96" s="497"/>
      <c r="K96" s="879"/>
      <c r="L96" s="775"/>
      <c r="M96" s="775"/>
      <c r="N96" s="497"/>
      <c r="O96" s="383"/>
      <c r="P96" s="497"/>
      <c r="Q96" s="497"/>
      <c r="R96" s="497"/>
      <c r="S96" s="497"/>
      <c r="T96" s="497"/>
      <c r="U96" s="497"/>
      <c r="V96" s="497"/>
      <c r="W96" s="497"/>
      <c r="X96" s="497"/>
      <c r="Y96" s="497"/>
      <c r="Z96" s="497"/>
      <c r="AA96" s="497"/>
      <c r="AB96" s="497"/>
      <c r="AC96" s="497"/>
      <c r="AD96" s="497"/>
      <c r="AE96" s="497"/>
      <c r="AF96" s="497"/>
      <c r="AG96" s="983"/>
      <c r="AH96" s="897"/>
      <c r="AJ96" s="906"/>
    </row>
    <row r="97" spans="1:36" s="807" customFormat="1" ht="15">
      <c r="A97" s="497"/>
      <c r="B97" s="497"/>
      <c r="C97" s="387"/>
      <c r="D97" s="497"/>
      <c r="E97" s="497"/>
      <c r="F97" s="561"/>
      <c r="G97" s="383"/>
      <c r="H97" s="497"/>
      <c r="I97" s="383"/>
      <c r="J97" s="497"/>
      <c r="K97" s="879"/>
      <c r="L97" s="775"/>
      <c r="M97" s="775"/>
      <c r="N97" s="497"/>
      <c r="O97" s="383"/>
      <c r="P97" s="497"/>
      <c r="Q97" s="497"/>
      <c r="R97" s="497"/>
      <c r="S97" s="497"/>
      <c r="T97" s="497"/>
      <c r="U97" s="497"/>
      <c r="V97" s="497"/>
      <c r="W97" s="497"/>
      <c r="X97" s="497"/>
      <c r="Y97" s="497"/>
      <c r="Z97" s="497"/>
      <c r="AA97" s="497"/>
      <c r="AB97" s="497"/>
      <c r="AC97" s="497"/>
      <c r="AD97" s="497"/>
      <c r="AE97" s="497"/>
      <c r="AF97" s="497"/>
      <c r="AG97" s="983"/>
      <c r="AH97" s="897"/>
      <c r="AJ97" s="906"/>
    </row>
    <row r="98" spans="1:36" s="807" customFormat="1" ht="15">
      <c r="A98" s="497"/>
      <c r="B98" s="497"/>
      <c r="C98" s="387"/>
      <c r="D98" s="497"/>
      <c r="E98" s="497"/>
      <c r="F98" s="561"/>
      <c r="G98" s="383"/>
      <c r="H98" s="497"/>
      <c r="I98" s="383"/>
      <c r="J98" s="497"/>
      <c r="K98" s="879"/>
      <c r="L98" s="775"/>
      <c r="M98" s="775"/>
      <c r="N98" s="497"/>
      <c r="O98" s="383"/>
      <c r="P98" s="497"/>
      <c r="Q98" s="497"/>
      <c r="R98" s="497"/>
      <c r="S98" s="497"/>
      <c r="T98" s="497"/>
      <c r="U98" s="497"/>
      <c r="V98" s="497"/>
      <c r="W98" s="497"/>
      <c r="X98" s="497"/>
      <c r="Y98" s="497"/>
      <c r="Z98" s="497"/>
      <c r="AA98" s="497"/>
      <c r="AB98" s="497"/>
      <c r="AC98" s="497"/>
      <c r="AD98" s="497"/>
      <c r="AE98" s="497"/>
      <c r="AF98" s="497"/>
      <c r="AG98" s="983"/>
      <c r="AH98" s="897"/>
      <c r="AJ98" s="906"/>
    </row>
    <row r="99" spans="1:36" s="807" customFormat="1" ht="15">
      <c r="A99" s="497"/>
      <c r="B99" s="497"/>
      <c r="C99" s="387"/>
      <c r="D99" s="497"/>
      <c r="E99" s="497"/>
      <c r="F99" s="561"/>
      <c r="G99" s="383"/>
      <c r="H99" s="497"/>
      <c r="I99" s="383"/>
      <c r="J99" s="497"/>
      <c r="K99" s="879"/>
      <c r="L99" s="775"/>
      <c r="M99" s="775"/>
      <c r="N99" s="497"/>
      <c r="O99" s="383"/>
      <c r="P99" s="497"/>
      <c r="Q99" s="497"/>
      <c r="R99" s="497"/>
      <c r="S99" s="497"/>
      <c r="T99" s="497"/>
      <c r="U99" s="497"/>
      <c r="V99" s="497"/>
      <c r="W99" s="497"/>
      <c r="X99" s="497"/>
      <c r="Y99" s="497"/>
      <c r="Z99" s="497"/>
      <c r="AA99" s="497"/>
      <c r="AB99" s="497"/>
      <c r="AC99" s="497"/>
      <c r="AD99" s="497"/>
      <c r="AE99" s="497"/>
      <c r="AF99" s="497"/>
      <c r="AG99" s="983"/>
      <c r="AH99" s="897"/>
      <c r="AJ99" s="906"/>
    </row>
    <row r="100" spans="1:36" s="807" customFormat="1" ht="15">
      <c r="A100" s="497"/>
      <c r="B100" s="497"/>
      <c r="C100" s="387"/>
      <c r="D100" s="497"/>
      <c r="E100" s="497"/>
      <c r="F100" s="561"/>
      <c r="G100" s="383"/>
      <c r="H100" s="497"/>
      <c r="I100" s="383"/>
      <c r="J100" s="497"/>
      <c r="K100" s="879"/>
      <c r="L100" s="775"/>
      <c r="M100" s="775"/>
      <c r="N100" s="497"/>
      <c r="O100" s="383"/>
      <c r="P100" s="497"/>
      <c r="Q100" s="497"/>
      <c r="R100" s="497"/>
      <c r="S100" s="497"/>
      <c r="T100" s="497"/>
      <c r="U100" s="497"/>
      <c r="V100" s="497"/>
      <c r="W100" s="497"/>
      <c r="X100" s="497"/>
      <c r="Y100" s="497"/>
      <c r="Z100" s="497"/>
      <c r="AA100" s="497"/>
      <c r="AB100" s="497"/>
      <c r="AC100" s="497"/>
      <c r="AD100" s="497"/>
      <c r="AE100" s="497"/>
      <c r="AF100" s="497"/>
      <c r="AG100" s="983"/>
      <c r="AH100" s="897"/>
      <c r="AJ100" s="906"/>
    </row>
    <row r="101" spans="1:36" s="807" customFormat="1" ht="15">
      <c r="A101" s="497"/>
      <c r="B101" s="497"/>
      <c r="C101" s="387"/>
      <c r="D101" s="497"/>
      <c r="E101" s="497"/>
      <c r="F101" s="561"/>
      <c r="G101" s="383"/>
      <c r="H101" s="497"/>
      <c r="I101" s="383"/>
      <c r="J101" s="497"/>
      <c r="K101" s="879"/>
      <c r="L101" s="775"/>
      <c r="M101" s="775"/>
      <c r="N101" s="497"/>
      <c r="O101" s="383"/>
      <c r="P101" s="497"/>
      <c r="Q101" s="497"/>
      <c r="R101" s="497"/>
      <c r="S101" s="497"/>
      <c r="T101" s="497"/>
      <c r="U101" s="497"/>
      <c r="V101" s="497"/>
      <c r="W101" s="497"/>
      <c r="X101" s="497"/>
      <c r="Y101" s="497"/>
      <c r="Z101" s="497"/>
      <c r="AA101" s="497"/>
      <c r="AB101" s="497"/>
      <c r="AC101" s="497"/>
      <c r="AD101" s="497"/>
      <c r="AE101" s="497"/>
      <c r="AF101" s="497"/>
      <c r="AG101" s="983"/>
      <c r="AH101" s="897"/>
      <c r="AJ101" s="906"/>
    </row>
    <row r="102" spans="1:36" s="807" customFormat="1" ht="15">
      <c r="A102" s="497"/>
      <c r="B102" s="497"/>
      <c r="C102" s="387"/>
      <c r="D102" s="497"/>
      <c r="E102" s="497"/>
      <c r="F102" s="561"/>
      <c r="G102" s="383"/>
      <c r="H102" s="497"/>
      <c r="I102" s="383"/>
      <c r="J102" s="497"/>
      <c r="K102" s="879"/>
      <c r="L102" s="775"/>
      <c r="M102" s="775"/>
      <c r="N102" s="497"/>
      <c r="O102" s="383"/>
      <c r="P102" s="497"/>
      <c r="Q102" s="497"/>
      <c r="R102" s="497"/>
      <c r="S102" s="497"/>
      <c r="T102" s="497"/>
      <c r="U102" s="497"/>
      <c r="V102" s="497"/>
      <c r="W102" s="497"/>
      <c r="X102" s="497"/>
      <c r="Y102" s="497"/>
      <c r="Z102" s="497"/>
      <c r="AA102" s="497"/>
      <c r="AB102" s="497"/>
      <c r="AC102" s="497"/>
      <c r="AD102" s="497"/>
      <c r="AE102" s="497"/>
      <c r="AF102" s="497"/>
      <c r="AG102" s="983"/>
      <c r="AH102" s="897"/>
      <c r="AJ102" s="906"/>
    </row>
    <row r="103" spans="1:36" s="807" customFormat="1" ht="15">
      <c r="A103" s="497"/>
      <c r="B103" s="497"/>
      <c r="C103" s="387"/>
      <c r="D103" s="497"/>
      <c r="E103" s="497"/>
      <c r="F103" s="561"/>
      <c r="G103" s="383"/>
      <c r="H103" s="497"/>
      <c r="I103" s="383"/>
      <c r="J103" s="497"/>
      <c r="K103" s="879"/>
      <c r="L103" s="775"/>
      <c r="M103" s="775"/>
      <c r="N103" s="497"/>
      <c r="O103" s="383"/>
      <c r="P103" s="497"/>
      <c r="Q103" s="497"/>
      <c r="R103" s="497"/>
      <c r="S103" s="497"/>
      <c r="T103" s="497"/>
      <c r="U103" s="497"/>
      <c r="V103" s="497"/>
      <c r="W103" s="497"/>
      <c r="X103" s="497"/>
      <c r="Y103" s="497"/>
      <c r="Z103" s="497"/>
      <c r="AA103" s="497"/>
      <c r="AB103" s="497"/>
      <c r="AC103" s="497"/>
      <c r="AD103" s="497"/>
      <c r="AE103" s="497"/>
      <c r="AF103" s="497"/>
      <c r="AG103" s="983"/>
      <c r="AH103" s="897"/>
      <c r="AJ103" s="906"/>
    </row>
    <row r="104" spans="1:36" s="807" customFormat="1" ht="15">
      <c r="A104" s="497"/>
      <c r="B104" s="497"/>
      <c r="C104" s="387"/>
      <c r="D104" s="497"/>
      <c r="E104" s="497"/>
      <c r="F104" s="561"/>
      <c r="G104" s="383"/>
      <c r="H104" s="497"/>
      <c r="I104" s="383"/>
      <c r="J104" s="497"/>
      <c r="K104" s="879"/>
      <c r="L104" s="775"/>
      <c r="M104" s="775"/>
      <c r="N104" s="497"/>
      <c r="O104" s="383"/>
      <c r="P104" s="497"/>
      <c r="Q104" s="497"/>
      <c r="R104" s="497"/>
      <c r="S104" s="497"/>
      <c r="T104" s="497"/>
      <c r="U104" s="497"/>
      <c r="V104" s="497"/>
      <c r="W104" s="497"/>
      <c r="X104" s="497"/>
      <c r="Y104" s="497"/>
      <c r="Z104" s="497"/>
      <c r="AA104" s="497"/>
      <c r="AB104" s="497"/>
      <c r="AC104" s="497"/>
      <c r="AD104" s="497"/>
      <c r="AE104" s="497"/>
      <c r="AF104" s="497"/>
      <c r="AG104" s="983"/>
      <c r="AH104" s="897"/>
      <c r="AJ104" s="906"/>
    </row>
    <row r="105" spans="1:36" s="807" customFormat="1" ht="15">
      <c r="A105" s="497"/>
      <c r="B105" s="497"/>
      <c r="C105" s="387"/>
      <c r="D105" s="497"/>
      <c r="E105" s="497"/>
      <c r="F105" s="561"/>
      <c r="G105" s="383"/>
      <c r="H105" s="497"/>
      <c r="I105" s="383"/>
      <c r="J105" s="497"/>
      <c r="K105" s="879"/>
      <c r="L105" s="775"/>
      <c r="M105" s="775"/>
      <c r="N105" s="497"/>
      <c r="O105" s="383"/>
      <c r="P105" s="497"/>
      <c r="Q105" s="497"/>
      <c r="R105" s="497"/>
      <c r="S105" s="497"/>
      <c r="T105" s="497"/>
      <c r="U105" s="497"/>
      <c r="V105" s="497"/>
      <c r="W105" s="497"/>
      <c r="X105" s="497"/>
      <c r="Y105" s="497"/>
      <c r="Z105" s="497"/>
      <c r="AA105" s="497"/>
      <c r="AB105" s="497"/>
      <c r="AC105" s="497"/>
      <c r="AD105" s="497"/>
      <c r="AE105" s="497"/>
      <c r="AF105" s="497"/>
      <c r="AG105" s="983"/>
      <c r="AH105" s="897"/>
      <c r="AJ105" s="906"/>
    </row>
    <row r="106" spans="1:36" s="807" customFormat="1" ht="15">
      <c r="A106" s="497"/>
      <c r="B106" s="497"/>
      <c r="C106" s="387"/>
      <c r="D106" s="497"/>
      <c r="E106" s="497"/>
      <c r="F106" s="561"/>
      <c r="G106" s="383"/>
      <c r="H106" s="497"/>
      <c r="I106" s="383"/>
      <c r="J106" s="497"/>
      <c r="K106" s="879"/>
      <c r="L106" s="775"/>
      <c r="M106" s="775"/>
      <c r="N106" s="497"/>
      <c r="O106" s="383"/>
      <c r="P106" s="497"/>
      <c r="Q106" s="497"/>
      <c r="R106" s="497"/>
      <c r="S106" s="497"/>
      <c r="T106" s="497"/>
      <c r="U106" s="497"/>
      <c r="V106" s="497"/>
      <c r="W106" s="497"/>
      <c r="X106" s="497"/>
      <c r="Y106" s="497"/>
      <c r="Z106" s="497"/>
      <c r="AA106" s="497"/>
      <c r="AB106" s="497"/>
      <c r="AC106" s="497"/>
      <c r="AD106" s="497"/>
      <c r="AE106" s="497"/>
      <c r="AF106" s="497"/>
      <c r="AG106" s="983"/>
      <c r="AH106" s="897"/>
      <c r="AJ106" s="906"/>
    </row>
    <row r="107" spans="1:36" s="807" customFormat="1" ht="15">
      <c r="A107" s="497"/>
      <c r="B107" s="497"/>
      <c r="C107" s="387"/>
      <c r="D107" s="497"/>
      <c r="E107" s="497"/>
      <c r="F107" s="561"/>
      <c r="G107" s="383"/>
      <c r="H107" s="497"/>
      <c r="I107" s="383"/>
      <c r="J107" s="497"/>
      <c r="K107" s="879"/>
      <c r="L107" s="775"/>
      <c r="M107" s="775"/>
      <c r="N107" s="497"/>
      <c r="O107" s="383"/>
      <c r="P107" s="497"/>
      <c r="Q107" s="497"/>
      <c r="R107" s="497"/>
      <c r="S107" s="497"/>
      <c r="T107" s="497"/>
      <c r="U107" s="497"/>
      <c r="V107" s="497"/>
      <c r="W107" s="497"/>
      <c r="X107" s="497"/>
      <c r="Y107" s="497"/>
      <c r="Z107" s="497"/>
      <c r="AA107" s="497"/>
      <c r="AB107" s="497"/>
      <c r="AC107" s="497"/>
      <c r="AD107" s="497"/>
      <c r="AE107" s="497"/>
      <c r="AF107" s="497"/>
      <c r="AG107" s="983"/>
      <c r="AH107" s="897"/>
      <c r="AJ107" s="906"/>
    </row>
    <row r="108" spans="1:36" s="807" customFormat="1" ht="15">
      <c r="A108" s="497"/>
      <c r="B108" s="497"/>
      <c r="C108" s="387"/>
      <c r="D108" s="497"/>
      <c r="E108" s="497"/>
      <c r="F108" s="561"/>
      <c r="G108" s="383"/>
      <c r="H108" s="497"/>
      <c r="I108" s="383"/>
      <c r="J108" s="497"/>
      <c r="K108" s="879"/>
      <c r="L108" s="775"/>
      <c r="M108" s="775"/>
      <c r="N108" s="497"/>
      <c r="O108" s="383"/>
      <c r="P108" s="497"/>
      <c r="Q108" s="497"/>
      <c r="R108" s="497"/>
      <c r="S108" s="497"/>
      <c r="T108" s="497"/>
      <c r="U108" s="497"/>
      <c r="V108" s="497"/>
      <c r="W108" s="497"/>
      <c r="X108" s="497"/>
      <c r="Y108" s="497"/>
      <c r="Z108" s="497"/>
      <c r="AA108" s="497"/>
      <c r="AB108" s="497"/>
      <c r="AC108" s="497"/>
      <c r="AD108" s="497"/>
      <c r="AE108" s="497"/>
      <c r="AF108" s="497"/>
      <c r="AG108" s="983"/>
      <c r="AH108" s="897"/>
      <c r="AJ108" s="906"/>
    </row>
    <row r="109" spans="1:36" s="807" customFormat="1" ht="15">
      <c r="A109" s="497"/>
      <c r="B109" s="497"/>
      <c r="C109" s="387"/>
      <c r="D109" s="497"/>
      <c r="E109" s="497"/>
      <c r="F109" s="561"/>
      <c r="G109" s="383"/>
      <c r="H109" s="497"/>
      <c r="I109" s="383"/>
      <c r="J109" s="497"/>
      <c r="K109" s="879"/>
      <c r="L109" s="775"/>
      <c r="M109" s="775"/>
      <c r="N109" s="497"/>
      <c r="O109" s="383"/>
      <c r="P109" s="497"/>
      <c r="Q109" s="497"/>
      <c r="R109" s="497"/>
      <c r="S109" s="497"/>
      <c r="T109" s="497"/>
      <c r="U109" s="497"/>
      <c r="V109" s="497"/>
      <c r="W109" s="497"/>
      <c r="X109" s="497"/>
      <c r="Y109" s="497"/>
      <c r="Z109" s="497"/>
      <c r="AA109" s="497"/>
      <c r="AB109" s="497"/>
      <c r="AC109" s="497"/>
      <c r="AD109" s="497"/>
      <c r="AE109" s="497"/>
      <c r="AF109" s="497"/>
      <c r="AG109" s="983"/>
      <c r="AH109" s="897"/>
      <c r="AJ109" s="906"/>
    </row>
    <row r="110" spans="1:36" s="807" customFormat="1" ht="15">
      <c r="A110" s="497"/>
      <c r="B110" s="497"/>
      <c r="C110" s="387"/>
      <c r="D110" s="497"/>
      <c r="E110" s="497"/>
      <c r="F110" s="561"/>
      <c r="G110" s="383"/>
      <c r="H110" s="497"/>
      <c r="I110" s="383"/>
      <c r="J110" s="497"/>
      <c r="K110" s="879"/>
      <c r="L110" s="775"/>
      <c r="M110" s="775"/>
      <c r="N110" s="497"/>
      <c r="O110" s="383"/>
      <c r="P110" s="497"/>
      <c r="Q110" s="497"/>
      <c r="R110" s="497"/>
      <c r="S110" s="497"/>
      <c r="T110" s="497"/>
      <c r="U110" s="497"/>
      <c r="V110" s="497"/>
      <c r="W110" s="497"/>
      <c r="X110" s="497"/>
      <c r="Y110" s="497"/>
      <c r="Z110" s="497"/>
      <c r="AA110" s="497"/>
      <c r="AB110" s="497"/>
      <c r="AC110" s="497"/>
      <c r="AD110" s="497"/>
      <c r="AE110" s="497"/>
      <c r="AF110" s="497"/>
      <c r="AG110" s="983"/>
      <c r="AH110" s="897"/>
      <c r="AJ110" s="906"/>
    </row>
    <row r="111" spans="1:36" s="807" customFormat="1" ht="15">
      <c r="A111" s="497"/>
      <c r="B111" s="497"/>
      <c r="C111" s="387"/>
      <c r="D111" s="497"/>
      <c r="E111" s="497"/>
      <c r="F111" s="561"/>
      <c r="G111" s="383"/>
      <c r="H111" s="497"/>
      <c r="I111" s="383"/>
      <c r="J111" s="497"/>
      <c r="K111" s="879"/>
      <c r="L111" s="775"/>
      <c r="M111" s="775"/>
      <c r="N111" s="497"/>
      <c r="O111" s="383"/>
      <c r="P111" s="497"/>
      <c r="Q111" s="497"/>
      <c r="R111" s="497"/>
      <c r="S111" s="497"/>
      <c r="T111" s="497"/>
      <c r="U111" s="497"/>
      <c r="V111" s="497"/>
      <c r="W111" s="497"/>
      <c r="X111" s="497"/>
      <c r="Y111" s="497"/>
      <c r="Z111" s="497"/>
      <c r="AA111" s="497"/>
      <c r="AB111" s="497"/>
      <c r="AC111" s="497"/>
      <c r="AD111" s="497"/>
      <c r="AE111" s="497"/>
      <c r="AF111" s="497"/>
      <c r="AG111" s="983"/>
      <c r="AH111" s="897"/>
      <c r="AJ111" s="906"/>
    </row>
    <row r="112" spans="1:36" s="807" customFormat="1" ht="15">
      <c r="A112" s="497"/>
      <c r="B112" s="497"/>
      <c r="C112" s="387"/>
      <c r="D112" s="497"/>
      <c r="E112" s="497"/>
      <c r="F112" s="561"/>
      <c r="G112" s="383"/>
      <c r="H112" s="497"/>
      <c r="I112" s="383"/>
      <c r="J112" s="497"/>
      <c r="K112" s="879"/>
      <c r="L112" s="775"/>
      <c r="M112" s="775"/>
      <c r="N112" s="497"/>
      <c r="O112" s="383"/>
      <c r="P112" s="497"/>
      <c r="Q112" s="497"/>
      <c r="R112" s="497"/>
      <c r="S112" s="497"/>
      <c r="T112" s="497"/>
      <c r="U112" s="497"/>
      <c r="V112" s="497"/>
      <c r="W112" s="497"/>
      <c r="X112" s="497"/>
      <c r="Y112" s="497"/>
      <c r="Z112" s="497"/>
      <c r="AA112" s="497"/>
      <c r="AB112" s="497"/>
      <c r="AC112" s="497"/>
      <c r="AD112" s="497"/>
      <c r="AE112" s="497"/>
      <c r="AF112" s="497"/>
      <c r="AG112" s="983"/>
      <c r="AH112" s="897"/>
      <c r="AJ112" s="906"/>
    </row>
    <row r="113" spans="1:36" s="807" customFormat="1" ht="15">
      <c r="A113" s="497"/>
      <c r="B113" s="497"/>
      <c r="C113" s="387"/>
      <c r="D113" s="497"/>
      <c r="E113" s="497"/>
      <c r="F113" s="561"/>
      <c r="G113" s="383"/>
      <c r="H113" s="497"/>
      <c r="I113" s="383"/>
      <c r="J113" s="497"/>
      <c r="K113" s="879"/>
      <c r="L113" s="775"/>
      <c r="M113" s="775"/>
      <c r="N113" s="497"/>
      <c r="O113" s="383"/>
      <c r="P113" s="497"/>
      <c r="Q113" s="497"/>
      <c r="R113" s="497"/>
      <c r="S113" s="497"/>
      <c r="T113" s="497"/>
      <c r="U113" s="497"/>
      <c r="V113" s="497"/>
      <c r="W113" s="497"/>
      <c r="X113" s="497"/>
      <c r="Y113" s="497"/>
      <c r="Z113" s="497"/>
      <c r="AA113" s="497"/>
      <c r="AB113" s="497"/>
      <c r="AC113" s="497"/>
      <c r="AD113" s="497"/>
      <c r="AE113" s="497"/>
      <c r="AF113" s="497"/>
      <c r="AG113" s="983"/>
      <c r="AH113" s="897"/>
      <c r="AJ113" s="906"/>
    </row>
    <row r="114" spans="1:36" s="807" customFormat="1" ht="15">
      <c r="A114" s="497"/>
      <c r="B114" s="497"/>
      <c r="C114" s="387"/>
      <c r="D114" s="497"/>
      <c r="E114" s="497"/>
      <c r="F114" s="561"/>
      <c r="G114" s="383"/>
      <c r="H114" s="497"/>
      <c r="I114" s="383"/>
      <c r="J114" s="497"/>
      <c r="K114" s="879"/>
      <c r="L114" s="775"/>
      <c r="M114" s="775"/>
      <c r="N114" s="497"/>
      <c r="O114" s="383"/>
      <c r="P114" s="497"/>
      <c r="Q114" s="497"/>
      <c r="R114" s="497"/>
      <c r="S114" s="497"/>
      <c r="T114" s="497"/>
      <c r="U114" s="497"/>
      <c r="V114" s="497"/>
      <c r="W114" s="497"/>
      <c r="X114" s="497"/>
      <c r="Y114" s="497"/>
      <c r="Z114" s="497"/>
      <c r="AA114" s="497"/>
      <c r="AB114" s="497"/>
      <c r="AC114" s="497"/>
      <c r="AD114" s="497"/>
      <c r="AE114" s="497"/>
      <c r="AF114" s="497"/>
      <c r="AG114" s="983"/>
      <c r="AH114" s="897"/>
      <c r="AJ114" s="906"/>
    </row>
    <row r="115" spans="1:36" s="807" customFormat="1" ht="15">
      <c r="A115" s="497"/>
      <c r="B115" s="497"/>
      <c r="C115" s="387"/>
      <c r="D115" s="497"/>
      <c r="E115" s="497"/>
      <c r="F115" s="561"/>
      <c r="G115" s="383"/>
      <c r="H115" s="497"/>
      <c r="I115" s="383"/>
      <c r="J115" s="497"/>
      <c r="K115" s="879"/>
      <c r="L115" s="775"/>
      <c r="M115" s="775"/>
      <c r="N115" s="497"/>
      <c r="O115" s="383"/>
      <c r="P115" s="497"/>
      <c r="Q115" s="497"/>
      <c r="R115" s="497"/>
      <c r="S115" s="497"/>
      <c r="T115" s="497"/>
      <c r="U115" s="497"/>
      <c r="V115" s="497"/>
      <c r="W115" s="497"/>
      <c r="X115" s="497"/>
      <c r="Y115" s="497"/>
      <c r="Z115" s="497"/>
      <c r="AA115" s="497"/>
      <c r="AB115" s="497"/>
      <c r="AC115" s="497"/>
      <c r="AD115" s="497"/>
      <c r="AE115" s="497"/>
      <c r="AF115" s="497"/>
      <c r="AG115" s="983"/>
      <c r="AH115" s="897"/>
      <c r="AJ115" s="906"/>
    </row>
    <row r="116" spans="1:36" s="807" customFormat="1" ht="15">
      <c r="A116" s="497"/>
      <c r="B116" s="497"/>
      <c r="C116" s="387"/>
      <c r="D116" s="497"/>
      <c r="E116" s="497"/>
      <c r="F116" s="561"/>
      <c r="G116" s="383"/>
      <c r="H116" s="497"/>
      <c r="I116" s="383"/>
      <c r="J116" s="497"/>
      <c r="K116" s="879"/>
      <c r="L116" s="775"/>
      <c r="M116" s="775"/>
      <c r="N116" s="497"/>
      <c r="O116" s="383"/>
      <c r="P116" s="497"/>
      <c r="Q116" s="497"/>
      <c r="R116" s="497"/>
      <c r="S116" s="497"/>
      <c r="T116" s="497"/>
      <c r="U116" s="497"/>
      <c r="V116" s="497"/>
      <c r="W116" s="497"/>
      <c r="X116" s="497"/>
      <c r="Y116" s="497"/>
      <c r="Z116" s="497"/>
      <c r="AA116" s="497"/>
      <c r="AB116" s="497"/>
      <c r="AC116" s="497"/>
      <c r="AD116" s="497"/>
      <c r="AE116" s="497"/>
      <c r="AF116" s="497"/>
      <c r="AG116" s="983"/>
      <c r="AH116" s="897"/>
      <c r="AJ116" s="906"/>
    </row>
    <row r="117" spans="1:36" s="807" customFormat="1" ht="15">
      <c r="A117" s="497"/>
      <c r="B117" s="497"/>
      <c r="C117" s="387"/>
      <c r="D117" s="497"/>
      <c r="E117" s="497"/>
      <c r="F117" s="561"/>
      <c r="G117" s="383"/>
      <c r="H117" s="497"/>
      <c r="I117" s="383"/>
      <c r="J117" s="497"/>
      <c r="K117" s="879"/>
      <c r="L117" s="775"/>
      <c r="M117" s="775"/>
      <c r="N117" s="497"/>
      <c r="O117" s="383"/>
      <c r="P117" s="497"/>
      <c r="Q117" s="497"/>
      <c r="R117" s="497"/>
      <c r="S117" s="497"/>
      <c r="T117" s="497"/>
      <c r="U117" s="497"/>
      <c r="V117" s="497"/>
      <c r="W117" s="497"/>
      <c r="X117" s="497"/>
      <c r="Y117" s="497"/>
      <c r="Z117" s="497"/>
      <c r="AA117" s="497"/>
      <c r="AB117" s="497"/>
      <c r="AC117" s="497"/>
      <c r="AD117" s="497"/>
      <c r="AE117" s="497"/>
      <c r="AF117" s="497"/>
      <c r="AG117" s="983"/>
      <c r="AH117" s="897"/>
      <c r="AJ117" s="906"/>
    </row>
    <row r="118" spans="1:36" s="807" customFormat="1" ht="15">
      <c r="A118" s="497"/>
      <c r="B118" s="497"/>
      <c r="C118" s="387"/>
      <c r="D118" s="497"/>
      <c r="E118" s="497"/>
      <c r="F118" s="561"/>
      <c r="G118" s="383"/>
      <c r="H118" s="497"/>
      <c r="I118" s="383"/>
      <c r="J118" s="497"/>
      <c r="K118" s="879"/>
      <c r="L118" s="775"/>
      <c r="M118" s="775"/>
      <c r="N118" s="497"/>
      <c r="O118" s="383"/>
      <c r="P118" s="497"/>
      <c r="Q118" s="497"/>
      <c r="R118" s="497"/>
      <c r="S118" s="497"/>
      <c r="T118" s="497"/>
      <c r="U118" s="497"/>
      <c r="V118" s="497"/>
      <c r="W118" s="497"/>
      <c r="X118" s="497"/>
      <c r="Y118" s="497"/>
      <c r="Z118" s="497"/>
      <c r="AA118" s="497"/>
      <c r="AB118" s="497"/>
      <c r="AC118" s="497"/>
      <c r="AD118" s="497"/>
      <c r="AE118" s="497"/>
      <c r="AF118" s="497"/>
      <c r="AG118" s="983"/>
      <c r="AH118" s="897"/>
      <c r="AJ118" s="906"/>
    </row>
    <row r="119" spans="1:36" s="807" customFormat="1" ht="15">
      <c r="A119" s="497"/>
      <c r="B119" s="497"/>
      <c r="C119" s="387"/>
      <c r="D119" s="497"/>
      <c r="E119" s="497"/>
      <c r="F119" s="561"/>
      <c r="G119" s="383"/>
      <c r="H119" s="497"/>
      <c r="I119" s="383"/>
      <c r="J119" s="497"/>
      <c r="K119" s="879"/>
      <c r="L119" s="775"/>
      <c r="M119" s="775"/>
      <c r="N119" s="497"/>
      <c r="O119" s="383"/>
      <c r="P119" s="497"/>
      <c r="Q119" s="497"/>
      <c r="R119" s="497"/>
      <c r="S119" s="497"/>
      <c r="T119" s="497"/>
      <c r="U119" s="497"/>
      <c r="V119" s="497"/>
      <c r="W119" s="497"/>
      <c r="X119" s="497"/>
      <c r="Y119" s="497"/>
      <c r="Z119" s="497"/>
      <c r="AA119" s="497"/>
      <c r="AB119" s="497"/>
      <c r="AC119" s="497"/>
      <c r="AD119" s="497"/>
      <c r="AE119" s="497"/>
      <c r="AF119" s="497"/>
      <c r="AG119" s="983"/>
      <c r="AH119" s="897"/>
      <c r="AJ119" s="906"/>
    </row>
    <row r="120" spans="1:36" s="807" customFormat="1" ht="15">
      <c r="A120" s="497"/>
      <c r="B120" s="497"/>
      <c r="C120" s="387"/>
      <c r="D120" s="497"/>
      <c r="E120" s="497"/>
      <c r="F120" s="561"/>
      <c r="G120" s="383"/>
      <c r="H120" s="497"/>
      <c r="I120" s="383"/>
      <c r="J120" s="497"/>
      <c r="K120" s="879"/>
      <c r="L120" s="775"/>
      <c r="M120" s="775"/>
      <c r="N120" s="497"/>
      <c r="O120" s="383"/>
      <c r="P120" s="497"/>
      <c r="Q120" s="497"/>
      <c r="R120" s="497"/>
      <c r="S120" s="497"/>
      <c r="T120" s="497"/>
      <c r="U120" s="497"/>
      <c r="V120" s="497"/>
      <c r="W120" s="497"/>
      <c r="X120" s="497"/>
      <c r="Y120" s="497"/>
      <c r="Z120" s="497"/>
      <c r="AA120" s="497"/>
      <c r="AB120" s="497"/>
      <c r="AC120" s="497"/>
      <c r="AD120" s="497"/>
      <c r="AE120" s="497"/>
      <c r="AF120" s="497"/>
      <c r="AG120" s="983"/>
      <c r="AH120" s="897"/>
      <c r="AJ120" s="906"/>
    </row>
    <row r="121" spans="1:36" s="807" customFormat="1" ht="15">
      <c r="A121" s="497"/>
      <c r="B121" s="497"/>
      <c r="C121" s="387"/>
      <c r="D121" s="497"/>
      <c r="E121" s="497"/>
      <c r="F121" s="561"/>
      <c r="G121" s="383"/>
      <c r="H121" s="497"/>
      <c r="I121" s="383"/>
      <c r="J121" s="497"/>
      <c r="K121" s="879"/>
      <c r="L121" s="775"/>
      <c r="M121" s="775"/>
      <c r="N121" s="497"/>
      <c r="O121" s="383"/>
      <c r="P121" s="497"/>
      <c r="Q121" s="497"/>
      <c r="R121" s="497"/>
      <c r="S121" s="497"/>
      <c r="T121" s="497"/>
      <c r="U121" s="497"/>
      <c r="V121" s="497"/>
      <c r="W121" s="497"/>
      <c r="X121" s="497"/>
      <c r="Y121" s="497"/>
      <c r="Z121" s="497"/>
      <c r="AA121" s="497"/>
      <c r="AB121" s="497"/>
      <c r="AC121" s="497"/>
      <c r="AD121" s="497"/>
      <c r="AE121" s="497"/>
      <c r="AF121" s="497"/>
      <c r="AG121" s="983"/>
      <c r="AH121" s="897"/>
      <c r="AJ121" s="906"/>
    </row>
    <row r="122" spans="1:36" s="807" customFormat="1" ht="15">
      <c r="A122" s="497"/>
      <c r="B122" s="497"/>
      <c r="C122" s="387"/>
      <c r="D122" s="497"/>
      <c r="E122" s="497"/>
      <c r="F122" s="561"/>
      <c r="G122" s="383"/>
      <c r="H122" s="497"/>
      <c r="I122" s="383"/>
      <c r="J122" s="497"/>
      <c r="K122" s="879"/>
      <c r="L122" s="775"/>
      <c r="M122" s="775"/>
      <c r="N122" s="497"/>
      <c r="O122" s="383"/>
      <c r="P122" s="497"/>
      <c r="Q122" s="497"/>
      <c r="R122" s="497"/>
      <c r="S122" s="497"/>
      <c r="T122" s="497"/>
      <c r="U122" s="497"/>
      <c r="V122" s="497"/>
      <c r="W122" s="497"/>
      <c r="X122" s="497"/>
      <c r="Y122" s="497"/>
      <c r="Z122" s="497"/>
      <c r="AA122" s="497"/>
      <c r="AB122" s="497"/>
      <c r="AC122" s="497"/>
      <c r="AD122" s="497"/>
      <c r="AE122" s="497"/>
      <c r="AF122" s="497"/>
      <c r="AG122" s="983"/>
      <c r="AH122" s="897"/>
      <c r="AJ122" s="906"/>
    </row>
    <row r="123" spans="1:36" s="807" customFormat="1" ht="15">
      <c r="A123" s="497"/>
      <c r="B123" s="497"/>
      <c r="C123" s="387"/>
      <c r="D123" s="497"/>
      <c r="E123" s="497"/>
      <c r="F123" s="561"/>
      <c r="G123" s="383"/>
      <c r="H123" s="497"/>
      <c r="I123" s="383"/>
      <c r="J123" s="497"/>
      <c r="K123" s="879"/>
      <c r="L123" s="775"/>
      <c r="M123" s="775"/>
      <c r="N123" s="497"/>
      <c r="O123" s="383"/>
      <c r="P123" s="497"/>
      <c r="Q123" s="497"/>
      <c r="R123" s="497"/>
      <c r="S123" s="497"/>
      <c r="T123" s="497"/>
      <c r="U123" s="497"/>
      <c r="V123" s="497"/>
      <c r="W123" s="497"/>
      <c r="X123" s="497"/>
      <c r="Y123" s="497"/>
      <c r="Z123" s="497"/>
      <c r="AA123" s="497"/>
      <c r="AB123" s="497"/>
      <c r="AC123" s="497"/>
      <c r="AD123" s="497"/>
      <c r="AE123" s="497"/>
      <c r="AF123" s="497"/>
      <c r="AG123" s="983"/>
      <c r="AH123" s="897"/>
      <c r="AJ123" s="906"/>
    </row>
    <row r="124" spans="1:36" s="807" customFormat="1" ht="15">
      <c r="A124" s="497"/>
      <c r="B124" s="497"/>
      <c r="C124" s="387"/>
      <c r="D124" s="497"/>
      <c r="E124" s="497"/>
      <c r="F124" s="561"/>
      <c r="G124" s="383"/>
      <c r="H124" s="497"/>
      <c r="I124" s="383"/>
      <c r="J124" s="497"/>
      <c r="K124" s="879"/>
      <c r="L124" s="775"/>
      <c r="M124" s="775"/>
      <c r="N124" s="497"/>
      <c r="O124" s="383"/>
      <c r="P124" s="497"/>
      <c r="Q124" s="497"/>
      <c r="R124" s="497"/>
      <c r="S124" s="497"/>
      <c r="T124" s="497"/>
      <c r="U124" s="497"/>
      <c r="V124" s="497"/>
      <c r="W124" s="497"/>
      <c r="X124" s="497"/>
      <c r="Y124" s="497"/>
      <c r="Z124" s="497"/>
      <c r="AA124" s="497"/>
      <c r="AB124" s="497"/>
      <c r="AC124" s="497"/>
      <c r="AD124" s="497"/>
      <c r="AE124" s="497"/>
      <c r="AF124" s="497"/>
      <c r="AG124" s="983"/>
      <c r="AH124" s="897"/>
      <c r="AJ124" s="906"/>
    </row>
    <row r="125" spans="1:36" s="807" customFormat="1" ht="15">
      <c r="A125" s="497"/>
      <c r="B125" s="497"/>
      <c r="C125" s="387"/>
      <c r="D125" s="497"/>
      <c r="E125" s="497"/>
      <c r="F125" s="561"/>
      <c r="G125" s="383"/>
      <c r="H125" s="497"/>
      <c r="I125" s="383"/>
      <c r="J125" s="497"/>
      <c r="K125" s="879"/>
      <c r="L125" s="775"/>
      <c r="M125" s="775"/>
      <c r="N125" s="497"/>
      <c r="O125" s="383"/>
      <c r="P125" s="497"/>
      <c r="Q125" s="497"/>
      <c r="R125" s="497"/>
      <c r="S125" s="497"/>
      <c r="T125" s="497"/>
      <c r="U125" s="497"/>
      <c r="V125" s="497"/>
      <c r="W125" s="497"/>
      <c r="X125" s="497"/>
      <c r="Y125" s="497"/>
      <c r="Z125" s="497"/>
      <c r="AA125" s="497"/>
      <c r="AB125" s="497"/>
      <c r="AC125" s="497"/>
      <c r="AD125" s="497"/>
      <c r="AE125" s="497"/>
      <c r="AF125" s="497"/>
      <c r="AG125" s="983"/>
      <c r="AH125" s="897"/>
      <c r="AJ125" s="906"/>
    </row>
    <row r="126" spans="1:36" s="807" customFormat="1" ht="15">
      <c r="A126" s="497"/>
      <c r="B126" s="497"/>
      <c r="C126" s="387"/>
      <c r="D126" s="497"/>
      <c r="E126" s="497"/>
      <c r="F126" s="561"/>
      <c r="G126" s="383"/>
      <c r="H126" s="497"/>
      <c r="I126" s="383"/>
      <c r="J126" s="497"/>
      <c r="K126" s="879"/>
      <c r="L126" s="775"/>
      <c r="M126" s="775"/>
      <c r="N126" s="497"/>
      <c r="O126" s="383"/>
      <c r="P126" s="497"/>
      <c r="Q126" s="497"/>
      <c r="R126" s="497"/>
      <c r="S126" s="497"/>
      <c r="T126" s="497"/>
      <c r="U126" s="497"/>
      <c r="V126" s="497"/>
      <c r="W126" s="497"/>
      <c r="X126" s="497"/>
      <c r="Y126" s="497"/>
      <c r="Z126" s="497"/>
      <c r="AA126" s="497"/>
      <c r="AB126" s="497"/>
      <c r="AC126" s="497"/>
      <c r="AD126" s="497"/>
      <c r="AE126" s="497"/>
      <c r="AF126" s="497"/>
      <c r="AG126" s="983"/>
      <c r="AH126" s="897"/>
      <c r="AJ126" s="906"/>
    </row>
    <row r="127" spans="1:36" s="807" customFormat="1" ht="15">
      <c r="A127" s="497"/>
      <c r="B127" s="497"/>
      <c r="C127" s="387"/>
      <c r="D127" s="497"/>
      <c r="E127" s="497"/>
      <c r="F127" s="561"/>
      <c r="G127" s="383"/>
      <c r="H127" s="497"/>
      <c r="I127" s="383"/>
      <c r="J127" s="497"/>
      <c r="K127" s="879"/>
      <c r="L127" s="775"/>
      <c r="M127" s="775"/>
      <c r="N127" s="497"/>
      <c r="O127" s="383"/>
      <c r="P127" s="497"/>
      <c r="Q127" s="497"/>
      <c r="R127" s="497"/>
      <c r="S127" s="497"/>
      <c r="T127" s="497"/>
      <c r="U127" s="497"/>
      <c r="V127" s="497"/>
      <c r="W127" s="497"/>
      <c r="X127" s="497"/>
      <c r="Y127" s="497"/>
      <c r="Z127" s="497"/>
      <c r="AA127" s="497"/>
      <c r="AB127" s="497"/>
      <c r="AC127" s="497"/>
      <c r="AD127" s="497"/>
      <c r="AE127" s="497"/>
      <c r="AF127" s="497"/>
      <c r="AG127" s="983"/>
      <c r="AH127" s="897"/>
      <c r="AJ127" s="906"/>
    </row>
    <row r="128" spans="1:36" s="807" customFormat="1" ht="15">
      <c r="A128" s="497"/>
      <c r="B128" s="497"/>
      <c r="C128" s="387"/>
      <c r="D128" s="497"/>
      <c r="E128" s="497"/>
      <c r="F128" s="561"/>
      <c r="G128" s="383"/>
      <c r="H128" s="497"/>
      <c r="I128" s="383"/>
      <c r="J128" s="497"/>
      <c r="K128" s="879"/>
      <c r="L128" s="775"/>
      <c r="M128" s="775"/>
      <c r="N128" s="497"/>
      <c r="O128" s="383"/>
      <c r="P128" s="497"/>
      <c r="Q128" s="497"/>
      <c r="R128" s="497"/>
      <c r="S128" s="497"/>
      <c r="T128" s="497"/>
      <c r="U128" s="497"/>
      <c r="V128" s="497"/>
      <c r="W128" s="497"/>
      <c r="X128" s="497"/>
      <c r="Y128" s="497"/>
      <c r="Z128" s="497"/>
      <c r="AA128" s="497"/>
      <c r="AB128" s="497"/>
      <c r="AC128" s="497"/>
      <c r="AD128" s="497"/>
      <c r="AE128" s="497"/>
      <c r="AF128" s="497"/>
      <c r="AG128" s="983"/>
      <c r="AH128" s="897"/>
      <c r="AJ128" s="906"/>
    </row>
    <row r="129" spans="1:36" s="807" customFormat="1" ht="15">
      <c r="A129" s="497"/>
      <c r="B129" s="497"/>
      <c r="C129" s="387"/>
      <c r="D129" s="497"/>
      <c r="E129" s="497"/>
      <c r="F129" s="561"/>
      <c r="G129" s="383"/>
      <c r="H129" s="497"/>
      <c r="I129" s="383"/>
      <c r="J129" s="497"/>
      <c r="K129" s="879"/>
      <c r="L129" s="775"/>
      <c r="M129" s="775"/>
      <c r="N129" s="497"/>
      <c r="O129" s="383"/>
      <c r="P129" s="497"/>
      <c r="Q129" s="497"/>
      <c r="R129" s="497"/>
      <c r="S129" s="497"/>
      <c r="T129" s="497"/>
      <c r="U129" s="497"/>
      <c r="V129" s="497"/>
      <c r="W129" s="497"/>
      <c r="X129" s="497"/>
      <c r="Y129" s="497"/>
      <c r="Z129" s="497"/>
      <c r="AA129" s="497"/>
      <c r="AB129" s="497"/>
      <c r="AC129" s="497"/>
      <c r="AD129" s="497"/>
      <c r="AE129" s="497"/>
      <c r="AF129" s="497"/>
      <c r="AG129" s="983"/>
      <c r="AH129" s="897"/>
      <c r="AJ129" s="906"/>
    </row>
    <row r="130" spans="1:36" s="807" customFormat="1" ht="15">
      <c r="A130" s="497"/>
      <c r="B130" s="497"/>
      <c r="C130" s="387"/>
      <c r="D130" s="497"/>
      <c r="E130" s="497"/>
      <c r="F130" s="561"/>
      <c r="G130" s="383"/>
      <c r="H130" s="497"/>
      <c r="I130" s="383"/>
      <c r="J130" s="497"/>
      <c r="K130" s="879"/>
      <c r="L130" s="775"/>
      <c r="M130" s="775"/>
      <c r="N130" s="497"/>
      <c r="O130" s="383"/>
      <c r="P130" s="497"/>
      <c r="Q130" s="497"/>
      <c r="R130" s="497"/>
      <c r="S130" s="497"/>
      <c r="T130" s="497"/>
      <c r="U130" s="497"/>
      <c r="V130" s="497"/>
      <c r="W130" s="497"/>
      <c r="X130" s="497"/>
      <c r="Y130" s="497"/>
      <c r="Z130" s="497"/>
      <c r="AA130" s="497"/>
      <c r="AB130" s="497"/>
      <c r="AC130" s="497"/>
      <c r="AD130" s="497"/>
      <c r="AE130" s="497"/>
      <c r="AF130" s="497"/>
      <c r="AG130" s="983"/>
      <c r="AH130" s="897"/>
      <c r="AJ130" s="906"/>
    </row>
    <row r="131" spans="1:36" s="807" customFormat="1" ht="15">
      <c r="A131" s="497"/>
      <c r="B131" s="497"/>
      <c r="C131" s="387"/>
      <c r="D131" s="497"/>
      <c r="E131" s="497"/>
      <c r="F131" s="561"/>
      <c r="G131" s="383"/>
      <c r="H131" s="497"/>
      <c r="I131" s="383"/>
      <c r="J131" s="497"/>
      <c r="K131" s="879"/>
      <c r="L131" s="775"/>
      <c r="M131" s="775"/>
      <c r="N131" s="497"/>
      <c r="O131" s="383"/>
      <c r="P131" s="497"/>
      <c r="Q131" s="497"/>
      <c r="R131" s="497"/>
      <c r="S131" s="497"/>
      <c r="T131" s="497"/>
      <c r="U131" s="497"/>
      <c r="V131" s="497"/>
      <c r="W131" s="497"/>
      <c r="X131" s="497"/>
      <c r="Y131" s="497"/>
      <c r="Z131" s="497"/>
      <c r="AA131" s="497"/>
      <c r="AB131" s="497"/>
      <c r="AC131" s="497"/>
      <c r="AD131" s="497"/>
      <c r="AE131" s="497"/>
      <c r="AF131" s="497"/>
      <c r="AG131" s="983"/>
      <c r="AH131" s="897"/>
      <c r="AJ131" s="906"/>
    </row>
    <row r="132" spans="1:36" s="807" customFormat="1" ht="15">
      <c r="A132" s="497"/>
      <c r="B132" s="497"/>
      <c r="C132" s="387"/>
      <c r="D132" s="497"/>
      <c r="E132" s="497"/>
      <c r="F132" s="561"/>
      <c r="G132" s="383"/>
      <c r="H132" s="497"/>
      <c r="I132" s="383"/>
      <c r="J132" s="497"/>
      <c r="K132" s="879"/>
      <c r="L132" s="775"/>
      <c r="M132" s="775"/>
      <c r="N132" s="497"/>
      <c r="O132" s="383"/>
      <c r="P132" s="497"/>
      <c r="Q132" s="497"/>
      <c r="R132" s="497"/>
      <c r="S132" s="497"/>
      <c r="T132" s="497"/>
      <c r="U132" s="497"/>
      <c r="V132" s="497"/>
      <c r="W132" s="497"/>
      <c r="X132" s="497"/>
      <c r="Y132" s="497"/>
      <c r="Z132" s="497"/>
      <c r="AA132" s="497"/>
      <c r="AB132" s="497"/>
      <c r="AC132" s="497"/>
      <c r="AD132" s="497"/>
      <c r="AE132" s="497"/>
      <c r="AF132" s="497"/>
      <c r="AG132" s="983"/>
      <c r="AH132" s="897"/>
      <c r="AJ132" s="906"/>
    </row>
    <row r="133" spans="1:36" s="807" customFormat="1" ht="15">
      <c r="A133" s="497"/>
      <c r="B133" s="497"/>
      <c r="C133" s="387"/>
      <c r="D133" s="497"/>
      <c r="E133" s="497"/>
      <c r="F133" s="561"/>
      <c r="G133" s="383"/>
      <c r="H133" s="497"/>
      <c r="I133" s="383"/>
      <c r="J133" s="497"/>
      <c r="K133" s="879"/>
      <c r="L133" s="775"/>
      <c r="M133" s="775"/>
      <c r="N133" s="497"/>
      <c r="O133" s="383"/>
      <c r="P133" s="497"/>
      <c r="Q133" s="497"/>
      <c r="R133" s="497"/>
      <c r="S133" s="497"/>
      <c r="T133" s="497"/>
      <c r="U133" s="497"/>
      <c r="V133" s="497"/>
      <c r="W133" s="497"/>
      <c r="X133" s="497"/>
      <c r="Y133" s="497"/>
      <c r="Z133" s="497"/>
      <c r="AA133" s="497"/>
      <c r="AB133" s="497"/>
      <c r="AC133" s="497"/>
      <c r="AD133" s="497"/>
      <c r="AE133" s="497"/>
      <c r="AF133" s="497"/>
      <c r="AG133" s="983"/>
      <c r="AH133" s="897"/>
      <c r="AJ133" s="906"/>
    </row>
    <row r="134" spans="1:36" s="807" customFormat="1" ht="15">
      <c r="A134" s="497"/>
      <c r="B134" s="497"/>
      <c r="C134" s="387"/>
      <c r="D134" s="497"/>
      <c r="E134" s="497"/>
      <c r="F134" s="561"/>
      <c r="G134" s="383"/>
      <c r="H134" s="497"/>
      <c r="I134" s="383"/>
      <c r="J134" s="497"/>
      <c r="K134" s="879"/>
      <c r="L134" s="775"/>
      <c r="M134" s="775"/>
      <c r="N134" s="497"/>
      <c r="O134" s="383"/>
      <c r="P134" s="497"/>
      <c r="Q134" s="497"/>
      <c r="R134" s="497"/>
      <c r="S134" s="497"/>
      <c r="T134" s="497"/>
      <c r="U134" s="497"/>
      <c r="V134" s="497"/>
      <c r="W134" s="497"/>
      <c r="X134" s="497"/>
      <c r="Y134" s="497"/>
      <c r="Z134" s="497"/>
      <c r="AA134" s="497"/>
      <c r="AB134" s="497"/>
      <c r="AC134" s="497"/>
      <c r="AD134" s="497"/>
      <c r="AE134" s="497"/>
      <c r="AF134" s="497"/>
      <c r="AG134" s="983"/>
      <c r="AH134" s="897"/>
      <c r="AJ134" s="906"/>
    </row>
    <row r="135" spans="1:36" s="807" customFormat="1" ht="15">
      <c r="A135" s="497"/>
      <c r="B135" s="497"/>
      <c r="C135" s="387"/>
      <c r="D135" s="497"/>
      <c r="E135" s="497"/>
      <c r="F135" s="561"/>
      <c r="G135" s="383"/>
      <c r="H135" s="497"/>
      <c r="I135" s="383"/>
      <c r="J135" s="497"/>
      <c r="K135" s="879"/>
      <c r="L135" s="775"/>
      <c r="M135" s="775"/>
      <c r="N135" s="497"/>
      <c r="O135" s="383"/>
      <c r="P135" s="497"/>
      <c r="Q135" s="497"/>
      <c r="R135" s="497"/>
      <c r="S135" s="497"/>
      <c r="T135" s="497"/>
      <c r="U135" s="497"/>
      <c r="V135" s="497"/>
      <c r="W135" s="497"/>
      <c r="X135" s="497"/>
      <c r="Y135" s="497"/>
      <c r="Z135" s="497"/>
      <c r="AA135" s="497"/>
      <c r="AB135" s="497"/>
      <c r="AC135" s="497"/>
      <c r="AD135" s="497"/>
      <c r="AE135" s="497"/>
      <c r="AF135" s="497"/>
      <c r="AG135" s="983"/>
      <c r="AH135" s="897"/>
      <c r="AJ135" s="906"/>
    </row>
    <row r="136" spans="1:36" s="807" customFormat="1" ht="15">
      <c r="A136" s="497"/>
      <c r="B136" s="497"/>
      <c r="C136" s="387"/>
      <c r="D136" s="497"/>
      <c r="E136" s="497"/>
      <c r="F136" s="561"/>
      <c r="G136" s="383"/>
      <c r="H136" s="497"/>
      <c r="I136" s="383"/>
      <c r="J136" s="497"/>
      <c r="K136" s="879"/>
      <c r="L136" s="775"/>
      <c r="M136" s="775"/>
      <c r="N136" s="497"/>
      <c r="O136" s="383"/>
      <c r="P136" s="497"/>
      <c r="Q136" s="497"/>
      <c r="R136" s="497"/>
      <c r="S136" s="497"/>
      <c r="T136" s="497"/>
      <c r="U136" s="497"/>
      <c r="V136" s="497"/>
      <c r="W136" s="497"/>
      <c r="X136" s="497"/>
      <c r="Y136" s="497"/>
      <c r="Z136" s="497"/>
      <c r="AA136" s="497"/>
      <c r="AB136" s="497"/>
      <c r="AC136" s="497"/>
      <c r="AD136" s="497"/>
      <c r="AE136" s="497"/>
      <c r="AF136" s="497"/>
      <c r="AG136" s="983"/>
      <c r="AH136" s="897"/>
      <c r="AJ136" s="906"/>
    </row>
    <row r="137" spans="1:36" s="807" customFormat="1" ht="15">
      <c r="A137" s="497"/>
      <c r="B137" s="497"/>
      <c r="C137" s="387"/>
      <c r="D137" s="497"/>
      <c r="E137" s="497"/>
      <c r="F137" s="561"/>
      <c r="G137" s="383"/>
      <c r="H137" s="497"/>
      <c r="I137" s="383"/>
      <c r="J137" s="497"/>
      <c r="K137" s="879"/>
      <c r="L137" s="775"/>
      <c r="M137" s="775"/>
      <c r="N137" s="497"/>
      <c r="O137" s="383"/>
      <c r="P137" s="497"/>
      <c r="Q137" s="497"/>
      <c r="R137" s="497"/>
      <c r="S137" s="497"/>
      <c r="T137" s="497"/>
      <c r="U137" s="497"/>
      <c r="V137" s="497"/>
      <c r="W137" s="497"/>
      <c r="X137" s="497"/>
      <c r="Y137" s="497"/>
      <c r="Z137" s="497"/>
      <c r="AA137" s="497"/>
      <c r="AB137" s="497"/>
      <c r="AC137" s="497"/>
      <c r="AD137" s="497"/>
      <c r="AE137" s="497"/>
      <c r="AF137" s="497"/>
      <c r="AG137" s="983"/>
      <c r="AH137" s="897"/>
      <c r="AJ137" s="906"/>
    </row>
    <row r="138" spans="1:36" s="807" customFormat="1" ht="15">
      <c r="A138" s="497"/>
      <c r="B138" s="497"/>
      <c r="C138" s="387"/>
      <c r="D138" s="497"/>
      <c r="E138" s="497"/>
      <c r="F138" s="561"/>
      <c r="G138" s="383"/>
      <c r="H138" s="497"/>
      <c r="I138" s="383"/>
      <c r="J138" s="497"/>
      <c r="K138" s="879"/>
      <c r="L138" s="775"/>
      <c r="M138" s="775"/>
      <c r="N138" s="497"/>
      <c r="O138" s="383"/>
      <c r="P138" s="497"/>
      <c r="Q138" s="497"/>
      <c r="R138" s="497"/>
      <c r="S138" s="497"/>
      <c r="T138" s="497"/>
      <c r="U138" s="497"/>
      <c r="V138" s="497"/>
      <c r="W138" s="497"/>
      <c r="X138" s="497"/>
      <c r="Y138" s="497"/>
      <c r="Z138" s="497"/>
      <c r="AA138" s="497"/>
      <c r="AB138" s="497"/>
      <c r="AC138" s="497"/>
      <c r="AD138" s="497"/>
      <c r="AE138" s="497"/>
      <c r="AF138" s="497"/>
      <c r="AG138" s="983"/>
      <c r="AH138" s="897"/>
      <c r="AJ138" s="906"/>
    </row>
    <row r="139" spans="1:36" s="807" customFormat="1" ht="15">
      <c r="A139" s="497"/>
      <c r="B139" s="497"/>
      <c r="C139" s="387"/>
      <c r="D139" s="497"/>
      <c r="E139" s="497"/>
      <c r="F139" s="561"/>
      <c r="G139" s="383"/>
      <c r="H139" s="497"/>
      <c r="I139" s="383"/>
      <c r="J139" s="497"/>
      <c r="K139" s="879"/>
      <c r="L139" s="775"/>
      <c r="M139" s="775"/>
      <c r="N139" s="497"/>
      <c r="O139" s="383"/>
      <c r="P139" s="497"/>
      <c r="Q139" s="497"/>
      <c r="R139" s="497"/>
      <c r="S139" s="497"/>
      <c r="T139" s="497"/>
      <c r="U139" s="497"/>
      <c r="V139" s="497"/>
      <c r="W139" s="497"/>
      <c r="X139" s="497"/>
      <c r="Y139" s="497"/>
      <c r="Z139" s="497"/>
      <c r="AA139" s="497"/>
      <c r="AB139" s="497"/>
      <c r="AC139" s="497"/>
      <c r="AD139" s="497"/>
      <c r="AE139" s="497"/>
      <c r="AF139" s="497"/>
      <c r="AG139" s="983"/>
      <c r="AH139" s="897"/>
      <c r="AJ139" s="906"/>
    </row>
    <row r="140" spans="1:36" s="807" customFormat="1" ht="15">
      <c r="A140" s="497"/>
      <c r="B140" s="497"/>
      <c r="C140" s="387"/>
      <c r="D140" s="497"/>
      <c r="E140" s="497"/>
      <c r="F140" s="561"/>
      <c r="G140" s="383"/>
      <c r="H140" s="497"/>
      <c r="I140" s="383"/>
      <c r="J140" s="497"/>
      <c r="K140" s="879"/>
      <c r="L140" s="775"/>
      <c r="M140" s="775"/>
      <c r="N140" s="497"/>
      <c r="O140" s="383"/>
      <c r="P140" s="497"/>
      <c r="Q140" s="497"/>
      <c r="R140" s="497"/>
      <c r="S140" s="497"/>
      <c r="T140" s="497"/>
      <c r="U140" s="497"/>
      <c r="V140" s="497"/>
      <c r="W140" s="497"/>
      <c r="X140" s="497"/>
      <c r="Y140" s="497"/>
      <c r="Z140" s="497"/>
      <c r="AA140" s="497"/>
      <c r="AB140" s="497"/>
      <c r="AC140" s="497"/>
      <c r="AD140" s="497"/>
      <c r="AE140" s="497"/>
      <c r="AF140" s="497"/>
      <c r="AG140" s="983"/>
      <c r="AH140" s="897"/>
      <c r="AJ140" s="906"/>
    </row>
    <row r="141" spans="1:36" s="807" customFormat="1" ht="15">
      <c r="A141" s="497"/>
      <c r="B141" s="497"/>
      <c r="C141" s="387"/>
      <c r="D141" s="497"/>
      <c r="E141" s="497"/>
      <c r="F141" s="561"/>
      <c r="G141" s="383"/>
      <c r="H141" s="497"/>
      <c r="I141" s="383"/>
      <c r="J141" s="497"/>
      <c r="K141" s="879"/>
      <c r="L141" s="775"/>
      <c r="M141" s="775"/>
      <c r="N141" s="497"/>
      <c r="O141" s="383"/>
      <c r="P141" s="497"/>
      <c r="Q141" s="497"/>
      <c r="R141" s="497"/>
      <c r="S141" s="497"/>
      <c r="T141" s="497"/>
      <c r="U141" s="497"/>
      <c r="V141" s="497"/>
      <c r="W141" s="497"/>
      <c r="X141" s="497"/>
      <c r="Y141" s="497"/>
      <c r="Z141" s="497"/>
      <c r="AA141" s="497"/>
      <c r="AB141" s="497"/>
      <c r="AC141" s="497"/>
      <c r="AD141" s="497"/>
      <c r="AE141" s="497"/>
      <c r="AF141" s="497"/>
      <c r="AG141" s="983"/>
      <c r="AH141" s="897"/>
      <c r="AJ141" s="906"/>
    </row>
    <row r="142" spans="1:36" s="807" customFormat="1" ht="15">
      <c r="A142" s="497"/>
      <c r="B142" s="497"/>
      <c r="C142" s="387"/>
      <c r="D142" s="497"/>
      <c r="E142" s="497"/>
      <c r="F142" s="561"/>
      <c r="G142" s="383"/>
      <c r="H142" s="497"/>
      <c r="I142" s="383"/>
      <c r="J142" s="497"/>
      <c r="K142" s="879"/>
      <c r="L142" s="775"/>
      <c r="M142" s="775"/>
      <c r="N142" s="497"/>
      <c r="O142" s="383"/>
      <c r="P142" s="497"/>
      <c r="Q142" s="497"/>
      <c r="R142" s="497"/>
      <c r="S142" s="497"/>
      <c r="T142" s="497"/>
      <c r="U142" s="497"/>
      <c r="V142" s="497"/>
      <c r="W142" s="497"/>
      <c r="X142" s="497"/>
      <c r="Y142" s="497"/>
      <c r="Z142" s="497"/>
      <c r="AA142" s="497"/>
      <c r="AB142" s="497"/>
      <c r="AC142" s="497"/>
      <c r="AD142" s="497"/>
      <c r="AE142" s="497"/>
      <c r="AF142" s="497"/>
      <c r="AG142" s="983"/>
      <c r="AH142" s="897"/>
      <c r="AJ142" s="906"/>
    </row>
    <row r="143" spans="1:36" s="807" customFormat="1" ht="15">
      <c r="A143" s="497"/>
      <c r="B143" s="497"/>
      <c r="C143" s="387"/>
      <c r="D143" s="497"/>
      <c r="E143" s="497"/>
      <c r="F143" s="561"/>
      <c r="G143" s="383"/>
      <c r="H143" s="497"/>
      <c r="I143" s="383"/>
      <c r="J143" s="497"/>
      <c r="K143" s="879"/>
      <c r="L143" s="775"/>
      <c r="M143" s="775"/>
      <c r="N143" s="497"/>
      <c r="O143" s="383"/>
      <c r="P143" s="497"/>
      <c r="Q143" s="497"/>
      <c r="R143" s="497"/>
      <c r="S143" s="497"/>
      <c r="T143" s="497"/>
      <c r="U143" s="497"/>
      <c r="V143" s="497"/>
      <c r="W143" s="497"/>
      <c r="X143" s="497"/>
      <c r="Y143" s="497"/>
      <c r="Z143" s="497"/>
      <c r="AA143" s="497"/>
      <c r="AB143" s="497"/>
      <c r="AC143" s="497"/>
      <c r="AD143" s="497"/>
      <c r="AE143" s="497"/>
      <c r="AF143" s="497"/>
      <c r="AG143" s="983"/>
      <c r="AH143" s="897"/>
      <c r="AJ143" s="906"/>
    </row>
    <row r="144" spans="1:36" s="807" customFormat="1" ht="15">
      <c r="A144" s="497"/>
      <c r="B144" s="497"/>
      <c r="C144" s="387"/>
      <c r="D144" s="497"/>
      <c r="E144" s="497"/>
      <c r="F144" s="561"/>
      <c r="G144" s="383"/>
      <c r="H144" s="497"/>
      <c r="I144" s="383"/>
      <c r="J144" s="497"/>
      <c r="K144" s="879"/>
      <c r="L144" s="775"/>
      <c r="M144" s="775"/>
      <c r="N144" s="497"/>
      <c r="O144" s="383"/>
      <c r="P144" s="497"/>
      <c r="Q144" s="497"/>
      <c r="R144" s="497"/>
      <c r="S144" s="497"/>
      <c r="T144" s="497"/>
      <c r="U144" s="497"/>
      <c r="V144" s="497"/>
      <c r="W144" s="497"/>
      <c r="X144" s="497"/>
      <c r="Y144" s="497"/>
      <c r="Z144" s="497"/>
      <c r="AA144" s="497"/>
      <c r="AB144" s="497"/>
      <c r="AC144" s="497"/>
      <c r="AD144" s="497"/>
      <c r="AE144" s="497"/>
      <c r="AF144" s="497"/>
      <c r="AG144" s="983"/>
      <c r="AH144" s="897"/>
      <c r="AJ144" s="906"/>
    </row>
    <row r="145" spans="1:36" s="807" customFormat="1" ht="15">
      <c r="A145" s="497"/>
      <c r="B145" s="497"/>
      <c r="C145" s="387"/>
      <c r="D145" s="497"/>
      <c r="E145" s="497"/>
      <c r="F145" s="561"/>
      <c r="G145" s="383"/>
      <c r="H145" s="497"/>
      <c r="I145" s="383"/>
      <c r="J145" s="497"/>
      <c r="K145" s="879"/>
      <c r="L145" s="775"/>
      <c r="M145" s="775"/>
      <c r="N145" s="497"/>
      <c r="O145" s="383"/>
      <c r="P145" s="497"/>
      <c r="Q145" s="497"/>
      <c r="R145" s="497"/>
      <c r="S145" s="497"/>
      <c r="T145" s="497"/>
      <c r="U145" s="497"/>
      <c r="V145" s="497"/>
      <c r="W145" s="497"/>
      <c r="X145" s="497"/>
      <c r="Y145" s="497"/>
      <c r="Z145" s="497"/>
      <c r="AA145" s="497"/>
      <c r="AB145" s="497"/>
      <c r="AC145" s="497"/>
      <c r="AD145" s="497"/>
      <c r="AE145" s="497"/>
      <c r="AF145" s="497"/>
      <c r="AG145" s="983"/>
      <c r="AH145" s="897"/>
      <c r="AJ145" s="906"/>
    </row>
    <row r="146" spans="1:36" s="807" customFormat="1" ht="15">
      <c r="A146" s="497"/>
      <c r="B146" s="497"/>
      <c r="C146" s="387"/>
      <c r="D146" s="497"/>
      <c r="E146" s="497"/>
      <c r="F146" s="561"/>
      <c r="G146" s="383"/>
      <c r="H146" s="497"/>
      <c r="I146" s="383"/>
      <c r="J146" s="497"/>
      <c r="K146" s="879"/>
      <c r="L146" s="775"/>
      <c r="M146" s="775"/>
      <c r="N146" s="497"/>
      <c r="O146" s="383"/>
      <c r="P146" s="497"/>
      <c r="Q146" s="497"/>
      <c r="R146" s="497"/>
      <c r="S146" s="497"/>
      <c r="T146" s="497"/>
      <c r="U146" s="497"/>
      <c r="V146" s="497"/>
      <c r="W146" s="497"/>
      <c r="X146" s="497"/>
      <c r="Y146" s="497"/>
      <c r="Z146" s="497"/>
      <c r="AA146" s="497"/>
      <c r="AB146" s="497"/>
      <c r="AC146" s="497"/>
      <c r="AD146" s="497"/>
      <c r="AE146" s="497"/>
      <c r="AF146" s="497"/>
      <c r="AG146" s="983"/>
      <c r="AH146" s="897"/>
      <c r="AJ146" s="906"/>
    </row>
    <row r="147" spans="1:36" s="807" customFormat="1" ht="15">
      <c r="A147" s="497"/>
      <c r="B147" s="497"/>
      <c r="C147" s="387"/>
      <c r="D147" s="497"/>
      <c r="E147" s="497"/>
      <c r="F147" s="561"/>
      <c r="G147" s="383"/>
      <c r="H147" s="497"/>
      <c r="I147" s="383"/>
      <c r="J147" s="497"/>
      <c r="K147" s="879"/>
      <c r="L147" s="775"/>
      <c r="M147" s="775"/>
      <c r="N147" s="497"/>
      <c r="O147" s="383"/>
      <c r="P147" s="497"/>
      <c r="Q147" s="497"/>
      <c r="R147" s="497"/>
      <c r="S147" s="497"/>
      <c r="T147" s="497"/>
      <c r="U147" s="497"/>
      <c r="V147" s="497"/>
      <c r="W147" s="497"/>
      <c r="X147" s="497"/>
      <c r="Y147" s="497"/>
      <c r="Z147" s="497"/>
      <c r="AA147" s="497"/>
      <c r="AB147" s="497"/>
      <c r="AC147" s="497"/>
      <c r="AD147" s="497"/>
      <c r="AE147" s="497"/>
      <c r="AF147" s="497"/>
      <c r="AG147" s="983"/>
      <c r="AH147" s="897"/>
      <c r="AJ147" s="906"/>
    </row>
    <row r="148" spans="1:36" s="807" customFormat="1" ht="15">
      <c r="A148" s="497"/>
      <c r="B148" s="497"/>
      <c r="C148" s="387"/>
      <c r="D148" s="497"/>
      <c r="E148" s="497"/>
      <c r="F148" s="561"/>
      <c r="G148" s="383"/>
      <c r="H148" s="497"/>
      <c r="I148" s="383"/>
      <c r="J148" s="497"/>
      <c r="K148" s="879"/>
      <c r="L148" s="775"/>
      <c r="M148" s="775"/>
      <c r="N148" s="497"/>
      <c r="O148" s="383"/>
      <c r="P148" s="497"/>
      <c r="Q148" s="497"/>
      <c r="R148" s="497"/>
      <c r="S148" s="497"/>
      <c r="T148" s="497"/>
      <c r="U148" s="497"/>
      <c r="V148" s="497"/>
      <c r="W148" s="497"/>
      <c r="X148" s="497"/>
      <c r="Y148" s="497"/>
      <c r="Z148" s="497"/>
      <c r="AA148" s="497"/>
      <c r="AB148" s="497"/>
      <c r="AC148" s="497"/>
      <c r="AD148" s="497"/>
      <c r="AE148" s="497"/>
      <c r="AF148" s="497"/>
      <c r="AG148" s="983"/>
      <c r="AH148" s="897"/>
      <c r="AJ148" s="906"/>
    </row>
    <row r="149" spans="1:36" s="807" customFormat="1" ht="15">
      <c r="A149" s="497"/>
      <c r="B149" s="497"/>
      <c r="C149" s="387"/>
      <c r="D149" s="497"/>
      <c r="E149" s="497"/>
      <c r="F149" s="561"/>
      <c r="G149" s="383"/>
      <c r="H149" s="497"/>
      <c r="I149" s="383"/>
      <c r="J149" s="497"/>
      <c r="K149" s="879"/>
      <c r="L149" s="775"/>
      <c r="M149" s="775"/>
      <c r="N149" s="497"/>
      <c r="O149" s="383"/>
      <c r="P149" s="497"/>
      <c r="Q149" s="497"/>
      <c r="R149" s="497"/>
      <c r="S149" s="497"/>
      <c r="T149" s="497"/>
      <c r="U149" s="497"/>
      <c r="V149" s="497"/>
      <c r="W149" s="497"/>
      <c r="X149" s="497"/>
      <c r="Y149" s="497"/>
      <c r="Z149" s="497"/>
      <c r="AA149" s="497"/>
      <c r="AB149" s="497"/>
      <c r="AC149" s="497"/>
      <c r="AD149" s="497"/>
      <c r="AE149" s="497"/>
      <c r="AF149" s="497"/>
      <c r="AG149" s="983"/>
      <c r="AH149" s="897"/>
      <c r="AJ149" s="906"/>
    </row>
    <row r="150" spans="1:36" s="807" customFormat="1" ht="15">
      <c r="A150" s="497"/>
      <c r="B150" s="497"/>
      <c r="C150" s="387"/>
      <c r="D150" s="497"/>
      <c r="E150" s="497"/>
      <c r="F150" s="561"/>
      <c r="G150" s="383"/>
      <c r="H150" s="497"/>
      <c r="I150" s="383"/>
      <c r="J150" s="497"/>
      <c r="K150" s="879"/>
      <c r="L150" s="775"/>
      <c r="M150" s="775"/>
      <c r="N150" s="497"/>
      <c r="O150" s="383"/>
      <c r="P150" s="497"/>
      <c r="Q150" s="497"/>
      <c r="R150" s="497"/>
      <c r="S150" s="497"/>
      <c r="T150" s="497"/>
      <c r="U150" s="497"/>
      <c r="V150" s="497"/>
      <c r="W150" s="497"/>
      <c r="X150" s="497"/>
      <c r="Y150" s="497"/>
      <c r="Z150" s="497"/>
      <c r="AA150" s="497"/>
      <c r="AB150" s="497"/>
      <c r="AC150" s="497"/>
      <c r="AD150" s="497"/>
      <c r="AE150" s="497"/>
      <c r="AF150" s="497"/>
      <c r="AG150" s="983"/>
      <c r="AH150" s="897"/>
      <c r="AJ150" s="906"/>
    </row>
    <row r="151" spans="1:36" ht="15">
      <c r="A151" s="497"/>
      <c r="B151" s="497"/>
      <c r="C151" s="387"/>
      <c r="D151" s="497"/>
      <c r="E151" s="497"/>
      <c r="F151" s="561"/>
      <c r="G151" s="383"/>
      <c r="H151" s="497"/>
      <c r="I151" s="383"/>
      <c r="J151" s="497"/>
      <c r="K151" s="879"/>
      <c r="L151" s="775"/>
      <c r="M151" s="775"/>
      <c r="N151" s="497"/>
      <c r="O151" s="383"/>
      <c r="P151" s="497"/>
      <c r="Q151" s="497"/>
      <c r="R151" s="497"/>
      <c r="S151" s="497"/>
      <c r="T151" s="497"/>
      <c r="U151" s="497"/>
      <c r="V151" s="497"/>
      <c r="W151" s="497"/>
      <c r="X151" s="497"/>
      <c r="Y151" s="497"/>
      <c r="Z151" s="497"/>
      <c r="AA151" s="497"/>
      <c r="AB151" s="497"/>
      <c r="AC151" s="497"/>
      <c r="AD151" s="497"/>
      <c r="AE151" s="497"/>
      <c r="AF151" s="497"/>
      <c r="AG151" s="983"/>
      <c r="AH151" s="897"/>
    </row>
    <row r="152" spans="1:36" ht="15">
      <c r="A152" s="497"/>
      <c r="B152" s="497"/>
      <c r="C152" s="387"/>
      <c r="D152" s="497"/>
      <c r="E152" s="497"/>
      <c r="F152" s="561"/>
      <c r="G152" s="383"/>
      <c r="H152" s="497"/>
      <c r="I152" s="383"/>
      <c r="J152" s="497"/>
      <c r="K152" s="879"/>
      <c r="L152" s="775"/>
      <c r="M152" s="775"/>
      <c r="N152" s="497"/>
      <c r="O152" s="383"/>
      <c r="P152" s="497"/>
      <c r="Q152" s="497"/>
      <c r="R152" s="497"/>
      <c r="S152" s="497"/>
      <c r="T152" s="497"/>
      <c r="U152" s="497"/>
      <c r="V152" s="497"/>
      <c r="W152" s="497"/>
      <c r="X152" s="497"/>
      <c r="Y152" s="497"/>
      <c r="Z152" s="497"/>
      <c r="AA152" s="497"/>
      <c r="AB152" s="497"/>
      <c r="AC152" s="497"/>
      <c r="AD152" s="497"/>
      <c r="AE152" s="497"/>
      <c r="AF152" s="497"/>
      <c r="AG152" s="983"/>
      <c r="AH152" s="897"/>
    </row>
    <row r="153" spans="1:36" ht="15">
      <c r="A153" s="497"/>
      <c r="B153" s="497"/>
      <c r="C153" s="387"/>
      <c r="D153" s="497"/>
      <c r="E153" s="497"/>
      <c r="F153" s="561"/>
      <c r="G153" s="383"/>
      <c r="H153" s="497"/>
      <c r="I153" s="383"/>
      <c r="J153" s="497"/>
      <c r="K153" s="879"/>
      <c r="L153" s="775"/>
      <c r="M153" s="775"/>
      <c r="N153" s="497"/>
      <c r="O153" s="383"/>
      <c r="P153" s="497"/>
      <c r="Q153" s="497"/>
      <c r="R153" s="497"/>
      <c r="S153" s="497"/>
      <c r="T153" s="497"/>
      <c r="U153" s="497"/>
      <c r="V153" s="497"/>
      <c r="W153" s="497"/>
      <c r="X153" s="497"/>
      <c r="Y153" s="497"/>
      <c r="Z153" s="497"/>
      <c r="AA153" s="497"/>
      <c r="AB153" s="497"/>
      <c r="AC153" s="497"/>
      <c r="AD153" s="497"/>
      <c r="AE153" s="497"/>
      <c r="AF153" s="497"/>
      <c r="AG153" s="983"/>
      <c r="AH153" s="897"/>
    </row>
    <row r="154" spans="1:36" ht="15">
      <c r="A154" s="497"/>
      <c r="B154" s="497"/>
      <c r="C154" s="387"/>
      <c r="D154" s="497"/>
      <c r="E154" s="497"/>
      <c r="F154" s="561"/>
      <c r="G154" s="383"/>
      <c r="H154" s="497"/>
      <c r="I154" s="383"/>
      <c r="J154" s="497"/>
      <c r="K154" s="879"/>
      <c r="L154" s="775"/>
      <c r="M154" s="775"/>
      <c r="N154" s="497"/>
      <c r="O154" s="383"/>
      <c r="P154" s="497"/>
      <c r="Q154" s="497"/>
      <c r="R154" s="497"/>
      <c r="S154" s="497"/>
      <c r="T154" s="497"/>
      <c r="U154" s="497"/>
      <c r="V154" s="497"/>
      <c r="W154" s="497"/>
      <c r="X154" s="497"/>
      <c r="Y154" s="497"/>
      <c r="Z154" s="497"/>
      <c r="AA154" s="497"/>
      <c r="AB154" s="497"/>
      <c r="AC154" s="497"/>
      <c r="AD154" s="497"/>
      <c r="AE154" s="497"/>
      <c r="AF154" s="497"/>
      <c r="AG154" s="983"/>
      <c r="AH154" s="897"/>
    </row>
    <row r="155" spans="1:36" ht="15">
      <c r="A155" s="497"/>
      <c r="B155" s="497"/>
      <c r="C155" s="387"/>
      <c r="D155" s="497"/>
      <c r="E155" s="497"/>
      <c r="F155" s="561"/>
      <c r="G155" s="383"/>
      <c r="H155" s="497"/>
      <c r="I155" s="383"/>
      <c r="J155" s="497"/>
      <c r="K155" s="879"/>
      <c r="L155" s="775"/>
      <c r="M155" s="775"/>
      <c r="N155" s="497"/>
      <c r="O155" s="383"/>
      <c r="P155" s="497"/>
      <c r="Q155" s="497"/>
      <c r="R155" s="497"/>
      <c r="S155" s="497"/>
      <c r="T155" s="497"/>
      <c r="U155" s="497"/>
      <c r="V155" s="497"/>
      <c r="W155" s="497"/>
      <c r="X155" s="497"/>
      <c r="Y155" s="497"/>
      <c r="Z155" s="497"/>
      <c r="AA155" s="497"/>
      <c r="AB155" s="497"/>
      <c r="AC155" s="497"/>
      <c r="AD155" s="497"/>
      <c r="AE155" s="497"/>
      <c r="AF155" s="497"/>
      <c r="AG155" s="983"/>
      <c r="AH155" s="897"/>
    </row>
    <row r="156" spans="1:36" ht="15">
      <c r="A156" s="497"/>
      <c r="B156" s="497"/>
      <c r="C156" s="387"/>
      <c r="D156" s="497"/>
      <c r="E156" s="497"/>
      <c r="F156" s="561"/>
      <c r="G156" s="383"/>
      <c r="H156" s="497"/>
      <c r="I156" s="383"/>
      <c r="J156" s="497"/>
      <c r="K156" s="879"/>
      <c r="L156" s="775"/>
      <c r="M156" s="775"/>
      <c r="N156" s="497"/>
      <c r="O156" s="383"/>
      <c r="P156" s="497"/>
      <c r="Q156" s="497"/>
      <c r="R156" s="497"/>
      <c r="S156" s="497"/>
      <c r="T156" s="497"/>
      <c r="U156" s="497"/>
      <c r="V156" s="497"/>
      <c r="W156" s="497"/>
      <c r="X156" s="497"/>
      <c r="Y156" s="497"/>
      <c r="Z156" s="497"/>
      <c r="AA156" s="497"/>
      <c r="AB156" s="497"/>
      <c r="AC156" s="497"/>
      <c r="AD156" s="497"/>
      <c r="AE156" s="497"/>
      <c r="AF156" s="497"/>
      <c r="AG156" s="983"/>
      <c r="AH156" s="897"/>
    </row>
    <row r="157" spans="1:36" ht="15">
      <c r="A157" s="497"/>
      <c r="B157" s="497"/>
      <c r="C157" s="387"/>
      <c r="D157" s="497"/>
      <c r="E157" s="497"/>
      <c r="F157" s="561"/>
      <c r="G157" s="383"/>
      <c r="H157" s="497"/>
      <c r="I157" s="383"/>
      <c r="J157" s="497"/>
      <c r="K157" s="879"/>
      <c r="L157" s="775"/>
      <c r="M157" s="775"/>
      <c r="N157" s="497"/>
      <c r="O157" s="383"/>
      <c r="P157" s="497"/>
      <c r="Q157" s="497"/>
      <c r="R157" s="497"/>
      <c r="S157" s="497"/>
      <c r="T157" s="497"/>
      <c r="U157" s="497"/>
      <c r="V157" s="497"/>
      <c r="W157" s="497"/>
      <c r="X157" s="497"/>
      <c r="Y157" s="497"/>
      <c r="Z157" s="497"/>
      <c r="AA157" s="497"/>
      <c r="AB157" s="497"/>
      <c r="AC157" s="497"/>
      <c r="AD157" s="497"/>
      <c r="AE157" s="497"/>
      <c r="AF157" s="497"/>
      <c r="AG157" s="983"/>
      <c r="AH157" s="897"/>
    </row>
    <row r="158" spans="1:36" ht="15">
      <c r="A158" s="497"/>
      <c r="B158" s="497"/>
      <c r="C158" s="387"/>
      <c r="D158" s="497"/>
      <c r="E158" s="497"/>
      <c r="F158" s="561"/>
      <c r="G158" s="383"/>
      <c r="H158" s="497"/>
      <c r="I158" s="383"/>
      <c r="J158" s="497"/>
      <c r="K158" s="879"/>
      <c r="L158" s="775"/>
      <c r="M158" s="775"/>
      <c r="N158" s="497"/>
      <c r="O158" s="383"/>
      <c r="P158" s="497"/>
      <c r="Q158" s="497"/>
      <c r="R158" s="497"/>
      <c r="S158" s="497"/>
      <c r="T158" s="497"/>
      <c r="U158" s="497"/>
      <c r="V158" s="497"/>
      <c r="W158" s="497"/>
      <c r="X158" s="497"/>
      <c r="Y158" s="497"/>
      <c r="Z158" s="497"/>
      <c r="AA158" s="497"/>
      <c r="AB158" s="497"/>
      <c r="AC158" s="497"/>
      <c r="AD158" s="497"/>
      <c r="AE158" s="497"/>
      <c r="AF158" s="497"/>
      <c r="AG158" s="983"/>
      <c r="AH158" s="897"/>
    </row>
    <row r="159" spans="1:36" ht="15">
      <c r="A159" s="497"/>
      <c r="B159" s="497"/>
      <c r="C159" s="387"/>
      <c r="D159" s="497"/>
      <c r="E159" s="497"/>
      <c r="F159" s="561"/>
      <c r="G159" s="383"/>
      <c r="H159" s="497"/>
      <c r="I159" s="383"/>
      <c r="J159" s="497"/>
      <c r="K159" s="879"/>
      <c r="L159" s="775"/>
      <c r="M159" s="775"/>
      <c r="N159" s="497"/>
      <c r="O159" s="383"/>
      <c r="P159" s="497"/>
      <c r="Q159" s="497"/>
      <c r="R159" s="497"/>
      <c r="S159" s="497"/>
      <c r="T159" s="497"/>
      <c r="U159" s="497"/>
      <c r="V159" s="497"/>
      <c r="W159" s="497"/>
      <c r="X159" s="497"/>
      <c r="Y159" s="497"/>
      <c r="Z159" s="497"/>
      <c r="AA159" s="497"/>
      <c r="AB159" s="497"/>
      <c r="AC159" s="497"/>
      <c r="AD159" s="497"/>
      <c r="AE159" s="497"/>
      <c r="AF159" s="497"/>
      <c r="AG159" s="983"/>
      <c r="AH159" s="897"/>
    </row>
    <row r="160" spans="1:36" ht="13.5" thickBot="1">
      <c r="A160" s="898"/>
      <c r="B160" s="885"/>
      <c r="C160" s="885"/>
      <c r="D160" s="885"/>
      <c r="E160" s="885"/>
      <c r="F160" s="885"/>
      <c r="G160" s="885"/>
      <c r="H160" s="885"/>
      <c r="I160" s="899"/>
      <c r="J160" s="885"/>
      <c r="K160" s="885"/>
      <c r="L160" s="885"/>
      <c r="M160" s="885"/>
      <c r="N160" s="885"/>
      <c r="O160" s="885"/>
      <c r="P160" s="885"/>
      <c r="Q160" s="885"/>
      <c r="R160" s="885"/>
      <c r="S160" s="885"/>
      <c r="T160" s="885"/>
      <c r="U160" s="885"/>
      <c r="V160" s="885"/>
      <c r="W160" s="885"/>
      <c r="X160" s="885"/>
      <c r="Y160" s="885"/>
      <c r="Z160" s="885"/>
      <c r="AA160" s="885"/>
      <c r="AB160" s="885"/>
      <c r="AC160" s="885"/>
      <c r="AD160" s="885"/>
      <c r="AE160" s="885"/>
      <c r="AF160" s="885"/>
      <c r="AG160" s="885"/>
      <c r="AH160" s="900"/>
    </row>
  </sheetData>
  <sortState ref="A9:AK14">
    <sortCondition ref="G11:G16"/>
  </sortState>
  <mergeCells count="30">
    <mergeCell ref="P1:P5"/>
    <mergeCell ref="A1:A5"/>
    <mergeCell ref="C1:C5"/>
    <mergeCell ref="D1:D5"/>
    <mergeCell ref="E1:E5"/>
    <mergeCell ref="F1:F5"/>
    <mergeCell ref="G1:G5"/>
    <mergeCell ref="I1:I5"/>
    <mergeCell ref="K1:K5"/>
    <mergeCell ref="L1:L5"/>
    <mergeCell ref="M1:M5"/>
    <mergeCell ref="O1:O5"/>
    <mergeCell ref="BK4:BW4"/>
    <mergeCell ref="Q1:Q5"/>
    <mergeCell ref="R1:R5"/>
    <mergeCell ref="AB1:AB5"/>
    <mergeCell ref="AD1:AD5"/>
    <mergeCell ref="AF1:AF5"/>
    <mergeCell ref="AG1:AG5"/>
    <mergeCell ref="AI1:AI5"/>
    <mergeCell ref="AK1:AK5"/>
    <mergeCell ref="AS4:AS5"/>
    <mergeCell ref="AT4:AZ4"/>
    <mergeCell ref="BA4:BF4"/>
    <mergeCell ref="BG4:BJ4"/>
    <mergeCell ref="BX4:CR4"/>
    <mergeCell ref="CS4:DL4"/>
    <mergeCell ref="DO4:GN4"/>
    <mergeCell ref="HU4:IO4"/>
    <mergeCell ref="IQ4:JO4"/>
  </mergeCells>
  <conditionalFormatting sqref="AH56">
    <cfRule type="cellIs" dxfId="104" priority="83" operator="notEqual">
      <formula>I56</formula>
    </cfRule>
  </conditionalFormatting>
  <conditionalFormatting sqref="AH70 AH84 AH160">
    <cfRule type="cellIs" dxfId="103" priority="80" operator="notEqual">
      <formula>#REF!</formula>
    </cfRule>
  </conditionalFormatting>
  <conditionalFormatting sqref="AH70">
    <cfRule type="cellIs" dxfId="102" priority="77" operator="notEqual">
      <formula>I70</formula>
    </cfRule>
  </conditionalFormatting>
  <conditionalFormatting sqref="AH84">
    <cfRule type="cellIs" dxfId="101" priority="71" operator="notEqual">
      <formula>I84</formula>
    </cfRule>
  </conditionalFormatting>
  <conditionalFormatting sqref="AH160">
    <cfRule type="cellIs" dxfId="100" priority="65" operator="notEqual">
      <formula>I160</formula>
    </cfRule>
  </conditionalFormatting>
  <conditionalFormatting sqref="AG10">
    <cfRule type="expression" dxfId="99" priority="55" stopIfTrue="1">
      <formula>AG10=""</formula>
    </cfRule>
    <cfRule type="expression" dxfId="98" priority="60">
      <formula>AG10&lt;&gt;""</formula>
    </cfRule>
    <cfRule type="expression" dxfId="97" priority="61">
      <formula>AG10&gt;0.0399</formula>
    </cfRule>
  </conditionalFormatting>
  <conditionalFormatting sqref="AG11:AG29">
    <cfRule type="expression" dxfId="96" priority="13" stopIfTrue="1">
      <formula>AG11=""</formula>
    </cfRule>
    <cfRule type="expression" dxfId="95" priority="14">
      <formula>AG11&lt;&gt;""</formula>
    </cfRule>
    <cfRule type="expression" dxfId="94" priority="15">
      <formula>AG11&gt;0.0399</formula>
    </cfRule>
  </conditionalFormatting>
  <conditionalFormatting sqref="AG33:AG55">
    <cfRule type="expression" dxfId="93" priority="10" stopIfTrue="1">
      <formula>AG33=""</formula>
    </cfRule>
    <cfRule type="expression" dxfId="92" priority="11">
      <formula>AG33&lt;&gt;""</formula>
    </cfRule>
    <cfRule type="expression" dxfId="91" priority="12">
      <formula>AG33&gt;0.0399</formula>
    </cfRule>
  </conditionalFormatting>
  <conditionalFormatting sqref="AG60:AG69">
    <cfRule type="expression" dxfId="90" priority="7" stopIfTrue="1">
      <formula>AG60=""</formula>
    </cfRule>
    <cfRule type="expression" dxfId="89" priority="8">
      <formula>AG60&lt;&gt;""</formula>
    </cfRule>
    <cfRule type="expression" dxfId="88" priority="9">
      <formula>AG60&gt;0.0399</formula>
    </cfRule>
  </conditionalFormatting>
  <conditionalFormatting sqref="AG74:AG83">
    <cfRule type="expression" dxfId="87" priority="4" stopIfTrue="1">
      <formula>AG74=""</formula>
    </cfRule>
    <cfRule type="expression" dxfId="86" priority="5">
      <formula>AG74&lt;&gt;""</formula>
    </cfRule>
    <cfRule type="expression" dxfId="85" priority="6">
      <formula>AG74&gt;0.0399</formula>
    </cfRule>
  </conditionalFormatting>
  <conditionalFormatting sqref="AG88:AG159">
    <cfRule type="expression" dxfId="84" priority="1" stopIfTrue="1">
      <formula>AG88=""</formula>
    </cfRule>
    <cfRule type="expression" dxfId="83" priority="2">
      <formula>AG88&lt;&gt;""</formula>
    </cfRule>
    <cfRule type="expression" dxfId="82" priority="3">
      <formula>AG88&gt;0.0399</formula>
    </cfRule>
  </conditionalFormatting>
  <dataValidations count="1">
    <dataValidation type="list" allowBlank="1" showInputMessage="1" showErrorMessage="1" sqref="A7">
      <formula1>mesi_</formula1>
    </dataValidation>
  </dataValidation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2</vt:i4>
      </vt:variant>
      <vt:variant>
        <vt:lpstr>Intervalli denominati</vt:lpstr>
      </vt:variant>
      <vt:variant>
        <vt:i4>2</vt:i4>
      </vt:variant>
    </vt:vector>
  </HeadingPairs>
  <TitlesOfParts>
    <vt:vector size="4" baseType="lpstr">
      <vt:lpstr>ISP</vt:lpstr>
      <vt:lpstr>CED</vt:lpstr>
      <vt:lpstr>ISP!Area_stampa</vt:lpstr>
      <vt:lpstr>mesi_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AggiornaPrezzi</dc:title>
  <dc:creator>IceCube</dc:creator>
  <cp:lastModifiedBy>Luca</cp:lastModifiedBy>
  <cp:lastPrinted>2024-11-07T13:32:38Z</cp:lastPrinted>
  <dcterms:created xsi:type="dcterms:W3CDTF">2014-07-24T17:16:48Z</dcterms:created>
  <dcterms:modified xsi:type="dcterms:W3CDTF">2024-11-13T15:26:29Z</dcterms:modified>
</cp:coreProperties>
</file>